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ub4\Desktop\TEA project\TEA project submission SEF Mar 23\April Revisions SEF\Accepted with edits return\"/>
    </mc:Choice>
  </mc:AlternateContent>
  <xr:revisionPtr revIDLastSave="0" documentId="13_ncr:1_{AEB4B8B5-13E9-4D79-BED3-CC2E5005257F}" xr6:coauthVersionLast="47" xr6:coauthVersionMax="47" xr10:uidLastSave="{00000000-0000-0000-0000-000000000000}"/>
  <bookViews>
    <workbookView xWindow="-135" yWindow="-135" windowWidth="29070" windowHeight="15870" activeTab="1" xr2:uid="{70FBA170-8D69-4A37-9169-BACE53B89962}"/>
  </bookViews>
  <sheets>
    <sheet name="CAPEX" sheetId="2" r:id="rId1"/>
    <sheet name="TCI" sheetId="1" r:id="rId2"/>
    <sheet name="Electricty Carbon Intensity Est" sheetId="3" r:id="rId3"/>
    <sheet name="D3 RIN - 2019" sheetId="5" r:id="rId4"/>
    <sheet name="Gasoline Data" sheetId="7" r:id="rId5"/>
    <sheet name="D3 RIN - 2014-2022" sheetId="6" r:id="rId6"/>
  </sheets>
  <externalReferences>
    <externalReference r:id="rId7"/>
    <externalReference r:id="rId8"/>
    <externalReference r:id="rId9"/>
    <externalReference r:id="rId10"/>
  </externalReferences>
  <definedNames>
    <definedName name="CAPEX600" localSheetId="0">#REF!</definedName>
    <definedName name="CAPEX600" localSheetId="1">#REF!</definedName>
    <definedName name="CAPEX600">#REF!</definedName>
    <definedName name="CAPEX700" localSheetId="0">#REF!</definedName>
    <definedName name="CAPEX700" localSheetId="1">#REF!</definedName>
    <definedName name="CAPEX700">#REF!</definedName>
    <definedName name="CAPEX800" localSheetId="0">#REF!</definedName>
    <definedName name="CAPEX800" localSheetId="1">#REF!</definedName>
    <definedName name="CAPEX800">#REF!</definedName>
    <definedName name="CAPEX900" localSheetId="0">#REF!</definedName>
    <definedName name="CAPEX900" localSheetId="1">#REF!</definedName>
    <definedName name="CAPEX900">#REF!</definedName>
    <definedName name="CAPEXnc" localSheetId="0">#REF!</definedName>
    <definedName name="CAPEXnc" localSheetId="1">#REF!</definedName>
    <definedName name="CAPEXnc">#REF!</definedName>
    <definedName name="CAPEXpt">#REF!</definedName>
    <definedName name="CASEID" localSheetId="0">#REF!</definedName>
    <definedName name="CASEID" localSheetId="1">#REF!</definedName>
    <definedName name="CASEID">#REF!</definedName>
    <definedName name="ETHMMGAL" localSheetId="0">#REF!</definedName>
    <definedName name="ETHMMGAL" localSheetId="1">#REF!</definedName>
    <definedName name="ETHMMGAL">#REF!</definedName>
    <definedName name="FCI" localSheetId="1">TCI!$E$39</definedName>
    <definedName name="FCI">#REF!</definedName>
    <definedName name="FIXOPX">[1]OPEX!#REF!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BL" localSheetId="1">TCI!$I$8</definedName>
    <definedName name="ISBL">#REF!</definedName>
    <definedName name="IX_CHEM">'[2]Set-up'!$G$35</definedName>
    <definedName name="LU_SENS">'[3]Set-up'!$G$29</definedName>
    <definedName name="Net_Generation_by_State__Type_1">#REF!</definedName>
    <definedName name="OPEX">[1]OPEX!#REF!</definedName>
    <definedName name="OPHOURS" localSheetId="0">#REF!</definedName>
    <definedName name="OPHOURS" localSheetId="1">#REF!</definedName>
    <definedName name="OPHOURS">#REF!</definedName>
    <definedName name="scale" localSheetId="0">CAPEX!$B$5</definedName>
    <definedName name="scale">#REF!</definedName>
    <definedName name="TDC" localSheetId="1">TCI!$E$29</definedName>
    <definedName name="TDC">#REF!</definedName>
    <definedName name="TPI">#REF!</definedName>
    <definedName name="Z_BF3C265C_F8D8_44A5_ADB2_387DE1CABD91_.wvu.Rows" localSheetId="0" hidden="1">CAPEX!$175:$180</definedName>
  </definedNames>
  <calcPr calcId="191029"/>
  <customWorkbookViews>
    <customWorkbookView name="z" guid="{BF3C265C-F8D8-44A5-ADB2-387DE1CABD91}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7" l="1"/>
  <c r="C20" i="7"/>
  <c r="C21" i="7"/>
  <c r="D26" i="7"/>
  <c r="D25" i="7"/>
  <c r="B10" i="5"/>
  <c r="B11" i="5" s="1"/>
  <c r="B12" i="5" s="1"/>
  <c r="B7" i="5"/>
  <c r="B10" i="3"/>
  <c r="B11" i="3" s="1"/>
  <c r="G189" i="2" l="1"/>
  <c r="I189" i="2" s="1"/>
  <c r="K189" i="2" s="1"/>
  <c r="P189" i="2" s="1"/>
  <c r="J186" i="2"/>
  <c r="L186" i="2" s="1"/>
  <c r="P186" i="2" s="1"/>
  <c r="D185" i="2"/>
  <c r="G185" i="2" s="1"/>
  <c r="J185" i="2" s="1"/>
  <c r="L185" i="2" s="1"/>
  <c r="P185" i="2" s="1"/>
  <c r="D184" i="2"/>
  <c r="G184" i="2" s="1"/>
  <c r="J184" i="2" s="1"/>
  <c r="L184" i="2" s="1"/>
  <c r="P184" i="2" s="1"/>
  <c r="G180" i="2"/>
  <c r="I180" i="2" s="1"/>
  <c r="K180" i="2" s="1"/>
  <c r="G179" i="2"/>
  <c r="I179" i="2" s="1"/>
  <c r="K179" i="2" s="1"/>
  <c r="G178" i="2"/>
  <c r="I178" i="2" s="1"/>
  <c r="K178" i="2" s="1"/>
  <c r="G177" i="2"/>
  <c r="I177" i="2" s="1"/>
  <c r="K177" i="2" s="1"/>
  <c r="I172" i="2"/>
  <c r="G172" i="2"/>
  <c r="I171" i="2"/>
  <c r="G171" i="2"/>
  <c r="G166" i="2"/>
  <c r="J166" i="2" s="1"/>
  <c r="L166" i="2" s="1"/>
  <c r="P166" i="2" s="1"/>
  <c r="G165" i="2"/>
  <c r="J165" i="2" s="1"/>
  <c r="L165" i="2" s="1"/>
  <c r="P165" i="2" s="1"/>
  <c r="G163" i="2"/>
  <c r="J163" i="2" s="1"/>
  <c r="L163" i="2" s="1"/>
  <c r="P163" i="2" s="1"/>
  <c r="G162" i="2"/>
  <c r="J162" i="2" s="1"/>
  <c r="L162" i="2" s="1"/>
  <c r="P162" i="2" s="1"/>
  <c r="G161" i="2"/>
  <c r="J161" i="2" s="1"/>
  <c r="L161" i="2" s="1"/>
  <c r="P161" i="2" s="1"/>
  <c r="C160" i="2"/>
  <c r="G160" i="2" s="1"/>
  <c r="J160" i="2" s="1"/>
  <c r="L160" i="2" s="1"/>
  <c r="P160" i="2" s="1"/>
  <c r="G159" i="2"/>
  <c r="J159" i="2" s="1"/>
  <c r="L159" i="2" s="1"/>
  <c r="P159" i="2" s="1"/>
  <c r="G158" i="2"/>
  <c r="J158" i="2" s="1"/>
  <c r="L158" i="2" s="1"/>
  <c r="P158" i="2" s="1"/>
  <c r="G157" i="2"/>
  <c r="J157" i="2" s="1"/>
  <c r="L157" i="2" s="1"/>
  <c r="P157" i="2" s="1"/>
  <c r="G156" i="2"/>
  <c r="J156" i="2" s="1"/>
  <c r="L156" i="2" s="1"/>
  <c r="P156" i="2" s="1"/>
  <c r="G151" i="2"/>
  <c r="J151" i="2" s="1"/>
  <c r="L151" i="2" s="1"/>
  <c r="P151" i="2" s="1"/>
  <c r="G150" i="2"/>
  <c r="J150" i="2" s="1"/>
  <c r="L150" i="2" s="1"/>
  <c r="P150" i="2" s="1"/>
  <c r="G149" i="2"/>
  <c r="J149" i="2" s="1"/>
  <c r="L149" i="2" s="1"/>
  <c r="P149" i="2" s="1"/>
  <c r="G148" i="2"/>
  <c r="J148" i="2" s="1"/>
  <c r="L148" i="2" s="1"/>
  <c r="P148" i="2" s="1"/>
  <c r="G147" i="2"/>
  <c r="J147" i="2" s="1"/>
  <c r="L147" i="2" s="1"/>
  <c r="P147" i="2" s="1"/>
  <c r="G146" i="2"/>
  <c r="J146" i="2" s="1"/>
  <c r="L146" i="2" s="1"/>
  <c r="P146" i="2" s="1"/>
  <c r="C145" i="2"/>
  <c r="G145" i="2" s="1"/>
  <c r="J145" i="2" s="1"/>
  <c r="L145" i="2" s="1"/>
  <c r="P145" i="2" s="1"/>
  <c r="G144" i="2"/>
  <c r="J144" i="2" s="1"/>
  <c r="L144" i="2" s="1"/>
  <c r="P144" i="2" s="1"/>
  <c r="G143" i="2"/>
  <c r="J143" i="2" s="1"/>
  <c r="L143" i="2" s="1"/>
  <c r="P143" i="2" s="1"/>
  <c r="G137" i="2"/>
  <c r="I137" i="2" s="1"/>
  <c r="M137" i="2" s="1"/>
  <c r="G136" i="2"/>
  <c r="I136" i="2" s="1"/>
  <c r="M136" i="2" s="1"/>
  <c r="L135" i="2"/>
  <c r="G135" i="2"/>
  <c r="I135" i="2" s="1"/>
  <c r="F130" i="2"/>
  <c r="G130" i="2" s="1"/>
  <c r="I130" i="2" s="1"/>
  <c r="M130" i="2" s="1"/>
  <c r="P130" i="2" s="1"/>
  <c r="I14" i="1" s="1"/>
  <c r="F129" i="2"/>
  <c r="G129" i="2" s="1"/>
  <c r="I129" i="2" s="1"/>
  <c r="M129" i="2" s="1"/>
  <c r="P129" i="2" s="1"/>
  <c r="H14" i="1" s="1"/>
  <c r="F128" i="2"/>
  <c r="G128" i="2" s="1"/>
  <c r="I128" i="2" s="1"/>
  <c r="M128" i="2" s="1"/>
  <c r="P128" i="2" s="1"/>
  <c r="G14" i="1" s="1"/>
  <c r="F127" i="2"/>
  <c r="G127" i="2" s="1"/>
  <c r="I127" i="2" s="1"/>
  <c r="M127" i="2" s="1"/>
  <c r="P127" i="2" s="1"/>
  <c r="F14" i="1" s="1"/>
  <c r="F126" i="2"/>
  <c r="G126" i="2" s="1"/>
  <c r="I126" i="2" s="1"/>
  <c r="M126" i="2" s="1"/>
  <c r="P126" i="2" s="1"/>
  <c r="E14" i="1" s="1"/>
  <c r="F125" i="2"/>
  <c r="G125" i="2" s="1"/>
  <c r="I125" i="2" s="1"/>
  <c r="M125" i="2" s="1"/>
  <c r="P125" i="2" s="1"/>
  <c r="D14" i="1" s="1"/>
  <c r="G120" i="2"/>
  <c r="J120" i="2" s="1"/>
  <c r="L120" i="2" s="1"/>
  <c r="P120" i="2" s="1"/>
  <c r="G119" i="2"/>
  <c r="J119" i="2" s="1"/>
  <c r="L119" i="2" s="1"/>
  <c r="P119" i="2" s="1"/>
  <c r="N114" i="2"/>
  <c r="L113" i="2"/>
  <c r="P113" i="2" s="1"/>
  <c r="P114" i="2" s="1"/>
  <c r="I113" i="2"/>
  <c r="G113" i="2"/>
  <c r="G107" i="2"/>
  <c r="J107" i="2" s="1"/>
  <c r="L107" i="2" s="1"/>
  <c r="P107" i="2" s="1"/>
  <c r="G106" i="2"/>
  <c r="J106" i="2" s="1"/>
  <c r="L106" i="2" s="1"/>
  <c r="P106" i="2" s="1"/>
  <c r="G105" i="2"/>
  <c r="J105" i="2" s="1"/>
  <c r="L105" i="2" s="1"/>
  <c r="P105" i="2" s="1"/>
  <c r="G104" i="2"/>
  <c r="J104" i="2" s="1"/>
  <c r="L104" i="2" s="1"/>
  <c r="P104" i="2" s="1"/>
  <c r="G103" i="2"/>
  <c r="J103" i="2" s="1"/>
  <c r="L103" i="2" s="1"/>
  <c r="P103" i="2" s="1"/>
  <c r="G102" i="2"/>
  <c r="J102" i="2" s="1"/>
  <c r="L102" i="2" s="1"/>
  <c r="P102" i="2" s="1"/>
  <c r="G101" i="2"/>
  <c r="J101" i="2" s="1"/>
  <c r="L101" i="2" s="1"/>
  <c r="P101" i="2" s="1"/>
  <c r="G100" i="2"/>
  <c r="J100" i="2" s="1"/>
  <c r="L100" i="2" s="1"/>
  <c r="P100" i="2" s="1"/>
  <c r="P99" i="2"/>
  <c r="G94" i="2"/>
  <c r="I94" i="2" s="1"/>
  <c r="J94" i="2" s="1"/>
  <c r="L94" i="2" s="1"/>
  <c r="P94" i="2" s="1"/>
  <c r="G93" i="2"/>
  <c r="I93" i="2" s="1"/>
  <c r="J93" i="2" s="1"/>
  <c r="L93" i="2" s="1"/>
  <c r="P93" i="2" s="1"/>
  <c r="G92" i="2"/>
  <c r="I92" i="2" s="1"/>
  <c r="J92" i="2" s="1"/>
  <c r="L92" i="2" s="1"/>
  <c r="P92" i="2" s="1"/>
  <c r="G91" i="2"/>
  <c r="I91" i="2" s="1"/>
  <c r="J91" i="2" s="1"/>
  <c r="L91" i="2" s="1"/>
  <c r="P91" i="2" s="1"/>
  <c r="G90" i="2"/>
  <c r="I90" i="2" s="1"/>
  <c r="J90" i="2" s="1"/>
  <c r="L90" i="2" s="1"/>
  <c r="P90" i="2" s="1"/>
  <c r="G89" i="2"/>
  <c r="B89" i="2" s="1"/>
  <c r="G88" i="2"/>
  <c r="I88" i="2" s="1"/>
  <c r="J88" i="2" s="1"/>
  <c r="L88" i="2" s="1"/>
  <c r="P88" i="2" s="1"/>
  <c r="G83" i="2"/>
  <c r="J83" i="2" s="1"/>
  <c r="L83" i="2" s="1"/>
  <c r="P83" i="2" s="1"/>
  <c r="G82" i="2"/>
  <c r="J82" i="2" s="1"/>
  <c r="L82" i="2" s="1"/>
  <c r="P82" i="2" s="1"/>
  <c r="G81" i="2"/>
  <c r="J81" i="2" s="1"/>
  <c r="L81" i="2" s="1"/>
  <c r="P81" i="2" s="1"/>
  <c r="G80" i="2"/>
  <c r="J80" i="2" s="1"/>
  <c r="L80" i="2" s="1"/>
  <c r="P80" i="2" s="1"/>
  <c r="G79" i="2"/>
  <c r="J79" i="2" s="1"/>
  <c r="L79" i="2" s="1"/>
  <c r="P79" i="2" s="1"/>
  <c r="G78" i="2"/>
  <c r="J78" i="2" s="1"/>
  <c r="L78" i="2" s="1"/>
  <c r="P78" i="2" s="1"/>
  <c r="G77" i="2"/>
  <c r="J77" i="2" s="1"/>
  <c r="L77" i="2" s="1"/>
  <c r="P77" i="2" s="1"/>
  <c r="G76" i="2"/>
  <c r="J76" i="2" s="1"/>
  <c r="L76" i="2" s="1"/>
  <c r="P76" i="2" s="1"/>
  <c r="G75" i="2"/>
  <c r="J75" i="2" s="1"/>
  <c r="L75" i="2" s="1"/>
  <c r="P75" i="2" s="1"/>
  <c r="G74" i="2"/>
  <c r="J74" i="2" s="1"/>
  <c r="L74" i="2" s="1"/>
  <c r="P74" i="2" s="1"/>
  <c r="G73" i="2"/>
  <c r="J73" i="2" s="1"/>
  <c r="L73" i="2" s="1"/>
  <c r="P73" i="2" s="1"/>
  <c r="G72" i="2"/>
  <c r="J72" i="2" s="1"/>
  <c r="L72" i="2" s="1"/>
  <c r="P72" i="2" s="1"/>
  <c r="G71" i="2"/>
  <c r="J71" i="2" s="1"/>
  <c r="L71" i="2" s="1"/>
  <c r="P71" i="2" s="1"/>
  <c r="G70" i="2"/>
  <c r="J70" i="2" s="1"/>
  <c r="L70" i="2" s="1"/>
  <c r="P70" i="2" s="1"/>
  <c r="G69" i="2"/>
  <c r="J69" i="2" s="1"/>
  <c r="L69" i="2" s="1"/>
  <c r="P69" i="2" s="1"/>
  <c r="G68" i="2"/>
  <c r="J68" i="2" s="1"/>
  <c r="L68" i="2" s="1"/>
  <c r="P68" i="2" s="1"/>
  <c r="G67" i="2"/>
  <c r="J67" i="2" s="1"/>
  <c r="L67" i="2" s="1"/>
  <c r="P67" i="2" s="1"/>
  <c r="G66" i="2"/>
  <c r="J66" i="2" s="1"/>
  <c r="L66" i="2" s="1"/>
  <c r="P66" i="2" s="1"/>
  <c r="G61" i="2"/>
  <c r="J61" i="2" s="1"/>
  <c r="L61" i="2" s="1"/>
  <c r="P61" i="2" s="1"/>
  <c r="G60" i="2"/>
  <c r="J60" i="2" s="1"/>
  <c r="L60" i="2" s="1"/>
  <c r="P60" i="2" s="1"/>
  <c r="G59" i="2"/>
  <c r="J59" i="2" s="1"/>
  <c r="L59" i="2" s="1"/>
  <c r="P59" i="2" s="1"/>
  <c r="H54" i="2"/>
  <c r="J54" i="2" s="1"/>
  <c r="N54" i="2" s="1"/>
  <c r="H53" i="2"/>
  <c r="J53" i="2" s="1"/>
  <c r="N53" i="2" s="1"/>
  <c r="H52" i="2"/>
  <c r="J52" i="2" s="1"/>
  <c r="N52" i="2" s="1"/>
  <c r="H51" i="2"/>
  <c r="J51" i="2" s="1"/>
  <c r="N51" i="2" s="1"/>
  <c r="H50" i="2"/>
  <c r="J50" i="2" s="1"/>
  <c r="N50" i="2" s="1"/>
  <c r="H49" i="2"/>
  <c r="J49" i="2" s="1"/>
  <c r="N49" i="2" s="1"/>
  <c r="J37" i="2"/>
  <c r="L37" i="2" s="1"/>
  <c r="P37" i="2" s="1"/>
  <c r="G31" i="2"/>
  <c r="J31" i="2" s="1"/>
  <c r="L31" i="2" s="1"/>
  <c r="P31" i="2" s="1"/>
  <c r="I25" i="2"/>
  <c r="G25" i="2"/>
  <c r="G24" i="2"/>
  <c r="J24" i="2" s="1"/>
  <c r="L24" i="2" s="1"/>
  <c r="P24" i="2" s="1"/>
  <c r="D23" i="2"/>
  <c r="G23" i="2" s="1"/>
  <c r="J23" i="2" s="1"/>
  <c r="L23" i="2" s="1"/>
  <c r="P23" i="2" s="1"/>
  <c r="I17" i="2"/>
  <c r="C17" i="2"/>
  <c r="G17" i="2" s="1"/>
  <c r="G16" i="2"/>
  <c r="J16" i="2" s="1"/>
  <c r="L16" i="2" s="1"/>
  <c r="P16" i="2" s="1"/>
  <c r="G15" i="2"/>
  <c r="J15" i="2" s="1"/>
  <c r="L15" i="2" s="1"/>
  <c r="P15" i="2" s="1"/>
  <c r="G14" i="2"/>
  <c r="J14" i="2" s="1"/>
  <c r="L14" i="2" s="1"/>
  <c r="P14" i="2" s="1"/>
  <c r="G13" i="2"/>
  <c r="G12" i="2"/>
  <c r="B12" i="2"/>
  <c r="B13" i="2" s="1"/>
  <c r="I13" i="2" s="1"/>
  <c r="J13" i="2" s="1"/>
  <c r="L13" i="2" s="1"/>
  <c r="P13" i="2" s="1"/>
  <c r="I11" i="2"/>
  <c r="J11" i="2" s="1"/>
  <c r="L11" i="2" s="1"/>
  <c r="P11" i="2" s="1"/>
  <c r="G11" i="2"/>
  <c r="B6" i="2"/>
  <c r="A6" i="1"/>
  <c r="I42" i="1" s="1"/>
  <c r="J171" i="2" l="1"/>
  <c r="L171" i="2" s="1"/>
  <c r="P171" i="2" s="1"/>
  <c r="G19" i="1" s="1"/>
  <c r="M135" i="2"/>
  <c r="P138" i="2" s="1"/>
  <c r="C164" i="2"/>
  <c r="G164" i="2" s="1"/>
  <c r="J164" i="2" s="1"/>
  <c r="L164" i="2" s="1"/>
  <c r="P164" i="2" s="1"/>
  <c r="P167" i="2" s="1"/>
  <c r="J172" i="2"/>
  <c r="L172" i="2" s="1"/>
  <c r="P172" i="2" s="1"/>
  <c r="I89" i="2"/>
  <c r="J89" i="2" s="1"/>
  <c r="L89" i="2" s="1"/>
  <c r="P89" i="2" s="1"/>
  <c r="P95" i="2" s="1"/>
  <c r="P139" i="2"/>
  <c r="I15" i="1" s="1"/>
  <c r="P62" i="2"/>
  <c r="L180" i="2"/>
  <c r="J17" i="2"/>
  <c r="L17" i="2" s="1"/>
  <c r="P17" i="2" s="1"/>
  <c r="B90" i="2"/>
  <c r="J25" i="2"/>
  <c r="L25" i="2" s="1"/>
  <c r="P25" i="2" s="1"/>
  <c r="P27" i="2" s="1"/>
  <c r="P55" i="2"/>
  <c r="L178" i="2"/>
  <c r="P108" i="2"/>
  <c r="P84" i="2"/>
  <c r="P121" i="2"/>
  <c r="P190" i="2"/>
  <c r="P26" i="2"/>
  <c r="P152" i="2"/>
  <c r="B93" i="2"/>
  <c r="B88" i="2"/>
  <c r="D42" i="1"/>
  <c r="B91" i="2"/>
  <c r="E42" i="1"/>
  <c r="I12" i="2"/>
  <c r="J12" i="2" s="1"/>
  <c r="L12" i="2" s="1"/>
  <c r="P12" i="2" s="1"/>
  <c r="F42" i="1"/>
  <c r="B94" i="2"/>
  <c r="G42" i="1"/>
  <c r="H42" i="1"/>
  <c r="B92" i="2"/>
  <c r="P173" i="2" l="1"/>
  <c r="D11" i="1"/>
  <c r="P18" i="2"/>
  <c r="H10" i="1" s="1"/>
  <c r="F13" i="1"/>
  <c r="G13" i="1"/>
  <c r="H13" i="1"/>
  <c r="I13" i="1"/>
  <c r="D13" i="1"/>
  <c r="E13" i="1"/>
  <c r="G17" i="1"/>
  <c r="E17" i="1"/>
  <c r="H17" i="1"/>
  <c r="I17" i="1"/>
  <c r="F17" i="1"/>
  <c r="D17" i="1"/>
  <c r="H19" i="1"/>
  <c r="I19" i="1"/>
  <c r="I12" i="1"/>
  <c r="H12" i="1"/>
  <c r="E18" i="1"/>
  <c r="I18" i="1"/>
  <c r="H18" i="1"/>
  <c r="D18" i="1"/>
  <c r="F18" i="1"/>
  <c r="G18" i="1"/>
  <c r="I11" i="1"/>
  <c r="E11" i="1"/>
  <c r="H11" i="1"/>
  <c r="F11" i="1"/>
  <c r="G11" i="1"/>
  <c r="F15" i="1"/>
  <c r="G15" i="1"/>
  <c r="D10" i="1"/>
  <c r="G10" i="1"/>
  <c r="E10" i="1"/>
  <c r="F10" i="1"/>
  <c r="D16" i="1"/>
  <c r="E16" i="1"/>
  <c r="I16" i="1"/>
  <c r="F16" i="1"/>
  <c r="G16" i="1"/>
  <c r="H16" i="1"/>
  <c r="D21" i="1" l="1"/>
  <c r="G20" i="1"/>
  <c r="D20" i="1"/>
  <c r="G21" i="1"/>
  <c r="G25" i="1" s="1"/>
  <c r="I10" i="1"/>
  <c r="H21" i="1"/>
  <c r="H27" i="1" s="1"/>
  <c r="F21" i="1"/>
  <c r="F26" i="1" s="1"/>
  <c r="I21" i="1"/>
  <c r="I27" i="1" s="1"/>
  <c r="F20" i="1"/>
  <c r="E21" i="1"/>
  <c r="E26" i="1" s="1"/>
  <c r="E20" i="1"/>
  <c r="H20" i="1"/>
  <c r="I20" i="1"/>
  <c r="D26" i="1"/>
  <c r="D25" i="1"/>
  <c r="D27" i="1"/>
  <c r="H25" i="1" l="1"/>
  <c r="H28" i="1" s="1"/>
  <c r="H29" i="1" s="1"/>
  <c r="F25" i="1"/>
  <c r="F27" i="1"/>
  <c r="G26" i="1"/>
  <c r="G27" i="1"/>
  <c r="H26" i="1"/>
  <c r="I25" i="1"/>
  <c r="I26" i="1"/>
  <c r="E27" i="1"/>
  <c r="E25" i="1"/>
  <c r="E28" i="1" s="1"/>
  <c r="E29" i="1" s="1"/>
  <c r="D28" i="1"/>
  <c r="D29" i="1" s="1"/>
  <c r="G28" i="1"/>
  <c r="G29" i="1" s="1"/>
  <c r="F28" i="1" l="1"/>
  <c r="F29" i="1" s="1"/>
  <c r="I28" i="1"/>
  <c r="I29" i="1" s="1"/>
  <c r="E39" i="1" l="1"/>
  <c r="E43" i="1" s="1"/>
  <c r="E45" i="1" s="1"/>
  <c r="E47" i="1" s="1"/>
  <c r="F39" i="1"/>
  <c r="F43" i="1" s="1"/>
  <c r="F45" i="1" s="1"/>
  <c r="F47" i="1" s="1"/>
  <c r="D39" i="1"/>
  <c r="D43" i="1" s="1"/>
  <c r="D45" i="1" s="1"/>
  <c r="D47" i="1" s="1"/>
  <c r="I39" i="1"/>
  <c r="I43" i="1" s="1"/>
  <c r="I45" i="1" s="1"/>
  <c r="I47" i="1" s="1"/>
  <c r="G39" i="1"/>
  <c r="G43" i="1" s="1"/>
  <c r="H39" i="1"/>
  <c r="H43" i="1" s="1"/>
  <c r="H45" i="1" s="1"/>
  <c r="H47" i="1" s="1"/>
  <c r="G45" i="1" l="1"/>
  <c r="G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R. Kubis</author>
    <author>tc={FE1CBDE0-C4AD-4CE7-BCB4-B86691C848DD}</author>
    <author>Matt Kubis</author>
  </authors>
  <commentList>
    <comment ref="B11" authorId="0" shapeId="0" xr:uid="{703727EE-3152-421C-9405-0E9E55E986CD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see 'Fermentors' sheet for calculations
</t>
        </r>
      </text>
    </comment>
    <comment ref="I11" authorId="0" shapeId="0" xr:uid="{740D86FF-8295-4D94-AFA7-16A84D31D43E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$844000 NREL 2011
</t>
        </r>
      </text>
    </comment>
    <comment ref="D23" authorId="0" shapeId="0" xr:uid="{4F336FD8-DDD0-4312-8A17-F8006FA1B0F4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See 'Sterilizer' sheet for calculations</t>
        </r>
      </text>
    </comment>
    <comment ref="K23" authorId="0" shapeId="0" xr:uid="{7D44E8FC-7D52-4547-A53E-5092D3A3D010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26 pressure holders</t>
        </r>
      </text>
    </comment>
    <comment ref="L23" authorId="0" shapeId="0" xr:uid="{A7832F0A-158C-477A-AF74-547C390CB214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25 SS pressure vessel
 </t>
        </r>
      </text>
    </comment>
    <comment ref="I24" authorId="0" shapeId="0" xr:uid="{A49E47F8-BAA7-4532-BF9E-B016BD205480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P-306 Humbird et al. 2011
</t>
        </r>
      </text>
    </comment>
    <comment ref="L24" authorId="0" shapeId="0" xr:uid="{610BF5BF-BA08-4B05-BF79-14BFDC791B18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25
Pumps, SS</t>
        </r>
      </text>
    </comment>
    <comment ref="I25" authorId="0" shapeId="0" xr:uid="{22F938AC-9FC1-4129-A594-0EC725D70541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5.39:
Fm = 2.3
Fp = 1.0
Fbm = 4.9</t>
        </r>
      </text>
    </comment>
    <comment ref="K25" authorId="0" shapeId="0" xr:uid="{4410AE67-F686-4E05-88D0-75974C8D6609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25 HX plate and fame</t>
        </r>
      </text>
    </comment>
    <comment ref="L25" authorId="0" shapeId="0" xr:uid="{CF2B5E23-6D24-462F-8A56-1491DC33317E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25
Pumps, SS</t>
        </r>
      </text>
    </comment>
    <comment ref="A37" authorId="0" shapeId="0" xr:uid="{1A8226DB-377C-406D-81C2-50042F267D35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Air-cooled condenser was quoted by another group (GEA Rainey) in NREL 2011, the rest of the columns are the same consulting group (Megtec)
</t>
        </r>
      </text>
    </comment>
    <comment ref="D49" authorId="0" shapeId="0" xr:uid="{C2E701EF-5675-4E97-838F-7B43697AA14A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Value simulated in Ref. Case
</t>
        </r>
      </text>
    </comment>
    <comment ref="G49" authorId="0" shapeId="0" xr:uid="{956B28E4-82B4-47D7-A21D-18C1F993C9E8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5.36 and 5.38
U-Tube
Fm = 3.0 (ss/ss)
F(a)bm = 5.9
</t>
        </r>
      </text>
    </comment>
    <comment ref="I49" authorId="0" shapeId="0" xr:uid="{F1ED2718-5DB8-42B1-84C7-461DBBA2B3B2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Table 25 distillation column</t>
        </r>
      </text>
    </comment>
    <comment ref="D50" authorId="0" shapeId="0" xr:uid="{22636939-3955-4214-A932-979964E32B6C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4 ft diameter, 6 ft tall.
See mechanical equipment list NREL 2011
</t>
        </r>
      </text>
    </comment>
    <comment ref="G50" authorId="0" shapeId="0" xr:uid="{7C52ED8D-1D73-4D2E-A784-1A57F0F4B377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5.61
Bullet 0-10 barg
Fbm = 3.8(ss)</t>
        </r>
      </text>
    </comment>
    <comment ref="I50" authorId="0" shapeId="0" xr:uid="{5CDCA748-0E79-4A9B-A154-48A4A5A8DE68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Table 25 distillation column</t>
        </r>
      </text>
    </comment>
    <comment ref="D51" authorId="0" shapeId="0" xr:uid="{173FC516-3C46-4390-B0B8-E1B0278B22CD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See mechanical equipment sheet in NREL 2011
</t>
        </r>
      </text>
    </comment>
    <comment ref="G51" authorId="0" shapeId="0" xr:uid="{67386C50-B47F-4DB6-B530-F3B9709A05E7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5.49, 5.5, 5.51
Fm = 1.9 (ss)
Fp = 1.0
F(a)bm = 4.9
</t>
        </r>
      </text>
    </comment>
    <comment ref="I51" authorId="0" shapeId="0" xr:uid="{28AC80DB-D8D0-48B0-9B84-4DF1832F9968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Table 25 distillation column</t>
        </r>
      </text>
    </comment>
    <comment ref="A52" authorId="0" shapeId="0" xr:uid="{B28C136A-7922-40E4-9D07-F00033B285A9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U-Tube S &amp; T</t>
        </r>
      </text>
    </comment>
    <comment ref="G52" authorId="0" shapeId="0" xr:uid="{482AC5B1-8B78-44E9-A714-02CC7770AF2A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5.36 and 5.37 and 5.38
U-tube
Fm = 3.0 (ss/ss)
Fp = 1.0
F(a)bm = 5.9
</t>
        </r>
      </text>
    </comment>
    <comment ref="I52" authorId="0" shapeId="0" xr:uid="{0E01287C-EF8F-43DF-9C6E-B024D9BE85D0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Table 25 shell and tube
</t>
        </r>
      </text>
    </comment>
    <comment ref="K60" authorId="0" shapeId="0" xr:uid="{B6F1469E-27CB-4A1F-9534-E99B309CCCB3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25
Pumps, SS</t>
        </r>
      </text>
    </comment>
    <comment ref="P99" authorId="0" shapeId="0" xr:uid="{780BB17B-12CF-4D94-A2BB-4043E1C560FB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See 'AD' Sheet for calculations</t>
        </r>
      </text>
    </comment>
    <comment ref="K113" authorId="0" shapeId="0" xr:uid="{41B6E223-ECC7-4EF0-B0BF-EC55D1FAA949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Humbird et al. 2011 Table 25 Tanks-field erected stainless steel</t>
        </r>
      </text>
    </comment>
    <comment ref="I118" authorId="0" shapeId="0" xr:uid="{2EEB36A6-A7BC-4411-B859-5E81CE1AAEFA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Deng and Hagg 2010
</t>
        </r>
      </text>
    </comment>
    <comment ref="K118" authorId="0" shapeId="0" xr:uid="{2B93524A-A5D9-4BA0-9D78-EF04F84FCDE0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Installation included in bare module factor Deng and Hagg 2010</t>
        </r>
      </text>
    </comment>
    <comment ref="O119" authorId="0" shapeId="0" xr:uid="{7B1F3705-2014-4495-A021-B0FE008C72B6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Deng and Haag 2010
</t>
        </r>
      </text>
    </comment>
    <comment ref="E124" authorId="0" shapeId="0" xr:uid="{ACEA34EE-FF65-4D80-A50E-822EB71A7E73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5.25
Industrial Package Water Tube Oil- and Gas- Fired
</t>
        </r>
      </text>
    </comment>
    <comment ref="F124" authorId="0" shapeId="0" xr:uid="{0AAF6015-DD5F-4634-BC7F-B47DA0F68B61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5.25
Fp = 1
FT = 1.14
FBM = 1.8
</t>
        </r>
      </text>
    </comment>
    <comment ref="H124" authorId="0" shapeId="0" xr:uid="{2CD7B334-B6C6-406C-8244-965FAFB9A400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Table 25 boiler
</t>
        </r>
      </text>
    </comment>
    <comment ref="E134" authorId="0" shapeId="0" xr:uid="{68F3BB2F-1DA2-488D-A8B5-B8D33BF26DDB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5.21</t>
        </r>
      </text>
    </comment>
    <comment ref="H134" authorId="0" shapeId="0" xr:uid="{59B85D2A-DF96-4EE4-B506-12187AB7D55E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Table 25 turbogenerator
</t>
        </r>
      </text>
    </comment>
    <comment ref="A137" authorId="0" shapeId="0" xr:uid="{DE8521B7-A962-44D2-A23A-FA21DE95ACB6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Spiral Plate</t>
        </r>
      </text>
    </comment>
    <comment ref="H137" authorId="0" shapeId="0" xr:uid="{A2CBB07F-AF5F-4832-8B0A-CC7AEF1C7BDD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25 shell and tube which is closest to fin-fan</t>
        </r>
      </text>
    </comment>
    <comment ref="D143" authorId="0" shapeId="0" xr:uid="{FD9099B2-64D2-44F7-987C-534825135EF9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Using value for 6.28.22 enchanced heat integration for each scenario (model is not sensitive so approx. value should be fine).</t>
        </r>
      </text>
    </comment>
    <comment ref="G170" authorId="0" shapeId="0" xr:uid="{9ABA3056-2601-4A7A-B995-EC5F5A67A434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Table 5.40
Fbm 3.0 (ss/ss)</t>
        </r>
      </text>
    </comment>
    <comment ref="C171" authorId="1" shapeId="0" xr:uid="{FE1CBDE0-C4AD-4CE7-BCB4-B86691C848DD}">
      <text>
        <t>[Threaded comment]
Your version of Excel allows you to read this threaded comment; however, any edits to it will get removed if the file is opened in a newer version of Excel. Learn more: https://go.microsoft.com/fwlink/?linkid=870924
Comment:
    Exhibit 7-3 NETL report</t>
      </text>
    </comment>
    <comment ref="H171" authorId="2" shapeId="0" xr:uid="{77BD4319-1F11-4B41-B8D8-6DB6740B627D}">
      <text>
        <r>
          <rPr>
            <b/>
            <sz val="9"/>
            <color indexed="81"/>
            <rFont val="Tahoma"/>
            <family val="2"/>
          </rPr>
          <t>Matt Kubis:</t>
        </r>
        <r>
          <rPr>
            <sz val="9"/>
            <color indexed="81"/>
            <rFont val="Tahoma"/>
            <family val="2"/>
          </rPr>
          <t xml:space="preserve">
humbird et al 2011</t>
        </r>
      </text>
    </comment>
    <comment ref="I171" authorId="2" shapeId="0" xr:uid="{5400172C-8D53-499E-ADC5-2E1ECDA13014}">
      <text>
        <r>
          <rPr>
            <b/>
            <sz val="9"/>
            <color indexed="81"/>
            <rFont val="Tahoma"/>
            <family val="2"/>
          </rPr>
          <t>Matt Kubis:</t>
        </r>
        <r>
          <rPr>
            <sz val="9"/>
            <color indexed="81"/>
            <rFont val="Tahoma"/>
            <family val="2"/>
          </rPr>
          <t xml:space="preserve">
NETL cost of capturing co2 from inudstrial sources 2014 exhibit 7-5 bare erect costs minus chilling tower unit
</t>
        </r>
      </text>
    </comment>
    <comment ref="E176" authorId="0" shapeId="0" xr:uid="{7A93D6E6-6280-44FC-BD9B-565C64AF0B2E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Ulrich Table 5.40
Fbm 3.0 (ss/ss)</t>
        </r>
      </text>
    </comment>
    <comment ref="A186" authorId="0" shapeId="0" xr:uid="{A8310A99-9A2E-450E-B5ED-5C890DFCF898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Was not included in COB 2017 but probably should have been</t>
        </r>
      </text>
    </comment>
    <comment ref="A189" authorId="0" shapeId="0" xr:uid="{FB5DC613-F977-4AF7-A329-D30DDB38026D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Was not included in COB 2017 but probably should have been</t>
        </r>
      </text>
    </comment>
    <comment ref="H189" authorId="0" shapeId="0" xr:uid="{E0506CDE-EB8D-4E41-83D8-D2AD581051F4}">
      <text>
        <r>
          <rPr>
            <b/>
            <sz val="9"/>
            <color indexed="81"/>
            <rFont val="Tahoma"/>
            <family val="2"/>
          </rPr>
          <t>Matthew R. Kubis:</t>
        </r>
        <r>
          <rPr>
            <sz val="9"/>
            <color indexed="81"/>
            <rFont val="Tahoma"/>
            <family val="2"/>
          </rPr>
          <t xml:space="preserve">
NREL 2011 Table 25
Pumps, SS</t>
        </r>
      </text>
    </comment>
  </commentList>
</comments>
</file>

<file path=xl/sharedStrings.xml><?xml version="1.0" encoding="utf-8"?>
<sst xmlns="http://schemas.openxmlformats.org/spreadsheetml/2006/main" count="1281" uniqueCount="375">
  <si>
    <t>Land Requirement</t>
  </si>
  <si>
    <t>acres</t>
  </si>
  <si>
    <t>/acre</t>
  </si>
  <si>
    <t>1. DIRECT COSTS</t>
  </si>
  <si>
    <t>Process Area</t>
  </si>
  <si>
    <t>Reference Case (Lynd et al. 2017)</t>
  </si>
  <si>
    <t>Feedstock Handling</t>
  </si>
  <si>
    <t>*Feedstock Handling not included in this calculation</t>
  </si>
  <si>
    <t>Biological Conversion</t>
  </si>
  <si>
    <t>Product Recovery</t>
  </si>
  <si>
    <t>Biogas Membrane</t>
  </si>
  <si>
    <t>Pellet Production</t>
  </si>
  <si>
    <t>Boiler</t>
  </si>
  <si>
    <t>Turbine</t>
  </si>
  <si>
    <t>Anaerobic Digestion</t>
  </si>
  <si>
    <t>Cooling, Water, and Air</t>
  </si>
  <si>
    <t>Storage</t>
  </si>
  <si>
    <t>CO2 Compression</t>
  </si>
  <si>
    <t>TOTAL INSTALLED CAPITAL*</t>
  </si>
  <si>
    <t>Inside Battery Limits (ISBL)</t>
  </si>
  <si>
    <t>Additional Direct Costs</t>
  </si>
  <si>
    <t>Warehouse</t>
  </si>
  <si>
    <t>of ISBL</t>
  </si>
  <si>
    <t>Site Development</t>
  </si>
  <si>
    <t>Additional Piping</t>
  </si>
  <si>
    <t>TOTAL DIRECT COSTS (TDC)</t>
  </si>
  <si>
    <t>2. INDIRECT COSTS</t>
  </si>
  <si>
    <t>Prorateable Expenses</t>
  </si>
  <si>
    <t>of TDC</t>
  </si>
  <si>
    <t>Field Expenses</t>
  </si>
  <si>
    <t>Home Office &amp; Construction Fee</t>
  </si>
  <si>
    <t>Project Contingency</t>
  </si>
  <si>
    <t>Other Costs (Start-Up, Permits, etc.)</t>
  </si>
  <si>
    <t>TOTAL INDIRECT COSTS</t>
  </si>
  <si>
    <t>3. FIXED CAPITAL INVESTMENT</t>
  </si>
  <si>
    <t>Additional Capital Investment</t>
  </si>
  <si>
    <t xml:space="preserve"> Land</t>
  </si>
  <si>
    <t>Working Capital</t>
  </si>
  <si>
    <t>of FCI</t>
  </si>
  <si>
    <t>4. TOTAL CAPITAL INVESTMENT</t>
  </si>
  <si>
    <t>Annual Ethanol</t>
  </si>
  <si>
    <t>MGY</t>
  </si>
  <si>
    <t>$/annual gallon</t>
  </si>
  <si>
    <t>2019 CEPI</t>
  </si>
  <si>
    <t>Scale factor</t>
  </si>
  <si>
    <t>1 = 2000 Mg/day</t>
  </si>
  <si>
    <t>Ethanol produced</t>
  </si>
  <si>
    <t>Feedstock moisture content</t>
  </si>
  <si>
    <t>Number</t>
  </si>
  <si>
    <t>Base</t>
  </si>
  <si>
    <t xml:space="preserve">New </t>
  </si>
  <si>
    <t>Scaling</t>
  </si>
  <si>
    <t>Size</t>
  </si>
  <si>
    <t>Installation</t>
  </si>
  <si>
    <t>Installed Cost</t>
  </si>
  <si>
    <t xml:space="preserve">Base Cost </t>
  </si>
  <si>
    <t>Project</t>
  </si>
  <si>
    <t>CPI</t>
  </si>
  <si>
    <t>Cost</t>
  </si>
  <si>
    <t>Required</t>
  </si>
  <si>
    <t>Scale</t>
  </si>
  <si>
    <t>Units</t>
  </si>
  <si>
    <t>Stream</t>
  </si>
  <si>
    <t>Ratio</t>
  </si>
  <si>
    <t>Exponent</t>
  </si>
  <si>
    <t>Purchase Cost</t>
  </si>
  <si>
    <t>Factor</t>
  </si>
  <si>
    <t>Base Year</t>
  </si>
  <si>
    <t>Year</t>
  </si>
  <si>
    <t>Source</t>
  </si>
  <si>
    <t>kg/hr</t>
  </si>
  <si>
    <t>FEED</t>
  </si>
  <si>
    <t>NREL 2011</t>
  </si>
  <si>
    <t>Scaled</t>
  </si>
  <si>
    <t>BIOLOGICAL CONVERSION</t>
  </si>
  <si>
    <t>Project Year</t>
  </si>
  <si>
    <t>Ethanol Fermenter</t>
  </si>
  <si>
    <t>gallon</t>
  </si>
  <si>
    <t>BROTH</t>
  </si>
  <si>
    <t>Fermenter Agitators</t>
  </si>
  <si>
    <t>Fermentation Coolers</t>
  </si>
  <si>
    <t>Fermenter Transfer Pump</t>
  </si>
  <si>
    <t># of pumps</t>
  </si>
  <si>
    <t>Beer Storage Tank</t>
  </si>
  <si>
    <t>BEER</t>
  </si>
  <si>
    <t>Beer Storage Transfer Pump</t>
  </si>
  <si>
    <t>Cotreatment Wet Disc Mill</t>
  </si>
  <si>
    <t>Ramirez et al., 2008</t>
  </si>
  <si>
    <t>Fermentation</t>
  </si>
  <si>
    <t xml:space="preserve">Scaling </t>
  </si>
  <si>
    <t xml:space="preserve">Installation </t>
  </si>
  <si>
    <t>PASTEURIZATION</t>
  </si>
  <si>
    <t>Sterilization</t>
  </si>
  <si>
    <t>CHARGE</t>
  </si>
  <si>
    <t>Pasteurization Pump</t>
  </si>
  <si>
    <t>STR103</t>
  </si>
  <si>
    <t>Spiral Plate Heat Exchanger</t>
  </si>
  <si>
    <t>sqm</t>
  </si>
  <si>
    <t>HX B21</t>
  </si>
  <si>
    <t>Ulrich and Vasudevan 2004</t>
  </si>
  <si>
    <t>pasteurization</t>
  </si>
  <si>
    <t>Ref. Case</t>
  </si>
  <si>
    <t>S12345</t>
  </si>
  <si>
    <t>New</t>
  </si>
  <si>
    <t>PRODUCT RECOVERY Part 1</t>
  </si>
  <si>
    <t>Distillation column + feed heat exchanger</t>
  </si>
  <si>
    <t>DIST</t>
  </si>
  <si>
    <t>Beer Column</t>
  </si>
  <si>
    <t>included</t>
  </si>
  <si>
    <t>Rectification Column</t>
  </si>
  <si>
    <t>Beer Column Reboiler</t>
  </si>
  <si>
    <t>Rectification Column Reboiler</t>
  </si>
  <si>
    <t>Beer Column Condenser</t>
  </si>
  <si>
    <t>deduction</t>
  </si>
  <si>
    <t>Rectificaiton Column Condenser</t>
  </si>
  <si>
    <t>substitution</t>
  </si>
  <si>
    <t>Beer Column Feed Interchanger</t>
  </si>
  <si>
    <t>Beer Column Bottoms Recirculation Pump</t>
  </si>
  <si>
    <t>Beer Column Reflux Pump</t>
  </si>
  <si>
    <t>Rectification Column Bottoms Pump</t>
  </si>
  <si>
    <t>Rectification Column Reflux Pump</t>
  </si>
  <si>
    <t>Beer Column Stillage Pump</t>
  </si>
  <si>
    <t>Beer Column Reflux Drum</t>
  </si>
  <si>
    <t xml:space="preserve">Rectification Column Drum </t>
  </si>
  <si>
    <t>Configurational Changes</t>
  </si>
  <si>
    <t>Configurational</t>
  </si>
  <si>
    <t>Bare Module</t>
  </si>
  <si>
    <t>Bare</t>
  </si>
  <si>
    <t>Changes</t>
  </si>
  <si>
    <t>Varible</t>
  </si>
  <si>
    <t>Target Year (2019)</t>
  </si>
  <si>
    <t>NREL 2011, Ulrich and Vasudevan 2004</t>
  </si>
  <si>
    <t>ft^3</t>
  </si>
  <si>
    <t>Beer Colum Reflux Pump</t>
  </si>
  <si>
    <t>hp</t>
  </si>
  <si>
    <t>Steam Compressor (w/o drive)</t>
  </si>
  <si>
    <t>added</t>
  </si>
  <si>
    <t>kW</t>
  </si>
  <si>
    <t>NREL 2011, Ulrich and Vasudevan 2005</t>
  </si>
  <si>
    <t>Steam Compressor Drive</t>
  </si>
  <si>
    <t>NREL 2011, Ulrich and Vasudevan 2006</t>
  </si>
  <si>
    <t>EtOH 1</t>
  </si>
  <si>
    <t>PRODUCT RECOVERY Part 2</t>
  </si>
  <si>
    <t>Molecular Sieve Package (9 pieces)</t>
  </si>
  <si>
    <t>ETOH</t>
  </si>
  <si>
    <t>Beer Transfer Pump 1 (2 atm)</t>
  </si>
  <si>
    <t>Beer Transfer Pump 2 (6 atm)</t>
  </si>
  <si>
    <t>BEER2</t>
  </si>
  <si>
    <t>EtOH 2</t>
  </si>
  <si>
    <t>MISC. EQUIPMENT</t>
  </si>
  <si>
    <t>Base Scale</t>
  </si>
  <si>
    <t>Vent Scrubber</t>
  </si>
  <si>
    <t>OFFGAS</t>
  </si>
  <si>
    <t>Scrubber Bottoms Pump</t>
  </si>
  <si>
    <t>SCRBOT</t>
  </si>
  <si>
    <t>Pressure Filter</t>
  </si>
  <si>
    <t>SOLIDS (total)</t>
  </si>
  <si>
    <t>Pressure Filter Drying Compressor</t>
  </si>
  <si>
    <t>AIR2</t>
  </si>
  <si>
    <t>Pressure Filter Pressing Compressor</t>
  </si>
  <si>
    <t>AIR3</t>
  </si>
  <si>
    <t>Drying Air Compressor Receiver</t>
  </si>
  <si>
    <t>Pressing Air Compressor Receiver</t>
  </si>
  <si>
    <t>Lignin Wet Cake Conveyor</t>
  </si>
  <si>
    <t>Lignin Wet Cake Screw</t>
  </si>
  <si>
    <t>Filtrate Tank Agitator</t>
  </si>
  <si>
    <t>Filtrate Tank</t>
  </si>
  <si>
    <t>Filtrate Tank Discharge Pump</t>
  </si>
  <si>
    <t>Filtrate Discharge Pump</t>
  </si>
  <si>
    <t>Feed Pump</t>
  </si>
  <si>
    <t>Feed Tank</t>
  </si>
  <si>
    <t>Manifold Flush Pump</t>
  </si>
  <si>
    <t>Cloth Wash Pump</t>
  </si>
  <si>
    <t>Recycled Water Tank</t>
  </si>
  <si>
    <t>Misc.</t>
  </si>
  <si>
    <t>Scrubber</t>
  </si>
  <si>
    <t>Air-Filter Pressing</t>
  </si>
  <si>
    <t>PELLET PRODUCTION</t>
  </si>
  <si>
    <t>Dryer</t>
  </si>
  <si>
    <t>SOLIDS(substream)</t>
  </si>
  <si>
    <t>Sultana et al., 2010</t>
  </si>
  <si>
    <t>Feeder</t>
  </si>
  <si>
    <t>Pellet Mill</t>
  </si>
  <si>
    <t>Pellet Cooler</t>
  </si>
  <si>
    <t>Screener/Shaker</t>
  </si>
  <si>
    <t>Bagging System</t>
  </si>
  <si>
    <t>Conveyor, tanks, etc.</t>
  </si>
  <si>
    <t>Fuel Pellets</t>
  </si>
  <si>
    <t>ANAEROBIC DIGESTION</t>
  </si>
  <si>
    <t>ratio</t>
  </si>
  <si>
    <t>Biodigester (COD: kg/m3/d)</t>
  </si>
  <si>
    <t>Mes et al. 2003 &amp; Lynd et al. 2017</t>
  </si>
  <si>
    <t>Biogas Emergency Flare</t>
  </si>
  <si>
    <t>ADFEED</t>
  </si>
  <si>
    <t>Aerobic Sludge Screw</t>
  </si>
  <si>
    <t>Anaerobic Reactor Feed Pump</t>
  </si>
  <si>
    <t>Waste Anaerobic Sludge Pump</t>
  </si>
  <si>
    <t>Return Activated Sludge Pump</t>
  </si>
  <si>
    <t>Centrifuge Feed Pump</t>
  </si>
  <si>
    <t>Centrate Pump</t>
  </si>
  <si>
    <t>Centrifuge</t>
  </si>
  <si>
    <t>L/hr</t>
  </si>
  <si>
    <t>Anerobic Digester</t>
  </si>
  <si>
    <t>Total Module</t>
  </si>
  <si>
    <t>Total Module Cost</t>
  </si>
  <si>
    <t>BIOGAS TREATMENT</t>
  </si>
  <si>
    <t>Nm^3/hr</t>
  </si>
  <si>
    <t>BIOGAS</t>
  </si>
  <si>
    <t>Abatzoglou and Boivin 2008</t>
  </si>
  <si>
    <t>Desulphirizer Media-G2®</t>
  </si>
  <si>
    <t>BIOGAS UPGRADING</t>
  </si>
  <si>
    <t>Biogas Membrane Separation</t>
  </si>
  <si>
    <t>Axial Compressors</t>
  </si>
  <si>
    <t>Deng and Haag 2010</t>
  </si>
  <si>
    <t>Membranes</t>
  </si>
  <si>
    <t>Purchase</t>
  </si>
  <si>
    <t>Cumulative Factor</t>
  </si>
  <si>
    <t>Subtotal</t>
  </si>
  <si>
    <t>Boiler - Ref. Case</t>
  </si>
  <si>
    <t>kJ/s</t>
  </si>
  <si>
    <t>Boiler - Scenario 1</t>
  </si>
  <si>
    <t>Scenario 1</t>
  </si>
  <si>
    <t>Boiler - Scenario 2</t>
  </si>
  <si>
    <t>Scenario 2</t>
  </si>
  <si>
    <t>Boiler - Scenario 3</t>
  </si>
  <si>
    <t>Scenario 3</t>
  </si>
  <si>
    <t>Boiler - Scenario 4</t>
  </si>
  <si>
    <t>Scenario 4</t>
  </si>
  <si>
    <t>Boiler - Scenario 5</t>
  </si>
  <si>
    <t>Scenario 5</t>
  </si>
  <si>
    <t>Gas Boiler</t>
  </si>
  <si>
    <t>Biogas Turbine - Scenario 2 &amp; 3</t>
  </si>
  <si>
    <t>RNG Turbine - Scenario 5</t>
  </si>
  <si>
    <t>Installed</t>
  </si>
  <si>
    <t>Heat Recovery - Gas Turbine</t>
  </si>
  <si>
    <t>Biogas Turbine</t>
  </si>
  <si>
    <t>RNG Turbine</t>
  </si>
  <si>
    <t>COOLING, WATER, AND AIR</t>
  </si>
  <si>
    <t>Cooling Tower System</t>
  </si>
  <si>
    <t>COOL</t>
  </si>
  <si>
    <t>Plant Air Compressor</t>
  </si>
  <si>
    <t>CIP System</t>
  </si>
  <si>
    <t>Cooling Water Pump</t>
  </si>
  <si>
    <t>Make-up Water Pump</t>
  </si>
  <si>
    <t>kg/hr</t>
    <phoneticPr fontId="13" type="noConversion"/>
  </si>
  <si>
    <t>MAKEUP</t>
  </si>
  <si>
    <t>Process Water Circulating Pump</t>
  </si>
  <si>
    <t>PWATER</t>
  </si>
  <si>
    <t>Instrument Air Dryer</t>
  </si>
  <si>
    <t>Plant Air Receiver</t>
  </si>
  <si>
    <t>Process Water Tank No. 1</t>
  </si>
  <si>
    <t>Cooling, Water, Air</t>
  </si>
  <si>
    <t>STORAGE</t>
  </si>
  <si>
    <t>Scale</t>
    <phoneticPr fontId="13" type="noConversion"/>
  </si>
  <si>
    <t>CSL Storage Tank Agitator</t>
  </si>
  <si>
    <t>CSL</t>
  </si>
  <si>
    <t>Urea Make-up Tank Agitator</t>
  </si>
  <si>
    <t>UREA</t>
  </si>
  <si>
    <t>Urea Bulk Bag Unloader</t>
  </si>
  <si>
    <t>Ethanol Product Pump</t>
  </si>
  <si>
    <t>ETHANOL</t>
  </si>
  <si>
    <t>Firewater Pump</t>
  </si>
  <si>
    <t>CSL Pump</t>
  </si>
  <si>
    <t>Urea Pump</t>
  </si>
  <si>
    <t>Ethanol Product Storage Tank</t>
  </si>
  <si>
    <t>Firewater Storage Tank</t>
  </si>
  <si>
    <t>CSL Storage Tank</t>
  </si>
  <si>
    <t>Urea Make-up Tank and Bulk Bag Holder</t>
  </si>
  <si>
    <t>Base Cost</t>
  </si>
  <si>
    <t>CO2 compressor S3</t>
  </si>
  <si>
    <t>lb/hr</t>
  </si>
  <si>
    <t>EXGAS</t>
  </si>
  <si>
    <t>CO2+ compressor S45</t>
  </si>
  <si>
    <t>EXGAS+PERM</t>
  </si>
  <si>
    <t>Ulrich Estimates, do not seem accurate</t>
  </si>
  <si>
    <t>CEPI (2004)</t>
  </si>
  <si>
    <t>Installed Cost (2019)</t>
  </si>
  <si>
    <t>subtotals</t>
  </si>
  <si>
    <t>CO2 compressor S123</t>
  </si>
  <si>
    <t>CO2 comp. motor S123</t>
  </si>
  <si>
    <t>CO2+ comp. motor S45</t>
  </si>
  <si>
    <t>PRODUCT RECOVERY</t>
  </si>
  <si>
    <t xml:space="preserve">Installed </t>
  </si>
  <si>
    <t>CPI (2009)</t>
  </si>
  <si>
    <t>Project Year (2019)</t>
  </si>
  <si>
    <t>Beer Transfer Pump</t>
  </si>
  <si>
    <t>EtOH</t>
  </si>
  <si>
    <t>BOILER</t>
  </si>
  <si>
    <t>GAS TURBINE</t>
  </si>
  <si>
    <t>CO2 COMPRESSOR</t>
  </si>
  <si>
    <t>State</t>
  </si>
  <si>
    <t>Producer Type</t>
  </si>
  <si>
    <t>Energy Source</t>
  </si>
  <si>
    <t>CO2
(Metric Tons)</t>
  </si>
  <si>
    <t>SO2
(Metric Tons)</t>
  </si>
  <si>
    <t>NOx
(Metric Tons)</t>
  </si>
  <si>
    <t>US-TOTAL</t>
  </si>
  <si>
    <t>Total Electric Power Industry</t>
  </si>
  <si>
    <t>All Sources</t>
  </si>
  <si>
    <t>YEAR</t>
  </si>
  <si>
    <t>STATE</t>
  </si>
  <si>
    <t>TYPE OF PRODUCER</t>
  </si>
  <si>
    <t>ENERGY SOURCE</t>
  </si>
  <si>
    <t>GENERATION (Megawatthours)</t>
  </si>
  <si>
    <t>US-Total</t>
  </si>
  <si>
    <t>Total</t>
  </si>
  <si>
    <t>carbon intensity</t>
  </si>
  <si>
    <t>metric tons CO2 / MWh</t>
  </si>
  <si>
    <t>kg CO2 / kWh</t>
  </si>
  <si>
    <t>Active filters D3-only, 2019-only</t>
  </si>
  <si>
    <t>Average</t>
  </si>
  <si>
    <t>per gallon ethanol</t>
  </si>
  <si>
    <t>per MMBtu</t>
  </si>
  <si>
    <t>RNG LHV</t>
  </si>
  <si>
    <t>MJ/kg</t>
  </si>
  <si>
    <t>MMBtu/kg</t>
  </si>
  <si>
    <t>RNG equivalence</t>
  </si>
  <si>
    <t>$/kg</t>
  </si>
  <si>
    <t>$/ton</t>
  </si>
  <si>
    <t>Transfer Date by Week</t>
  </si>
  <si>
    <t>Transfer Year</t>
  </si>
  <si>
    <t>RIN Year</t>
  </si>
  <si>
    <t>Fuel (D Code)</t>
  </si>
  <si>
    <t>QAP Service Type</t>
  </si>
  <si>
    <t>RIN Price</t>
  </si>
  <si>
    <t>D3</t>
  </si>
  <si>
    <t>Q-RIN</t>
  </si>
  <si>
    <t>Unverified</t>
  </si>
  <si>
    <t>U.S. Total Gasoline Wholesale/Resale Price by Refiners (Dollars per Gallon)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</si>
  <si>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</si>
  <si>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</si>
  <si>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</si>
  <si>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</si>
  <si>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</si>
  <si>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</si>
  <si>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</si>
  <si>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</si>
  <si>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</si>
  <si>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</si>
  <si>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</si>
  <si>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</si>
  <si>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https://www.eia.gov/dnav/pet/hist/LeafHandler.ashx?n=PET&amp;s=EMA_EPM0_PWG_NUS_DPG&amp;f=M</t>
  </si>
  <si>
    <t>  2010</t>
  </si>
  <si>
    <t>  2011</t>
  </si>
  <si>
    <t>  2012</t>
  </si>
  <si>
    <t>  2013</t>
  </si>
  <si>
    <t>  2014</t>
  </si>
  <si>
    <t>  2015</t>
  </si>
  <si>
    <t>  2016</t>
  </si>
  <si>
    <t>  2017</t>
  </si>
  <si>
    <t>  2018</t>
  </si>
  <si>
    <t>  2019</t>
  </si>
  <si>
    <t>  2020</t>
  </si>
  <si>
    <t>  2021</t>
  </si>
  <si>
    <t>  2022</t>
  </si>
  <si>
    <t>Standard Deviation</t>
  </si>
  <si>
    <t>Ethanol LHV</t>
  </si>
  <si>
    <t>Gasoline LHV</t>
  </si>
  <si>
    <t>liter-to-gal</t>
  </si>
  <si>
    <t>MJ/L</t>
  </si>
  <si>
    <t>MJ/gal</t>
  </si>
  <si>
    <t># months</t>
  </si>
  <si>
    <t>$/gal</t>
  </si>
  <si>
    <t>Appendix B. Capital Equipment Purchase Cost and Investment</t>
  </si>
  <si>
    <t>Appendix B. Total Capital Invesment (TCI)</t>
  </si>
  <si>
    <t>Appendix B. Electricity Carbon Intensity</t>
  </si>
  <si>
    <t>Appendix B. 2019 D3 RIN Value</t>
  </si>
  <si>
    <t>Appendix B. D3 RIN prices over the last decade.</t>
  </si>
  <si>
    <t>Appendix B. Gasoline prices over the last decade.</t>
  </si>
  <si>
    <t>n/a</t>
  </si>
  <si>
    <t>Ref. Case Only:</t>
  </si>
  <si>
    <t>Matche.com</t>
  </si>
  <si>
    <t xml:space="preserve">	DOE/NETL-2013/1602</t>
  </si>
  <si>
    <t>Data from https://www.epa.gov/</t>
  </si>
  <si>
    <t>fuels-registration-reporting-and-compliance-help/rin-trades-and-price-information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</si>
</sst>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F400]h:mm:ss\ AM/PM"/>
    <numFmt numFmtId="166" formatCode="0.0%"/>
    <numFmt numFmtId="167" formatCode="_(* #,##0.000_);_(* \(#,##0.000\);_(* &quot;-&quot;??_);_(@_)"/>
    <numFmt numFmtId="168" formatCode="&quot;$&quot;#,##0.0000"/>
    <numFmt numFmtId="169" formatCode="0.000"/>
    <numFmt numFmtId="170" formatCode="_(* #,##0_);_(* \(#,##0\);_(* &quot;-&quot;??_);_(@_)"/>
    <numFmt numFmtId="171" formatCode="&quot;$&quot;#,##0.00"/>
    <numFmt numFmtId="172" formatCode="_(* #,##0.0_);_(* \(#,##0.0\);_(* &quot;-&quot;??_);_(@_)"/>
    <numFmt numFmtId="173" formatCode="0.0"/>
    <numFmt numFmtId="174" formatCode="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Verdana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00B050"/>
      <name val="Arial"/>
      <family val="2"/>
    </font>
    <font>
      <b/>
      <i/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FFFFFF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FEAF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DDDDDD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/>
    <xf numFmtId="0" fontId="10" fillId="0" borderId="0" applyNumberFormat="0" applyFill="0" applyBorder="0" applyAlignment="0" applyProtection="0"/>
    <xf numFmtId="0" fontId="5" fillId="0" borderId="0"/>
    <xf numFmtId="0" fontId="24" fillId="0" borderId="0"/>
  </cellStyleXfs>
  <cellXfs count="355">
    <xf numFmtId="0" fontId="0" fillId="0" borderId="0" xfId="0"/>
    <xf numFmtId="0" fontId="3" fillId="0" borderId="0" xfId="0" applyFont="1"/>
    <xf numFmtId="164" fontId="0" fillId="0" borderId="0" xfId="0" applyNumberFormat="1"/>
    <xf numFmtId="0" fontId="4" fillId="0" borderId="0" xfId="0" applyFont="1"/>
    <xf numFmtId="165" fontId="6" fillId="0" borderId="0" xfId="4" applyFont="1"/>
    <xf numFmtId="43" fontId="0" fillId="0" borderId="0" xfId="1" applyFont="1"/>
    <xf numFmtId="44" fontId="0" fillId="0" borderId="0" xfId="0" applyNumberFormat="1"/>
    <xf numFmtId="0" fontId="7" fillId="0" borderId="0" xfId="0" applyFont="1"/>
    <xf numFmtId="166" fontId="0" fillId="0" borderId="0" xfId="0" applyNumberFormat="1"/>
    <xf numFmtId="9" fontId="0" fillId="0" borderId="0" xfId="0" applyNumberFormat="1"/>
    <xf numFmtId="166" fontId="0" fillId="0" borderId="0" xfId="3" applyNumberFormat="1" applyFont="1"/>
    <xf numFmtId="10" fontId="2" fillId="0" borderId="0" xfId="0" applyNumberFormat="1" applyFont="1"/>
    <xf numFmtId="10" fontId="2" fillId="0" borderId="0" xfId="3" applyNumberFormat="1" applyFont="1"/>
    <xf numFmtId="0" fontId="2" fillId="0" borderId="0" xfId="0" applyFont="1"/>
    <xf numFmtId="2" fontId="0" fillId="0" borderId="0" xfId="0" applyNumberFormat="1"/>
    <xf numFmtId="2" fontId="2" fillId="0" borderId="0" xfId="0" applyNumberFormat="1" applyFont="1"/>
    <xf numFmtId="44" fontId="2" fillId="0" borderId="0" xfId="0" applyNumberFormat="1" applyFont="1"/>
    <xf numFmtId="0" fontId="2" fillId="0" borderId="0" xfId="3" applyNumberFormat="1" applyFont="1"/>
    <xf numFmtId="10" fontId="0" fillId="0" borderId="0" xfId="0" applyNumberFormat="1"/>
    <xf numFmtId="0" fontId="8" fillId="0" borderId="0" xfId="0" applyFont="1"/>
    <xf numFmtId="168" fontId="0" fillId="0" borderId="0" xfId="0" applyNumberFormat="1"/>
    <xf numFmtId="164" fontId="2" fillId="0" borderId="0" xfId="0" applyNumberFormat="1" applyFont="1"/>
    <xf numFmtId="0" fontId="9" fillId="0" borderId="0" xfId="0" applyFont="1"/>
    <xf numFmtId="0" fontId="11" fillId="0" borderId="2" xfId="0" applyFont="1" applyBorder="1"/>
    <xf numFmtId="169" fontId="11" fillId="0" borderId="2" xfId="0" applyNumberFormat="1" applyFont="1" applyBorder="1" applyAlignment="1">
      <alignment horizontal="center"/>
    </xf>
    <xf numFmtId="170" fontId="11" fillId="0" borderId="2" xfId="1" applyNumberFormat="1" applyFont="1" applyBorder="1"/>
    <xf numFmtId="2" fontId="11" fillId="0" borderId="2" xfId="0" applyNumberFormat="1" applyFont="1" applyBorder="1"/>
    <xf numFmtId="164" fontId="11" fillId="0" borderId="2" xfId="0" applyNumberFormat="1" applyFont="1" applyBorder="1"/>
    <xf numFmtId="169" fontId="11" fillId="4" borderId="2" xfId="0" applyNumberFormat="1" applyFont="1" applyFill="1" applyBorder="1" applyAlignment="1">
      <alignment horizontal="center"/>
    </xf>
    <xf numFmtId="169" fontId="11" fillId="5" borderId="2" xfId="0" applyNumberFormat="1" applyFont="1" applyFill="1" applyBorder="1" applyAlignment="1">
      <alignment horizontal="center"/>
    </xf>
    <xf numFmtId="9" fontId="11" fillId="0" borderId="2" xfId="0" applyNumberFormat="1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70" fontId="11" fillId="0" borderId="3" xfId="1" applyNumberFormat="1" applyFont="1" applyBorder="1"/>
    <xf numFmtId="2" fontId="11" fillId="0" borderId="3" xfId="0" applyNumberFormat="1" applyFont="1" applyBorder="1"/>
    <xf numFmtId="164" fontId="11" fillId="0" borderId="3" xfId="0" applyNumberFormat="1" applyFont="1" applyBorder="1"/>
    <xf numFmtId="0" fontId="11" fillId="0" borderId="7" xfId="0" applyFont="1" applyBorder="1"/>
    <xf numFmtId="0" fontId="12" fillId="6" borderId="8" xfId="0" applyFont="1" applyFill="1" applyBorder="1"/>
    <xf numFmtId="0" fontId="12" fillId="6" borderId="2" xfId="0" applyFont="1" applyFill="1" applyBorder="1" applyAlignment="1">
      <alignment horizontal="center"/>
    </xf>
    <xf numFmtId="170" fontId="11" fillId="0" borderId="12" xfId="1" applyNumberFormat="1" applyFont="1" applyBorder="1"/>
    <xf numFmtId="0" fontId="11" fillId="0" borderId="12" xfId="0" applyFont="1" applyBorder="1"/>
    <xf numFmtId="0" fontId="11" fillId="0" borderId="12" xfId="0" applyFont="1" applyBorder="1" applyAlignment="1">
      <alignment horizontal="center"/>
    </xf>
    <xf numFmtId="164" fontId="11" fillId="0" borderId="12" xfId="0" applyNumberFormat="1" applyFont="1" applyBorder="1"/>
    <xf numFmtId="2" fontId="11" fillId="0" borderId="12" xfId="0" applyNumberFormat="1" applyFont="1" applyBorder="1"/>
    <xf numFmtId="170" fontId="11" fillId="0" borderId="3" xfId="1" applyNumberFormat="1" applyFont="1" applyBorder="1" applyAlignment="1">
      <alignment horizontal="center"/>
    </xf>
    <xf numFmtId="0" fontId="11" fillId="6" borderId="4" xfId="0" applyFont="1" applyFill="1" applyBorder="1"/>
    <xf numFmtId="0" fontId="11" fillId="6" borderId="5" xfId="0" applyFont="1" applyFill="1" applyBorder="1" applyAlignment="1">
      <alignment horizontal="center"/>
    </xf>
    <xf numFmtId="170" fontId="11" fillId="6" borderId="5" xfId="1" applyNumberFormat="1" applyFont="1" applyFill="1" applyBorder="1"/>
    <xf numFmtId="0" fontId="11" fillId="6" borderId="5" xfId="0" applyFont="1" applyFill="1" applyBorder="1"/>
    <xf numFmtId="2" fontId="11" fillId="6" borderId="5" xfId="0" applyNumberFormat="1" applyFont="1" applyFill="1" applyBorder="1" applyAlignment="1">
      <alignment horizontal="center"/>
    </xf>
    <xf numFmtId="164" fontId="11" fillId="6" borderId="5" xfId="0" applyNumberFormat="1" applyFont="1" applyFill="1" applyBorder="1"/>
    <xf numFmtId="0" fontId="11" fillId="6" borderId="6" xfId="0" applyFont="1" applyFill="1" applyBorder="1"/>
    <xf numFmtId="0" fontId="11" fillId="6" borderId="8" xfId="0" applyFont="1" applyFill="1" applyBorder="1"/>
    <xf numFmtId="0" fontId="11" fillId="6" borderId="2" xfId="0" applyFont="1" applyFill="1" applyBorder="1" applyAlignment="1">
      <alignment horizontal="center"/>
    </xf>
    <xf numFmtId="170" fontId="11" fillId="6" borderId="2" xfId="1" applyNumberFormat="1" applyFont="1" applyFill="1" applyBorder="1"/>
    <xf numFmtId="0" fontId="11" fillId="6" borderId="2" xfId="0" applyFont="1" applyFill="1" applyBorder="1"/>
    <xf numFmtId="2" fontId="11" fillId="6" borderId="2" xfId="0" applyNumberFormat="1" applyFont="1" applyFill="1" applyBorder="1" applyAlignment="1">
      <alignment horizontal="center"/>
    </xf>
    <xf numFmtId="164" fontId="11" fillId="6" borderId="2" xfId="0" applyNumberFormat="1" applyFont="1" applyFill="1" applyBorder="1"/>
    <xf numFmtId="0" fontId="11" fillId="6" borderId="9" xfId="0" applyFont="1" applyFill="1" applyBorder="1"/>
    <xf numFmtId="43" fontId="11" fillId="6" borderId="2" xfId="1" applyFont="1" applyFill="1" applyBorder="1"/>
    <xf numFmtId="171" fontId="11" fillId="6" borderId="2" xfId="2" applyNumberFormat="1" applyFont="1" applyFill="1" applyBorder="1" applyAlignment="1">
      <alignment horizontal="right"/>
    </xf>
    <xf numFmtId="171" fontId="11" fillId="6" borderId="2" xfId="0" applyNumberFormat="1" applyFont="1" applyFill="1" applyBorder="1"/>
    <xf numFmtId="0" fontId="11" fillId="2" borderId="2" xfId="0" applyFont="1" applyFill="1" applyBorder="1"/>
    <xf numFmtId="171" fontId="11" fillId="6" borderId="2" xfId="0" applyNumberFormat="1" applyFont="1" applyFill="1" applyBorder="1" applyAlignment="1">
      <alignment horizontal="right"/>
    </xf>
    <xf numFmtId="171" fontId="11" fillId="6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6" borderId="10" xfId="0" applyFont="1" applyFill="1" applyBorder="1"/>
    <xf numFmtId="0" fontId="11" fillId="6" borderId="1" xfId="0" applyFont="1" applyFill="1" applyBorder="1" applyAlignment="1">
      <alignment horizontal="center"/>
    </xf>
    <xf numFmtId="43" fontId="11" fillId="6" borderId="1" xfId="1" applyFont="1" applyFill="1" applyBorder="1"/>
    <xf numFmtId="0" fontId="11" fillId="6" borderId="1" xfId="0" applyFont="1" applyFill="1" applyBorder="1"/>
    <xf numFmtId="2" fontId="11" fillId="6" borderId="1" xfId="0" applyNumberFormat="1" applyFont="1" applyFill="1" applyBorder="1" applyAlignment="1">
      <alignment horizontal="center"/>
    </xf>
    <xf numFmtId="171" fontId="11" fillId="6" borderId="1" xfId="0" applyNumberFormat="1" applyFont="1" applyFill="1" applyBorder="1" applyAlignment="1">
      <alignment horizontal="right"/>
    </xf>
    <xf numFmtId="171" fontId="11" fillId="6" borderId="1" xfId="0" applyNumberFormat="1" applyFont="1" applyFill="1" applyBorder="1" applyAlignment="1" applyProtection="1">
      <alignment horizontal="right" vertical="center" wrapText="1"/>
      <protection locked="0"/>
    </xf>
    <xf numFmtId="171" fontId="11" fillId="6" borderId="1" xfId="0" applyNumberFormat="1" applyFont="1" applyFill="1" applyBorder="1"/>
    <xf numFmtId="0" fontId="11" fillId="6" borderId="11" xfId="0" applyFont="1" applyFill="1" applyBorder="1"/>
    <xf numFmtId="0" fontId="12" fillId="2" borderId="12" xfId="0" applyFont="1" applyFill="1" applyBorder="1"/>
    <xf numFmtId="0" fontId="12" fillId="2" borderId="12" xfId="0" applyFont="1" applyFill="1" applyBorder="1" applyAlignment="1">
      <alignment horizontal="center"/>
    </xf>
    <xf numFmtId="0" fontId="14" fillId="0" borderId="12" xfId="0" applyFont="1" applyBorder="1"/>
    <xf numFmtId="171" fontId="11" fillId="4" borderId="12" xfId="0" applyNumberFormat="1" applyFont="1" applyFill="1" applyBorder="1"/>
    <xf numFmtId="0" fontId="12" fillId="2" borderId="2" xfId="0" applyFont="1" applyFill="1" applyBorder="1"/>
    <xf numFmtId="170" fontId="11" fillId="0" borderId="2" xfId="1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4" fillId="0" borderId="3" xfId="0" applyFont="1" applyBorder="1"/>
    <xf numFmtId="0" fontId="11" fillId="8" borderId="2" xfId="0" applyFont="1" applyFill="1" applyBorder="1" applyAlignment="1">
      <alignment horizontal="center"/>
    </xf>
    <xf numFmtId="0" fontId="11" fillId="8" borderId="2" xfId="0" applyFont="1" applyFill="1" applyBorder="1"/>
    <xf numFmtId="171" fontId="11" fillId="8" borderId="2" xfId="0" applyNumberFormat="1" applyFont="1" applyFill="1" applyBorder="1"/>
    <xf numFmtId="0" fontId="14" fillId="0" borderId="12" xfId="0" applyFont="1" applyBorder="1" applyAlignment="1">
      <alignment horizontal="right"/>
    </xf>
    <xf numFmtId="0" fontId="14" fillId="0" borderId="2" xfId="0" applyFont="1" applyBorder="1"/>
    <xf numFmtId="0" fontId="14" fillId="0" borderId="2" xfId="0" applyFont="1" applyBorder="1" applyAlignment="1">
      <alignment horizontal="right"/>
    </xf>
    <xf numFmtId="171" fontId="11" fillId="4" borderId="2" xfId="0" applyNumberFormat="1" applyFont="1" applyFill="1" applyBorder="1"/>
    <xf numFmtId="43" fontId="11" fillId="6" borderId="2" xfId="1" applyFont="1" applyFill="1" applyBorder="1" applyAlignment="1">
      <alignment horizontal="right"/>
    </xf>
    <xf numFmtId="0" fontId="11" fillId="6" borderId="2" xfId="0" quotePrefix="1" applyFont="1" applyFill="1" applyBorder="1" applyAlignment="1">
      <alignment horizontal="center"/>
    </xf>
    <xf numFmtId="164" fontId="11" fillId="6" borderId="2" xfId="0" applyNumberFormat="1" applyFont="1" applyFill="1" applyBorder="1" applyAlignment="1">
      <alignment horizontal="right"/>
    </xf>
    <xf numFmtId="164" fontId="11" fillId="6" borderId="2" xfId="0" applyNumberFormat="1" applyFont="1" applyFill="1" applyBorder="1" applyAlignment="1" applyProtection="1">
      <alignment horizontal="right" vertical="center" wrapText="1"/>
      <protection locked="0"/>
    </xf>
    <xf numFmtId="5" fontId="11" fillId="6" borderId="2" xfId="0" applyNumberFormat="1" applyFont="1" applyFill="1" applyBorder="1"/>
    <xf numFmtId="170" fontId="11" fillId="6" borderId="2" xfId="1" applyNumberFormat="1" applyFont="1" applyFill="1" applyBorder="1" applyAlignment="1">
      <alignment horizontal="center"/>
    </xf>
    <xf numFmtId="0" fontId="11" fillId="6" borderId="2" xfId="0" quotePrefix="1" applyFont="1" applyFill="1" applyBorder="1"/>
    <xf numFmtId="2" fontId="11" fillId="6" borderId="2" xfId="0" applyNumberFormat="1" applyFont="1" applyFill="1" applyBorder="1"/>
    <xf numFmtId="0" fontId="16" fillId="6" borderId="8" xfId="0" applyFont="1" applyFill="1" applyBorder="1"/>
    <xf numFmtId="0" fontId="16" fillId="6" borderId="2" xfId="0" applyFont="1" applyFill="1" applyBorder="1" applyAlignment="1">
      <alignment horizontal="center"/>
    </xf>
    <xf numFmtId="170" fontId="16" fillId="6" borderId="2" xfId="1" applyNumberFormat="1" applyFont="1" applyFill="1" applyBorder="1"/>
    <xf numFmtId="0" fontId="16" fillId="6" borderId="2" xfId="0" applyFont="1" applyFill="1" applyBorder="1"/>
    <xf numFmtId="0" fontId="16" fillId="6" borderId="2" xfId="0" quotePrefix="1" applyFont="1" applyFill="1" applyBorder="1"/>
    <xf numFmtId="2" fontId="16" fillId="6" borderId="2" xfId="0" applyNumberFormat="1" applyFont="1" applyFill="1" applyBorder="1"/>
    <xf numFmtId="164" fontId="16" fillId="6" borderId="2" xfId="0" applyNumberFormat="1" applyFont="1" applyFill="1" applyBorder="1" applyAlignment="1">
      <alignment horizontal="right"/>
    </xf>
    <xf numFmtId="164" fontId="16" fillId="6" borderId="2" xfId="0" applyNumberFormat="1" applyFont="1" applyFill="1" applyBorder="1" applyAlignment="1" applyProtection="1">
      <alignment horizontal="right" vertical="center" wrapText="1"/>
      <protection locked="0"/>
    </xf>
    <xf numFmtId="2" fontId="16" fillId="6" borderId="2" xfId="0" applyNumberFormat="1" applyFont="1" applyFill="1" applyBorder="1" applyAlignment="1">
      <alignment horizontal="center"/>
    </xf>
    <xf numFmtId="5" fontId="16" fillId="6" borderId="2" xfId="0" applyNumberFormat="1" applyFont="1" applyFill="1" applyBorder="1"/>
    <xf numFmtId="164" fontId="16" fillId="6" borderId="2" xfId="0" applyNumberFormat="1" applyFont="1" applyFill="1" applyBorder="1"/>
    <xf numFmtId="0" fontId="16" fillId="6" borderId="9" xfId="0" applyFont="1" applyFill="1" applyBorder="1"/>
    <xf numFmtId="164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/>
    <xf numFmtId="0" fontId="17" fillId="6" borderId="8" xfId="0" applyFont="1" applyFill="1" applyBorder="1"/>
    <xf numFmtId="0" fontId="11" fillId="6" borderId="2" xfId="1" applyNumberFormat="1" applyFont="1" applyFill="1" applyBorder="1" applyAlignment="1">
      <alignment horizontal="center"/>
    </xf>
    <xf numFmtId="44" fontId="11" fillId="6" borderId="2" xfId="2" applyFont="1" applyFill="1" applyBorder="1" applyAlignment="1"/>
    <xf numFmtId="0" fontId="12" fillId="6" borderId="2" xfId="1" applyNumberFormat="1" applyFont="1" applyFill="1" applyBorder="1" applyAlignment="1">
      <alignment horizontal="center"/>
    </xf>
    <xf numFmtId="170" fontId="12" fillId="6" borderId="2" xfId="1" applyNumberFormat="1" applyFont="1" applyFill="1" applyBorder="1" applyAlignment="1">
      <alignment horizontal="center"/>
    </xf>
    <xf numFmtId="171" fontId="12" fillId="6" borderId="2" xfId="0" applyNumberFormat="1" applyFont="1" applyFill="1" applyBorder="1"/>
    <xf numFmtId="0" fontId="12" fillId="6" borderId="2" xfId="0" quotePrefix="1" applyFont="1" applyFill="1" applyBorder="1" applyAlignment="1">
      <alignment horizontal="center"/>
    </xf>
    <xf numFmtId="44" fontId="12" fillId="6" borderId="2" xfId="1" applyNumberFormat="1" applyFont="1" applyFill="1" applyBorder="1"/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171" fontId="12" fillId="6" borderId="2" xfId="2" applyNumberFormat="1" applyFont="1" applyFill="1" applyBorder="1" applyAlignment="1">
      <alignment horizontal="right"/>
    </xf>
    <xf numFmtId="0" fontId="16" fillId="6" borderId="2" xfId="1" applyNumberFormat="1" applyFont="1" applyFill="1" applyBorder="1" applyAlignment="1">
      <alignment horizontal="center"/>
    </xf>
    <xf numFmtId="170" fontId="16" fillId="6" borderId="2" xfId="1" applyNumberFormat="1" applyFont="1" applyFill="1" applyBorder="1" applyAlignment="1">
      <alignment horizontal="center"/>
    </xf>
    <xf numFmtId="171" fontId="16" fillId="6" borderId="2" xfId="0" applyNumberFormat="1" applyFont="1" applyFill="1" applyBorder="1"/>
    <xf numFmtId="0" fontId="16" fillId="6" borderId="2" xfId="0" quotePrefix="1" applyFont="1" applyFill="1" applyBorder="1" applyAlignment="1">
      <alignment horizontal="center"/>
    </xf>
    <xf numFmtId="44" fontId="16" fillId="6" borderId="2" xfId="1" applyNumberFormat="1" applyFont="1" applyFill="1" applyBorder="1"/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171" fontId="16" fillId="6" borderId="2" xfId="2" applyNumberFormat="1" applyFont="1" applyFill="1" applyBorder="1" applyAlignment="1">
      <alignment horizontal="right"/>
    </xf>
    <xf numFmtId="44" fontId="11" fillId="6" borderId="2" xfId="1" applyNumberFormat="1" applyFont="1" applyFill="1" applyBorder="1"/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171" fontId="11" fillId="6" borderId="1" xfId="1" applyNumberFormat="1" applyFont="1" applyFill="1" applyBorder="1"/>
    <xf numFmtId="44" fontId="11" fillId="6" borderId="1" xfId="0" applyNumberFormat="1" applyFont="1" applyFill="1" applyBorder="1" applyAlignment="1">
      <alignment horizontal="center"/>
    </xf>
    <xf numFmtId="170" fontId="11" fillId="6" borderId="2" xfId="1" applyNumberFormat="1" applyFont="1" applyFill="1" applyBorder="1" applyAlignment="1">
      <alignment horizontal="left"/>
    </xf>
    <xf numFmtId="173" fontId="11" fillId="6" borderId="2" xfId="0" applyNumberFormat="1" applyFont="1" applyFill="1" applyBorder="1" applyAlignment="1">
      <alignment horizontal="center"/>
    </xf>
    <xf numFmtId="170" fontId="11" fillId="6" borderId="2" xfId="1" applyNumberFormat="1" applyFont="1" applyFill="1" applyBorder="1" applyAlignment="1">
      <alignment horizontal="right" indent="1"/>
    </xf>
    <xf numFmtId="171" fontId="11" fillId="6" borderId="2" xfId="1" applyNumberFormat="1" applyFont="1" applyFill="1" applyBorder="1"/>
    <xf numFmtId="170" fontId="11" fillId="6" borderId="1" xfId="1" applyNumberFormat="1" applyFont="1" applyFill="1" applyBorder="1"/>
    <xf numFmtId="170" fontId="11" fillId="6" borderId="1" xfId="1" applyNumberFormat="1" applyFont="1" applyFill="1" applyBorder="1" applyAlignment="1">
      <alignment horizontal="right" indent="1"/>
    </xf>
    <xf numFmtId="164" fontId="11" fillId="6" borderId="1" xfId="0" applyNumberFormat="1" applyFont="1" applyFill="1" applyBorder="1"/>
    <xf numFmtId="164" fontId="11" fillId="4" borderId="12" xfId="0" applyNumberFormat="1" applyFont="1" applyFill="1" applyBorder="1"/>
    <xf numFmtId="171" fontId="11" fillId="0" borderId="12" xfId="0" applyNumberFormat="1" applyFont="1" applyBorder="1"/>
    <xf numFmtId="0" fontId="11" fillId="0" borderId="13" xfId="0" applyFont="1" applyBorder="1"/>
    <xf numFmtId="164" fontId="11" fillId="2" borderId="7" xfId="0" applyNumberFormat="1" applyFont="1" applyFill="1" applyBorder="1"/>
    <xf numFmtId="171" fontId="11" fillId="0" borderId="14" xfId="0" applyNumberFormat="1" applyFont="1" applyBorder="1"/>
    <xf numFmtId="0" fontId="5" fillId="6" borderId="2" xfId="0" applyFont="1" applyFill="1" applyBorder="1" applyAlignment="1">
      <alignment horizontal="center"/>
    </xf>
    <xf numFmtId="170" fontId="5" fillId="6" borderId="2" xfId="1" applyNumberFormat="1" applyFont="1" applyFill="1" applyBorder="1"/>
    <xf numFmtId="2" fontId="5" fillId="6" borderId="2" xfId="0" applyNumberFormat="1" applyFont="1" applyFill="1" applyBorder="1" applyAlignment="1">
      <alignment horizontal="center"/>
    </xf>
    <xf numFmtId="164" fontId="5" fillId="6" borderId="2" xfId="0" applyNumberFormat="1" applyFont="1" applyFill="1" applyBorder="1"/>
    <xf numFmtId="5" fontId="5" fillId="6" borderId="2" xfId="0" applyNumberFormat="1" applyFont="1" applyFill="1" applyBorder="1"/>
    <xf numFmtId="0" fontId="5" fillId="6" borderId="9" xfId="0" applyFont="1" applyFill="1" applyBorder="1"/>
    <xf numFmtId="0" fontId="12" fillId="0" borderId="2" xfId="0" applyFont="1" applyBorder="1"/>
    <xf numFmtId="0" fontId="5" fillId="6" borderId="10" xfId="0" applyFont="1" applyFill="1" applyBorder="1"/>
    <xf numFmtId="0" fontId="5" fillId="6" borderId="1" xfId="0" applyFont="1" applyFill="1" applyBorder="1" applyAlignment="1">
      <alignment horizontal="center"/>
    </xf>
    <xf numFmtId="170" fontId="5" fillId="6" borderId="1" xfId="1" applyNumberFormat="1" applyFont="1" applyFill="1" applyBorder="1"/>
    <xf numFmtId="2" fontId="5" fillId="6" borderId="1" xfId="0" applyNumberFormat="1" applyFont="1" applyFill="1" applyBorder="1" applyAlignment="1">
      <alignment horizontal="center"/>
    </xf>
    <xf numFmtId="164" fontId="5" fillId="6" borderId="1" xfId="0" applyNumberFormat="1" applyFont="1" applyFill="1" applyBorder="1"/>
    <xf numFmtId="0" fontId="5" fillId="6" borderId="11" xfId="0" applyFont="1" applyFill="1" applyBorder="1"/>
    <xf numFmtId="164" fontId="14" fillId="0" borderId="12" xfId="0" applyNumberFormat="1" applyFont="1" applyBorder="1"/>
    <xf numFmtId="164" fontId="11" fillId="7" borderId="12" xfId="0" applyNumberFormat="1" applyFont="1" applyFill="1" applyBorder="1"/>
    <xf numFmtId="43" fontId="11" fillId="6" borderId="1" xfId="1" applyFont="1" applyFill="1" applyBorder="1" applyAlignment="1">
      <alignment horizontal="right"/>
    </xf>
    <xf numFmtId="43" fontId="11" fillId="0" borderId="3" xfId="0" applyNumberFormat="1" applyFont="1" applyBorder="1"/>
    <xf numFmtId="165" fontId="5" fillId="6" borderId="8" xfId="0" applyNumberFormat="1" applyFont="1" applyFill="1" applyBorder="1" applyAlignment="1" applyProtection="1">
      <alignment horizontal="left" vertical="center" wrapText="1"/>
      <protection locked="0"/>
    </xf>
    <xf numFmtId="43" fontId="5" fillId="6" borderId="2" xfId="1" applyFont="1" applyFill="1" applyBorder="1" applyAlignment="1" applyProtection="1">
      <alignment horizontal="right" vertical="center" wrapText="1"/>
      <protection locked="0"/>
    </xf>
    <xf numFmtId="164" fontId="5" fillId="6" borderId="2" xfId="0" applyNumberFormat="1" applyFont="1" applyFill="1" applyBorder="1" applyAlignment="1" applyProtection="1">
      <alignment horizontal="right" vertical="center" wrapText="1"/>
      <protection locked="0"/>
    </xf>
    <xf numFmtId="43" fontId="5" fillId="6" borderId="1" xfId="1" applyFont="1" applyFill="1" applyBorder="1" applyAlignment="1" applyProtection="1">
      <alignment horizontal="right" vertical="center" wrapText="1"/>
      <protection locked="0"/>
    </xf>
    <xf numFmtId="164" fontId="5" fillId="6" borderId="1" xfId="0" applyNumberFormat="1" applyFont="1" applyFill="1" applyBorder="1" applyAlignment="1" applyProtection="1">
      <alignment horizontal="right" vertical="center" wrapText="1"/>
      <protection locked="0"/>
    </xf>
    <xf numFmtId="2" fontId="14" fillId="0" borderId="12" xfId="0" applyNumberFormat="1" applyFont="1" applyBorder="1"/>
    <xf numFmtId="2" fontId="14" fillId="0" borderId="15" xfId="0" applyNumberFormat="1" applyFont="1" applyBorder="1"/>
    <xf numFmtId="171" fontId="11" fillId="4" borderId="15" xfId="0" applyNumberFormat="1" applyFont="1" applyFill="1" applyBorder="1"/>
    <xf numFmtId="44" fontId="11" fillId="6" borderId="2" xfId="0" applyNumberFormat="1" applyFont="1" applyFill="1" applyBorder="1"/>
    <xf numFmtId="170" fontId="11" fillId="6" borderId="1" xfId="1" applyNumberFormat="1" applyFont="1" applyFill="1" applyBorder="1" applyAlignment="1">
      <alignment horizontal="center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44" fontId="11" fillId="6" borderId="1" xfId="0" applyNumberFormat="1" applyFont="1" applyFill="1" applyBorder="1"/>
    <xf numFmtId="44" fontId="11" fillId="4" borderId="12" xfId="0" applyNumberFormat="1" applyFont="1" applyFill="1" applyBorder="1"/>
    <xf numFmtId="0" fontId="11" fillId="0" borderId="16" xfId="0" applyFont="1" applyBorder="1"/>
    <xf numFmtId="2" fontId="14" fillId="0" borderId="3" xfId="0" applyNumberFormat="1" applyFont="1" applyBorder="1"/>
    <xf numFmtId="0" fontId="14" fillId="2" borderId="2" xfId="0" applyFont="1" applyFill="1" applyBorder="1"/>
    <xf numFmtId="43" fontId="11" fillId="4" borderId="2" xfId="0" applyNumberFormat="1" applyFont="1" applyFill="1" applyBorder="1"/>
    <xf numFmtId="0" fontId="11" fillId="3" borderId="4" xfId="0" applyFont="1" applyFill="1" applyBorder="1"/>
    <xf numFmtId="0" fontId="11" fillId="3" borderId="5" xfId="0" applyFont="1" applyFill="1" applyBorder="1" applyAlignment="1">
      <alignment horizontal="center"/>
    </xf>
    <xf numFmtId="170" fontId="11" fillId="3" borderId="5" xfId="1" applyNumberFormat="1" applyFont="1" applyFill="1" applyBorder="1"/>
    <xf numFmtId="0" fontId="11" fillId="3" borderId="5" xfId="0" applyFont="1" applyFill="1" applyBorder="1"/>
    <xf numFmtId="2" fontId="11" fillId="3" borderId="5" xfId="0" applyNumberFormat="1" applyFont="1" applyFill="1" applyBorder="1" applyAlignment="1">
      <alignment horizontal="center"/>
    </xf>
    <xf numFmtId="164" fontId="11" fillId="3" borderId="5" xfId="0" applyNumberFormat="1" applyFont="1" applyFill="1" applyBorder="1"/>
    <xf numFmtId="0" fontId="11" fillId="3" borderId="6" xfId="0" applyFont="1" applyFill="1" applyBorder="1"/>
    <xf numFmtId="0" fontId="11" fillId="3" borderId="8" xfId="0" applyFont="1" applyFill="1" applyBorder="1"/>
    <xf numFmtId="0" fontId="11" fillId="3" borderId="2" xfId="0" applyFont="1" applyFill="1" applyBorder="1" applyAlignment="1">
      <alignment horizontal="center"/>
    </xf>
    <xf numFmtId="170" fontId="11" fillId="3" borderId="2" xfId="1" applyNumberFormat="1" applyFont="1" applyFill="1" applyBorder="1"/>
    <xf numFmtId="2" fontId="11" fillId="3" borderId="2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0" fontId="11" fillId="3" borderId="2" xfId="0" applyFont="1" applyFill="1" applyBorder="1"/>
    <xf numFmtId="0" fontId="11" fillId="3" borderId="9" xfId="0" applyFont="1" applyFill="1" applyBorder="1"/>
    <xf numFmtId="170" fontId="5" fillId="3" borderId="2" xfId="1" applyNumberFormat="1" applyFont="1" applyFill="1" applyBorder="1"/>
    <xf numFmtId="171" fontId="11" fillId="3" borderId="2" xfId="0" applyNumberFormat="1" applyFont="1" applyFill="1" applyBorder="1"/>
    <xf numFmtId="172" fontId="5" fillId="3" borderId="2" xfId="1" applyNumberFormat="1" applyFont="1" applyFill="1" applyBorder="1"/>
    <xf numFmtId="0" fontId="11" fillId="3" borderId="10" xfId="0" applyFont="1" applyFill="1" applyBorder="1"/>
    <xf numFmtId="0" fontId="11" fillId="3" borderId="1" xfId="0" applyFont="1" applyFill="1" applyBorder="1" applyAlignment="1">
      <alignment horizontal="center"/>
    </xf>
    <xf numFmtId="170" fontId="11" fillId="3" borderId="1" xfId="1" applyNumberFormat="1" applyFont="1" applyFill="1" applyBorder="1"/>
    <xf numFmtId="172" fontId="5" fillId="3" borderId="1" xfId="1" applyNumberFormat="1" applyFont="1" applyFill="1" applyBorder="1"/>
    <xf numFmtId="2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/>
    <xf numFmtId="171" fontId="11" fillId="3" borderId="1" xfId="0" applyNumberFormat="1" applyFont="1" applyFill="1" applyBorder="1"/>
    <xf numFmtId="0" fontId="11" fillId="3" borderId="11" xfId="0" applyFont="1" applyFill="1" applyBorder="1"/>
    <xf numFmtId="0" fontId="14" fillId="8" borderId="2" xfId="0" applyFont="1" applyFill="1" applyBorder="1"/>
    <xf numFmtId="0" fontId="18" fillId="0" borderId="2" xfId="0" applyFont="1" applyBorder="1"/>
    <xf numFmtId="0" fontId="11" fillId="6" borderId="5" xfId="1" applyNumberFormat="1" applyFont="1" applyFill="1" applyBorder="1" applyAlignment="1">
      <alignment horizontal="center"/>
    </xf>
    <xf numFmtId="2" fontId="11" fillId="6" borderId="5" xfId="0" applyNumberFormat="1" applyFont="1" applyFill="1" applyBorder="1"/>
    <xf numFmtId="0" fontId="15" fillId="6" borderId="9" xfId="5" applyFont="1" applyFill="1" applyBorder="1"/>
    <xf numFmtId="2" fontId="11" fillId="6" borderId="2" xfId="1" applyNumberFormat="1" applyFont="1" applyFill="1" applyBorder="1" applyAlignment="1">
      <alignment horizontal="center"/>
    </xf>
    <xf numFmtId="171" fontId="11" fillId="6" borderId="9" xfId="0" applyNumberFormat="1" applyFont="1" applyFill="1" applyBorder="1"/>
    <xf numFmtId="164" fontId="11" fillId="6" borderId="9" xfId="0" applyNumberFormat="1" applyFont="1" applyFill="1" applyBorder="1"/>
    <xf numFmtId="172" fontId="11" fillId="6" borderId="1" xfId="1" applyNumberFormat="1" applyFont="1" applyFill="1" applyBorder="1"/>
    <xf numFmtId="0" fontId="11" fillId="6" borderId="1" xfId="1" applyNumberFormat="1" applyFont="1" applyFill="1" applyBorder="1" applyAlignment="1">
      <alignment horizontal="center"/>
    </xf>
    <xf numFmtId="173" fontId="11" fillId="6" borderId="1" xfId="6" applyNumberFormat="1" applyFont="1" applyFill="1" applyBorder="1" applyAlignment="1">
      <alignment horizontal="center"/>
    </xf>
    <xf numFmtId="164" fontId="11" fillId="6" borderId="11" xfId="0" applyNumberFormat="1" applyFont="1" applyFill="1" applyBorder="1"/>
    <xf numFmtId="171" fontId="11" fillId="6" borderId="2" xfId="0" applyNumberFormat="1" applyFont="1" applyFill="1" applyBorder="1" applyAlignment="1" applyProtection="1">
      <alignment horizontal="center" vertical="center" wrapText="1"/>
      <protection locked="0"/>
    </xf>
    <xf numFmtId="169" fontId="11" fillId="6" borderId="1" xfId="0" applyNumberFormat="1" applyFont="1" applyFill="1" applyBorder="1" applyAlignment="1">
      <alignment horizontal="center"/>
    </xf>
    <xf numFmtId="167" fontId="11" fillId="6" borderId="5" xfId="1" applyNumberFormat="1" applyFont="1" applyFill="1" applyBorder="1"/>
    <xf numFmtId="171" fontId="11" fillId="6" borderId="5" xfId="0" applyNumberFormat="1" applyFont="1" applyFill="1" applyBorder="1"/>
    <xf numFmtId="167" fontId="11" fillId="6" borderId="2" xfId="1" applyNumberFormat="1" applyFont="1" applyFill="1" applyBorder="1"/>
    <xf numFmtId="171" fontId="11" fillId="6" borderId="2" xfId="2" applyNumberFormat="1" applyFont="1" applyFill="1" applyBorder="1"/>
    <xf numFmtId="171" fontId="11" fillId="6" borderId="2" xfId="0" applyNumberFormat="1" applyFont="1" applyFill="1" applyBorder="1" applyAlignment="1">
      <alignment horizontal="right" vertical="center"/>
    </xf>
    <xf numFmtId="2" fontId="11" fillId="6" borderId="2" xfId="0" applyNumberFormat="1" applyFont="1" applyFill="1" applyBorder="1" applyAlignment="1">
      <alignment horizontal="right" vertical="center"/>
    </xf>
    <xf numFmtId="170" fontId="11" fillId="6" borderId="2" xfId="1" applyNumberFormat="1" applyFont="1" applyFill="1" applyBorder="1" applyAlignment="1">
      <alignment horizontal="right" vertical="center"/>
    </xf>
    <xf numFmtId="164" fontId="11" fillId="6" borderId="9" xfId="1" applyNumberFormat="1" applyFont="1" applyFill="1" applyBorder="1"/>
    <xf numFmtId="171" fontId="11" fillId="6" borderId="1" xfId="2" applyNumberFormat="1" applyFont="1" applyFill="1" applyBorder="1"/>
    <xf numFmtId="2" fontId="11" fillId="6" borderId="1" xfId="0" applyNumberFormat="1" applyFont="1" applyFill="1" applyBorder="1"/>
    <xf numFmtId="170" fontId="11" fillId="6" borderId="1" xfId="1" applyNumberFormat="1" applyFont="1" applyFill="1" applyBorder="1" applyAlignment="1">
      <alignment horizontal="right" vertical="center"/>
    </xf>
    <xf numFmtId="164" fontId="11" fillId="6" borderId="11" xfId="1" applyNumberFormat="1" applyFont="1" applyFill="1" applyBorder="1"/>
    <xf numFmtId="0" fontId="5" fillId="6" borderId="4" xfId="0" applyFont="1" applyFill="1" applyBorder="1"/>
    <xf numFmtId="0" fontId="5" fillId="6" borderId="5" xfId="0" applyFont="1" applyFill="1" applyBorder="1" applyAlignment="1">
      <alignment horizontal="center"/>
    </xf>
    <xf numFmtId="167" fontId="5" fillId="6" borderId="5" xfId="1" applyNumberFormat="1" applyFont="1" applyFill="1" applyBorder="1"/>
    <xf numFmtId="170" fontId="5" fillId="6" borderId="5" xfId="1" applyNumberFormat="1" applyFont="1" applyFill="1" applyBorder="1"/>
    <xf numFmtId="0" fontId="5" fillId="6" borderId="5" xfId="0" applyFont="1" applyFill="1" applyBorder="1"/>
    <xf numFmtId="0" fontId="5" fillId="6" borderId="5" xfId="1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/>
    </xf>
    <xf numFmtId="2" fontId="5" fillId="6" borderId="5" xfId="0" applyNumberFormat="1" applyFont="1" applyFill="1" applyBorder="1"/>
    <xf numFmtId="164" fontId="5" fillId="6" borderId="5" xfId="0" applyNumberFormat="1" applyFont="1" applyFill="1" applyBorder="1"/>
    <xf numFmtId="0" fontId="5" fillId="6" borderId="6" xfId="0" applyFont="1" applyFill="1" applyBorder="1"/>
    <xf numFmtId="167" fontId="5" fillId="6" borderId="2" xfId="1" applyNumberFormat="1" applyFont="1" applyFill="1" applyBorder="1"/>
    <xf numFmtId="170" fontId="5" fillId="6" borderId="2" xfId="1" applyNumberFormat="1" applyFont="1" applyFill="1" applyBorder="1" applyAlignment="1">
      <alignment horizontal="center"/>
    </xf>
    <xf numFmtId="0" fontId="5" fillId="6" borderId="2" xfId="0" applyFont="1" applyFill="1" applyBorder="1"/>
    <xf numFmtId="0" fontId="5" fillId="6" borderId="2" xfId="1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2" fontId="5" fillId="6" borderId="2" xfId="0" applyNumberFormat="1" applyFont="1" applyFill="1" applyBorder="1"/>
    <xf numFmtId="173" fontId="5" fillId="6" borderId="2" xfId="1" applyNumberFormat="1" applyFont="1" applyFill="1" applyBorder="1"/>
    <xf numFmtId="171" fontId="5" fillId="6" borderId="2" xfId="1" applyNumberFormat="1" applyFont="1" applyFill="1" applyBorder="1"/>
    <xf numFmtId="172" fontId="5" fillId="6" borderId="2" xfId="1" applyNumberFormat="1" applyFont="1" applyFill="1" applyBorder="1" applyAlignment="1">
      <alignment horizontal="left" indent="6"/>
    </xf>
    <xf numFmtId="171" fontId="5" fillId="6" borderId="2" xfId="0" applyNumberFormat="1" applyFont="1" applyFill="1" applyBorder="1"/>
    <xf numFmtId="0" fontId="5" fillId="6" borderId="2" xfId="1" applyNumberFormat="1" applyFont="1" applyFill="1" applyBorder="1" applyAlignment="1">
      <alignment horizontal="center" vertical="center"/>
    </xf>
    <xf numFmtId="173" fontId="11" fillId="6" borderId="2" xfId="0" applyNumberFormat="1" applyFont="1" applyFill="1" applyBorder="1"/>
    <xf numFmtId="171" fontId="5" fillId="6" borderId="2" xfId="0" applyNumberFormat="1" applyFont="1" applyFill="1" applyBorder="1" applyAlignment="1">
      <alignment horizontal="right" vertical="center"/>
    </xf>
    <xf numFmtId="167" fontId="5" fillId="6" borderId="1" xfId="1" applyNumberFormat="1" applyFont="1" applyFill="1" applyBorder="1"/>
    <xf numFmtId="170" fontId="5" fillId="6" borderId="1" xfId="1" applyNumberFormat="1" applyFont="1" applyFill="1" applyBorder="1" applyAlignment="1">
      <alignment horizontal="center"/>
    </xf>
    <xf numFmtId="171" fontId="5" fillId="6" borderId="1" xfId="1" applyNumberFormat="1" applyFont="1" applyFill="1" applyBorder="1"/>
    <xf numFmtId="172" fontId="5" fillId="6" borderId="1" xfId="1" applyNumberFormat="1" applyFont="1" applyFill="1" applyBorder="1"/>
    <xf numFmtId="171" fontId="5" fillId="6" borderId="1" xfId="0" applyNumberFormat="1" applyFont="1" applyFill="1" applyBorder="1"/>
    <xf numFmtId="0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/>
    <xf numFmtId="170" fontId="5" fillId="6" borderId="1" xfId="1" applyNumberFormat="1" applyFont="1" applyFill="1" applyBorder="1" applyAlignment="1">
      <alignment horizontal="right" vertical="center"/>
    </xf>
    <xf numFmtId="173" fontId="11" fillId="6" borderId="1" xfId="0" applyNumberFormat="1" applyFont="1" applyFill="1" applyBorder="1"/>
    <xf numFmtId="44" fontId="0" fillId="0" borderId="0" xfId="1" applyNumberFormat="1" applyFont="1"/>
    <xf numFmtId="0" fontId="3" fillId="9" borderId="17" xfId="0" applyFont="1" applyFill="1" applyBorder="1"/>
    <xf numFmtId="0" fontId="3" fillId="9" borderId="18" xfId="0" applyFont="1" applyFill="1" applyBorder="1"/>
    <xf numFmtId="164" fontId="3" fillId="9" borderId="18" xfId="0" applyNumberFormat="1" applyFont="1" applyFill="1" applyBorder="1"/>
    <xf numFmtId="0" fontId="3" fillId="9" borderId="19" xfId="0" applyFont="1" applyFill="1" applyBorder="1"/>
    <xf numFmtId="0" fontId="0" fillId="9" borderId="18" xfId="0" applyFill="1" applyBorder="1"/>
    <xf numFmtId="44" fontId="0" fillId="9" borderId="18" xfId="0" applyNumberFormat="1" applyFill="1" applyBorder="1"/>
    <xf numFmtId="44" fontId="0" fillId="9" borderId="18" xfId="1" applyNumberFormat="1" applyFont="1" applyFill="1" applyBorder="1"/>
    <xf numFmtId="44" fontId="0" fillId="9" borderId="19" xfId="0" applyNumberFormat="1" applyFill="1" applyBorder="1"/>
    <xf numFmtId="174" fontId="22" fillId="10" borderId="20" xfId="0" applyNumberFormat="1" applyFont="1" applyFill="1" applyBorder="1" applyAlignment="1">
      <alignment horizontal="center" vertical="top" wrapText="1"/>
    </xf>
    <xf numFmtId="0" fontId="22" fillId="10" borderId="20" xfId="0" applyFont="1" applyFill="1" applyBorder="1" applyAlignment="1">
      <alignment horizontal="left" vertical="top" wrapText="1"/>
    </xf>
    <xf numFmtId="1" fontId="22" fillId="10" borderId="20" xfId="0" applyNumberFormat="1" applyFont="1" applyFill="1" applyBorder="1" applyAlignment="1">
      <alignment horizontal="center" vertical="top" wrapText="1"/>
    </xf>
    <xf numFmtId="0" fontId="22" fillId="10" borderId="20" xfId="0" applyFont="1" applyFill="1" applyBorder="1" applyAlignment="1">
      <alignment horizontal="center" vertical="top" wrapText="1"/>
    </xf>
    <xf numFmtId="3" fontId="22" fillId="10" borderId="20" xfId="0" applyNumberFormat="1" applyFont="1" applyFill="1" applyBorder="1" applyAlignment="1">
      <alignment horizontal="center" vertical="top" wrapText="1"/>
    </xf>
    <xf numFmtId="174" fontId="23" fillId="0" borderId="20" xfId="0" applyNumberFormat="1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1" fontId="23" fillId="0" borderId="20" xfId="0" applyNumberFormat="1" applyFont="1" applyBorder="1" applyAlignment="1">
      <alignment horizontal="center" wrapText="1"/>
    </xf>
    <xf numFmtId="3" fontId="23" fillId="0" borderId="20" xfId="0" applyNumberFormat="1" applyFont="1" applyBorder="1" applyAlignment="1">
      <alignment horizontal="right" wrapText="1"/>
    </xf>
    <xf numFmtId="0" fontId="25" fillId="11" borderId="21" xfId="7" quotePrefix="1" applyFont="1" applyFill="1" applyBorder="1" applyAlignment="1">
      <alignment horizontal="center" vertical="center"/>
    </xf>
    <xf numFmtId="3" fontId="25" fillId="11" borderId="21" xfId="7" quotePrefix="1" applyNumberFormat="1" applyFont="1" applyFill="1" applyBorder="1" applyAlignment="1">
      <alignment horizontal="center" vertical="center" wrapText="1"/>
    </xf>
    <xf numFmtId="0" fontId="25" fillId="12" borderId="21" xfId="7" quotePrefix="1" applyFont="1" applyFill="1" applyBorder="1"/>
    <xf numFmtId="0" fontId="25" fillId="13" borderId="21" xfId="7" quotePrefix="1" applyFont="1" applyFill="1" applyBorder="1" applyAlignment="1">
      <alignment horizontal="center"/>
    </xf>
    <xf numFmtId="0" fontId="5" fillId="13" borderId="21" xfId="7" quotePrefix="1" applyFont="1" applyFill="1" applyBorder="1" applyAlignment="1">
      <alignment horizontal="center"/>
    </xf>
    <xf numFmtId="3" fontId="5" fillId="14" borderId="21" xfId="7" quotePrefix="1" applyNumberFormat="1" applyFont="1" applyFill="1" applyBorder="1"/>
    <xf numFmtId="0" fontId="3" fillId="4" borderId="0" xfId="0" applyFont="1" applyFill="1"/>
    <xf numFmtId="8" fontId="0" fillId="0" borderId="0" xfId="0" applyNumberFormat="1"/>
    <xf numFmtId="14" fontId="0" fillId="0" borderId="0" xfId="0" applyNumberFormat="1"/>
    <xf numFmtId="0" fontId="26" fillId="0" borderId="0" xfId="0" applyFont="1"/>
    <xf numFmtId="0" fontId="27" fillId="0" borderId="0" xfId="0" applyFont="1"/>
    <xf numFmtId="164" fontId="27" fillId="0" borderId="0" xfId="0" applyNumberFormat="1" applyFont="1"/>
    <xf numFmtId="0" fontId="29" fillId="16" borderId="0" xfId="0" applyFont="1" applyFill="1" applyAlignment="1">
      <alignment horizontal="center" wrapText="1"/>
    </xf>
    <xf numFmtId="0" fontId="29" fillId="16" borderId="0" xfId="0" applyFont="1" applyFill="1" applyAlignment="1">
      <alignment horizontal="right" wrapText="1"/>
    </xf>
    <xf numFmtId="0" fontId="30" fillId="1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/>
    </xf>
    <xf numFmtId="171" fontId="11" fillId="0" borderId="3" xfId="0" applyNumberFormat="1" applyFont="1" applyBorder="1"/>
    <xf numFmtId="0" fontId="18" fillId="9" borderId="5" xfId="0" applyFont="1" applyFill="1" applyBorder="1" applyAlignment="1">
      <alignment horizontal="center"/>
    </xf>
    <xf numFmtId="170" fontId="18" fillId="9" borderId="5" xfId="1" applyNumberFormat="1" applyFont="1" applyFill="1" applyBorder="1"/>
    <xf numFmtId="2" fontId="18" fillId="9" borderId="5" xfId="0" applyNumberFormat="1" applyFont="1" applyFill="1" applyBorder="1" applyAlignment="1">
      <alignment horizontal="center"/>
    </xf>
    <xf numFmtId="164" fontId="18" fillId="9" borderId="5" xfId="0" applyNumberFormat="1" applyFont="1" applyFill="1" applyBorder="1"/>
    <xf numFmtId="0" fontId="18" fillId="9" borderId="5" xfId="0" applyFont="1" applyFill="1" applyBorder="1"/>
    <xf numFmtId="0" fontId="18" fillId="9" borderId="6" xfId="0" applyFont="1" applyFill="1" applyBorder="1"/>
    <xf numFmtId="0" fontId="18" fillId="9" borderId="23" xfId="0" applyFont="1" applyFill="1" applyBorder="1"/>
    <xf numFmtId="0" fontId="18" fillId="9" borderId="21" xfId="0" applyFont="1" applyFill="1" applyBorder="1" applyAlignment="1">
      <alignment horizontal="center"/>
    </xf>
    <xf numFmtId="170" fontId="18" fillId="9" borderId="21" xfId="1" applyNumberFormat="1" applyFont="1" applyFill="1" applyBorder="1"/>
    <xf numFmtId="2" fontId="18" fillId="9" borderId="21" xfId="0" applyNumberFormat="1" applyFont="1" applyFill="1" applyBorder="1" applyAlignment="1">
      <alignment horizontal="center"/>
    </xf>
    <xf numFmtId="164" fontId="18" fillId="9" borderId="21" xfId="0" applyNumberFormat="1" applyFont="1" applyFill="1" applyBorder="1"/>
    <xf numFmtId="0" fontId="18" fillId="9" borderId="21" xfId="0" applyFont="1" applyFill="1" applyBorder="1"/>
    <xf numFmtId="0" fontId="18" fillId="9" borderId="24" xfId="0" applyFont="1" applyFill="1" applyBorder="1"/>
    <xf numFmtId="0" fontId="18" fillId="9" borderId="21" xfId="0" quotePrefix="1" applyFont="1" applyFill="1" applyBorder="1" applyAlignment="1">
      <alignment horizontal="center"/>
    </xf>
    <xf numFmtId="164" fontId="18" fillId="9" borderId="21" xfId="0" applyNumberFormat="1" applyFont="1" applyFill="1" applyBorder="1" applyAlignment="1" applyProtection="1">
      <alignment horizontal="right" vertical="center" wrapText="1"/>
      <protection locked="0"/>
    </xf>
    <xf numFmtId="5" fontId="18" fillId="9" borderId="21" xfId="0" applyNumberFormat="1" applyFont="1" applyFill="1" applyBorder="1"/>
    <xf numFmtId="0" fontId="18" fillId="9" borderId="21" xfId="0" quotePrefix="1" applyFont="1" applyFill="1" applyBorder="1"/>
    <xf numFmtId="2" fontId="18" fillId="9" borderId="21" xfId="0" applyNumberFormat="1" applyFont="1" applyFill="1" applyBorder="1"/>
    <xf numFmtId="164" fontId="18" fillId="9" borderId="21" xfId="0" applyNumberFormat="1" applyFont="1" applyFill="1" applyBorder="1" applyAlignment="1">
      <alignment horizontal="right"/>
    </xf>
    <xf numFmtId="170" fontId="18" fillId="9" borderId="21" xfId="1" applyNumberFormat="1" applyFont="1" applyFill="1" applyBorder="1" applyAlignment="1">
      <alignment horizontal="center"/>
    </xf>
    <xf numFmtId="1" fontId="18" fillId="9" borderId="21" xfId="0" applyNumberFormat="1" applyFont="1" applyFill="1" applyBorder="1" applyAlignment="1">
      <alignment horizontal="right" indent="1"/>
    </xf>
    <xf numFmtId="1" fontId="18" fillId="9" borderId="21" xfId="0" applyNumberFormat="1" applyFont="1" applyFill="1" applyBorder="1"/>
    <xf numFmtId="171" fontId="18" fillId="9" borderId="21" xfId="0" applyNumberFormat="1" applyFont="1" applyFill="1" applyBorder="1"/>
    <xf numFmtId="0" fontId="19" fillId="9" borderId="25" xfId="0" applyFont="1" applyFill="1" applyBorder="1"/>
    <xf numFmtId="0" fontId="11" fillId="9" borderId="26" xfId="0" applyFont="1" applyFill="1" applyBorder="1" applyAlignment="1">
      <alignment horizontal="center"/>
    </xf>
    <xf numFmtId="170" fontId="11" fillId="9" borderId="26" xfId="1" applyNumberFormat="1" applyFont="1" applyFill="1" applyBorder="1"/>
    <xf numFmtId="170" fontId="11" fillId="9" borderId="26" xfId="1" applyNumberFormat="1" applyFont="1" applyFill="1" applyBorder="1" applyAlignment="1">
      <alignment horizontal="center"/>
    </xf>
    <xf numFmtId="0" fontId="11" fillId="9" borderId="26" xfId="0" applyFont="1" applyFill="1" applyBorder="1"/>
    <xf numFmtId="2" fontId="11" fillId="9" borderId="26" xfId="0" applyNumberFormat="1" applyFont="1" applyFill="1" applyBorder="1"/>
    <xf numFmtId="164" fontId="11" fillId="9" borderId="26" xfId="0" applyNumberFormat="1" applyFont="1" applyFill="1" applyBorder="1"/>
    <xf numFmtId="164" fontId="18" fillId="9" borderId="26" xfId="0" applyNumberFormat="1" applyFont="1" applyFill="1" applyBorder="1"/>
    <xf numFmtId="2" fontId="19" fillId="9" borderId="26" xfId="0" applyNumberFormat="1" applyFont="1" applyFill="1" applyBorder="1"/>
    <xf numFmtId="0" fontId="18" fillId="9" borderId="27" xfId="0" applyFont="1" applyFill="1" applyBorder="1"/>
    <xf numFmtId="0" fontId="19" fillId="9" borderId="4" xfId="0" applyFont="1" applyFill="1" applyBorder="1"/>
    <xf numFmtId="0" fontId="3" fillId="0" borderId="22" xfId="0" applyFont="1" applyBorder="1"/>
    <xf numFmtId="0" fontId="11" fillId="0" borderId="0" xfId="0" applyFont="1"/>
    <xf numFmtId="170" fontId="11" fillId="0" borderId="21" xfId="1" applyNumberFormat="1" applyFont="1" applyBorder="1"/>
    <xf numFmtId="0" fontId="11" fillId="0" borderId="21" xfId="0" applyFont="1" applyBorder="1"/>
    <xf numFmtId="2" fontId="11" fillId="0" borderId="21" xfId="0" applyNumberFormat="1" applyFont="1" applyBorder="1"/>
    <xf numFmtId="164" fontId="11" fillId="0" borderId="21" xfId="0" applyNumberFormat="1" applyFont="1" applyBorder="1"/>
    <xf numFmtId="170" fontId="11" fillId="0" borderId="7" xfId="1" applyNumberFormat="1" applyFont="1" applyBorder="1"/>
    <xf numFmtId="0" fontId="11" fillId="0" borderId="16" xfId="0" applyFont="1" applyBorder="1" applyAlignment="1">
      <alignment horizontal="center"/>
    </xf>
    <xf numFmtId="169" fontId="11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0" fontId="28" fillId="0" borderId="17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8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5" builtinId="8"/>
    <cellStyle name="Normal" xfId="0" builtinId="0"/>
    <cellStyle name="Normal 23" xfId="6" xr:uid="{A5DEC22E-F005-4F56-8307-23540DA3C09C}"/>
    <cellStyle name="Normal 3" xfId="7" xr:uid="{BBE55BDB-D484-44A1-BA07-EB11A23290F3}"/>
    <cellStyle name="Normal_Sheet1 (3)" xfId="4" xr:uid="{25DD5807-85C6-4A4A-A640-DB3079DD6D5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3</xdr:row>
      <xdr:rowOff>57149</xdr:rowOff>
    </xdr:from>
    <xdr:to>
      <xdr:col>19</xdr:col>
      <xdr:colOff>604995</xdr:colOff>
      <xdr:row>40</xdr:row>
      <xdr:rowOff>180974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4EC00-9A98-4150-A03F-A1E68631C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" y="647699"/>
          <a:ext cx="12177871" cy="7172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kub4\Desktop\TEA%20project%20submission%20folder%20Nov22\TEA%20Economics%2011.24.22.xlsm" TargetMode="External"/><Relationship Id="rId1" Type="http://schemas.openxmlformats.org/officeDocument/2006/relationships/externalLinkPath" Target="/Users/mkub4/Desktop/TEA%20project%20submission%20folder%20Nov22/TEA%20Economics%2011.24.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ew%20project%20from%20office%20computer\original%20corn%20stover%20from%20Mark\NREL%20DW1102A%20upd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xiaoyuliang\Music\NREL%20DW1102A%20updated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003JWV/Desktop/Models/Case4%20advanced%20c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CFROI Ref. Case"/>
      <sheetName val="DCFROI S1"/>
      <sheetName val="Sheet1"/>
      <sheetName val="DCFROI S2"/>
      <sheetName val="DCFROI S3"/>
      <sheetName val="DCFROI S4"/>
      <sheetName val="DCFROI S5"/>
      <sheetName val="Revenues"/>
      <sheetName val="TCI"/>
      <sheetName val="CAPEX"/>
      <sheetName val="OPEX"/>
      <sheetName val="Figures"/>
      <sheetName val="Sterilizer"/>
      <sheetName val="Fermentors"/>
      <sheetName val="AD"/>
      <sheetName val="Cotreatment"/>
      <sheetName val="Labor"/>
      <sheetName val="old DCFROR"/>
      <sheetName val="Nitrogen Cost"/>
      <sheetName val="Boilers+Turbines"/>
      <sheetName val="MESP vs Scale"/>
      <sheetName val="IRR vs EtOH Price"/>
      <sheetName val="Process Efficiency"/>
      <sheetName val="Process 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B6">
            <v>60.03354019779642</v>
          </cell>
        </row>
      </sheetData>
      <sheetData sheetId="11" refreshError="1"/>
      <sheetData sheetId="12">
        <row r="10">
          <cell r="C10">
            <v>70561.882707352197</v>
          </cell>
        </row>
      </sheetData>
      <sheetData sheetId="13" refreshError="1"/>
      <sheetData sheetId="14">
        <row r="48">
          <cell r="E48">
            <v>27618306.16085935</v>
          </cell>
        </row>
      </sheetData>
      <sheetData sheetId="15">
        <row r="7">
          <cell r="A7">
            <v>105820.10582010582</v>
          </cell>
        </row>
        <row r="10">
          <cell r="A10">
            <v>4700000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Summary"/>
      <sheetName val="CB_DATA_"/>
      <sheetName val="OPEX"/>
      <sheetName val="CAPEX"/>
      <sheetName val="DCFROR"/>
      <sheetName val="Operating Summaries"/>
      <sheetName val="aspen"/>
      <sheetName val="Cost Breakdown"/>
      <sheetName val="Energy Bal"/>
      <sheetName val="aspen2"/>
      <sheetName val="aspenqw"/>
      <sheetName val="SUGAR"/>
      <sheetName val="INDICES"/>
      <sheetName val="PFD tables"/>
    </sheetNames>
    <sheetDataSet>
      <sheetData sheetId="0">
        <row r="35">
          <cell r="G35" t="str">
            <v>INDICES!b56:e87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"/>
      <sheetName val="Cotreatment"/>
      <sheetName val="OPEX"/>
      <sheetName val="parameter table"/>
      <sheetName val="old DCFROR"/>
      <sheetName val="new (advanced) DCFROR "/>
      <sheetName val="NREL assumptions"/>
      <sheetName val="Efficiency"/>
      <sheetName val="Payback vs. Scale"/>
      <sheetName val="MESP vs Scale"/>
      <sheetName val="IRR vs EtOH Price"/>
      <sheetName val="CapEx Chart"/>
      <sheetName val="TCI"/>
      <sheetName val="OpEx Chart"/>
      <sheetName val="Installed Capital Chart"/>
      <sheetName val="Process Efficiency"/>
      <sheetName val="Process Energy"/>
      <sheetName val="CapEx Chart Data"/>
      <sheetName val="OpEx Chart Data"/>
      <sheetName val="Pellets"/>
      <sheetName val="Stream Results 2"/>
      <sheetName val="Q Results 2"/>
      <sheetName val="W Results 2"/>
      <sheetName val="COD loading estimate"/>
      <sheetName val="stream results"/>
    </sheetNames>
    <sheetDataSet>
      <sheetData sheetId="0">
        <row r="2">
          <cell r="B2">
            <v>1</v>
          </cell>
        </row>
      </sheetData>
      <sheetData sheetId="1"/>
      <sheetData sheetId="2">
        <row r="38">
          <cell r="H38">
            <v>9557224.7092801668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>
        <row r="2">
          <cell r="G2">
            <v>90802758.581829458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>
            <v>2</v>
          </cell>
          <cell r="C1">
            <v>3</v>
          </cell>
          <cell r="D1">
            <v>12</v>
          </cell>
          <cell r="E1">
            <v>103</v>
          </cell>
          <cell r="F1">
            <v>104</v>
          </cell>
          <cell r="G1" t="str">
            <v>104B</v>
          </cell>
          <cell r="H1">
            <v>105</v>
          </cell>
          <cell r="I1">
            <v>106</v>
          </cell>
          <cell r="J1" t="str">
            <v>106A</v>
          </cell>
          <cell r="K1" t="str">
            <v>106B</v>
          </cell>
          <cell r="L1">
            <v>107</v>
          </cell>
          <cell r="M1" t="str">
            <v>107B</v>
          </cell>
          <cell r="N1" t="str">
            <v>108A</v>
          </cell>
          <cell r="O1" t="str">
            <v>108B</v>
          </cell>
          <cell r="P1" t="str">
            <v>108C</v>
          </cell>
          <cell r="Q1" t="str">
            <v>108D</v>
          </cell>
          <cell r="R1" t="str">
            <v>108E</v>
          </cell>
          <cell r="S1" t="str">
            <v>108F</v>
          </cell>
          <cell r="T1" t="str">
            <v>108G</v>
          </cell>
          <cell r="U1">
            <v>114</v>
          </cell>
          <cell r="V1">
            <v>115</v>
          </cell>
          <cell r="W1">
            <v>116</v>
          </cell>
          <cell r="X1">
            <v>117</v>
          </cell>
          <cell r="Y1" t="str">
            <v>117B</v>
          </cell>
          <cell r="Z1">
            <v>118</v>
          </cell>
          <cell r="AA1">
            <v>119</v>
          </cell>
          <cell r="AB1" t="str">
            <v>119B</v>
          </cell>
          <cell r="AC1">
            <v>120</v>
          </cell>
          <cell r="AD1">
            <v>121</v>
          </cell>
          <cell r="AE1">
            <v>122</v>
          </cell>
          <cell r="AF1" t="str">
            <v>122-2</v>
          </cell>
          <cell r="AG1">
            <v>123</v>
          </cell>
          <cell r="AH1" t="str">
            <v>123B</v>
          </cell>
          <cell r="AI1" t="str">
            <v>123C</v>
          </cell>
          <cell r="AJ1" t="str">
            <v>124A</v>
          </cell>
          <cell r="AK1" t="str">
            <v>124B</v>
          </cell>
          <cell r="AL1" t="str">
            <v>125A</v>
          </cell>
          <cell r="AM1" t="str">
            <v>125B</v>
          </cell>
          <cell r="AN1" t="str">
            <v>125C</v>
          </cell>
          <cell r="AO1" t="str">
            <v>125D</v>
          </cell>
          <cell r="AP1">
            <v>126</v>
          </cell>
          <cell r="AQ1">
            <v>127</v>
          </cell>
          <cell r="AR1">
            <v>128</v>
          </cell>
          <cell r="AS1">
            <v>130</v>
          </cell>
          <cell r="AT1">
            <v>132</v>
          </cell>
          <cell r="AU1">
            <v>133</v>
          </cell>
          <cell r="AV1">
            <v>134</v>
          </cell>
          <cell r="AW1">
            <v>135</v>
          </cell>
          <cell r="AX1" t="str">
            <v>135B</v>
          </cell>
          <cell r="AY1">
            <v>137</v>
          </cell>
          <cell r="AZ1" t="str">
            <v>137B</v>
          </cell>
          <cell r="BA1" t="str">
            <v>137C</v>
          </cell>
          <cell r="BB1">
            <v>139</v>
          </cell>
          <cell r="BC1">
            <v>140</v>
          </cell>
          <cell r="BD1">
            <v>141</v>
          </cell>
          <cell r="BE1">
            <v>142</v>
          </cell>
          <cell r="BF1">
            <v>143</v>
          </cell>
          <cell r="BG1">
            <v>145</v>
          </cell>
          <cell r="BH1">
            <v>146</v>
          </cell>
          <cell r="BI1">
            <v>147</v>
          </cell>
          <cell r="BJ1">
            <v>148</v>
          </cell>
          <cell r="BK1">
            <v>149</v>
          </cell>
          <cell r="BL1">
            <v>150</v>
          </cell>
          <cell r="BM1">
            <v>151</v>
          </cell>
          <cell r="BN1">
            <v>152</v>
          </cell>
          <cell r="BO1">
            <v>154</v>
          </cell>
          <cell r="BP1">
            <v>155</v>
          </cell>
          <cell r="BQ1">
            <v>156</v>
          </cell>
          <cell r="BR1" t="str">
            <v>610S</v>
          </cell>
          <cell r="BS1">
            <v>611</v>
          </cell>
          <cell r="BT1">
            <v>612</v>
          </cell>
          <cell r="BU1">
            <v>614</v>
          </cell>
          <cell r="BV1" t="str">
            <v>614S</v>
          </cell>
          <cell r="BW1">
            <v>616</v>
          </cell>
          <cell r="BX1">
            <v>623</v>
          </cell>
          <cell r="BY1" t="str">
            <v>623S</v>
          </cell>
          <cell r="BZ1" t="str">
            <v>AIR</v>
          </cell>
          <cell r="CA1" t="str">
            <v>AIR2</v>
          </cell>
          <cell r="CB1" t="str">
            <v>AIR3</v>
          </cell>
          <cell r="CC1" t="str">
            <v>BALANCE</v>
          </cell>
          <cell r="CD1" t="str">
            <v>BIOGAS</v>
          </cell>
          <cell r="CE1" t="str">
            <v>BLEED</v>
          </cell>
          <cell r="CF1" t="str">
            <v>CLOSS</v>
          </cell>
          <cell r="CG1" t="str">
            <v>CMBIN</v>
          </cell>
          <cell r="CH1" t="str">
            <v>CONTBP</v>
          </cell>
          <cell r="CI1" t="str">
            <v>CSL</v>
          </cell>
          <cell r="CJ1" t="str">
            <v>CTAIR</v>
          </cell>
          <cell r="CK1" t="str">
            <v>CTBLEED</v>
          </cell>
          <cell r="CL1" t="str">
            <v>DAP</v>
          </cell>
          <cell r="CM1" t="str">
            <v>EVAP</v>
          </cell>
          <cell r="CN1" t="str">
            <v>EXGAS</v>
          </cell>
          <cell r="CO1" t="str">
            <v>EXGAS2</v>
          </cell>
          <cell r="CP1" t="str">
            <v>EXHAUST</v>
          </cell>
          <cell r="CQ1" t="str">
            <v>FEED</v>
          </cell>
          <cell r="CR1" t="str">
            <v>GAS</v>
          </cell>
          <cell r="CS1" t="str">
            <v>L3</v>
          </cell>
          <cell r="CT1" t="str">
            <v>MAKEUP</v>
          </cell>
          <cell r="CU1" t="str">
            <v>NG</v>
          </cell>
          <cell r="CV1" t="str">
            <v>REC-H2O</v>
          </cell>
          <cell r="CW1" t="str">
            <v>RECWATC</v>
          </cell>
          <cell r="CX1" t="str">
            <v>RECYCLE</v>
          </cell>
          <cell r="CY1" t="str">
            <v>REH2O2</v>
          </cell>
          <cell r="CZ1" t="str">
            <v>SQZAIR</v>
          </cell>
          <cell r="DA1" t="str">
            <v>SS3</v>
          </cell>
          <cell r="DB1" t="str">
            <v>STEAM</v>
          </cell>
          <cell r="DC1" t="str">
            <v>STR1</v>
          </cell>
          <cell r="DD1" t="str">
            <v>STR2</v>
          </cell>
          <cell r="DE1" t="str">
            <v>STR3</v>
          </cell>
          <cell r="DF1" t="str">
            <v>STR4</v>
          </cell>
          <cell r="DG1" t="str">
            <v>STR5</v>
          </cell>
          <cell r="DH1" t="str">
            <v>STR6</v>
          </cell>
          <cell r="DI1" t="str">
            <v>STR7</v>
          </cell>
          <cell r="DJ1" t="str">
            <v>STR9</v>
          </cell>
          <cell r="DK1" t="str">
            <v>STR10</v>
          </cell>
          <cell r="DL1" t="str">
            <v>STR11</v>
          </cell>
          <cell r="DM1" t="str">
            <v>STR12</v>
          </cell>
          <cell r="DN1" t="str">
            <v>STR13</v>
          </cell>
          <cell r="DO1" t="str">
            <v>STR14</v>
          </cell>
          <cell r="DP1" t="str">
            <v>STR16</v>
          </cell>
          <cell r="DQ1" t="str">
            <v>STR17</v>
          </cell>
          <cell r="DR1" t="str">
            <v>STR18</v>
          </cell>
          <cell r="DS1" t="str">
            <v>STR19</v>
          </cell>
          <cell r="DT1" t="str">
            <v>STR20</v>
          </cell>
          <cell r="DU1" t="str">
            <v>STR22</v>
          </cell>
          <cell r="DV1" t="str">
            <v>STR26</v>
          </cell>
          <cell r="DW1" t="str">
            <v>TOC3</v>
          </cell>
          <cell r="DX1" t="str">
            <v>TOETOH</v>
          </cell>
          <cell r="DY1" t="str">
            <v>W1</v>
          </cell>
          <cell r="DZ1" t="str">
            <v>W2</v>
          </cell>
          <cell r="EA1" t="str">
            <v>W3</v>
          </cell>
          <cell r="EB1" t="str">
            <v>W4</v>
          </cell>
          <cell r="EC1" t="str">
            <v>WATER1</v>
          </cell>
          <cell r="ED1" t="str">
            <v>WATER2</v>
          </cell>
          <cell r="EE1" t="str">
            <v>WATER3</v>
          </cell>
          <cell r="EF1" t="str">
            <v>WATER4</v>
          </cell>
        </row>
        <row r="149">
          <cell r="A149" t="str">
            <v>Total Flow kg/hr</v>
          </cell>
          <cell r="B149">
            <v>368679</v>
          </cell>
          <cell r="C149">
            <v>368679</v>
          </cell>
          <cell r="D149">
            <v>51575.06</v>
          </cell>
          <cell r="E149">
            <v>427220</v>
          </cell>
          <cell r="F149">
            <v>427220</v>
          </cell>
          <cell r="G149">
            <v>427220</v>
          </cell>
          <cell r="H149">
            <v>427220</v>
          </cell>
          <cell r="I149">
            <v>428028</v>
          </cell>
          <cell r="J149">
            <v>404951</v>
          </cell>
          <cell r="K149">
            <v>463195</v>
          </cell>
          <cell r="L149">
            <v>23076.62</v>
          </cell>
          <cell r="M149">
            <v>57922.54</v>
          </cell>
          <cell r="N149">
            <v>463195</v>
          </cell>
          <cell r="O149">
            <v>462611</v>
          </cell>
          <cell r="P149">
            <v>584.29719999999998</v>
          </cell>
          <cell r="Q149">
            <v>584.29719999999998</v>
          </cell>
          <cell r="R149">
            <v>321.54050000000001</v>
          </cell>
          <cell r="S149">
            <v>262.75659999999999</v>
          </cell>
          <cell r="T149">
            <v>462611</v>
          </cell>
          <cell r="U149">
            <v>28820.69</v>
          </cell>
          <cell r="V149">
            <v>411302</v>
          </cell>
          <cell r="W149">
            <v>7395.393</v>
          </cell>
          <cell r="X149">
            <v>21425.3</v>
          </cell>
          <cell r="Y149">
            <v>21425.3</v>
          </cell>
          <cell r="Z149">
            <v>7395.393</v>
          </cell>
          <cell r="AA149">
            <v>7395.393</v>
          </cell>
          <cell r="AB149">
            <v>7395.3559999999998</v>
          </cell>
          <cell r="AC149">
            <v>21425.3</v>
          </cell>
          <cell r="AD149">
            <v>411302</v>
          </cell>
          <cell r="AE149">
            <v>368679</v>
          </cell>
          <cell r="AF149">
            <v>368679</v>
          </cell>
          <cell r="AG149">
            <v>42622.48</v>
          </cell>
          <cell r="AH149">
            <v>42373.49</v>
          </cell>
          <cell r="AI149">
            <v>12717.17</v>
          </cell>
          <cell r="AJ149">
            <v>17111.490000000002</v>
          </cell>
          <cell r="AK149">
            <v>351568</v>
          </cell>
          <cell r="AL149">
            <v>16255.91</v>
          </cell>
          <cell r="AM149">
            <v>855.57429999999999</v>
          </cell>
          <cell r="AN149">
            <v>17505.64</v>
          </cell>
          <cell r="AO149">
            <v>334062</v>
          </cell>
          <cell r="AP149">
            <v>33761.550000000003</v>
          </cell>
          <cell r="AQ149">
            <v>855.57429999999999</v>
          </cell>
          <cell r="AR149">
            <v>368679</v>
          </cell>
          <cell r="AS149">
            <v>345135</v>
          </cell>
          <cell r="AT149">
            <v>32363.9</v>
          </cell>
          <cell r="AU149">
            <v>117439</v>
          </cell>
          <cell r="AV149">
            <v>195332</v>
          </cell>
          <cell r="AW149">
            <v>12468.18</v>
          </cell>
          <cell r="AX149">
            <v>12468.18</v>
          </cell>
          <cell r="AY149">
            <v>117464</v>
          </cell>
          <cell r="AZ149">
            <v>117464</v>
          </cell>
          <cell r="BA149">
            <v>117464</v>
          </cell>
          <cell r="BB149">
            <v>102886</v>
          </cell>
          <cell r="BC149">
            <v>102886</v>
          </cell>
          <cell r="BD149">
            <v>102886</v>
          </cell>
          <cell r="BE149">
            <v>296265</v>
          </cell>
          <cell r="BF149">
            <v>296265</v>
          </cell>
          <cell r="BG149">
            <v>4849050</v>
          </cell>
          <cell r="BH149">
            <v>4849050</v>
          </cell>
          <cell r="BI149">
            <v>4849050</v>
          </cell>
          <cell r="BJ149">
            <v>1941050</v>
          </cell>
          <cell r="BK149">
            <v>4771840</v>
          </cell>
          <cell r="BL149">
            <v>4771840</v>
          </cell>
          <cell r="BM149">
            <v>4771840</v>
          </cell>
          <cell r="BN149">
            <v>4764690</v>
          </cell>
          <cell r="BO149">
            <v>76058.789999999994</v>
          </cell>
          <cell r="BP149">
            <v>447979</v>
          </cell>
          <cell r="BQ149">
            <v>447979</v>
          </cell>
          <cell r="BR149">
            <v>31866.93</v>
          </cell>
          <cell r="BS149">
            <v>324027</v>
          </cell>
          <cell r="BT149">
            <v>26204.639999999999</v>
          </cell>
          <cell r="BU149">
            <v>58071.57</v>
          </cell>
          <cell r="BV149">
            <v>58071.57</v>
          </cell>
          <cell r="BW149">
            <v>51575.06</v>
          </cell>
          <cell r="BX149">
            <v>6496.5150000000003</v>
          </cell>
          <cell r="BY149">
            <v>6496.5150000000003</v>
          </cell>
          <cell r="BZ149">
            <v>109304</v>
          </cell>
          <cell r="CA149">
            <v>12468.18</v>
          </cell>
          <cell r="CB149">
            <v>849.71119999999996</v>
          </cell>
          <cell r="CC149">
            <v>0</v>
          </cell>
          <cell r="CD149">
            <v>18447.48</v>
          </cell>
          <cell r="CE149">
            <v>1953.3219999999999</v>
          </cell>
          <cell r="CF149">
            <v>12839.9</v>
          </cell>
          <cell r="CG149">
            <v>141912</v>
          </cell>
          <cell r="CH149">
            <v>415157</v>
          </cell>
          <cell r="CI149">
            <v>665.04560000000004</v>
          </cell>
          <cell r="CJ149">
            <v>1863850</v>
          </cell>
          <cell r="CK149">
            <v>7157.7659999999996</v>
          </cell>
          <cell r="CL149">
            <v>111.7899</v>
          </cell>
          <cell r="CM149">
            <v>1941050</v>
          </cell>
          <cell r="CN149">
            <v>21074.92</v>
          </cell>
          <cell r="CO149">
            <v>141912</v>
          </cell>
          <cell r="CP149">
            <v>141912</v>
          </cell>
          <cell r="CQ149">
            <v>104166</v>
          </cell>
          <cell r="CR149">
            <v>141912</v>
          </cell>
          <cell r="CS149">
            <v>343735</v>
          </cell>
          <cell r="CT149">
            <v>76058.789999999994</v>
          </cell>
          <cell r="CU149">
            <v>1443.6120000000001</v>
          </cell>
          <cell r="CV149">
            <v>350232</v>
          </cell>
          <cell r="CW149">
            <v>373101</v>
          </cell>
          <cell r="CX149">
            <v>371920</v>
          </cell>
          <cell r="CY149">
            <v>343735</v>
          </cell>
          <cell r="CZ149">
            <v>849.71119999999996</v>
          </cell>
          <cell r="DA149">
            <v>31866.93</v>
          </cell>
          <cell r="DB149">
            <v>117464</v>
          </cell>
          <cell r="DC149">
            <v>14579.29</v>
          </cell>
          <cell r="DD149">
            <v>193379</v>
          </cell>
          <cell r="DE149">
            <v>102885</v>
          </cell>
          <cell r="DF149">
            <v>427997</v>
          </cell>
          <cell r="DG149">
            <v>517.74689999999998</v>
          </cell>
          <cell r="DH149">
            <v>411302</v>
          </cell>
          <cell r="DI149">
            <v>50791.39</v>
          </cell>
          <cell r="DJ149">
            <v>42622.48</v>
          </cell>
          <cell r="DK149">
            <v>462611</v>
          </cell>
          <cell r="DL149">
            <v>462611</v>
          </cell>
          <cell r="DM149">
            <v>50791.39</v>
          </cell>
          <cell r="DN149">
            <v>373101</v>
          </cell>
          <cell r="DO149">
            <v>42622.48</v>
          </cell>
          <cell r="DP149">
            <v>50791.39</v>
          </cell>
          <cell r="DQ149">
            <v>28820.69</v>
          </cell>
          <cell r="DR149">
            <v>29366.06</v>
          </cell>
          <cell r="DS149">
            <v>7395.3559999999998</v>
          </cell>
          <cell r="DT149">
            <v>7395.3559999999998</v>
          </cell>
          <cell r="DU149">
            <v>12839.9</v>
          </cell>
          <cell r="DV149">
            <v>312771</v>
          </cell>
          <cell r="DW149">
            <v>375602</v>
          </cell>
          <cell r="DX149">
            <v>427997</v>
          </cell>
          <cell r="DY149">
            <v>308474</v>
          </cell>
          <cell r="DZ149">
            <v>55140.34</v>
          </cell>
          <cell r="EA149">
            <v>1</v>
          </cell>
          <cell r="EB149">
            <v>84362.8</v>
          </cell>
          <cell r="EC149">
            <v>308474</v>
          </cell>
          <cell r="ED149">
            <v>55140.34</v>
          </cell>
          <cell r="EE149">
            <v>1</v>
          </cell>
          <cell r="EF149">
            <v>84362.8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kub423@outlook.com" id="{629CA6EF-4A19-46F6-88FD-14568C1A8800}" userId="ab7b79d89c73104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1" dT="2022-04-01T16:56:08.37" personId="{629CA6EF-4A19-46F6-88FD-14568C1A8800}" id="{FE1CBDE0-C4AD-4CE7-BCB4-B86691C848DD}">
    <text>Exhibit 7-3 NETL report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6B81A-C934-4F85-B9F6-9C0EC7C3A896}">
  <sheetPr codeName="Sheet17"/>
  <dimension ref="A1:Q194"/>
  <sheetViews>
    <sheetView zoomScaleNormal="100" zoomScalePageLayoutView="150" workbookViewId="0">
      <selection activeCell="F2" sqref="F2"/>
    </sheetView>
  </sheetViews>
  <sheetFormatPr defaultColWidth="8.88671875" defaultRowHeight="13.2" x14ac:dyDescent="0.25"/>
  <cols>
    <col min="1" max="1" width="32" style="23" customWidth="1"/>
    <col min="2" max="2" width="10.6640625" style="80" customWidth="1"/>
    <col min="3" max="3" width="14" style="25" customWidth="1"/>
    <col min="4" max="4" width="12.88671875" style="25" bestFit="1" customWidth="1"/>
    <col min="5" max="5" width="11.6640625" style="25" customWidth="1"/>
    <col min="6" max="6" width="14.33203125" style="25" customWidth="1"/>
    <col min="7" max="7" width="12.44140625" style="23" customWidth="1"/>
    <col min="8" max="8" width="13.44140625" style="23" customWidth="1"/>
    <col min="9" max="9" width="13.88671875" style="26" bestFit="1" customWidth="1"/>
    <col min="10" max="10" width="13.88671875" style="23" bestFit="1" customWidth="1"/>
    <col min="11" max="11" width="14.44140625" style="27" customWidth="1"/>
    <col min="12" max="12" width="16.109375" style="27" bestFit="1" customWidth="1"/>
    <col min="13" max="13" width="12.6640625" style="27" bestFit="1" customWidth="1"/>
    <col min="14" max="14" width="13.5546875" style="27" customWidth="1"/>
    <col min="15" max="15" width="13.44140625" style="26" customWidth="1"/>
    <col min="16" max="16" width="15" style="23" bestFit="1" customWidth="1"/>
    <col min="17" max="17" width="19" style="23" customWidth="1"/>
    <col min="18" max="16384" width="8.88671875" style="23"/>
  </cols>
  <sheetData>
    <row r="1" spans="1:17" s="335" customFormat="1" ht="13.8" thickBot="1" x14ac:dyDescent="0.3">
      <c r="A1" s="333"/>
      <c r="B1" s="339"/>
      <c r="C1" s="33"/>
      <c r="D1" s="33"/>
      <c r="E1" s="334"/>
      <c r="F1" s="334"/>
      <c r="I1" s="336"/>
      <c r="K1" s="337"/>
      <c r="L1" s="337"/>
      <c r="M1" s="337"/>
      <c r="N1" s="337"/>
      <c r="O1" s="336"/>
    </row>
    <row r="2" spans="1:17" ht="13.8" thickBot="1" x14ac:dyDescent="0.3">
      <c r="A2" s="344" t="s">
        <v>363</v>
      </c>
      <c r="B2" s="345"/>
      <c r="C2" s="345"/>
      <c r="D2" s="346"/>
      <c r="E2" s="338"/>
    </row>
    <row r="3" spans="1:17" x14ac:dyDescent="0.25">
      <c r="A3" s="40"/>
      <c r="B3" s="340"/>
      <c r="C3" s="39"/>
      <c r="D3" s="39"/>
    </row>
    <row r="4" spans="1:17" x14ac:dyDescent="0.25">
      <c r="A4" s="23" t="s">
        <v>43</v>
      </c>
      <c r="B4" s="24">
        <v>607.5</v>
      </c>
      <c r="E4" s="23"/>
      <c r="F4" s="23"/>
      <c r="G4" s="26"/>
    </row>
    <row r="5" spans="1:17" x14ac:dyDescent="0.25">
      <c r="A5" s="23" t="s">
        <v>44</v>
      </c>
      <c r="B5" s="28">
        <v>1</v>
      </c>
      <c r="C5" s="25" t="s">
        <v>45</v>
      </c>
      <c r="E5" s="23"/>
      <c r="F5" s="23"/>
      <c r="G5" s="26"/>
    </row>
    <row r="6" spans="1:17" x14ac:dyDescent="0.25">
      <c r="A6" s="23" t="s">
        <v>46</v>
      </c>
      <c r="B6" s="29">
        <f>[1]OPEX!B6</f>
        <v>60.03354019779642</v>
      </c>
      <c r="C6" s="25" t="s">
        <v>41</v>
      </c>
      <c r="E6" s="23"/>
      <c r="F6" s="23"/>
      <c r="G6" s="26"/>
    </row>
    <row r="7" spans="1:17" x14ac:dyDescent="0.25">
      <c r="A7" s="23" t="s">
        <v>47</v>
      </c>
      <c r="B7" s="24">
        <v>0.2</v>
      </c>
      <c r="E7" s="23"/>
      <c r="F7" s="23"/>
      <c r="G7" s="26"/>
    </row>
    <row r="8" spans="1:17" ht="13.8" thickBot="1" x14ac:dyDescent="0.3">
      <c r="B8" s="30"/>
      <c r="E8" s="23"/>
      <c r="F8" s="23"/>
      <c r="G8" s="26"/>
    </row>
    <row r="9" spans="1:17" x14ac:dyDescent="0.25">
      <c r="A9" s="45"/>
      <c r="B9" s="46" t="s">
        <v>48</v>
      </c>
      <c r="C9" s="47" t="s">
        <v>49</v>
      </c>
      <c r="D9" s="47" t="s">
        <v>50</v>
      </c>
      <c r="E9" s="48"/>
      <c r="F9" s="46" t="s">
        <v>51</v>
      </c>
      <c r="G9" s="49" t="s">
        <v>52</v>
      </c>
      <c r="H9" s="46" t="s">
        <v>51</v>
      </c>
      <c r="I9" s="50" t="s">
        <v>49</v>
      </c>
      <c r="J9" s="50" t="s">
        <v>73</v>
      </c>
      <c r="K9" s="49" t="s">
        <v>53</v>
      </c>
      <c r="L9" s="48" t="s">
        <v>54</v>
      </c>
      <c r="M9" s="46" t="s">
        <v>55</v>
      </c>
      <c r="N9" s="46" t="s">
        <v>56</v>
      </c>
      <c r="O9" s="46" t="s">
        <v>57</v>
      </c>
      <c r="P9" s="48" t="s">
        <v>54</v>
      </c>
      <c r="Q9" s="51" t="s">
        <v>58</v>
      </c>
    </row>
    <row r="10" spans="1:17" x14ac:dyDescent="0.25">
      <c r="A10" s="52" t="s">
        <v>74</v>
      </c>
      <c r="B10" s="53" t="s">
        <v>59</v>
      </c>
      <c r="C10" s="54" t="s">
        <v>60</v>
      </c>
      <c r="D10" s="54" t="s">
        <v>60</v>
      </c>
      <c r="E10" s="55" t="s">
        <v>61</v>
      </c>
      <c r="F10" s="53" t="s">
        <v>62</v>
      </c>
      <c r="G10" s="56" t="s">
        <v>63</v>
      </c>
      <c r="H10" s="53" t="s">
        <v>64</v>
      </c>
      <c r="I10" s="57" t="s">
        <v>65</v>
      </c>
      <c r="J10" s="57" t="s">
        <v>65</v>
      </c>
      <c r="K10" s="56" t="s">
        <v>66</v>
      </c>
      <c r="L10" s="55" t="s">
        <v>67</v>
      </c>
      <c r="M10" s="53" t="s">
        <v>68</v>
      </c>
      <c r="N10" s="53" t="s">
        <v>68</v>
      </c>
      <c r="O10" s="53" t="s">
        <v>67</v>
      </c>
      <c r="P10" s="55" t="s">
        <v>75</v>
      </c>
      <c r="Q10" s="58" t="s">
        <v>69</v>
      </c>
    </row>
    <row r="11" spans="1:17" s="62" customFormat="1" x14ac:dyDescent="0.25">
      <c r="A11" s="52" t="s">
        <v>76</v>
      </c>
      <c r="B11" s="53">
        <v>21</v>
      </c>
      <c r="C11" s="59">
        <v>1000000</v>
      </c>
      <c r="D11" s="59">
        <v>1000000</v>
      </c>
      <c r="E11" s="55" t="s">
        <v>77</v>
      </c>
      <c r="F11" s="53" t="s">
        <v>78</v>
      </c>
      <c r="G11" s="56">
        <f>D11/C11</f>
        <v>1</v>
      </c>
      <c r="H11" s="53">
        <v>1</v>
      </c>
      <c r="I11" s="60">
        <f>B11*844000</f>
        <v>17724000</v>
      </c>
      <c r="J11" s="61">
        <f>I11*H11</f>
        <v>17724000</v>
      </c>
      <c r="K11" s="56">
        <v>1.5</v>
      </c>
      <c r="L11" s="61">
        <f t="shared" ref="L11:L17" si="0">J11*K11</f>
        <v>26586000</v>
      </c>
      <c r="M11" s="53">
        <v>2009</v>
      </c>
      <c r="N11" s="53">
        <v>2019</v>
      </c>
      <c r="O11" s="53">
        <v>521.9</v>
      </c>
      <c r="P11" s="61">
        <f t="shared" ref="P11:P17" si="1">($B$4/O11)*L11</f>
        <v>30946531.902663346</v>
      </c>
      <c r="Q11" s="58" t="s">
        <v>72</v>
      </c>
    </row>
    <row r="12" spans="1:17" s="62" customFormat="1" x14ac:dyDescent="0.25">
      <c r="A12" s="52" t="s">
        <v>79</v>
      </c>
      <c r="B12" s="53">
        <f>B11</f>
        <v>21</v>
      </c>
      <c r="C12" s="59">
        <v>1000000</v>
      </c>
      <c r="D12" s="59">
        <v>1000000</v>
      </c>
      <c r="E12" s="55" t="s">
        <v>77</v>
      </c>
      <c r="F12" s="53" t="s">
        <v>78</v>
      </c>
      <c r="G12" s="56">
        <f t="shared" ref="G12:G16" si="2">D12/C12</f>
        <v>1</v>
      </c>
      <c r="H12" s="53">
        <v>1</v>
      </c>
      <c r="I12" s="63">
        <f>B12*52500</f>
        <v>1102500</v>
      </c>
      <c r="J12" s="61">
        <f>I12</f>
        <v>1102500</v>
      </c>
      <c r="K12" s="56">
        <v>1.5</v>
      </c>
      <c r="L12" s="61">
        <f t="shared" si="0"/>
        <v>1653750</v>
      </c>
      <c r="M12" s="53">
        <v>2009</v>
      </c>
      <c r="N12" s="53">
        <v>2019</v>
      </c>
      <c r="O12" s="53">
        <v>521.9</v>
      </c>
      <c r="P12" s="61">
        <f t="shared" si="1"/>
        <v>1924991.6171680398</v>
      </c>
      <c r="Q12" s="58" t="s">
        <v>72</v>
      </c>
    </row>
    <row r="13" spans="1:17" s="62" customFormat="1" x14ac:dyDescent="0.25">
      <c r="A13" s="52" t="s">
        <v>80</v>
      </c>
      <c r="B13" s="53">
        <f>B12</f>
        <v>21</v>
      </c>
      <c r="C13" s="59">
        <v>1000000</v>
      </c>
      <c r="D13" s="59">
        <v>1000000</v>
      </c>
      <c r="E13" s="55" t="s">
        <v>77</v>
      </c>
      <c r="F13" s="53" t="s">
        <v>78</v>
      </c>
      <c r="G13" s="56">
        <f t="shared" si="2"/>
        <v>1</v>
      </c>
      <c r="H13" s="53">
        <v>1</v>
      </c>
      <c r="I13" s="63">
        <f>B13*86928</f>
        <v>1825488</v>
      </c>
      <c r="J13" s="61">
        <f>I13</f>
        <v>1825488</v>
      </c>
      <c r="K13" s="56">
        <v>2.2000000000000002</v>
      </c>
      <c r="L13" s="61">
        <f t="shared" si="0"/>
        <v>4016073.6</v>
      </c>
      <c r="M13" s="53">
        <v>2009</v>
      </c>
      <c r="N13" s="53">
        <v>2019</v>
      </c>
      <c r="O13" s="53">
        <v>521.9</v>
      </c>
      <c r="P13" s="61">
        <f t="shared" si="1"/>
        <v>4674774.3092546463</v>
      </c>
      <c r="Q13" s="58" t="s">
        <v>72</v>
      </c>
    </row>
    <row r="14" spans="1:17" s="62" customFormat="1" x14ac:dyDescent="0.25">
      <c r="A14" s="52" t="s">
        <v>81</v>
      </c>
      <c r="B14" s="53">
        <v>21</v>
      </c>
      <c r="C14" s="59">
        <v>5</v>
      </c>
      <c r="D14" s="59">
        <v>21</v>
      </c>
      <c r="E14" s="55" t="s">
        <v>82</v>
      </c>
      <c r="F14" s="53" t="s">
        <v>78</v>
      </c>
      <c r="G14" s="56">
        <f t="shared" si="2"/>
        <v>4.2</v>
      </c>
      <c r="H14" s="53">
        <v>1</v>
      </c>
      <c r="I14" s="63">
        <v>47200</v>
      </c>
      <c r="J14" s="64">
        <f>(G14^H14)*I14</f>
        <v>198240</v>
      </c>
      <c r="K14" s="53">
        <v>2.2999999999999998</v>
      </c>
      <c r="L14" s="61">
        <f t="shared" si="0"/>
        <v>455951.99999999994</v>
      </c>
      <c r="M14" s="53">
        <v>2009</v>
      </c>
      <c r="N14" s="53">
        <v>2019</v>
      </c>
      <c r="O14" s="53">
        <v>521.9</v>
      </c>
      <c r="P14" s="61">
        <f t="shared" si="1"/>
        <v>530735.46656447591</v>
      </c>
      <c r="Q14" s="58"/>
    </row>
    <row r="15" spans="1:17" s="62" customFormat="1" x14ac:dyDescent="0.25">
      <c r="A15" s="52" t="s">
        <v>83</v>
      </c>
      <c r="B15" s="53">
        <v>1</v>
      </c>
      <c r="C15" s="59">
        <v>425878</v>
      </c>
      <c r="D15" s="59">
        <v>466658.07314037101</v>
      </c>
      <c r="E15" s="55" t="s">
        <v>70</v>
      </c>
      <c r="F15" s="53" t="s">
        <v>84</v>
      </c>
      <c r="G15" s="56">
        <f t="shared" si="2"/>
        <v>1.095755294099181</v>
      </c>
      <c r="H15" s="53">
        <v>0.7</v>
      </c>
      <c r="I15" s="63">
        <v>636000</v>
      </c>
      <c r="J15" s="64">
        <f>(G15^H15)*I15</f>
        <v>678042.03706750914</v>
      </c>
      <c r="K15" s="56">
        <v>1.8</v>
      </c>
      <c r="L15" s="61">
        <f t="shared" si="0"/>
        <v>1220475.6667215165</v>
      </c>
      <c r="M15" s="53">
        <v>2009</v>
      </c>
      <c r="N15" s="53">
        <v>2019</v>
      </c>
      <c r="O15" s="53">
        <v>521.9</v>
      </c>
      <c r="P15" s="61">
        <f t="shared" si="1"/>
        <v>1420653.3196653023</v>
      </c>
      <c r="Q15" s="58" t="s">
        <v>72</v>
      </c>
    </row>
    <row r="16" spans="1:17" s="62" customFormat="1" x14ac:dyDescent="0.25">
      <c r="A16" s="52" t="s">
        <v>85</v>
      </c>
      <c r="B16" s="53">
        <v>1</v>
      </c>
      <c r="C16" s="59">
        <v>488719</v>
      </c>
      <c r="D16" s="59">
        <v>466658.07314037101</v>
      </c>
      <c r="E16" s="55" t="s">
        <v>70</v>
      </c>
      <c r="F16" s="53" t="s">
        <v>84</v>
      </c>
      <c r="G16" s="56">
        <f t="shared" si="2"/>
        <v>0.95485969062052223</v>
      </c>
      <c r="H16" s="53">
        <v>0.8</v>
      </c>
      <c r="I16" s="63">
        <v>26800</v>
      </c>
      <c r="J16" s="64">
        <f t="shared" ref="J16:J17" si="3">(G16^H16)*I16</f>
        <v>25827.742151668437</v>
      </c>
      <c r="K16" s="53">
        <v>2.2999999999999998</v>
      </c>
      <c r="L16" s="61">
        <f t="shared" si="0"/>
        <v>59403.806948837402</v>
      </c>
      <c r="M16" s="53">
        <v>2009</v>
      </c>
      <c r="N16" s="53">
        <v>2019</v>
      </c>
      <c r="O16" s="53">
        <v>521.9</v>
      </c>
      <c r="P16" s="61">
        <f t="shared" si="1"/>
        <v>69146.987394939104</v>
      </c>
      <c r="Q16" s="58"/>
    </row>
    <row r="17" spans="1:17" s="62" customFormat="1" ht="13.8" thickBot="1" x14ac:dyDescent="0.3">
      <c r="A17" s="65" t="s">
        <v>86</v>
      </c>
      <c r="B17" s="66">
        <v>1</v>
      </c>
      <c r="C17" s="67">
        <f>[1]Cotreatment!A7</f>
        <v>105820.10582010582</v>
      </c>
      <c r="D17" s="67">
        <v>104166</v>
      </c>
      <c r="E17" s="68" t="s">
        <v>70</v>
      </c>
      <c r="F17" s="66" t="s">
        <v>71</v>
      </c>
      <c r="G17" s="69">
        <f>D17/C17</f>
        <v>0.98436869999999999</v>
      </c>
      <c r="H17" s="66">
        <v>0.6</v>
      </c>
      <c r="I17" s="70">
        <f>[1]Cotreatment!A10</f>
        <v>4700000</v>
      </c>
      <c r="J17" s="71">
        <f t="shared" si="3"/>
        <v>4655780.9128550012</v>
      </c>
      <c r="K17" s="69">
        <v>1</v>
      </c>
      <c r="L17" s="72">
        <f t="shared" si="0"/>
        <v>4655780.9128550012</v>
      </c>
      <c r="M17" s="66">
        <v>2008</v>
      </c>
      <c r="N17" s="66">
        <v>2019</v>
      </c>
      <c r="O17" s="66">
        <v>575.4</v>
      </c>
      <c r="P17" s="72">
        <f t="shared" si="1"/>
        <v>4915514.2588797593</v>
      </c>
      <c r="Q17" s="73" t="s">
        <v>87</v>
      </c>
    </row>
    <row r="18" spans="1:17" s="78" customFormat="1" x14ac:dyDescent="0.25">
      <c r="A18" s="74"/>
      <c r="B18" s="75"/>
      <c r="C18" s="74"/>
      <c r="D18" s="74"/>
      <c r="E18" s="74"/>
      <c r="F18" s="75"/>
      <c r="G18" s="75"/>
      <c r="H18" s="75"/>
      <c r="I18" s="74"/>
      <c r="J18" s="74"/>
      <c r="K18" s="74"/>
      <c r="L18" s="40"/>
      <c r="M18" s="40"/>
      <c r="N18" s="40"/>
      <c r="O18" s="76" t="s">
        <v>88</v>
      </c>
      <c r="P18" s="77">
        <f>SUM(P11:P17)</f>
        <v>44482347.861590512</v>
      </c>
      <c r="Q18" s="40"/>
    </row>
    <row r="19" spans="1:17" s="78" customFormat="1" x14ac:dyDescent="0.25">
      <c r="A19" s="25"/>
      <c r="B19" s="79"/>
      <c r="C19" s="25"/>
      <c r="D19" s="25"/>
      <c r="E19" s="23"/>
      <c r="F19" s="80"/>
      <c r="G19" s="81"/>
      <c r="H19" s="80"/>
      <c r="I19" s="27"/>
      <c r="J19" s="27"/>
      <c r="K19" s="26"/>
      <c r="L19" s="23"/>
      <c r="M19" s="23"/>
      <c r="N19" s="23"/>
      <c r="O19" s="23"/>
      <c r="P19" s="23"/>
      <c r="Q19" s="23"/>
    </row>
    <row r="20" spans="1:17" s="78" customFormat="1" ht="13.8" thickBot="1" x14ac:dyDescent="0.3">
      <c r="A20" s="82"/>
      <c r="B20" s="44"/>
      <c r="C20" s="33"/>
      <c r="D20" s="33"/>
      <c r="E20" s="33"/>
      <c r="F20" s="44"/>
      <c r="G20" s="32"/>
      <c r="H20" s="32"/>
      <c r="I20" s="34"/>
      <c r="J20" s="31"/>
      <c r="K20" s="35"/>
      <c r="L20" s="31"/>
      <c r="M20" s="31"/>
      <c r="N20" s="31"/>
      <c r="O20" s="31"/>
      <c r="P20" s="31"/>
      <c r="Q20" s="31"/>
    </row>
    <row r="21" spans="1:17" s="78" customFormat="1" x14ac:dyDescent="0.25">
      <c r="A21" s="45"/>
      <c r="B21" s="46" t="s">
        <v>48</v>
      </c>
      <c r="C21" s="47" t="s">
        <v>49</v>
      </c>
      <c r="D21" s="47" t="s">
        <v>50</v>
      </c>
      <c r="E21" s="48"/>
      <c r="F21" s="206" t="s">
        <v>89</v>
      </c>
      <c r="G21" s="206" t="s">
        <v>52</v>
      </c>
      <c r="H21" s="46" t="s">
        <v>89</v>
      </c>
      <c r="I21" s="207" t="s">
        <v>49</v>
      </c>
      <c r="J21" s="48" t="s">
        <v>73</v>
      </c>
      <c r="K21" s="46" t="s">
        <v>90</v>
      </c>
      <c r="L21" s="50" t="s">
        <v>54</v>
      </c>
      <c r="M21" s="46" t="s">
        <v>55</v>
      </c>
      <c r="N21" s="46" t="s">
        <v>56</v>
      </c>
      <c r="O21" s="46" t="s">
        <v>57</v>
      </c>
      <c r="P21" s="48" t="s">
        <v>54</v>
      </c>
      <c r="Q21" s="51" t="s">
        <v>58</v>
      </c>
    </row>
    <row r="22" spans="1:17" s="78" customFormat="1" x14ac:dyDescent="0.25">
      <c r="A22" s="52" t="s">
        <v>91</v>
      </c>
      <c r="B22" s="53" t="s">
        <v>59</v>
      </c>
      <c r="C22" s="54" t="s">
        <v>60</v>
      </c>
      <c r="D22" s="54" t="s">
        <v>60</v>
      </c>
      <c r="E22" s="55" t="s">
        <v>61</v>
      </c>
      <c r="F22" s="113" t="s">
        <v>62</v>
      </c>
      <c r="G22" s="113" t="s">
        <v>63</v>
      </c>
      <c r="H22" s="53" t="s">
        <v>64</v>
      </c>
      <c r="I22" s="97" t="s">
        <v>65</v>
      </c>
      <c r="J22" s="55" t="s">
        <v>65</v>
      </c>
      <c r="K22" s="53" t="s">
        <v>66</v>
      </c>
      <c r="L22" s="55" t="s">
        <v>67</v>
      </c>
      <c r="M22" s="53" t="s">
        <v>68</v>
      </c>
      <c r="N22" s="53" t="s">
        <v>68</v>
      </c>
      <c r="O22" s="53" t="s">
        <v>67</v>
      </c>
      <c r="P22" s="55" t="s">
        <v>75</v>
      </c>
      <c r="Q22" s="58" t="s">
        <v>69</v>
      </c>
    </row>
    <row r="23" spans="1:17" s="78" customFormat="1" x14ac:dyDescent="0.25">
      <c r="A23" s="52" t="s">
        <v>92</v>
      </c>
      <c r="B23" s="53">
        <v>2</v>
      </c>
      <c r="C23" s="54">
        <v>75000</v>
      </c>
      <c r="D23" s="54">
        <f>[1]Sterilizer!C10</f>
        <v>70561.882707352197</v>
      </c>
      <c r="E23" s="55" t="s">
        <v>77</v>
      </c>
      <c r="F23" s="53" t="s">
        <v>93</v>
      </c>
      <c r="G23" s="56">
        <f>D23/C23</f>
        <v>0.940825102764696</v>
      </c>
      <c r="H23" s="56">
        <v>1</v>
      </c>
      <c r="I23" s="93">
        <v>181900</v>
      </c>
      <c r="J23" s="61">
        <f>(G23^H23)*I23</f>
        <v>171136.08619289819</v>
      </c>
      <c r="K23" s="53">
        <v>1.8</v>
      </c>
      <c r="L23" s="61">
        <f>J23*K23</f>
        <v>308044.95514721674</v>
      </c>
      <c r="M23" s="53">
        <v>2014</v>
      </c>
      <c r="N23" s="53">
        <v>2019</v>
      </c>
      <c r="O23" s="56">
        <v>576.1</v>
      </c>
      <c r="P23" s="61">
        <f>L23*($B$4/O23)*B23</f>
        <v>649669.53741341492</v>
      </c>
      <c r="Q23" s="208" t="s">
        <v>371</v>
      </c>
    </row>
    <row r="24" spans="1:17" s="78" customFormat="1" x14ac:dyDescent="0.25">
      <c r="A24" s="52" t="s">
        <v>94</v>
      </c>
      <c r="B24" s="53">
        <v>1</v>
      </c>
      <c r="C24" s="54">
        <v>488719</v>
      </c>
      <c r="D24" s="54">
        <v>393066.40744398901</v>
      </c>
      <c r="E24" s="55" t="s">
        <v>70</v>
      </c>
      <c r="F24" s="113" t="s">
        <v>95</v>
      </c>
      <c r="G24" s="209">
        <f>D24/C24</f>
        <v>0.8042789567092522</v>
      </c>
      <c r="H24" s="56">
        <v>0.8</v>
      </c>
      <c r="I24" s="136">
        <v>26800</v>
      </c>
      <c r="J24" s="61">
        <f>(G24^H24)*I24</f>
        <v>22514.38865048992</v>
      </c>
      <c r="K24" s="53">
        <v>2.2999999999999998</v>
      </c>
      <c r="L24" s="61">
        <f>J24*K24</f>
        <v>51783.093896126811</v>
      </c>
      <c r="M24" s="53">
        <v>2009</v>
      </c>
      <c r="N24" s="53">
        <v>2019</v>
      </c>
      <c r="O24" s="56">
        <v>575.4</v>
      </c>
      <c r="P24" s="61">
        <f>L24*($B$4/O24)</f>
        <v>54671.931772500939</v>
      </c>
      <c r="Q24" s="210" t="s">
        <v>72</v>
      </c>
    </row>
    <row r="25" spans="1:17" s="78" customFormat="1" ht="13.8" thickBot="1" x14ac:dyDescent="0.3">
      <c r="A25" s="65" t="s">
        <v>96</v>
      </c>
      <c r="B25" s="66">
        <v>1</v>
      </c>
      <c r="C25" s="212">
        <v>110</v>
      </c>
      <c r="D25" s="212">
        <v>110</v>
      </c>
      <c r="E25" s="137" t="s">
        <v>97</v>
      </c>
      <c r="F25" s="171" t="s">
        <v>98</v>
      </c>
      <c r="G25" s="213">
        <f>D25/C25</f>
        <v>1</v>
      </c>
      <c r="H25" s="66">
        <v>1</v>
      </c>
      <c r="I25" s="72">
        <f>25000*4.9</f>
        <v>122500.00000000001</v>
      </c>
      <c r="J25" s="72">
        <f>(G25^H25)*I25</f>
        <v>122500.00000000001</v>
      </c>
      <c r="K25" s="66">
        <v>1.8</v>
      </c>
      <c r="L25" s="72">
        <f>J25*K25</f>
        <v>220500.00000000003</v>
      </c>
      <c r="M25" s="66">
        <v>2004</v>
      </c>
      <c r="N25" s="66">
        <v>2019</v>
      </c>
      <c r="O25" s="214">
        <v>444.23700000000002</v>
      </c>
      <c r="P25" s="70">
        <f>L25*(B4/O25)</f>
        <v>301536.6797452711</v>
      </c>
      <c r="Q25" s="215" t="s">
        <v>99</v>
      </c>
    </row>
    <row r="26" spans="1:17" x14ac:dyDescent="0.25">
      <c r="A26" s="40"/>
      <c r="B26" s="41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76" t="s">
        <v>100</v>
      </c>
      <c r="O26" s="86" t="s">
        <v>101</v>
      </c>
      <c r="P26" s="77">
        <f>P23+P24</f>
        <v>704341.46918591589</v>
      </c>
      <c r="Q26" s="40"/>
    </row>
    <row r="27" spans="1:17" x14ac:dyDescent="0.25">
      <c r="N27" s="87" t="s">
        <v>100</v>
      </c>
      <c r="O27" s="88" t="s">
        <v>102</v>
      </c>
      <c r="P27" s="89">
        <f>SUM(P23:P25)</f>
        <v>1005878.148931187</v>
      </c>
    </row>
    <row r="28" spans="1:17" ht="13.8" thickBot="1" x14ac:dyDescent="0.3">
      <c r="A28" s="82"/>
      <c r="B28" s="32"/>
      <c r="C28" s="33"/>
      <c r="D28" s="33"/>
      <c r="E28" s="31"/>
      <c r="F28" s="33"/>
      <c r="G28" s="31"/>
      <c r="H28" s="31"/>
      <c r="I28" s="34"/>
      <c r="J28" s="31"/>
      <c r="K28" s="35"/>
      <c r="L28" s="35"/>
      <c r="M28" s="35"/>
      <c r="N28" s="35"/>
      <c r="O28" s="34"/>
      <c r="P28" s="31"/>
      <c r="Q28" s="31"/>
    </row>
    <row r="29" spans="1:17" x14ac:dyDescent="0.25">
      <c r="A29" s="45"/>
      <c r="B29" s="46" t="s">
        <v>48</v>
      </c>
      <c r="C29" s="47" t="s">
        <v>49</v>
      </c>
      <c r="D29" s="47" t="s">
        <v>103</v>
      </c>
      <c r="E29" s="46"/>
      <c r="F29" s="46" t="s">
        <v>51</v>
      </c>
      <c r="G29" s="49" t="s">
        <v>52</v>
      </c>
      <c r="H29" s="46" t="s">
        <v>51</v>
      </c>
      <c r="I29" s="50" t="s">
        <v>49</v>
      </c>
      <c r="J29" s="50" t="s">
        <v>73</v>
      </c>
      <c r="K29" s="49" t="s">
        <v>53</v>
      </c>
      <c r="L29" s="48" t="s">
        <v>54</v>
      </c>
      <c r="M29" s="46" t="s">
        <v>55</v>
      </c>
      <c r="N29" s="46" t="s">
        <v>56</v>
      </c>
      <c r="O29" s="46" t="s">
        <v>57</v>
      </c>
      <c r="P29" s="48" t="s">
        <v>54</v>
      </c>
      <c r="Q29" s="51" t="s">
        <v>58</v>
      </c>
    </row>
    <row r="30" spans="1:17" x14ac:dyDescent="0.25">
      <c r="A30" s="52" t="s">
        <v>104</v>
      </c>
      <c r="B30" s="53" t="s">
        <v>59</v>
      </c>
      <c r="C30" s="54" t="s">
        <v>60</v>
      </c>
      <c r="D30" s="54" t="s">
        <v>60</v>
      </c>
      <c r="E30" s="53" t="s">
        <v>61</v>
      </c>
      <c r="F30" s="53" t="s">
        <v>62</v>
      </c>
      <c r="G30" s="56" t="s">
        <v>63</v>
      </c>
      <c r="H30" s="53" t="s">
        <v>64</v>
      </c>
      <c r="I30" s="57" t="s">
        <v>65</v>
      </c>
      <c r="J30" s="57" t="s">
        <v>65</v>
      </c>
      <c r="K30" s="56" t="s">
        <v>66</v>
      </c>
      <c r="L30" s="55" t="s">
        <v>67</v>
      </c>
      <c r="M30" s="53" t="s">
        <v>68</v>
      </c>
      <c r="N30" s="53" t="s">
        <v>68</v>
      </c>
      <c r="O30" s="53" t="s">
        <v>67</v>
      </c>
      <c r="P30" s="55" t="s">
        <v>75</v>
      </c>
      <c r="Q30" s="58" t="s">
        <v>69</v>
      </c>
    </row>
    <row r="31" spans="1:17" x14ac:dyDescent="0.25">
      <c r="A31" s="52" t="s">
        <v>105</v>
      </c>
      <c r="B31" s="53">
        <v>1</v>
      </c>
      <c r="C31" s="90">
        <v>30379</v>
      </c>
      <c r="D31" s="90">
        <v>28752.771710367299</v>
      </c>
      <c r="E31" s="53" t="s">
        <v>70</v>
      </c>
      <c r="F31" s="91" t="s">
        <v>106</v>
      </c>
      <c r="G31" s="56">
        <f>D31/C31</f>
        <v>0.94646866948771513</v>
      </c>
      <c r="H31" s="53">
        <v>0.6</v>
      </c>
      <c r="I31" s="92">
        <v>3407000</v>
      </c>
      <c r="J31" s="93">
        <f>(G31^H31)*I31</f>
        <v>3296369.4378321022</v>
      </c>
      <c r="K31" s="56">
        <v>2.4</v>
      </c>
      <c r="L31" s="94">
        <f>J31*K31</f>
        <v>7911286.6507970449</v>
      </c>
      <c r="M31" s="53">
        <v>2009</v>
      </c>
      <c r="N31" s="53">
        <v>2019</v>
      </c>
      <c r="O31" s="53">
        <v>521.9</v>
      </c>
      <c r="P31" s="57">
        <f>($B$4/O31)*L31</f>
        <v>9208864.9939819984</v>
      </c>
      <c r="Q31" s="58" t="s">
        <v>72</v>
      </c>
    </row>
    <row r="32" spans="1:17" x14ac:dyDescent="0.25">
      <c r="A32" s="52" t="s">
        <v>107</v>
      </c>
      <c r="B32" s="53"/>
      <c r="C32" s="95"/>
      <c r="D32" s="95"/>
      <c r="E32" s="55"/>
      <c r="F32" s="96"/>
      <c r="G32" s="97"/>
      <c r="H32" s="55"/>
      <c r="I32" s="92" t="s">
        <v>108</v>
      </c>
      <c r="J32" s="93"/>
      <c r="K32" s="56"/>
      <c r="L32" s="94"/>
      <c r="M32" s="55"/>
      <c r="N32" s="55"/>
      <c r="O32" s="55"/>
      <c r="P32" s="57"/>
      <c r="Q32" s="58"/>
    </row>
    <row r="33" spans="1:17" x14ac:dyDescent="0.25">
      <c r="A33" s="52" t="s">
        <v>109</v>
      </c>
      <c r="B33" s="53"/>
      <c r="C33" s="54"/>
      <c r="D33" s="54"/>
      <c r="E33" s="55"/>
      <c r="F33" s="96"/>
      <c r="G33" s="97"/>
      <c r="H33" s="55"/>
      <c r="I33" s="92" t="s">
        <v>108</v>
      </c>
      <c r="J33" s="93"/>
      <c r="K33" s="56"/>
      <c r="L33" s="94"/>
      <c r="M33" s="55"/>
      <c r="N33" s="55"/>
      <c r="O33" s="55"/>
      <c r="P33" s="57"/>
      <c r="Q33" s="58"/>
    </row>
    <row r="34" spans="1:17" x14ac:dyDescent="0.25">
      <c r="A34" s="52" t="s">
        <v>110</v>
      </c>
      <c r="B34" s="53"/>
      <c r="C34" s="54"/>
      <c r="D34" s="54"/>
      <c r="E34" s="55"/>
      <c r="F34" s="96"/>
      <c r="G34" s="97"/>
      <c r="H34" s="55"/>
      <c r="I34" s="92" t="s">
        <v>108</v>
      </c>
      <c r="J34" s="93"/>
      <c r="K34" s="56"/>
      <c r="L34" s="94"/>
      <c r="M34" s="55"/>
      <c r="N34" s="55"/>
      <c r="O34" s="55"/>
      <c r="P34" s="57"/>
      <c r="Q34" s="58"/>
    </row>
    <row r="35" spans="1:17" x14ac:dyDescent="0.25">
      <c r="A35" s="52" t="s">
        <v>111</v>
      </c>
      <c r="B35" s="53"/>
      <c r="C35" s="54"/>
      <c r="D35" s="54"/>
      <c r="E35" s="55"/>
      <c r="F35" s="96"/>
      <c r="G35" s="97"/>
      <c r="H35" s="55"/>
      <c r="I35" s="92" t="s">
        <v>108</v>
      </c>
      <c r="J35" s="93"/>
      <c r="K35" s="56"/>
      <c r="L35" s="94"/>
      <c r="M35" s="55"/>
      <c r="N35" s="55"/>
      <c r="O35" s="55"/>
      <c r="P35" s="57"/>
      <c r="Q35" s="58"/>
    </row>
    <row r="36" spans="1:17" x14ac:dyDescent="0.25">
      <c r="A36" s="37" t="s">
        <v>112</v>
      </c>
      <c r="B36" s="38" t="s">
        <v>113</v>
      </c>
      <c r="C36" s="54"/>
      <c r="D36" s="54"/>
      <c r="E36" s="55"/>
      <c r="F36" s="96"/>
      <c r="G36" s="97"/>
      <c r="H36" s="55"/>
      <c r="I36" s="92" t="s">
        <v>108</v>
      </c>
      <c r="J36" s="93"/>
      <c r="K36" s="56"/>
      <c r="L36" s="94"/>
      <c r="M36" s="55"/>
      <c r="N36" s="55"/>
      <c r="O36" s="55"/>
      <c r="P36" s="57"/>
      <c r="Q36" s="58"/>
    </row>
    <row r="37" spans="1:17" x14ac:dyDescent="0.25">
      <c r="A37" s="98" t="s">
        <v>114</v>
      </c>
      <c r="B37" s="99" t="s">
        <v>115</v>
      </c>
      <c r="C37" s="100"/>
      <c r="D37" s="100"/>
      <c r="E37" s="101"/>
      <c r="F37" s="102"/>
      <c r="G37" s="103"/>
      <c r="H37" s="101"/>
      <c r="I37" s="104">
        <v>487000</v>
      </c>
      <c r="J37" s="105">
        <f>I37</f>
        <v>487000</v>
      </c>
      <c r="K37" s="106">
        <v>2.8</v>
      </c>
      <c r="L37" s="107">
        <f>K37*J37</f>
        <v>1363600</v>
      </c>
      <c r="M37" s="99">
        <v>2010</v>
      </c>
      <c r="N37" s="99">
        <v>2019</v>
      </c>
      <c r="O37" s="99">
        <v>550.79999999999995</v>
      </c>
      <c r="P37" s="108">
        <f>L37*(B4/O37)</f>
        <v>1503970.5882352942</v>
      </c>
      <c r="Q37" s="109" t="s">
        <v>72</v>
      </c>
    </row>
    <row r="38" spans="1:17" x14ac:dyDescent="0.25">
      <c r="A38" s="52" t="s">
        <v>116</v>
      </c>
      <c r="B38" s="53"/>
      <c r="C38" s="54"/>
      <c r="D38" s="54"/>
      <c r="E38" s="55"/>
      <c r="F38" s="96"/>
      <c r="G38" s="97"/>
      <c r="H38" s="55"/>
      <c r="I38" s="92" t="s">
        <v>108</v>
      </c>
      <c r="J38" s="110"/>
      <c r="K38" s="56"/>
      <c r="L38" s="94"/>
      <c r="M38" s="55"/>
      <c r="N38" s="55"/>
      <c r="O38" s="55"/>
      <c r="P38" s="57"/>
      <c r="Q38" s="58"/>
    </row>
    <row r="39" spans="1:17" x14ac:dyDescent="0.25">
      <c r="A39" s="52" t="s">
        <v>117</v>
      </c>
      <c r="B39" s="38"/>
      <c r="C39" s="54"/>
      <c r="D39" s="54"/>
      <c r="E39" s="55"/>
      <c r="F39" s="96"/>
      <c r="G39" s="97"/>
      <c r="H39" s="55"/>
      <c r="I39" s="92" t="s">
        <v>108</v>
      </c>
      <c r="J39" s="110"/>
      <c r="K39" s="97"/>
      <c r="L39" s="94"/>
      <c r="M39" s="55"/>
      <c r="N39" s="55"/>
      <c r="O39" s="55"/>
      <c r="P39" s="57"/>
      <c r="Q39" s="58"/>
    </row>
    <row r="40" spans="1:17" x14ac:dyDescent="0.25">
      <c r="A40" s="37" t="s">
        <v>118</v>
      </c>
      <c r="B40" s="38" t="s">
        <v>113</v>
      </c>
      <c r="C40" s="54"/>
      <c r="D40" s="54"/>
      <c r="E40" s="55"/>
      <c r="F40" s="96"/>
      <c r="G40" s="55"/>
      <c r="H40" s="55"/>
      <c r="I40" s="92" t="s">
        <v>108</v>
      </c>
      <c r="J40" s="110"/>
      <c r="K40" s="97"/>
      <c r="L40" s="94"/>
      <c r="M40" s="55"/>
      <c r="N40" s="55"/>
      <c r="O40" s="55"/>
      <c r="P40" s="57"/>
      <c r="Q40" s="58"/>
    </row>
    <row r="41" spans="1:17" x14ac:dyDescent="0.25">
      <c r="A41" s="52" t="s">
        <v>119</v>
      </c>
      <c r="B41" s="38"/>
      <c r="C41" s="54"/>
      <c r="D41" s="54"/>
      <c r="E41" s="55"/>
      <c r="F41" s="96"/>
      <c r="G41" s="55"/>
      <c r="H41" s="55"/>
      <c r="I41" s="92" t="s">
        <v>108</v>
      </c>
      <c r="J41" s="110"/>
      <c r="K41" s="97"/>
      <c r="L41" s="94"/>
      <c r="M41" s="55"/>
      <c r="N41" s="55"/>
      <c r="O41" s="55"/>
      <c r="P41" s="57"/>
      <c r="Q41" s="58"/>
    </row>
    <row r="42" spans="1:17" x14ac:dyDescent="0.25">
      <c r="A42" s="111" t="s">
        <v>120</v>
      </c>
      <c r="B42" s="38"/>
      <c r="C42" s="54"/>
      <c r="D42" s="54"/>
      <c r="E42" s="55"/>
      <c r="F42" s="96"/>
      <c r="G42" s="55"/>
      <c r="H42" s="55"/>
      <c r="I42" s="92" t="s">
        <v>108</v>
      </c>
      <c r="J42" s="110"/>
      <c r="K42" s="97"/>
      <c r="L42" s="94"/>
      <c r="M42" s="55"/>
      <c r="N42" s="55"/>
      <c r="O42" s="55"/>
      <c r="P42" s="57"/>
      <c r="Q42" s="58"/>
    </row>
    <row r="43" spans="1:17" x14ac:dyDescent="0.25">
      <c r="A43" s="52" t="s">
        <v>121</v>
      </c>
      <c r="B43" s="38"/>
      <c r="C43" s="54"/>
      <c r="D43" s="54"/>
      <c r="E43" s="55"/>
      <c r="F43" s="96"/>
      <c r="G43" s="55"/>
      <c r="H43" s="55"/>
      <c r="I43" s="92" t="s">
        <v>108</v>
      </c>
      <c r="J43" s="110"/>
      <c r="K43" s="97"/>
      <c r="L43" s="94"/>
      <c r="M43" s="55"/>
      <c r="N43" s="55"/>
      <c r="O43" s="55"/>
      <c r="P43" s="57"/>
      <c r="Q43" s="58"/>
    </row>
    <row r="44" spans="1:17" x14ac:dyDescent="0.25">
      <c r="A44" s="37" t="s">
        <v>122</v>
      </c>
      <c r="B44" s="38" t="s">
        <v>113</v>
      </c>
      <c r="C44" s="54"/>
      <c r="D44" s="54"/>
      <c r="E44" s="55"/>
      <c r="F44" s="96"/>
      <c r="G44" s="55"/>
      <c r="H44" s="55"/>
      <c r="I44" s="92" t="s">
        <v>108</v>
      </c>
      <c r="J44" s="110"/>
      <c r="K44" s="97"/>
      <c r="L44" s="94"/>
      <c r="M44" s="55"/>
      <c r="N44" s="55"/>
      <c r="O44" s="55"/>
      <c r="P44" s="57"/>
      <c r="Q44" s="58"/>
    </row>
    <row r="45" spans="1:17" x14ac:dyDescent="0.25">
      <c r="A45" s="52" t="s">
        <v>123</v>
      </c>
      <c r="B45" s="53"/>
      <c r="C45" s="54"/>
      <c r="D45" s="54"/>
      <c r="E45" s="55"/>
      <c r="F45" s="96"/>
      <c r="G45" s="55"/>
      <c r="H45" s="55"/>
      <c r="I45" s="92" t="s">
        <v>108</v>
      </c>
      <c r="J45" s="110"/>
      <c r="K45" s="97"/>
      <c r="L45" s="94"/>
      <c r="M45" s="55"/>
      <c r="N45" s="55"/>
      <c r="O45" s="55"/>
      <c r="P45" s="57"/>
      <c r="Q45" s="58"/>
    </row>
    <row r="46" spans="1:17" x14ac:dyDescent="0.25">
      <c r="A46" s="52"/>
      <c r="B46" s="53"/>
      <c r="C46" s="54"/>
      <c r="D46" s="54"/>
      <c r="E46" s="55"/>
      <c r="F46" s="96"/>
      <c r="G46" s="97"/>
      <c r="H46" s="55"/>
      <c r="I46" s="92"/>
      <c r="J46" s="110"/>
      <c r="K46" s="97"/>
      <c r="L46" s="94"/>
      <c r="M46" s="55"/>
      <c r="N46" s="55"/>
      <c r="O46" s="55"/>
      <c r="P46" s="57"/>
      <c r="Q46" s="58"/>
    </row>
    <row r="47" spans="1:17" x14ac:dyDescent="0.25">
      <c r="A47" s="112" t="s">
        <v>124</v>
      </c>
      <c r="B47" s="55" t="s">
        <v>125</v>
      </c>
      <c r="C47" s="53" t="s">
        <v>48</v>
      </c>
      <c r="D47" s="113" t="s">
        <v>51</v>
      </c>
      <c r="E47" s="95"/>
      <c r="F47" s="54" t="s">
        <v>49</v>
      </c>
      <c r="G47" s="95" t="s">
        <v>126</v>
      </c>
      <c r="H47" s="55" t="s">
        <v>127</v>
      </c>
      <c r="I47" s="53" t="s">
        <v>90</v>
      </c>
      <c r="J47" s="97" t="s">
        <v>54</v>
      </c>
      <c r="K47" s="55" t="s">
        <v>55</v>
      </c>
      <c r="L47" s="53" t="s">
        <v>57</v>
      </c>
      <c r="M47" s="53" t="s">
        <v>56</v>
      </c>
      <c r="N47" s="57" t="s">
        <v>54</v>
      </c>
      <c r="O47" s="55"/>
      <c r="P47" s="57"/>
      <c r="Q47" s="58"/>
    </row>
    <row r="48" spans="1:17" x14ac:dyDescent="0.25">
      <c r="A48" s="52"/>
      <c r="B48" s="53" t="s">
        <v>128</v>
      </c>
      <c r="C48" s="53" t="s">
        <v>59</v>
      </c>
      <c r="D48" s="113" t="s">
        <v>129</v>
      </c>
      <c r="E48" s="95" t="s">
        <v>61</v>
      </c>
      <c r="F48" s="54" t="s">
        <v>65</v>
      </c>
      <c r="G48" s="95" t="s">
        <v>66</v>
      </c>
      <c r="H48" s="55" t="s">
        <v>65</v>
      </c>
      <c r="I48" s="53" t="s">
        <v>66</v>
      </c>
      <c r="J48" s="97" t="s">
        <v>67</v>
      </c>
      <c r="K48" s="55" t="s">
        <v>68</v>
      </c>
      <c r="L48" s="53" t="s">
        <v>67</v>
      </c>
      <c r="M48" s="53" t="s">
        <v>68</v>
      </c>
      <c r="N48" s="114" t="s">
        <v>130</v>
      </c>
      <c r="O48" s="55"/>
      <c r="P48" s="57"/>
      <c r="Q48" s="58"/>
    </row>
    <row r="49" spans="1:17" x14ac:dyDescent="0.25">
      <c r="A49" s="37" t="s">
        <v>112</v>
      </c>
      <c r="B49" s="38" t="s">
        <v>113</v>
      </c>
      <c r="C49" s="38">
        <v>1</v>
      </c>
      <c r="D49" s="115">
        <v>116</v>
      </c>
      <c r="E49" s="116" t="s">
        <v>97</v>
      </c>
      <c r="F49" s="117">
        <v>14000</v>
      </c>
      <c r="G49" s="118">
        <v>5.9</v>
      </c>
      <c r="H49" s="119">
        <f t="shared" ref="H49:H54" si="4">F49*G49</f>
        <v>82600</v>
      </c>
      <c r="I49" s="38">
        <v>2.4</v>
      </c>
      <c r="J49" s="117">
        <f t="shared" ref="J49:J54" si="5">H49*I49</f>
        <v>198240</v>
      </c>
      <c r="K49" s="120">
        <v>2004</v>
      </c>
      <c r="L49" s="38">
        <v>400</v>
      </c>
      <c r="M49" s="38">
        <v>2019</v>
      </c>
      <c r="N49" s="121">
        <f>J49*$B$4/L49</f>
        <v>301077</v>
      </c>
      <c r="O49" s="55" t="s">
        <v>131</v>
      </c>
      <c r="P49" s="57"/>
      <c r="Q49" s="58"/>
    </row>
    <row r="50" spans="1:17" x14ac:dyDescent="0.25">
      <c r="A50" s="37" t="s">
        <v>122</v>
      </c>
      <c r="B50" s="38" t="s">
        <v>113</v>
      </c>
      <c r="C50" s="38">
        <v>1</v>
      </c>
      <c r="D50" s="115">
        <v>75</v>
      </c>
      <c r="E50" s="116" t="s">
        <v>132</v>
      </c>
      <c r="F50" s="117">
        <v>5000</v>
      </c>
      <c r="G50" s="118">
        <v>3.8</v>
      </c>
      <c r="H50" s="119">
        <f t="shared" si="4"/>
        <v>19000</v>
      </c>
      <c r="I50" s="38">
        <v>2.4</v>
      </c>
      <c r="J50" s="117">
        <f t="shared" si="5"/>
        <v>45600</v>
      </c>
      <c r="K50" s="120">
        <v>2004</v>
      </c>
      <c r="L50" s="38">
        <v>400</v>
      </c>
      <c r="M50" s="38">
        <v>2019</v>
      </c>
      <c r="N50" s="121">
        <f t="shared" ref="N50:N54" si="6">J50*$B$4/L50</f>
        <v>69255</v>
      </c>
      <c r="O50" s="55" t="s">
        <v>131</v>
      </c>
      <c r="P50" s="57"/>
      <c r="Q50" s="58"/>
    </row>
    <row r="51" spans="1:17" x14ac:dyDescent="0.25">
      <c r="A51" s="37" t="s">
        <v>133</v>
      </c>
      <c r="B51" s="38" t="s">
        <v>113</v>
      </c>
      <c r="C51" s="38">
        <v>1</v>
      </c>
      <c r="D51" s="115">
        <v>2</v>
      </c>
      <c r="E51" s="116" t="s">
        <v>134</v>
      </c>
      <c r="F51" s="117">
        <v>4500</v>
      </c>
      <c r="G51" s="118">
        <v>4.9000000000000004</v>
      </c>
      <c r="H51" s="119">
        <f t="shared" si="4"/>
        <v>22050</v>
      </c>
      <c r="I51" s="38">
        <v>2.4</v>
      </c>
      <c r="J51" s="117">
        <f t="shared" si="5"/>
        <v>52920</v>
      </c>
      <c r="K51" s="120">
        <v>2004</v>
      </c>
      <c r="L51" s="38">
        <v>400</v>
      </c>
      <c r="M51" s="38">
        <v>2019</v>
      </c>
      <c r="N51" s="121">
        <f t="shared" si="6"/>
        <v>80372.25</v>
      </c>
      <c r="O51" s="55" t="s">
        <v>131</v>
      </c>
      <c r="P51" s="57"/>
      <c r="Q51" s="58"/>
    </row>
    <row r="52" spans="1:17" ht="13.5" customHeight="1" x14ac:dyDescent="0.25">
      <c r="A52" s="98" t="s">
        <v>114</v>
      </c>
      <c r="B52" s="99" t="s">
        <v>115</v>
      </c>
      <c r="C52" s="99">
        <v>1</v>
      </c>
      <c r="D52" s="122">
        <v>861</v>
      </c>
      <c r="E52" s="123" t="s">
        <v>97</v>
      </c>
      <c r="F52" s="124">
        <v>65000</v>
      </c>
      <c r="G52" s="125">
        <v>5.9</v>
      </c>
      <c r="H52" s="126">
        <f t="shared" si="4"/>
        <v>383500</v>
      </c>
      <c r="I52" s="99">
        <v>2.2000000000000002</v>
      </c>
      <c r="J52" s="124">
        <f t="shared" si="5"/>
        <v>843700.00000000012</v>
      </c>
      <c r="K52" s="127">
        <v>2004</v>
      </c>
      <c r="L52" s="99">
        <v>400</v>
      </c>
      <c r="M52" s="99">
        <v>2019</v>
      </c>
      <c r="N52" s="128">
        <f t="shared" si="6"/>
        <v>1281369.3750000002</v>
      </c>
      <c r="O52" s="55" t="s">
        <v>131</v>
      </c>
      <c r="P52" s="57"/>
      <c r="Q52" s="58"/>
    </row>
    <row r="53" spans="1:17" ht="13.5" customHeight="1" x14ac:dyDescent="0.25">
      <c r="A53" s="52" t="s">
        <v>135</v>
      </c>
      <c r="B53" s="53" t="s">
        <v>136</v>
      </c>
      <c r="C53" s="53">
        <v>1</v>
      </c>
      <c r="D53" s="113">
        <v>407</v>
      </c>
      <c r="E53" s="95" t="s">
        <v>137</v>
      </c>
      <c r="F53" s="61">
        <v>30000</v>
      </c>
      <c r="G53" s="91">
        <v>3.5</v>
      </c>
      <c r="H53" s="129">
        <f t="shared" si="4"/>
        <v>105000</v>
      </c>
      <c r="I53" s="53">
        <v>1.6</v>
      </c>
      <c r="J53" s="61">
        <f t="shared" si="5"/>
        <v>168000</v>
      </c>
      <c r="K53" s="130">
        <v>2004</v>
      </c>
      <c r="L53" s="53">
        <v>400</v>
      </c>
      <c r="M53" s="53">
        <v>2019</v>
      </c>
      <c r="N53" s="60">
        <f t="shared" si="6"/>
        <v>255150</v>
      </c>
      <c r="O53" s="55" t="s">
        <v>138</v>
      </c>
      <c r="P53" s="57"/>
      <c r="Q53" s="58"/>
    </row>
    <row r="54" spans="1:17" ht="13.5" customHeight="1" thickBot="1" x14ac:dyDescent="0.3">
      <c r="A54" s="65" t="s">
        <v>139</v>
      </c>
      <c r="B54" s="66" t="s">
        <v>136</v>
      </c>
      <c r="C54" s="66">
        <v>1</v>
      </c>
      <c r="D54" s="66">
        <v>407</v>
      </c>
      <c r="E54" s="66" t="s">
        <v>137</v>
      </c>
      <c r="F54" s="131">
        <v>4000</v>
      </c>
      <c r="G54" s="66">
        <v>1.5</v>
      </c>
      <c r="H54" s="132">
        <f t="shared" si="4"/>
        <v>6000</v>
      </c>
      <c r="I54" s="66">
        <v>1.6</v>
      </c>
      <c r="J54" s="72">
        <f t="shared" si="5"/>
        <v>9600</v>
      </c>
      <c r="K54" s="66">
        <v>2004</v>
      </c>
      <c r="L54" s="66">
        <v>400</v>
      </c>
      <c r="M54" s="66">
        <v>2019</v>
      </c>
      <c r="N54" s="70">
        <f t="shared" si="6"/>
        <v>14580</v>
      </c>
      <c r="O54" s="68" t="s">
        <v>140</v>
      </c>
      <c r="P54" s="68"/>
      <c r="Q54" s="73"/>
    </row>
    <row r="55" spans="1:17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76" t="s">
        <v>141</v>
      </c>
      <c r="P55" s="77">
        <f>P31-P37-SUM(N49:N51)+SUM(N52:N54)</f>
        <v>8805289.530746704</v>
      </c>
      <c r="Q55" s="40"/>
    </row>
    <row r="56" spans="1:17" x14ac:dyDescent="0.25">
      <c r="B56" s="23"/>
      <c r="C56" s="23"/>
      <c r="D56" s="23"/>
      <c r="E56" s="23"/>
      <c r="F56" s="23"/>
      <c r="I56" s="23"/>
      <c r="K56" s="23"/>
      <c r="L56" s="23"/>
      <c r="M56" s="23"/>
      <c r="N56" s="23"/>
      <c r="O56" s="23"/>
    </row>
    <row r="57" spans="1:17" x14ac:dyDescent="0.25">
      <c r="A57" s="52"/>
      <c r="B57" s="53" t="s">
        <v>48</v>
      </c>
      <c r="C57" s="54" t="s">
        <v>49</v>
      </c>
      <c r="D57" s="133" t="s">
        <v>103</v>
      </c>
      <c r="E57" s="53"/>
      <c r="F57" s="53" t="s">
        <v>51</v>
      </c>
      <c r="G57" s="56" t="s">
        <v>52</v>
      </c>
      <c r="H57" s="53" t="s">
        <v>51</v>
      </c>
      <c r="I57" s="57" t="s">
        <v>49</v>
      </c>
      <c r="J57" s="57" t="s">
        <v>73</v>
      </c>
      <c r="K57" s="56" t="s">
        <v>53</v>
      </c>
      <c r="L57" s="55" t="s">
        <v>54</v>
      </c>
      <c r="M57" s="53" t="s">
        <v>55</v>
      </c>
      <c r="N57" s="53" t="s">
        <v>56</v>
      </c>
      <c r="O57" s="53" t="s">
        <v>57</v>
      </c>
      <c r="P57" s="55" t="s">
        <v>54</v>
      </c>
      <c r="Q57" s="58" t="s">
        <v>58</v>
      </c>
    </row>
    <row r="58" spans="1:17" x14ac:dyDescent="0.25">
      <c r="A58" s="52" t="s">
        <v>142</v>
      </c>
      <c r="B58" s="53" t="s">
        <v>59</v>
      </c>
      <c r="C58" s="54" t="s">
        <v>60</v>
      </c>
      <c r="D58" s="133" t="s">
        <v>60</v>
      </c>
      <c r="E58" s="53" t="s">
        <v>61</v>
      </c>
      <c r="F58" s="53" t="s">
        <v>62</v>
      </c>
      <c r="G58" s="56" t="s">
        <v>63</v>
      </c>
      <c r="H58" s="53" t="s">
        <v>64</v>
      </c>
      <c r="I58" s="57" t="s">
        <v>65</v>
      </c>
      <c r="J58" s="57" t="s">
        <v>65</v>
      </c>
      <c r="K58" s="56" t="s">
        <v>66</v>
      </c>
      <c r="L58" s="55" t="s">
        <v>67</v>
      </c>
      <c r="M58" s="53" t="s">
        <v>68</v>
      </c>
      <c r="N58" s="53" t="s">
        <v>68</v>
      </c>
      <c r="O58" s="53" t="s">
        <v>67</v>
      </c>
      <c r="P58" s="55" t="s">
        <v>75</v>
      </c>
      <c r="Q58" s="58" t="s">
        <v>69</v>
      </c>
    </row>
    <row r="59" spans="1:17" x14ac:dyDescent="0.25">
      <c r="A59" s="52" t="s">
        <v>143</v>
      </c>
      <c r="B59" s="53">
        <v>1</v>
      </c>
      <c r="C59" s="54">
        <v>22687</v>
      </c>
      <c r="D59" s="54">
        <v>21419.111310832501</v>
      </c>
      <c r="E59" s="53" t="s">
        <v>70</v>
      </c>
      <c r="F59" s="53" t="s">
        <v>144</v>
      </c>
      <c r="G59" s="56">
        <f>D59/C59</f>
        <v>0.94411386744975101</v>
      </c>
      <c r="H59" s="53">
        <v>0.6</v>
      </c>
      <c r="I59" s="61">
        <v>2601000</v>
      </c>
      <c r="J59" s="64">
        <f>(G59^H59)*I59</f>
        <v>2512782.9595969031</v>
      </c>
      <c r="K59" s="134">
        <v>2.4</v>
      </c>
      <c r="L59" s="61">
        <f>J59*K59</f>
        <v>6030679.1030325675</v>
      </c>
      <c r="M59" s="53">
        <v>2009</v>
      </c>
      <c r="N59" s="53">
        <v>2019</v>
      </c>
      <c r="O59" s="53">
        <v>521.9</v>
      </c>
      <c r="P59" s="57">
        <f>($B$4/O59)*L59</f>
        <v>7019807.5399353988</v>
      </c>
      <c r="Q59" s="58" t="s">
        <v>72</v>
      </c>
    </row>
    <row r="60" spans="1:17" x14ac:dyDescent="0.25">
      <c r="A60" s="52" t="s">
        <v>145</v>
      </c>
      <c r="B60" s="53">
        <v>1</v>
      </c>
      <c r="C60" s="54">
        <v>488719</v>
      </c>
      <c r="D60" s="135">
        <v>466658.07314037101</v>
      </c>
      <c r="E60" s="53" t="s">
        <v>70</v>
      </c>
      <c r="F60" s="53" t="s">
        <v>84</v>
      </c>
      <c r="G60" s="56">
        <f>D60/C60</f>
        <v>0.95485969062052223</v>
      </c>
      <c r="H60" s="53">
        <v>0.6</v>
      </c>
      <c r="I60" s="136">
        <v>26800</v>
      </c>
      <c r="J60" s="63">
        <f>((G60)^H60)*I60</f>
        <v>26067.448849574805</v>
      </c>
      <c r="K60" s="53">
        <v>2.2999999999999998</v>
      </c>
      <c r="L60" s="61">
        <f>K60*J60</f>
        <v>59955.132354022047</v>
      </c>
      <c r="M60" s="53">
        <v>2009</v>
      </c>
      <c r="N60" s="53">
        <v>2019</v>
      </c>
      <c r="O60" s="53">
        <v>521.9</v>
      </c>
      <c r="P60" s="57">
        <f t="shared" ref="P60" si="7">($B$4/O60)*L60</f>
        <v>69788.739040177039</v>
      </c>
      <c r="Q60" s="58" t="s">
        <v>72</v>
      </c>
    </row>
    <row r="61" spans="1:17" ht="13.8" thickBot="1" x14ac:dyDescent="0.3">
      <c r="A61" s="65" t="s">
        <v>146</v>
      </c>
      <c r="B61" s="66">
        <v>1</v>
      </c>
      <c r="C61" s="137">
        <v>488719</v>
      </c>
      <c r="D61" s="138">
        <v>460673.90313043603</v>
      </c>
      <c r="E61" s="66" t="s">
        <v>70</v>
      </c>
      <c r="F61" s="66" t="s">
        <v>147</v>
      </c>
      <c r="G61" s="69">
        <f>D61/C61</f>
        <v>0.94261508787347337</v>
      </c>
      <c r="H61" s="66">
        <v>0.6</v>
      </c>
      <c r="I61" s="131">
        <v>26800</v>
      </c>
      <c r="J61" s="70">
        <f>((G61)^H61)*I61</f>
        <v>25866.366465480161</v>
      </c>
      <c r="K61" s="66">
        <v>2.2999999999999998</v>
      </c>
      <c r="L61" s="72">
        <f>K61*J61</f>
        <v>59492.642870604366</v>
      </c>
      <c r="M61" s="66">
        <v>2009</v>
      </c>
      <c r="N61" s="66">
        <v>2019</v>
      </c>
      <c r="O61" s="53">
        <v>521.9</v>
      </c>
      <c r="P61" s="139">
        <f>($B$4/O61)*L61</f>
        <v>69250.393837693337</v>
      </c>
      <c r="Q61" s="73" t="s">
        <v>72</v>
      </c>
    </row>
    <row r="62" spans="1:17" s="62" customFormat="1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76" t="s">
        <v>148</v>
      </c>
      <c r="P62" s="140">
        <f>SUM(P59:P60)</f>
        <v>7089596.2789755762</v>
      </c>
      <c r="Q62" s="141"/>
    </row>
    <row r="63" spans="1:17" s="62" customFormat="1" ht="13.8" thickBot="1" x14ac:dyDescent="0.3">
      <c r="A63" s="142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76"/>
      <c r="P63" s="143"/>
      <c r="Q63" s="144"/>
    </row>
    <row r="64" spans="1:17" x14ac:dyDescent="0.25">
      <c r="A64" s="45"/>
      <c r="B64" s="46" t="s">
        <v>48</v>
      </c>
      <c r="C64" s="47"/>
      <c r="D64" s="47" t="s">
        <v>103</v>
      </c>
      <c r="E64" s="46"/>
      <c r="F64" s="46" t="s">
        <v>51</v>
      </c>
      <c r="G64" s="49" t="s">
        <v>52</v>
      </c>
      <c r="H64" s="46" t="s">
        <v>51</v>
      </c>
      <c r="I64" s="50" t="s">
        <v>49</v>
      </c>
      <c r="J64" s="50" t="s">
        <v>73</v>
      </c>
      <c r="K64" s="49" t="s">
        <v>53</v>
      </c>
      <c r="L64" s="48" t="s">
        <v>54</v>
      </c>
      <c r="M64" s="46" t="s">
        <v>55</v>
      </c>
      <c r="N64" s="46" t="s">
        <v>56</v>
      </c>
      <c r="O64" s="46" t="s">
        <v>57</v>
      </c>
      <c r="P64" s="48" t="s">
        <v>54</v>
      </c>
      <c r="Q64" s="51" t="s">
        <v>58</v>
      </c>
    </row>
    <row r="65" spans="1:17" x14ac:dyDescent="0.25">
      <c r="A65" s="52" t="s">
        <v>149</v>
      </c>
      <c r="B65" s="53" t="s">
        <v>59</v>
      </c>
      <c r="C65" s="54" t="s">
        <v>150</v>
      </c>
      <c r="D65" s="54" t="s">
        <v>60</v>
      </c>
      <c r="E65" s="53" t="s">
        <v>61</v>
      </c>
      <c r="F65" s="53" t="s">
        <v>62</v>
      </c>
      <c r="G65" s="56" t="s">
        <v>63</v>
      </c>
      <c r="H65" s="53" t="s">
        <v>64</v>
      </c>
      <c r="I65" s="57" t="s">
        <v>65</v>
      </c>
      <c r="J65" s="57" t="s">
        <v>65</v>
      </c>
      <c r="K65" s="56" t="s">
        <v>66</v>
      </c>
      <c r="L65" s="55" t="s">
        <v>67</v>
      </c>
      <c r="M65" s="53" t="s">
        <v>68</v>
      </c>
      <c r="N65" s="53" t="s">
        <v>68</v>
      </c>
      <c r="O65" s="53" t="s">
        <v>67</v>
      </c>
      <c r="P65" s="55" t="s">
        <v>75</v>
      </c>
      <c r="Q65" s="58" t="s">
        <v>69</v>
      </c>
    </row>
    <row r="66" spans="1:17" x14ac:dyDescent="0.25">
      <c r="A66" s="52" t="s">
        <v>151</v>
      </c>
      <c r="B66" s="53">
        <v>1</v>
      </c>
      <c r="C66" s="54">
        <v>22608</v>
      </c>
      <c r="D66" s="54">
        <v>23647.472175112998</v>
      </c>
      <c r="E66" s="53" t="s">
        <v>70</v>
      </c>
      <c r="F66" s="53" t="s">
        <v>152</v>
      </c>
      <c r="G66" s="56">
        <f t="shared" ref="G66:G83" si="8">D66/C66</f>
        <v>1.0459780686090321</v>
      </c>
      <c r="H66" s="53">
        <v>0.6</v>
      </c>
      <c r="I66" s="57">
        <v>215000</v>
      </c>
      <c r="J66" s="93">
        <f t="shared" ref="J66:J83" si="9">(G66^H66)*I66</f>
        <v>220877.76903750672</v>
      </c>
      <c r="K66" s="56">
        <v>2.4</v>
      </c>
      <c r="L66" s="94">
        <f t="shared" ref="L66:L83" si="10">J66*K66</f>
        <v>530106.6456900161</v>
      </c>
      <c r="M66" s="53">
        <v>2009</v>
      </c>
      <c r="N66" s="53">
        <v>2014</v>
      </c>
      <c r="O66" s="53">
        <v>521.9</v>
      </c>
      <c r="P66" s="57">
        <f t="shared" ref="P66:P83" si="11">($B$4/O66)*L66</f>
        <v>617052.66766944772</v>
      </c>
      <c r="Q66" s="58" t="s">
        <v>72</v>
      </c>
    </row>
    <row r="67" spans="1:17" x14ac:dyDescent="0.25">
      <c r="A67" s="52" t="s">
        <v>153</v>
      </c>
      <c r="B67" s="53">
        <v>1</v>
      </c>
      <c r="C67" s="54">
        <v>24527</v>
      </c>
      <c r="D67" s="54">
        <v>54403.8846467154</v>
      </c>
      <c r="E67" s="53" t="s">
        <v>70</v>
      </c>
      <c r="F67" s="53" t="s">
        <v>154</v>
      </c>
      <c r="G67" s="56">
        <f t="shared" si="8"/>
        <v>2.2181222590090677</v>
      </c>
      <c r="H67" s="53">
        <v>0.8</v>
      </c>
      <c r="I67" s="57">
        <v>6300</v>
      </c>
      <c r="J67" s="93">
        <f t="shared" si="9"/>
        <v>11915.957168030596</v>
      </c>
      <c r="K67" s="56">
        <v>2.2999999999999998</v>
      </c>
      <c r="L67" s="94">
        <f t="shared" si="10"/>
        <v>27406.701486470371</v>
      </c>
      <c r="M67" s="53">
        <v>2009</v>
      </c>
      <c r="N67" s="53">
        <v>2014</v>
      </c>
      <c r="O67" s="53">
        <v>521.9</v>
      </c>
      <c r="P67" s="57">
        <f t="shared" si="11"/>
        <v>31901.841642135947</v>
      </c>
      <c r="Q67" s="58" t="s">
        <v>72</v>
      </c>
    </row>
    <row r="68" spans="1:17" s="151" customFormat="1" x14ac:dyDescent="0.25">
      <c r="A68" s="111" t="s">
        <v>155</v>
      </c>
      <c r="B68" s="145">
        <v>1</v>
      </c>
      <c r="C68" s="146">
        <v>31815</v>
      </c>
      <c r="D68" s="146">
        <v>43112.934538045098</v>
      </c>
      <c r="E68" s="145" t="s">
        <v>70</v>
      </c>
      <c r="F68" s="145" t="s">
        <v>156</v>
      </c>
      <c r="G68" s="147">
        <f t="shared" si="8"/>
        <v>1.3551134539696714</v>
      </c>
      <c r="H68" s="145">
        <v>0.8</v>
      </c>
      <c r="I68" s="148">
        <v>3294700</v>
      </c>
      <c r="J68" s="148">
        <f t="shared" si="9"/>
        <v>4201422.9323279494</v>
      </c>
      <c r="K68" s="147">
        <v>1.7</v>
      </c>
      <c r="L68" s="149">
        <f t="shared" si="10"/>
        <v>7142418.9849575134</v>
      </c>
      <c r="M68" s="145">
        <v>2009</v>
      </c>
      <c r="N68" s="145">
        <v>2014</v>
      </c>
      <c r="O68" s="145">
        <v>521.9</v>
      </c>
      <c r="P68" s="148">
        <f t="shared" si="11"/>
        <v>8313890.655990974</v>
      </c>
      <c r="Q68" s="150" t="s">
        <v>72</v>
      </c>
    </row>
    <row r="69" spans="1:17" s="151" customFormat="1" x14ac:dyDescent="0.25">
      <c r="A69" s="111" t="s">
        <v>157</v>
      </c>
      <c r="B69" s="145">
        <v>1</v>
      </c>
      <c r="C69" s="146">
        <v>12233</v>
      </c>
      <c r="D69" s="146">
        <v>12132.160828281299</v>
      </c>
      <c r="E69" s="145" t="s">
        <v>70</v>
      </c>
      <c r="F69" s="145" t="s">
        <v>158</v>
      </c>
      <c r="G69" s="147">
        <f t="shared" si="8"/>
        <v>0.99175679132521044</v>
      </c>
      <c r="H69" s="145">
        <v>0.6</v>
      </c>
      <c r="I69" s="148">
        <v>405000</v>
      </c>
      <c r="J69" s="148">
        <f t="shared" si="9"/>
        <v>402993.58513131231</v>
      </c>
      <c r="K69" s="147">
        <v>1.6</v>
      </c>
      <c r="L69" s="149">
        <f t="shared" si="10"/>
        <v>644789.73621009977</v>
      </c>
      <c r="M69" s="145">
        <v>2009</v>
      </c>
      <c r="N69" s="145">
        <v>2014</v>
      </c>
      <c r="O69" s="145">
        <v>521.9</v>
      </c>
      <c r="P69" s="148">
        <f t="shared" si="11"/>
        <v>750545.63086345198</v>
      </c>
      <c r="Q69" s="150" t="s">
        <v>72</v>
      </c>
    </row>
    <row r="70" spans="1:17" s="151" customFormat="1" x14ac:dyDescent="0.25">
      <c r="A70" s="111" t="s">
        <v>159</v>
      </c>
      <c r="B70" s="145">
        <v>1</v>
      </c>
      <c r="C70" s="146">
        <v>813.6</v>
      </c>
      <c r="D70" s="146">
        <v>826.81140179549504</v>
      </c>
      <c r="E70" s="145" t="s">
        <v>70</v>
      </c>
      <c r="F70" s="145" t="s">
        <v>160</v>
      </c>
      <c r="G70" s="147">
        <f t="shared" si="8"/>
        <v>1.0162382027968229</v>
      </c>
      <c r="H70" s="145">
        <v>0.6</v>
      </c>
      <c r="I70" s="148">
        <v>75200</v>
      </c>
      <c r="J70" s="148">
        <f t="shared" si="9"/>
        <v>75930.306126060255</v>
      </c>
      <c r="K70" s="147">
        <v>1.6</v>
      </c>
      <c r="L70" s="149">
        <f t="shared" si="10"/>
        <v>121488.48980169641</v>
      </c>
      <c r="M70" s="145">
        <v>2009</v>
      </c>
      <c r="N70" s="145">
        <v>2014</v>
      </c>
      <c r="O70" s="145">
        <v>521.9</v>
      </c>
      <c r="P70" s="148">
        <f t="shared" si="11"/>
        <v>141414.5574909572</v>
      </c>
      <c r="Q70" s="150" t="s">
        <v>72</v>
      </c>
    </row>
    <row r="71" spans="1:17" s="151" customFormat="1" x14ac:dyDescent="0.25">
      <c r="A71" s="111" t="s">
        <v>161</v>
      </c>
      <c r="B71" s="145">
        <v>1</v>
      </c>
      <c r="C71" s="146">
        <v>31815</v>
      </c>
      <c r="D71" s="146">
        <v>43112.934538045098</v>
      </c>
      <c r="E71" s="145" t="s">
        <v>70</v>
      </c>
      <c r="F71" s="145" t="s">
        <v>156</v>
      </c>
      <c r="G71" s="147">
        <f t="shared" si="8"/>
        <v>1.3551134539696714</v>
      </c>
      <c r="H71" s="145">
        <v>0.7</v>
      </c>
      <c r="I71" s="148">
        <v>17000</v>
      </c>
      <c r="J71" s="148">
        <f t="shared" si="9"/>
        <v>21029.642089837682</v>
      </c>
      <c r="K71" s="147">
        <v>3.1</v>
      </c>
      <c r="L71" s="149">
        <f t="shared" si="10"/>
        <v>65191.890478496818</v>
      </c>
      <c r="M71" s="145">
        <v>2010</v>
      </c>
      <c r="N71" s="145">
        <v>2014</v>
      </c>
      <c r="O71" s="145">
        <v>550.79999999999995</v>
      </c>
      <c r="P71" s="148">
        <f t="shared" si="11"/>
        <v>71902.820380695019</v>
      </c>
      <c r="Q71" s="150" t="s">
        <v>72</v>
      </c>
    </row>
    <row r="72" spans="1:17" s="151" customFormat="1" x14ac:dyDescent="0.25">
      <c r="A72" s="111" t="s">
        <v>162</v>
      </c>
      <c r="B72" s="145">
        <v>1</v>
      </c>
      <c r="C72" s="146">
        <v>31815</v>
      </c>
      <c r="D72" s="146">
        <v>43112.934538045098</v>
      </c>
      <c r="E72" s="145" t="s">
        <v>70</v>
      </c>
      <c r="F72" s="145" t="s">
        <v>156</v>
      </c>
      <c r="G72" s="147">
        <f t="shared" si="8"/>
        <v>1.3551134539696714</v>
      </c>
      <c r="H72" s="145">
        <v>0.7</v>
      </c>
      <c r="I72" s="148">
        <v>8000</v>
      </c>
      <c r="J72" s="148">
        <f t="shared" si="9"/>
        <v>9896.3021599236145</v>
      </c>
      <c r="K72" s="147">
        <v>3.1</v>
      </c>
      <c r="L72" s="149">
        <f>J72*K72</f>
        <v>30678.536695763207</v>
      </c>
      <c r="M72" s="145">
        <v>2010</v>
      </c>
      <c r="N72" s="145">
        <v>2014</v>
      </c>
      <c r="O72" s="145">
        <v>550.79999999999995</v>
      </c>
      <c r="P72" s="148">
        <f t="shared" si="11"/>
        <v>33836.621355621188</v>
      </c>
      <c r="Q72" s="150" t="s">
        <v>72</v>
      </c>
    </row>
    <row r="73" spans="1:17" s="151" customFormat="1" x14ac:dyDescent="0.25">
      <c r="A73" s="111" t="s">
        <v>163</v>
      </c>
      <c r="B73" s="145">
        <v>1</v>
      </c>
      <c r="C73" s="146">
        <v>31815</v>
      </c>
      <c r="D73" s="146">
        <v>43112.934538045098</v>
      </c>
      <c r="E73" s="145" t="s">
        <v>70</v>
      </c>
      <c r="F73" s="145" t="s">
        <v>156</v>
      </c>
      <c r="G73" s="147">
        <f t="shared" si="8"/>
        <v>1.3551134539696714</v>
      </c>
      <c r="H73" s="145">
        <v>0.8</v>
      </c>
      <c r="I73" s="148">
        <v>70000</v>
      </c>
      <c r="J73" s="148">
        <f t="shared" si="9"/>
        <v>89264.456631243054</v>
      </c>
      <c r="K73" s="147">
        <v>1.7</v>
      </c>
      <c r="L73" s="149">
        <f>J73*K73</f>
        <v>151749.5762731132</v>
      </c>
      <c r="M73" s="145">
        <v>2009</v>
      </c>
      <c r="N73" s="145">
        <v>2014</v>
      </c>
      <c r="O73" s="145">
        <v>521.9</v>
      </c>
      <c r="P73" s="148">
        <f t="shared" si="11"/>
        <v>176638.94919700376</v>
      </c>
      <c r="Q73" s="150" t="s">
        <v>72</v>
      </c>
    </row>
    <row r="74" spans="1:17" s="151" customFormat="1" x14ac:dyDescent="0.25">
      <c r="A74" s="111" t="s">
        <v>164</v>
      </c>
      <c r="B74" s="145">
        <v>1</v>
      </c>
      <c r="C74" s="146">
        <v>31815</v>
      </c>
      <c r="D74" s="146">
        <v>43112.934538045098</v>
      </c>
      <c r="E74" s="145" t="s">
        <v>70</v>
      </c>
      <c r="F74" s="145" t="s">
        <v>156</v>
      </c>
      <c r="G74" s="147">
        <f t="shared" si="8"/>
        <v>1.3551134539696714</v>
      </c>
      <c r="H74" s="145">
        <v>0.8</v>
      </c>
      <c r="I74" s="148">
        <v>20000</v>
      </c>
      <c r="J74" s="148">
        <f t="shared" si="9"/>
        <v>25504.130466069444</v>
      </c>
      <c r="K74" s="147">
        <v>1.7</v>
      </c>
      <c r="L74" s="149">
        <f>J74*K74</f>
        <v>43357.021792318053</v>
      </c>
      <c r="M74" s="145">
        <v>2009</v>
      </c>
      <c r="N74" s="145">
        <v>2014</v>
      </c>
      <c r="O74" s="145">
        <v>521.9</v>
      </c>
      <c r="P74" s="148">
        <f t="shared" si="11"/>
        <v>50468.271199143928</v>
      </c>
      <c r="Q74" s="150" t="s">
        <v>72</v>
      </c>
    </row>
    <row r="75" spans="1:17" s="151" customFormat="1" x14ac:dyDescent="0.25">
      <c r="A75" s="111" t="s">
        <v>165</v>
      </c>
      <c r="B75" s="145">
        <v>1</v>
      </c>
      <c r="C75" s="146">
        <v>31815</v>
      </c>
      <c r="D75" s="146">
        <v>43112.934538045098</v>
      </c>
      <c r="E75" s="145" t="s">
        <v>70</v>
      </c>
      <c r="F75" s="145" t="s">
        <v>156</v>
      </c>
      <c r="G75" s="147">
        <f t="shared" si="8"/>
        <v>1.3551134539696714</v>
      </c>
      <c r="H75" s="145">
        <v>0.5</v>
      </c>
      <c r="I75" s="148">
        <v>26000</v>
      </c>
      <c r="J75" s="148">
        <f t="shared" si="9"/>
        <v>30266.428512189839</v>
      </c>
      <c r="K75" s="147">
        <v>1.5</v>
      </c>
      <c r="L75" s="149">
        <f>J75*K75</f>
        <v>45399.642768284757</v>
      </c>
      <c r="M75" s="145">
        <v>2009</v>
      </c>
      <c r="N75" s="145">
        <v>2014</v>
      </c>
      <c r="O75" s="145">
        <v>521.9</v>
      </c>
      <c r="P75" s="148">
        <f t="shared" si="11"/>
        <v>52845.914891230103</v>
      </c>
      <c r="Q75" s="150" t="s">
        <v>72</v>
      </c>
    </row>
    <row r="76" spans="1:17" s="151" customFormat="1" x14ac:dyDescent="0.25">
      <c r="A76" s="111" t="s">
        <v>166</v>
      </c>
      <c r="B76" s="145">
        <v>1</v>
      </c>
      <c r="C76" s="146">
        <v>31815</v>
      </c>
      <c r="D76" s="146">
        <v>43112.934538045098</v>
      </c>
      <c r="E76" s="145" t="s">
        <v>70</v>
      </c>
      <c r="F76" s="145" t="s">
        <v>156</v>
      </c>
      <c r="G76" s="147">
        <f t="shared" si="8"/>
        <v>1.3551134539696714</v>
      </c>
      <c r="H76" s="145">
        <v>0.7</v>
      </c>
      <c r="I76" s="148">
        <v>103000</v>
      </c>
      <c r="J76" s="148">
        <f t="shared" si="9"/>
        <v>127414.89030901654</v>
      </c>
      <c r="K76" s="147">
        <v>2</v>
      </c>
      <c r="L76" s="149">
        <f t="shared" si="10"/>
        <v>254829.78061803308</v>
      </c>
      <c r="M76" s="145">
        <v>2010</v>
      </c>
      <c r="N76" s="145">
        <v>2014</v>
      </c>
      <c r="O76" s="145">
        <v>550.79999999999995</v>
      </c>
      <c r="P76" s="148">
        <f t="shared" si="11"/>
        <v>281062.25803459535</v>
      </c>
      <c r="Q76" s="150" t="s">
        <v>72</v>
      </c>
    </row>
    <row r="77" spans="1:17" s="151" customFormat="1" x14ac:dyDescent="0.25">
      <c r="A77" s="111" t="s">
        <v>167</v>
      </c>
      <c r="B77" s="145">
        <v>1</v>
      </c>
      <c r="C77" s="146">
        <v>31815</v>
      </c>
      <c r="D77" s="146">
        <v>43112.934538045098</v>
      </c>
      <c r="E77" s="145" t="s">
        <v>70</v>
      </c>
      <c r="F77" s="145" t="s">
        <v>156</v>
      </c>
      <c r="G77" s="147">
        <f t="shared" si="8"/>
        <v>1.3551134539696714</v>
      </c>
      <c r="H77" s="145">
        <v>0.8</v>
      </c>
      <c r="I77" s="148">
        <v>13040</v>
      </c>
      <c r="J77" s="148">
        <f t="shared" si="9"/>
        <v>16628.693063877276</v>
      </c>
      <c r="K77" s="147">
        <v>2.2999999999999998</v>
      </c>
      <c r="L77" s="149">
        <f t="shared" si="10"/>
        <v>38245.994046917731</v>
      </c>
      <c r="M77" s="145">
        <v>2010</v>
      </c>
      <c r="N77" s="145">
        <v>2014</v>
      </c>
      <c r="O77" s="145">
        <v>550.79999999999995</v>
      </c>
      <c r="P77" s="148">
        <f t="shared" si="11"/>
        <v>42183.08166939456</v>
      </c>
      <c r="Q77" s="150" t="s">
        <v>72</v>
      </c>
    </row>
    <row r="78" spans="1:17" s="151" customFormat="1" x14ac:dyDescent="0.25">
      <c r="A78" s="111" t="s">
        <v>168</v>
      </c>
      <c r="B78" s="145">
        <v>1</v>
      </c>
      <c r="C78" s="146">
        <v>31815</v>
      </c>
      <c r="D78" s="146">
        <v>43112.934538045098</v>
      </c>
      <c r="E78" s="145" t="s">
        <v>70</v>
      </c>
      <c r="F78" s="145" t="s">
        <v>156</v>
      </c>
      <c r="G78" s="147">
        <f t="shared" si="8"/>
        <v>1.3551134539696714</v>
      </c>
      <c r="H78" s="145">
        <v>0.8</v>
      </c>
      <c r="I78" s="148">
        <v>13040</v>
      </c>
      <c r="J78" s="148">
        <f t="shared" si="9"/>
        <v>16628.693063877276</v>
      </c>
      <c r="K78" s="147">
        <v>2.2999999999999998</v>
      </c>
      <c r="L78" s="149">
        <f t="shared" si="10"/>
        <v>38245.994046917731</v>
      </c>
      <c r="M78" s="145">
        <v>2010</v>
      </c>
      <c r="N78" s="145">
        <v>2014</v>
      </c>
      <c r="O78" s="145">
        <v>550.79999999999995</v>
      </c>
      <c r="P78" s="148">
        <f t="shared" si="11"/>
        <v>42183.08166939456</v>
      </c>
      <c r="Q78" s="150" t="s">
        <v>72</v>
      </c>
    </row>
    <row r="79" spans="1:17" s="151" customFormat="1" x14ac:dyDescent="0.25">
      <c r="A79" s="111" t="s">
        <v>169</v>
      </c>
      <c r="B79" s="145">
        <v>1</v>
      </c>
      <c r="C79" s="146">
        <v>31815</v>
      </c>
      <c r="D79" s="146">
        <v>43112.934538045098</v>
      </c>
      <c r="E79" s="145" t="s">
        <v>70</v>
      </c>
      <c r="F79" s="145" t="s">
        <v>156</v>
      </c>
      <c r="G79" s="147">
        <f t="shared" si="8"/>
        <v>1.3551134539696714</v>
      </c>
      <c r="H79" s="145">
        <v>0.8</v>
      </c>
      <c r="I79" s="148">
        <v>18173</v>
      </c>
      <c r="J79" s="148">
        <f t="shared" si="9"/>
        <v>23174.328147994001</v>
      </c>
      <c r="K79" s="147">
        <v>2.2999999999999998</v>
      </c>
      <c r="L79" s="148">
        <f t="shared" si="10"/>
        <v>53300.954740386202</v>
      </c>
      <c r="M79" s="145">
        <v>2010</v>
      </c>
      <c r="N79" s="145">
        <v>2014</v>
      </c>
      <c r="O79" s="145">
        <v>550.79999999999995</v>
      </c>
      <c r="P79" s="148">
        <f t="shared" si="11"/>
        <v>58787.817728367139</v>
      </c>
      <c r="Q79" s="150" t="s">
        <v>72</v>
      </c>
    </row>
    <row r="80" spans="1:17" s="151" customFormat="1" x14ac:dyDescent="0.25">
      <c r="A80" s="111" t="s">
        <v>170</v>
      </c>
      <c r="B80" s="145">
        <v>1</v>
      </c>
      <c r="C80" s="146">
        <v>31815</v>
      </c>
      <c r="D80" s="146">
        <v>43112.934538045098</v>
      </c>
      <c r="E80" s="145" t="s">
        <v>70</v>
      </c>
      <c r="F80" s="145" t="s">
        <v>156</v>
      </c>
      <c r="G80" s="147">
        <f t="shared" si="8"/>
        <v>1.3551134539696714</v>
      </c>
      <c r="H80" s="145">
        <v>0.7</v>
      </c>
      <c r="I80" s="148">
        <v>174800</v>
      </c>
      <c r="J80" s="148">
        <f t="shared" si="9"/>
        <v>216234.20219433098</v>
      </c>
      <c r="K80" s="147">
        <v>2</v>
      </c>
      <c r="L80" s="148">
        <f t="shared" si="10"/>
        <v>432468.40438866196</v>
      </c>
      <c r="M80" s="145">
        <v>2010</v>
      </c>
      <c r="N80" s="145">
        <v>2014</v>
      </c>
      <c r="O80" s="145">
        <v>550.79999999999995</v>
      </c>
      <c r="P80" s="148">
        <f t="shared" si="11"/>
        <v>476987.21072278894</v>
      </c>
      <c r="Q80" s="150" t="s">
        <v>72</v>
      </c>
    </row>
    <row r="81" spans="1:17" s="151" customFormat="1" x14ac:dyDescent="0.25">
      <c r="A81" s="111" t="s">
        <v>171</v>
      </c>
      <c r="B81" s="145">
        <v>1</v>
      </c>
      <c r="C81" s="146">
        <v>31815</v>
      </c>
      <c r="D81" s="146">
        <v>43112.934538045098</v>
      </c>
      <c r="E81" s="145" t="s">
        <v>70</v>
      </c>
      <c r="F81" s="145" t="s">
        <v>156</v>
      </c>
      <c r="G81" s="147">
        <f t="shared" si="8"/>
        <v>1.3551134539696714</v>
      </c>
      <c r="H81" s="145">
        <v>0.8</v>
      </c>
      <c r="I81" s="148">
        <v>17057</v>
      </c>
      <c r="J81" s="148">
        <f t="shared" si="9"/>
        <v>21751.197667987326</v>
      </c>
      <c r="K81" s="147">
        <v>2.2999999999999998</v>
      </c>
      <c r="L81" s="148">
        <f t="shared" si="10"/>
        <v>50027.754636370846</v>
      </c>
      <c r="M81" s="145">
        <v>2010</v>
      </c>
      <c r="N81" s="145">
        <v>2014</v>
      </c>
      <c r="O81" s="145">
        <v>550.79999999999995</v>
      </c>
      <c r="P81" s="148">
        <f t="shared" si="11"/>
        <v>55177.67055482079</v>
      </c>
      <c r="Q81" s="150" t="s">
        <v>72</v>
      </c>
    </row>
    <row r="82" spans="1:17" s="151" customFormat="1" x14ac:dyDescent="0.25">
      <c r="A82" s="111" t="s">
        <v>172</v>
      </c>
      <c r="B82" s="145">
        <v>1</v>
      </c>
      <c r="C82" s="146">
        <v>31815</v>
      </c>
      <c r="D82" s="146">
        <v>43112.934538045098</v>
      </c>
      <c r="E82" s="145" t="s">
        <v>70</v>
      </c>
      <c r="F82" s="145" t="s">
        <v>156</v>
      </c>
      <c r="G82" s="147">
        <f t="shared" si="8"/>
        <v>1.3551134539696714</v>
      </c>
      <c r="H82" s="145">
        <v>0.8</v>
      </c>
      <c r="I82" s="148">
        <v>29154</v>
      </c>
      <c r="J82" s="148">
        <f t="shared" si="9"/>
        <v>37177.370980389431</v>
      </c>
      <c r="K82" s="147">
        <v>2.2999999999999998</v>
      </c>
      <c r="L82" s="148">
        <f t="shared" si="10"/>
        <v>85507.953254895678</v>
      </c>
      <c r="M82" s="145">
        <v>2010</v>
      </c>
      <c r="N82" s="145">
        <v>2014</v>
      </c>
      <c r="O82" s="145">
        <v>550.79999999999995</v>
      </c>
      <c r="P82" s="148">
        <f t="shared" si="11"/>
        <v>94310.242560546714</v>
      </c>
      <c r="Q82" s="150" t="s">
        <v>72</v>
      </c>
    </row>
    <row r="83" spans="1:17" s="151" customFormat="1" ht="13.8" thickBot="1" x14ac:dyDescent="0.3">
      <c r="A83" s="152" t="s">
        <v>173</v>
      </c>
      <c r="B83" s="153">
        <v>1</v>
      </c>
      <c r="C83" s="154">
        <v>31815</v>
      </c>
      <c r="D83" s="154">
        <v>43112.934538045098</v>
      </c>
      <c r="E83" s="153" t="s">
        <v>70</v>
      </c>
      <c r="F83" s="145" t="s">
        <v>156</v>
      </c>
      <c r="G83" s="155">
        <f t="shared" si="8"/>
        <v>1.3551134539696714</v>
      </c>
      <c r="H83" s="153">
        <v>0.7</v>
      </c>
      <c r="I83" s="156">
        <v>1520</v>
      </c>
      <c r="J83" s="156">
        <f t="shared" si="9"/>
        <v>1880.2974103854867</v>
      </c>
      <c r="K83" s="155">
        <v>3</v>
      </c>
      <c r="L83" s="156">
        <f t="shared" si="10"/>
        <v>5640.8922311564602</v>
      </c>
      <c r="M83" s="153">
        <v>2010</v>
      </c>
      <c r="N83" s="153">
        <v>2014</v>
      </c>
      <c r="O83" s="153">
        <v>550.79999999999995</v>
      </c>
      <c r="P83" s="156">
        <f t="shared" si="11"/>
        <v>6221.5723137755076</v>
      </c>
      <c r="Q83" s="157" t="s">
        <v>72</v>
      </c>
    </row>
    <row r="84" spans="1:17" x14ac:dyDescent="0.25">
      <c r="A84" s="40"/>
      <c r="B84" s="41"/>
      <c r="C84" s="39"/>
      <c r="D84" s="39"/>
      <c r="E84" s="39"/>
      <c r="F84" s="39"/>
      <c r="G84" s="40"/>
      <c r="H84" s="40"/>
      <c r="I84" s="43"/>
      <c r="J84" s="40"/>
      <c r="K84" s="42"/>
      <c r="L84" s="42"/>
      <c r="M84" s="158" t="s">
        <v>174</v>
      </c>
      <c r="N84" s="76" t="s">
        <v>175</v>
      </c>
      <c r="O84" s="76" t="s">
        <v>176</v>
      </c>
      <c r="P84" s="159">
        <f>SUM(P66:P83)</f>
        <v>11297410.865934346</v>
      </c>
      <c r="Q84" s="40"/>
    </row>
    <row r="85" spans="1:17" ht="13.8" thickBot="1" x14ac:dyDescent="0.3">
      <c r="A85" s="31"/>
      <c r="B85" s="32"/>
      <c r="C85" s="33"/>
      <c r="D85" s="33"/>
      <c r="E85" s="33"/>
      <c r="F85" s="33"/>
      <c r="G85" s="31"/>
      <c r="H85" s="31"/>
      <c r="I85" s="34"/>
      <c r="J85" s="31"/>
      <c r="K85" s="35"/>
      <c r="L85" s="35"/>
      <c r="M85" s="35"/>
      <c r="N85" s="35"/>
      <c r="O85" s="34"/>
      <c r="P85" s="31"/>
      <c r="Q85" s="31"/>
    </row>
    <row r="86" spans="1:17" x14ac:dyDescent="0.25">
      <c r="A86" s="45"/>
      <c r="B86" s="46" t="s">
        <v>48</v>
      </c>
      <c r="C86" s="47" t="s">
        <v>49</v>
      </c>
      <c r="D86" s="47" t="s">
        <v>103</v>
      </c>
      <c r="E86" s="48"/>
      <c r="F86" s="46" t="s">
        <v>51</v>
      </c>
      <c r="G86" s="49" t="s">
        <v>48</v>
      </c>
      <c r="H86" s="46" t="s">
        <v>51</v>
      </c>
      <c r="I86" s="50" t="s">
        <v>49</v>
      </c>
      <c r="J86" s="50" t="s">
        <v>73</v>
      </c>
      <c r="K86" s="49" t="s">
        <v>53</v>
      </c>
      <c r="L86" s="48" t="s">
        <v>54</v>
      </c>
      <c r="M86" s="46" t="s">
        <v>55</v>
      </c>
      <c r="N86" s="46" t="s">
        <v>56</v>
      </c>
      <c r="O86" s="46" t="s">
        <v>57</v>
      </c>
      <c r="P86" s="48" t="s">
        <v>54</v>
      </c>
      <c r="Q86" s="51" t="s">
        <v>58</v>
      </c>
    </row>
    <row r="87" spans="1:17" x14ac:dyDescent="0.25">
      <c r="A87" s="52" t="s">
        <v>177</v>
      </c>
      <c r="B87" s="53" t="s">
        <v>59</v>
      </c>
      <c r="C87" s="54" t="s">
        <v>60</v>
      </c>
      <c r="D87" s="54" t="s">
        <v>60</v>
      </c>
      <c r="E87" s="53" t="s">
        <v>61</v>
      </c>
      <c r="F87" s="53" t="s">
        <v>62</v>
      </c>
      <c r="G87" s="56" t="s">
        <v>59</v>
      </c>
      <c r="H87" s="53" t="s">
        <v>64</v>
      </c>
      <c r="I87" s="57" t="s">
        <v>65</v>
      </c>
      <c r="J87" s="57" t="s">
        <v>65</v>
      </c>
      <c r="K87" s="56" t="s">
        <v>66</v>
      </c>
      <c r="L87" s="55" t="s">
        <v>67</v>
      </c>
      <c r="M87" s="53" t="s">
        <v>68</v>
      </c>
      <c r="N87" s="53" t="s">
        <v>68</v>
      </c>
      <c r="O87" s="53" t="s">
        <v>67</v>
      </c>
      <c r="P87" s="55" t="s">
        <v>75</v>
      </c>
      <c r="Q87" s="58" t="s">
        <v>69</v>
      </c>
    </row>
    <row r="88" spans="1:17" x14ac:dyDescent="0.25">
      <c r="A88" s="52" t="s">
        <v>178</v>
      </c>
      <c r="B88" s="53">
        <f t="shared" ref="B88:B94" si="12">G88</f>
        <v>5</v>
      </c>
      <c r="C88" s="90">
        <v>6000</v>
      </c>
      <c r="D88" s="54">
        <v>27155.462030809998</v>
      </c>
      <c r="E88" s="53" t="s">
        <v>70</v>
      </c>
      <c r="F88" s="53" t="s">
        <v>179</v>
      </c>
      <c r="G88" s="56">
        <f t="shared" ref="G88:G94" si="13">ROUNDUP(D88/C88,0)</f>
        <v>5</v>
      </c>
      <c r="H88" s="53">
        <v>1</v>
      </c>
      <c r="I88" s="57">
        <f>430000*G88</f>
        <v>2150000</v>
      </c>
      <c r="J88" s="57">
        <f t="shared" ref="J88:J94" si="14">I88</f>
        <v>2150000</v>
      </c>
      <c r="K88" s="56">
        <v>3</v>
      </c>
      <c r="L88" s="57">
        <f t="shared" ref="L88:L94" si="15">J88*K88</f>
        <v>6450000</v>
      </c>
      <c r="M88" s="53">
        <v>2008</v>
      </c>
      <c r="N88" s="53">
        <v>2014</v>
      </c>
      <c r="O88" s="53">
        <v>575.4</v>
      </c>
      <c r="P88" s="57">
        <f t="shared" ref="P88:P94" si="16">($B$4/O88)*L88</f>
        <v>6809827.9457768518</v>
      </c>
      <c r="Q88" s="58" t="s">
        <v>180</v>
      </c>
    </row>
    <row r="89" spans="1:17" x14ac:dyDescent="0.25">
      <c r="A89" s="52" t="s">
        <v>181</v>
      </c>
      <c r="B89" s="53">
        <f t="shared" si="12"/>
        <v>5</v>
      </c>
      <c r="C89" s="90">
        <v>6000</v>
      </c>
      <c r="D89" s="54">
        <v>27155.462030809998</v>
      </c>
      <c r="E89" s="53" t="s">
        <v>70</v>
      </c>
      <c r="F89" s="53" t="s">
        <v>179</v>
      </c>
      <c r="G89" s="56">
        <f t="shared" si="13"/>
        <v>5</v>
      </c>
      <c r="H89" s="53">
        <v>1</v>
      </c>
      <c r="I89" s="57">
        <f>G89*44700</f>
        <v>223500</v>
      </c>
      <c r="J89" s="57">
        <f t="shared" si="14"/>
        <v>223500</v>
      </c>
      <c r="K89" s="56">
        <v>3</v>
      </c>
      <c r="L89" s="57">
        <f t="shared" si="15"/>
        <v>670500</v>
      </c>
      <c r="M89" s="53">
        <v>2008</v>
      </c>
      <c r="N89" s="53">
        <v>2014</v>
      </c>
      <c r="O89" s="53">
        <v>575.4</v>
      </c>
      <c r="P89" s="57">
        <f t="shared" si="16"/>
        <v>707905.37017726805</v>
      </c>
      <c r="Q89" s="58" t="s">
        <v>180</v>
      </c>
    </row>
    <row r="90" spans="1:17" x14ac:dyDescent="0.25">
      <c r="A90" s="52" t="s">
        <v>182</v>
      </c>
      <c r="B90" s="53">
        <f t="shared" si="12"/>
        <v>5</v>
      </c>
      <c r="C90" s="90">
        <v>6000</v>
      </c>
      <c r="D90" s="54">
        <v>27155.462030809998</v>
      </c>
      <c r="E90" s="53" t="s">
        <v>70</v>
      </c>
      <c r="F90" s="53" t="s">
        <v>179</v>
      </c>
      <c r="G90" s="56">
        <f t="shared" si="13"/>
        <v>5</v>
      </c>
      <c r="H90" s="53">
        <v>1</v>
      </c>
      <c r="I90" s="57">
        <f>G90*350000</f>
        <v>1750000</v>
      </c>
      <c r="J90" s="57">
        <f t="shared" si="14"/>
        <v>1750000</v>
      </c>
      <c r="K90" s="56">
        <v>3</v>
      </c>
      <c r="L90" s="57">
        <f t="shared" si="15"/>
        <v>5250000</v>
      </c>
      <c r="M90" s="53">
        <v>2008</v>
      </c>
      <c r="N90" s="53">
        <v>2014</v>
      </c>
      <c r="O90" s="53">
        <v>575.4</v>
      </c>
      <c r="P90" s="57">
        <f t="shared" si="16"/>
        <v>5542883.2116788328</v>
      </c>
      <c r="Q90" s="58" t="s">
        <v>180</v>
      </c>
    </row>
    <row r="91" spans="1:17" x14ac:dyDescent="0.25">
      <c r="A91" s="52" t="s">
        <v>183</v>
      </c>
      <c r="B91" s="53">
        <f t="shared" si="12"/>
        <v>5</v>
      </c>
      <c r="C91" s="90">
        <v>6000</v>
      </c>
      <c r="D91" s="54">
        <v>27155.462030809998</v>
      </c>
      <c r="E91" s="53" t="s">
        <v>70</v>
      </c>
      <c r="F91" s="53" t="s">
        <v>179</v>
      </c>
      <c r="G91" s="56">
        <f t="shared" si="13"/>
        <v>5</v>
      </c>
      <c r="H91" s="53">
        <v>1</v>
      </c>
      <c r="I91" s="57">
        <f>G91*170000</f>
        <v>850000</v>
      </c>
      <c r="J91" s="57">
        <f t="shared" si="14"/>
        <v>850000</v>
      </c>
      <c r="K91" s="56">
        <v>3</v>
      </c>
      <c r="L91" s="57">
        <f t="shared" si="15"/>
        <v>2550000</v>
      </c>
      <c r="M91" s="53">
        <v>2008</v>
      </c>
      <c r="N91" s="53">
        <v>2014</v>
      </c>
      <c r="O91" s="53">
        <v>575.4</v>
      </c>
      <c r="P91" s="57">
        <f t="shared" si="16"/>
        <v>2692257.5599582903</v>
      </c>
      <c r="Q91" s="58" t="s">
        <v>180</v>
      </c>
    </row>
    <row r="92" spans="1:17" x14ac:dyDescent="0.25">
      <c r="A92" s="52" t="s">
        <v>184</v>
      </c>
      <c r="B92" s="53">
        <f t="shared" si="12"/>
        <v>5</v>
      </c>
      <c r="C92" s="90">
        <v>6000</v>
      </c>
      <c r="D92" s="54">
        <v>27155.462030809998</v>
      </c>
      <c r="E92" s="53" t="s">
        <v>70</v>
      </c>
      <c r="F92" s="53" t="s">
        <v>179</v>
      </c>
      <c r="G92" s="56">
        <f t="shared" si="13"/>
        <v>5</v>
      </c>
      <c r="H92" s="53">
        <v>1</v>
      </c>
      <c r="I92" s="57">
        <f>G92*18300</f>
        <v>91500</v>
      </c>
      <c r="J92" s="57">
        <f t="shared" si="14"/>
        <v>91500</v>
      </c>
      <c r="K92" s="56">
        <v>3</v>
      </c>
      <c r="L92" s="57">
        <f t="shared" si="15"/>
        <v>274500</v>
      </c>
      <c r="M92" s="53">
        <v>2008</v>
      </c>
      <c r="N92" s="53">
        <v>2014</v>
      </c>
      <c r="O92" s="53">
        <v>575.4</v>
      </c>
      <c r="P92" s="57">
        <f t="shared" si="16"/>
        <v>289813.60792492185</v>
      </c>
      <c r="Q92" s="58" t="s">
        <v>180</v>
      </c>
    </row>
    <row r="93" spans="1:17" x14ac:dyDescent="0.25">
      <c r="A93" s="52" t="s">
        <v>185</v>
      </c>
      <c r="B93" s="53">
        <f t="shared" si="12"/>
        <v>5</v>
      </c>
      <c r="C93" s="90">
        <v>6000</v>
      </c>
      <c r="D93" s="54">
        <v>27155.462030809998</v>
      </c>
      <c r="E93" s="53" t="s">
        <v>70</v>
      </c>
      <c r="F93" s="53" t="s">
        <v>179</v>
      </c>
      <c r="G93" s="56">
        <f t="shared" si="13"/>
        <v>5</v>
      </c>
      <c r="H93" s="53">
        <v>1</v>
      </c>
      <c r="I93" s="57">
        <f>G93*450000</f>
        <v>2250000</v>
      </c>
      <c r="J93" s="57">
        <f t="shared" si="14"/>
        <v>2250000</v>
      </c>
      <c r="K93" s="56">
        <v>3</v>
      </c>
      <c r="L93" s="57">
        <f t="shared" si="15"/>
        <v>6750000</v>
      </c>
      <c r="M93" s="53">
        <v>2008</v>
      </c>
      <c r="N93" s="53">
        <v>2014</v>
      </c>
      <c r="O93" s="53">
        <v>575.4</v>
      </c>
      <c r="P93" s="57">
        <f t="shared" si="16"/>
        <v>7126564.1293013562</v>
      </c>
      <c r="Q93" s="58" t="s">
        <v>180</v>
      </c>
    </row>
    <row r="94" spans="1:17" ht="13.8" thickBot="1" x14ac:dyDescent="0.3">
      <c r="A94" s="65" t="s">
        <v>186</v>
      </c>
      <c r="B94" s="66">
        <f t="shared" si="12"/>
        <v>5</v>
      </c>
      <c r="C94" s="160">
        <v>6000</v>
      </c>
      <c r="D94" s="137">
        <v>27155.462030809998</v>
      </c>
      <c r="E94" s="66" t="s">
        <v>70</v>
      </c>
      <c r="F94" s="53" t="s">
        <v>179</v>
      </c>
      <c r="G94" s="69">
        <f t="shared" si="13"/>
        <v>5</v>
      </c>
      <c r="H94" s="66">
        <v>1</v>
      </c>
      <c r="I94" s="139">
        <f>G94*113000</f>
        <v>565000</v>
      </c>
      <c r="J94" s="139">
        <f t="shared" si="14"/>
        <v>565000</v>
      </c>
      <c r="K94" s="69">
        <v>3</v>
      </c>
      <c r="L94" s="139">
        <f t="shared" si="15"/>
        <v>1695000</v>
      </c>
      <c r="M94" s="66">
        <v>2008</v>
      </c>
      <c r="N94" s="66">
        <v>2014</v>
      </c>
      <c r="O94" s="66">
        <v>575.4</v>
      </c>
      <c r="P94" s="139">
        <f t="shared" si="16"/>
        <v>1789559.4369134516</v>
      </c>
      <c r="Q94" s="73" t="s">
        <v>180</v>
      </c>
    </row>
    <row r="95" spans="1:17" x14ac:dyDescent="0.25">
      <c r="A95" s="40"/>
      <c r="B95" s="41"/>
      <c r="C95" s="39"/>
      <c r="D95" s="39"/>
      <c r="E95" s="40"/>
      <c r="F95" s="40"/>
      <c r="G95" s="43"/>
      <c r="H95" s="40"/>
      <c r="I95" s="42"/>
      <c r="J95" s="42"/>
      <c r="K95" s="42"/>
      <c r="L95" s="42"/>
      <c r="M95" s="43"/>
      <c r="N95" s="40"/>
      <c r="O95" s="76" t="s">
        <v>187</v>
      </c>
      <c r="P95" s="159">
        <f>SUM(P88:P94)</f>
        <v>24958811.261730973</v>
      </c>
      <c r="Q95" s="40"/>
    </row>
    <row r="96" spans="1:17" ht="13.8" thickBot="1" x14ac:dyDescent="0.3">
      <c r="A96" s="31"/>
      <c r="B96" s="32"/>
      <c r="C96" s="33"/>
      <c r="D96" s="33"/>
      <c r="E96" s="161"/>
      <c r="F96" s="161"/>
      <c r="G96" s="34"/>
      <c r="H96" s="31"/>
      <c r="I96" s="35"/>
      <c r="J96" s="35"/>
      <c r="K96" s="35"/>
      <c r="L96" s="35"/>
      <c r="M96" s="34"/>
      <c r="N96" s="31"/>
      <c r="O96" s="31"/>
      <c r="P96" s="31"/>
      <c r="Q96" s="31"/>
    </row>
    <row r="97" spans="1:17" x14ac:dyDescent="0.25">
      <c r="A97" s="45"/>
      <c r="B97" s="46" t="s">
        <v>48</v>
      </c>
      <c r="C97" s="47" t="s">
        <v>49</v>
      </c>
      <c r="D97" s="47" t="s">
        <v>103</v>
      </c>
      <c r="E97" s="46"/>
      <c r="F97" s="46" t="s">
        <v>51</v>
      </c>
      <c r="G97" s="49" t="s">
        <v>52</v>
      </c>
      <c r="H97" s="46" t="s">
        <v>51</v>
      </c>
      <c r="I97" s="50" t="s">
        <v>49</v>
      </c>
      <c r="J97" s="50" t="s">
        <v>73</v>
      </c>
      <c r="K97" s="49" t="s">
        <v>53</v>
      </c>
      <c r="L97" s="48" t="s">
        <v>54</v>
      </c>
      <c r="M97" s="46" t="s">
        <v>55</v>
      </c>
      <c r="N97" s="46" t="s">
        <v>56</v>
      </c>
      <c r="O97" s="46" t="s">
        <v>57</v>
      </c>
      <c r="P97" s="48" t="s">
        <v>54</v>
      </c>
      <c r="Q97" s="51" t="s">
        <v>58</v>
      </c>
    </row>
    <row r="98" spans="1:17" x14ac:dyDescent="0.25">
      <c r="A98" s="52" t="s">
        <v>188</v>
      </c>
      <c r="B98" s="53" t="s">
        <v>59</v>
      </c>
      <c r="C98" s="54" t="s">
        <v>60</v>
      </c>
      <c r="D98" s="54" t="s">
        <v>60</v>
      </c>
      <c r="E98" s="53" t="s">
        <v>61</v>
      </c>
      <c r="F98" s="53" t="s">
        <v>62</v>
      </c>
      <c r="G98" s="56" t="s">
        <v>189</v>
      </c>
      <c r="H98" s="53" t="s">
        <v>64</v>
      </c>
      <c r="I98" s="57" t="s">
        <v>65</v>
      </c>
      <c r="J98" s="57" t="s">
        <v>65</v>
      </c>
      <c r="K98" s="56" t="s">
        <v>66</v>
      </c>
      <c r="L98" s="55" t="s">
        <v>67</v>
      </c>
      <c r="M98" s="53" t="s">
        <v>68</v>
      </c>
      <c r="N98" s="53" t="s">
        <v>68</v>
      </c>
      <c r="O98" s="53" t="s">
        <v>67</v>
      </c>
      <c r="P98" s="55" t="s">
        <v>75</v>
      </c>
      <c r="Q98" s="58" t="s">
        <v>69</v>
      </c>
    </row>
    <row r="99" spans="1:17" x14ac:dyDescent="0.25">
      <c r="A99" s="52" t="s">
        <v>190</v>
      </c>
      <c r="B99" s="53"/>
      <c r="C99" s="54"/>
      <c r="D99" s="54"/>
      <c r="E99" s="53"/>
      <c r="F99" s="53"/>
      <c r="G99" s="56"/>
      <c r="H99" s="53"/>
      <c r="I99" s="57"/>
      <c r="J99" s="61"/>
      <c r="K99" s="56"/>
      <c r="L99" s="57"/>
      <c r="M99" s="53"/>
      <c r="N99" s="53"/>
      <c r="O99" s="53"/>
      <c r="P99" s="57">
        <f>[1]AD!E48</f>
        <v>27618306.16085935</v>
      </c>
      <c r="Q99" s="58" t="s">
        <v>191</v>
      </c>
    </row>
    <row r="100" spans="1:17" x14ac:dyDescent="0.25">
      <c r="A100" s="162" t="s">
        <v>192</v>
      </c>
      <c r="B100" s="53">
        <v>4</v>
      </c>
      <c r="C100" s="163">
        <v>393100</v>
      </c>
      <c r="D100" s="54">
        <v>359423.9888739239</v>
      </c>
      <c r="E100" s="53" t="s">
        <v>70</v>
      </c>
      <c r="F100" s="53" t="s">
        <v>193</v>
      </c>
      <c r="G100" s="56">
        <f t="shared" ref="G100:G107" si="17">D100/C100</f>
        <v>0.91433220268105797</v>
      </c>
      <c r="H100" s="53">
        <v>0.6</v>
      </c>
      <c r="I100" s="164">
        <v>32955</v>
      </c>
      <c r="J100" s="61">
        <f t="shared" ref="J100:J107" si="18">(G100^H100)*I100</f>
        <v>31230.844321637906</v>
      </c>
      <c r="K100" s="56">
        <v>1</v>
      </c>
      <c r="L100" s="57">
        <f t="shared" ref="L100:L107" si="19">J100*K100</f>
        <v>31230.844321637906</v>
      </c>
      <c r="M100" s="53">
        <v>2010</v>
      </c>
      <c r="N100" s="53">
        <v>2014</v>
      </c>
      <c r="O100" s="53">
        <v>550.79999999999995</v>
      </c>
      <c r="P100" s="57">
        <f t="shared" ref="P100:P107" si="20">($B$4/O100)*L100</f>
        <v>34445.784178277107</v>
      </c>
      <c r="Q100" s="58" t="s">
        <v>72</v>
      </c>
    </row>
    <row r="101" spans="1:17" x14ac:dyDescent="0.25">
      <c r="A101" s="162" t="s">
        <v>194</v>
      </c>
      <c r="B101" s="53">
        <v>1</v>
      </c>
      <c r="C101" s="163">
        <v>393100</v>
      </c>
      <c r="D101" s="54">
        <v>359423.9888739239</v>
      </c>
      <c r="E101" s="53" t="s">
        <v>70</v>
      </c>
      <c r="F101" s="53" t="s">
        <v>193</v>
      </c>
      <c r="G101" s="56">
        <f t="shared" si="17"/>
        <v>0.91433220268105797</v>
      </c>
      <c r="H101" s="53">
        <v>0.6</v>
      </c>
      <c r="I101" s="164">
        <v>25000</v>
      </c>
      <c r="J101" s="61">
        <f t="shared" si="18"/>
        <v>23692.037871065015</v>
      </c>
      <c r="K101" s="56">
        <v>1</v>
      </c>
      <c r="L101" s="57">
        <f t="shared" si="19"/>
        <v>23692.037871065015</v>
      </c>
      <c r="M101" s="53">
        <v>2010</v>
      </c>
      <c r="N101" s="53">
        <v>2014</v>
      </c>
      <c r="O101" s="53">
        <v>550.79999999999995</v>
      </c>
      <c r="P101" s="57">
        <f t="shared" si="20"/>
        <v>26130.924122498182</v>
      </c>
      <c r="Q101" s="58" t="s">
        <v>72</v>
      </c>
    </row>
    <row r="102" spans="1:17" x14ac:dyDescent="0.25">
      <c r="A102" s="162" t="s">
        <v>195</v>
      </c>
      <c r="B102" s="53">
        <v>4</v>
      </c>
      <c r="C102" s="163">
        <v>393100</v>
      </c>
      <c r="D102" s="54">
        <v>359423.9888739239</v>
      </c>
      <c r="E102" s="53" t="s">
        <v>70</v>
      </c>
      <c r="F102" s="53" t="s">
        <v>193</v>
      </c>
      <c r="G102" s="56">
        <f t="shared" si="17"/>
        <v>0.91433220268105797</v>
      </c>
      <c r="H102" s="53">
        <v>0.6</v>
      </c>
      <c r="I102" s="164">
        <v>231488</v>
      </c>
      <c r="J102" s="61">
        <f t="shared" si="18"/>
        <v>219376.89850788395</v>
      </c>
      <c r="K102" s="56">
        <v>1</v>
      </c>
      <c r="L102" s="57">
        <f t="shared" si="19"/>
        <v>219376.89850788395</v>
      </c>
      <c r="M102" s="53">
        <v>2010</v>
      </c>
      <c r="N102" s="53">
        <v>2014</v>
      </c>
      <c r="O102" s="53">
        <v>550.79999999999995</v>
      </c>
      <c r="P102" s="57">
        <f t="shared" si="20"/>
        <v>241959.81453075437</v>
      </c>
      <c r="Q102" s="58" t="s">
        <v>72</v>
      </c>
    </row>
    <row r="103" spans="1:17" x14ac:dyDescent="0.25">
      <c r="A103" s="162" t="s">
        <v>196</v>
      </c>
      <c r="B103" s="53">
        <v>6</v>
      </c>
      <c r="C103" s="163">
        <v>393100</v>
      </c>
      <c r="D103" s="54">
        <v>359423.9888739239</v>
      </c>
      <c r="E103" s="53" t="s">
        <v>70</v>
      </c>
      <c r="F103" s="53" t="s">
        <v>193</v>
      </c>
      <c r="G103" s="56">
        <f t="shared" si="17"/>
        <v>0.91433220268105797</v>
      </c>
      <c r="H103" s="53">
        <v>0.6</v>
      </c>
      <c r="I103" s="164">
        <v>93300</v>
      </c>
      <c r="J103" s="61">
        <f t="shared" si="18"/>
        <v>88418.68533481464</v>
      </c>
      <c r="K103" s="56">
        <v>1</v>
      </c>
      <c r="L103" s="57">
        <f t="shared" si="19"/>
        <v>88418.68533481464</v>
      </c>
      <c r="M103" s="53">
        <v>2010</v>
      </c>
      <c r="N103" s="53">
        <v>2014</v>
      </c>
      <c r="O103" s="53">
        <v>550.79999999999995</v>
      </c>
      <c r="P103" s="57">
        <f t="shared" si="20"/>
        <v>97520.608825163217</v>
      </c>
      <c r="Q103" s="58" t="s">
        <v>72</v>
      </c>
    </row>
    <row r="104" spans="1:17" x14ac:dyDescent="0.25">
      <c r="A104" s="162" t="s">
        <v>197</v>
      </c>
      <c r="B104" s="53">
        <v>6</v>
      </c>
      <c r="C104" s="163">
        <v>393100</v>
      </c>
      <c r="D104" s="54">
        <v>359423.9888739239</v>
      </c>
      <c r="E104" s="53" t="s">
        <v>70</v>
      </c>
      <c r="F104" s="53" t="s">
        <v>193</v>
      </c>
      <c r="G104" s="56">
        <f t="shared" si="17"/>
        <v>0.91433220268105797</v>
      </c>
      <c r="H104" s="53">
        <v>0.6</v>
      </c>
      <c r="I104" s="164">
        <v>177300</v>
      </c>
      <c r="J104" s="61">
        <f t="shared" si="18"/>
        <v>168023.93258159311</v>
      </c>
      <c r="K104" s="56">
        <v>1</v>
      </c>
      <c r="L104" s="57">
        <f t="shared" si="19"/>
        <v>168023.93258159311</v>
      </c>
      <c r="M104" s="53">
        <v>2010</v>
      </c>
      <c r="N104" s="53">
        <v>2014</v>
      </c>
      <c r="O104" s="53">
        <v>550.79999999999995</v>
      </c>
      <c r="P104" s="57">
        <f t="shared" si="20"/>
        <v>185320.51387675712</v>
      </c>
      <c r="Q104" s="58" t="s">
        <v>72</v>
      </c>
    </row>
    <row r="105" spans="1:17" x14ac:dyDescent="0.25">
      <c r="A105" s="162" t="s">
        <v>198</v>
      </c>
      <c r="B105" s="53">
        <v>2</v>
      </c>
      <c r="C105" s="163">
        <v>393100</v>
      </c>
      <c r="D105" s="54">
        <v>359423.9888739239</v>
      </c>
      <c r="E105" s="53" t="s">
        <v>70</v>
      </c>
      <c r="F105" s="53" t="s">
        <v>193</v>
      </c>
      <c r="G105" s="56">
        <f t="shared" si="17"/>
        <v>0.91433220268105797</v>
      </c>
      <c r="H105" s="53">
        <v>0.6</v>
      </c>
      <c r="I105" s="164">
        <v>61200</v>
      </c>
      <c r="J105" s="61">
        <f t="shared" si="18"/>
        <v>57998.108708367159</v>
      </c>
      <c r="K105" s="56">
        <v>1</v>
      </c>
      <c r="L105" s="57">
        <f t="shared" si="19"/>
        <v>57998.108708367159</v>
      </c>
      <c r="M105" s="53">
        <v>2010</v>
      </c>
      <c r="N105" s="53">
        <v>2014</v>
      </c>
      <c r="O105" s="53">
        <v>550.79999999999995</v>
      </c>
      <c r="P105" s="57">
        <f t="shared" si="20"/>
        <v>63968.50225187555</v>
      </c>
      <c r="Q105" s="58" t="s">
        <v>72</v>
      </c>
    </row>
    <row r="106" spans="1:17" x14ac:dyDescent="0.25">
      <c r="A106" s="162" t="s">
        <v>199</v>
      </c>
      <c r="B106" s="53">
        <v>2</v>
      </c>
      <c r="C106" s="163">
        <v>393100</v>
      </c>
      <c r="D106" s="54">
        <v>359423.9888739239</v>
      </c>
      <c r="E106" s="53" t="s">
        <v>70</v>
      </c>
      <c r="F106" s="53" t="s">
        <v>193</v>
      </c>
      <c r="G106" s="56">
        <f t="shared" si="17"/>
        <v>0.91433220268105797</v>
      </c>
      <c r="H106" s="53">
        <v>0.6</v>
      </c>
      <c r="I106" s="164">
        <v>70800</v>
      </c>
      <c r="J106" s="61">
        <f t="shared" si="18"/>
        <v>67095.851250856125</v>
      </c>
      <c r="K106" s="56">
        <v>1</v>
      </c>
      <c r="L106" s="57">
        <f t="shared" si="19"/>
        <v>67095.851250856125</v>
      </c>
      <c r="M106" s="53">
        <v>2010</v>
      </c>
      <c r="N106" s="53">
        <v>2014</v>
      </c>
      <c r="O106" s="53">
        <v>550.79999999999995</v>
      </c>
      <c r="P106" s="57">
        <f t="shared" si="20"/>
        <v>74002.777114914847</v>
      </c>
      <c r="Q106" s="58" t="s">
        <v>72</v>
      </c>
    </row>
    <row r="107" spans="1:17" ht="13.8" thickBot="1" x14ac:dyDescent="0.3">
      <c r="A107" s="65" t="s">
        <v>200</v>
      </c>
      <c r="B107" s="66">
        <v>3</v>
      </c>
      <c r="C107" s="165">
        <v>393100</v>
      </c>
      <c r="D107" s="137">
        <v>359423.9888739239</v>
      </c>
      <c r="E107" s="153" t="s">
        <v>201</v>
      </c>
      <c r="F107" s="66" t="s">
        <v>193</v>
      </c>
      <c r="G107" s="69">
        <f t="shared" si="17"/>
        <v>0.91433220268105797</v>
      </c>
      <c r="H107" s="66">
        <v>0.6</v>
      </c>
      <c r="I107" s="166">
        <v>6493500</v>
      </c>
      <c r="J107" s="72">
        <f t="shared" si="18"/>
        <v>6153769.9166304274</v>
      </c>
      <c r="K107" s="69">
        <v>1</v>
      </c>
      <c r="L107" s="139">
        <f t="shared" si="19"/>
        <v>6153769.9166304274</v>
      </c>
      <c r="M107" s="66">
        <v>2010</v>
      </c>
      <c r="N107" s="66">
        <v>2014</v>
      </c>
      <c r="O107" s="66">
        <v>550.79999999999995</v>
      </c>
      <c r="P107" s="139">
        <f t="shared" si="20"/>
        <v>6787246.2315776777</v>
      </c>
      <c r="Q107" s="73" t="s">
        <v>72</v>
      </c>
    </row>
    <row r="108" spans="1:17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76" t="s">
        <v>202</v>
      </c>
      <c r="P108" s="159">
        <f>SUM(P99:P107)</f>
        <v>35128901.317337267</v>
      </c>
      <c r="Q108" s="36"/>
    </row>
    <row r="109" spans="1:17" ht="13.8" thickBot="1" x14ac:dyDescent="0.3">
      <c r="B109" s="23"/>
      <c r="C109" s="23"/>
      <c r="D109" s="23"/>
      <c r="E109" s="23"/>
      <c r="F109" s="23"/>
      <c r="I109" s="23"/>
      <c r="K109" s="23"/>
      <c r="L109" s="23"/>
      <c r="M109" s="23"/>
      <c r="N109" s="23"/>
      <c r="O109" s="23"/>
    </row>
    <row r="110" spans="1:17" x14ac:dyDescent="0.25">
      <c r="A110" s="45"/>
      <c r="B110" s="46" t="s">
        <v>48</v>
      </c>
      <c r="C110" s="47" t="s">
        <v>49</v>
      </c>
      <c r="D110" s="47" t="s">
        <v>103</v>
      </c>
      <c r="E110" s="46"/>
      <c r="F110" s="46" t="s">
        <v>51</v>
      </c>
      <c r="G110" s="49" t="s">
        <v>52</v>
      </c>
      <c r="H110" s="46" t="s">
        <v>51</v>
      </c>
      <c r="I110" s="50" t="s">
        <v>49</v>
      </c>
      <c r="J110" s="50" t="s">
        <v>126</v>
      </c>
      <c r="K110" s="49" t="s">
        <v>203</v>
      </c>
      <c r="L110" s="48" t="s">
        <v>204</v>
      </c>
      <c r="M110" s="46" t="s">
        <v>55</v>
      </c>
      <c r="N110" s="46" t="s">
        <v>56</v>
      </c>
      <c r="O110" s="46" t="s">
        <v>57</v>
      </c>
      <c r="P110" s="48" t="s">
        <v>54</v>
      </c>
      <c r="Q110" s="51" t="s">
        <v>58</v>
      </c>
    </row>
    <row r="111" spans="1:17" x14ac:dyDescent="0.25">
      <c r="A111" s="52"/>
      <c r="B111" s="53" t="s">
        <v>59</v>
      </c>
      <c r="C111" s="54" t="s">
        <v>60</v>
      </c>
      <c r="D111" s="54" t="s">
        <v>60</v>
      </c>
      <c r="E111" s="53" t="s">
        <v>61</v>
      </c>
      <c r="F111" s="53" t="s">
        <v>62</v>
      </c>
      <c r="G111" s="56" t="s">
        <v>63</v>
      </c>
      <c r="H111" s="53" t="s">
        <v>64</v>
      </c>
      <c r="I111" s="57" t="s">
        <v>65</v>
      </c>
      <c r="J111" s="57" t="s">
        <v>65</v>
      </c>
      <c r="K111" s="56" t="s">
        <v>66</v>
      </c>
      <c r="L111" s="55" t="s">
        <v>67</v>
      </c>
      <c r="M111" s="53" t="s">
        <v>68</v>
      </c>
      <c r="N111" s="53" t="s">
        <v>68</v>
      </c>
      <c r="O111" s="53" t="s">
        <v>67</v>
      </c>
      <c r="P111" s="55" t="s">
        <v>75</v>
      </c>
      <c r="Q111" s="58" t="s">
        <v>69</v>
      </c>
    </row>
    <row r="112" spans="1:17" x14ac:dyDescent="0.25">
      <c r="A112" s="52" t="s">
        <v>205</v>
      </c>
      <c r="B112" s="53"/>
      <c r="C112" s="54"/>
      <c r="D112" s="54"/>
      <c r="E112" s="95"/>
      <c r="F112" s="95"/>
      <c r="G112" s="55"/>
      <c r="H112" s="55"/>
      <c r="I112" s="97"/>
      <c r="J112" s="55"/>
      <c r="K112" s="57"/>
      <c r="L112" s="57"/>
      <c r="M112" s="57"/>
      <c r="N112" s="216"/>
      <c r="O112" s="97"/>
      <c r="P112" s="55"/>
      <c r="Q112" s="58"/>
    </row>
    <row r="113" spans="1:17" ht="13.8" thickBot="1" x14ac:dyDescent="0.3">
      <c r="A113" s="65" t="s">
        <v>209</v>
      </c>
      <c r="B113" s="66">
        <v>1</v>
      </c>
      <c r="C113" s="212">
        <v>56.4</v>
      </c>
      <c r="D113" s="137">
        <v>13714</v>
      </c>
      <c r="E113" s="171" t="s">
        <v>206</v>
      </c>
      <c r="F113" s="171" t="s">
        <v>207</v>
      </c>
      <c r="G113" s="217">
        <f>D113/C113</f>
        <v>243.15602836879432</v>
      </c>
      <c r="H113" s="66">
        <v>1</v>
      </c>
      <c r="I113" s="72">
        <f>13000</f>
        <v>13000</v>
      </c>
      <c r="J113" s="72">
        <v>3161028</v>
      </c>
      <c r="K113" s="66">
        <v>1.5</v>
      </c>
      <c r="L113" s="139">
        <f>J113*K113</f>
        <v>4741542</v>
      </c>
      <c r="M113" s="66">
        <v>2008</v>
      </c>
      <c r="N113" s="172">
        <v>2019</v>
      </c>
      <c r="O113" s="69">
        <v>575.4</v>
      </c>
      <c r="P113" s="72">
        <f>L113*B4/O113</f>
        <v>5006059.7236704901</v>
      </c>
      <c r="Q113" s="73" t="s">
        <v>208</v>
      </c>
    </row>
    <row r="114" spans="1:17" x14ac:dyDescent="0.25">
      <c r="A114" s="40"/>
      <c r="B114" s="41"/>
      <c r="C114" s="39"/>
      <c r="D114" s="39"/>
      <c r="E114" s="39"/>
      <c r="F114" s="39"/>
      <c r="G114" s="40"/>
      <c r="H114" s="40"/>
      <c r="I114" s="43"/>
      <c r="J114" s="40"/>
      <c r="K114" s="42"/>
      <c r="L114" s="42"/>
      <c r="M114" s="42"/>
      <c r="N114" s="168" t="str">
        <f>A113</f>
        <v>Desulphirizer Media-G2®</v>
      </c>
      <c r="O114" s="23"/>
      <c r="P114" s="169">
        <f>P113</f>
        <v>5006059.7236704901</v>
      </c>
      <c r="Q114" s="40"/>
    </row>
    <row r="115" spans="1:17" ht="13.8" thickBot="1" x14ac:dyDescent="0.3">
      <c r="B115" s="23"/>
      <c r="C115" s="23"/>
      <c r="D115" s="23"/>
      <c r="E115" s="23"/>
      <c r="F115" s="23"/>
      <c r="I115" s="23"/>
      <c r="K115" s="23"/>
      <c r="L115" s="23"/>
      <c r="M115" s="23"/>
      <c r="N115" s="23"/>
      <c r="O115" s="23"/>
    </row>
    <row r="116" spans="1:17" x14ac:dyDescent="0.25">
      <c r="A116" s="45"/>
      <c r="B116" s="46" t="s">
        <v>48</v>
      </c>
      <c r="C116" s="47" t="s">
        <v>49</v>
      </c>
      <c r="D116" s="47" t="s">
        <v>103</v>
      </c>
      <c r="E116" s="46"/>
      <c r="F116" s="46" t="s">
        <v>51</v>
      </c>
      <c r="G116" s="49" t="s">
        <v>52</v>
      </c>
      <c r="H116" s="46" t="s">
        <v>51</v>
      </c>
      <c r="I116" s="50" t="s">
        <v>49</v>
      </c>
      <c r="J116" s="50" t="s">
        <v>126</v>
      </c>
      <c r="K116" s="49" t="s">
        <v>203</v>
      </c>
      <c r="L116" s="48" t="s">
        <v>204</v>
      </c>
      <c r="M116" s="46" t="s">
        <v>55</v>
      </c>
      <c r="N116" s="46" t="s">
        <v>56</v>
      </c>
      <c r="O116" s="46" t="s">
        <v>57</v>
      </c>
      <c r="P116" s="48" t="s">
        <v>54</v>
      </c>
      <c r="Q116" s="51" t="s">
        <v>58</v>
      </c>
    </row>
    <row r="117" spans="1:17" x14ac:dyDescent="0.25">
      <c r="A117" s="52" t="s">
        <v>210</v>
      </c>
      <c r="B117" s="53" t="s">
        <v>59</v>
      </c>
      <c r="C117" s="54" t="s">
        <v>60</v>
      </c>
      <c r="D117" s="54" t="s">
        <v>60</v>
      </c>
      <c r="E117" s="53" t="s">
        <v>61</v>
      </c>
      <c r="F117" s="53" t="s">
        <v>62</v>
      </c>
      <c r="G117" s="56" t="s">
        <v>63</v>
      </c>
      <c r="H117" s="53" t="s">
        <v>64</v>
      </c>
      <c r="I117" s="57" t="s">
        <v>65</v>
      </c>
      <c r="J117" s="57" t="s">
        <v>65</v>
      </c>
      <c r="K117" s="56" t="s">
        <v>66</v>
      </c>
      <c r="L117" s="55" t="s">
        <v>67</v>
      </c>
      <c r="M117" s="53" t="s">
        <v>68</v>
      </c>
      <c r="N117" s="53" t="s">
        <v>68</v>
      </c>
      <c r="O117" s="53" t="s">
        <v>67</v>
      </c>
      <c r="P117" s="55" t="s">
        <v>75</v>
      </c>
      <c r="Q117" s="58" t="s">
        <v>69</v>
      </c>
    </row>
    <row r="118" spans="1:17" x14ac:dyDescent="0.25">
      <c r="A118" s="52" t="s">
        <v>211</v>
      </c>
      <c r="B118" s="53">
        <v>1</v>
      </c>
      <c r="C118" s="54"/>
      <c r="D118" s="146"/>
      <c r="E118" s="95"/>
      <c r="F118" s="95"/>
      <c r="G118" s="53"/>
      <c r="H118" s="53"/>
      <c r="I118" s="97"/>
      <c r="J118" s="55"/>
      <c r="K118" s="53"/>
      <c r="L118" s="57"/>
      <c r="M118" s="53"/>
      <c r="N118" s="130"/>
      <c r="O118" s="56"/>
      <c r="P118" s="170"/>
      <c r="Q118" s="58"/>
    </row>
    <row r="119" spans="1:17" x14ac:dyDescent="0.25">
      <c r="A119" s="52" t="s">
        <v>212</v>
      </c>
      <c r="B119" s="53"/>
      <c r="C119" s="54">
        <v>1000</v>
      </c>
      <c r="D119" s="146">
        <v>13714</v>
      </c>
      <c r="E119" s="95" t="s">
        <v>206</v>
      </c>
      <c r="F119" s="95" t="s">
        <v>207</v>
      </c>
      <c r="G119" s="53">
        <f>D119/C119</f>
        <v>13.714</v>
      </c>
      <c r="H119" s="53">
        <v>0.6</v>
      </c>
      <c r="I119" s="61">
        <v>1011164</v>
      </c>
      <c r="J119" s="61">
        <f>I119*G119^H119</f>
        <v>4865417.2022932097</v>
      </c>
      <c r="K119" s="53">
        <v>1</v>
      </c>
      <c r="L119" s="57">
        <f>J119*K119</f>
        <v>4865417.2022932097</v>
      </c>
      <c r="M119" s="53">
        <v>1996</v>
      </c>
      <c r="N119" s="130">
        <v>2019</v>
      </c>
      <c r="O119" s="56">
        <v>382</v>
      </c>
      <c r="P119" s="170">
        <f>L119*$B$4/O119</f>
        <v>7737541.7549558245</v>
      </c>
      <c r="Q119" s="58" t="s">
        <v>213</v>
      </c>
    </row>
    <row r="120" spans="1:17" ht="13.8" thickBot="1" x14ac:dyDescent="0.3">
      <c r="A120" s="65" t="s">
        <v>214</v>
      </c>
      <c r="B120" s="66"/>
      <c r="C120" s="137">
        <v>1000</v>
      </c>
      <c r="D120" s="154">
        <v>13714</v>
      </c>
      <c r="E120" s="171" t="s">
        <v>206</v>
      </c>
      <c r="F120" s="171" t="s">
        <v>207</v>
      </c>
      <c r="G120" s="66">
        <f>D120/C120</f>
        <v>13.714</v>
      </c>
      <c r="H120" s="66">
        <v>1</v>
      </c>
      <c r="I120" s="72">
        <v>466920</v>
      </c>
      <c r="J120" s="72">
        <f>I120*G120^H120</f>
        <v>6403340.8799999999</v>
      </c>
      <c r="K120" s="66">
        <v>1</v>
      </c>
      <c r="L120" s="139">
        <f>J120*K120</f>
        <v>6403340.8799999999</v>
      </c>
      <c r="M120" s="66">
        <v>1996</v>
      </c>
      <c r="N120" s="172">
        <v>2019</v>
      </c>
      <c r="O120" s="69">
        <v>382</v>
      </c>
      <c r="P120" s="173">
        <f>L120*$B$4/O120</f>
        <v>10183323.519895287</v>
      </c>
      <c r="Q120" s="73" t="s">
        <v>213</v>
      </c>
    </row>
    <row r="121" spans="1:17" x14ac:dyDescent="0.25">
      <c r="B121" s="23"/>
      <c r="C121" s="23"/>
      <c r="D121" s="23"/>
      <c r="E121" s="23"/>
      <c r="F121" s="23"/>
      <c r="I121" s="23"/>
      <c r="K121" s="23"/>
      <c r="L121" s="23"/>
      <c r="M121" s="23"/>
      <c r="N121" s="23"/>
      <c r="O121" s="167" t="s">
        <v>10</v>
      </c>
      <c r="P121" s="174">
        <f>P119+P120</f>
        <v>17920865.274851114</v>
      </c>
    </row>
    <row r="122" spans="1:17" ht="13.8" thickBot="1" x14ac:dyDescent="0.3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6"/>
      <c r="P122" s="31"/>
      <c r="Q122" s="31"/>
    </row>
    <row r="123" spans="1:17" s="62" customFormat="1" x14ac:dyDescent="0.25">
      <c r="A123" s="45"/>
      <c r="B123" s="46"/>
      <c r="C123" s="218" t="s">
        <v>51</v>
      </c>
      <c r="D123" s="47"/>
      <c r="E123" s="47" t="s">
        <v>215</v>
      </c>
      <c r="F123" s="47" t="s">
        <v>216</v>
      </c>
      <c r="G123" s="48" t="s">
        <v>126</v>
      </c>
      <c r="H123" s="206" t="s">
        <v>53</v>
      </c>
      <c r="I123" s="50" t="s">
        <v>49</v>
      </c>
      <c r="J123" s="46" t="s">
        <v>55</v>
      </c>
      <c r="K123" s="46" t="s">
        <v>56</v>
      </c>
      <c r="L123" s="46" t="s">
        <v>57</v>
      </c>
      <c r="M123" s="48" t="s">
        <v>54</v>
      </c>
      <c r="N123" s="207"/>
      <c r="O123" s="219"/>
      <c r="P123" s="48"/>
      <c r="Q123" s="51"/>
    </row>
    <row r="124" spans="1:17" s="62" customFormat="1" x14ac:dyDescent="0.25">
      <c r="A124" s="52" t="s">
        <v>287</v>
      </c>
      <c r="B124" s="53"/>
      <c r="C124" s="220" t="s">
        <v>129</v>
      </c>
      <c r="D124" s="95" t="s">
        <v>61</v>
      </c>
      <c r="E124" s="54" t="s">
        <v>58</v>
      </c>
      <c r="F124" s="54" t="s">
        <v>66</v>
      </c>
      <c r="G124" s="55" t="s">
        <v>65</v>
      </c>
      <c r="H124" s="113" t="s">
        <v>66</v>
      </c>
      <c r="I124" s="57" t="s">
        <v>65</v>
      </c>
      <c r="J124" s="53" t="s">
        <v>68</v>
      </c>
      <c r="K124" s="53" t="s">
        <v>68</v>
      </c>
      <c r="L124" s="53" t="s">
        <v>67</v>
      </c>
      <c r="M124" s="55" t="s">
        <v>75</v>
      </c>
      <c r="N124" s="97"/>
      <c r="O124" s="55" t="s">
        <v>12</v>
      </c>
      <c r="P124" s="211" t="s">
        <v>217</v>
      </c>
      <c r="Q124" s="210" t="s">
        <v>69</v>
      </c>
    </row>
    <row r="125" spans="1:17" s="62" customFormat="1" x14ac:dyDescent="0.25">
      <c r="A125" s="52" t="s">
        <v>218</v>
      </c>
      <c r="B125" s="53">
        <v>1</v>
      </c>
      <c r="C125" s="54">
        <v>76155.188722799998</v>
      </c>
      <c r="D125" s="95" t="s">
        <v>219</v>
      </c>
      <c r="E125" s="54">
        <v>810000</v>
      </c>
      <c r="F125" s="59">
        <f>1.14*1.8</f>
        <v>2.052</v>
      </c>
      <c r="G125" s="55">
        <f>E125*F125</f>
        <v>1662120</v>
      </c>
      <c r="H125" s="113">
        <v>1.8</v>
      </c>
      <c r="I125" s="221">
        <f t="shared" ref="I125:I130" si="21">G125*H125</f>
        <v>2991816</v>
      </c>
      <c r="J125" s="53">
        <v>2004</v>
      </c>
      <c r="K125" s="53">
        <v>2019</v>
      </c>
      <c r="L125" s="113">
        <v>400</v>
      </c>
      <c r="M125" s="57">
        <f>I125*($B$4/L125)</f>
        <v>4543820.55</v>
      </c>
      <c r="N125" s="97"/>
      <c r="O125" s="222" t="s">
        <v>101</v>
      </c>
      <c r="P125" s="211">
        <f t="shared" ref="P125:P130" si="22">M125</f>
        <v>4543820.55</v>
      </c>
      <c r="Q125" s="211" t="s">
        <v>99</v>
      </c>
    </row>
    <row r="126" spans="1:17" s="62" customFormat="1" x14ac:dyDescent="0.25">
      <c r="A126" s="52" t="s">
        <v>220</v>
      </c>
      <c r="B126" s="53">
        <v>1</v>
      </c>
      <c r="C126" s="54">
        <v>47520.701896250001</v>
      </c>
      <c r="D126" s="95" t="s">
        <v>219</v>
      </c>
      <c r="E126" s="54">
        <v>600000</v>
      </c>
      <c r="F126" s="59">
        <f t="shared" ref="F126:F130" si="23">1.14*1.8</f>
        <v>2.052</v>
      </c>
      <c r="G126" s="55">
        <f>E126*F126</f>
        <v>1231200</v>
      </c>
      <c r="H126" s="113">
        <v>1.8</v>
      </c>
      <c r="I126" s="221">
        <f t="shared" si="21"/>
        <v>2216160</v>
      </c>
      <c r="J126" s="53">
        <v>2004</v>
      </c>
      <c r="K126" s="53">
        <v>2019</v>
      </c>
      <c r="L126" s="113">
        <v>400</v>
      </c>
      <c r="M126" s="57">
        <f t="shared" ref="M126:M130" si="24">I126*($B$4/L126)</f>
        <v>3365793</v>
      </c>
      <c r="N126" s="97"/>
      <c r="O126" s="222" t="s">
        <v>221</v>
      </c>
      <c r="P126" s="211">
        <f t="shared" si="22"/>
        <v>3365793</v>
      </c>
      <c r="Q126" s="211" t="s">
        <v>99</v>
      </c>
    </row>
    <row r="127" spans="1:17" s="62" customFormat="1" x14ac:dyDescent="0.25">
      <c r="A127" s="52" t="s">
        <v>222</v>
      </c>
      <c r="B127" s="53">
        <v>1</v>
      </c>
      <c r="C127" s="54">
        <v>35773.119816379898</v>
      </c>
      <c r="D127" s="95" t="s">
        <v>219</v>
      </c>
      <c r="E127" s="54">
        <v>450000</v>
      </c>
      <c r="F127" s="59">
        <f t="shared" si="23"/>
        <v>2.052</v>
      </c>
      <c r="G127" s="55">
        <f t="shared" ref="G127:G130" si="25">E127*F127</f>
        <v>923400</v>
      </c>
      <c r="H127" s="113">
        <v>1.8</v>
      </c>
      <c r="I127" s="221">
        <f t="shared" si="21"/>
        <v>1662120</v>
      </c>
      <c r="J127" s="53">
        <v>2004</v>
      </c>
      <c r="K127" s="53">
        <v>2019</v>
      </c>
      <c r="L127" s="113">
        <v>400</v>
      </c>
      <c r="M127" s="57">
        <f t="shared" si="24"/>
        <v>2524344.75</v>
      </c>
      <c r="N127" s="97"/>
      <c r="O127" s="222" t="s">
        <v>223</v>
      </c>
      <c r="P127" s="211">
        <f t="shared" si="22"/>
        <v>2524344.75</v>
      </c>
      <c r="Q127" s="211" t="s">
        <v>99</v>
      </c>
    </row>
    <row r="128" spans="1:17" s="62" customFormat="1" x14ac:dyDescent="0.25">
      <c r="A128" s="52" t="s">
        <v>224</v>
      </c>
      <c r="B128" s="53">
        <v>1</v>
      </c>
      <c r="C128" s="54">
        <v>35773.119816300001</v>
      </c>
      <c r="D128" s="95" t="s">
        <v>219</v>
      </c>
      <c r="E128" s="54">
        <v>450000</v>
      </c>
      <c r="F128" s="59">
        <f t="shared" si="23"/>
        <v>2.052</v>
      </c>
      <c r="G128" s="55">
        <f t="shared" si="25"/>
        <v>923400</v>
      </c>
      <c r="H128" s="113">
        <v>1.8</v>
      </c>
      <c r="I128" s="221">
        <f t="shared" si="21"/>
        <v>1662120</v>
      </c>
      <c r="J128" s="53">
        <v>2004</v>
      </c>
      <c r="K128" s="53">
        <v>2019</v>
      </c>
      <c r="L128" s="113">
        <v>400</v>
      </c>
      <c r="M128" s="57">
        <f t="shared" si="24"/>
        <v>2524344.75</v>
      </c>
      <c r="N128" s="97"/>
      <c r="O128" s="223" t="s">
        <v>225</v>
      </c>
      <c r="P128" s="211">
        <f t="shared" si="22"/>
        <v>2524344.75</v>
      </c>
      <c r="Q128" s="211" t="s">
        <v>99</v>
      </c>
    </row>
    <row r="129" spans="1:17" s="62" customFormat="1" x14ac:dyDescent="0.25">
      <c r="A129" s="52" t="s">
        <v>226</v>
      </c>
      <c r="B129" s="53">
        <v>1</v>
      </c>
      <c r="C129" s="54">
        <v>44426.9195339</v>
      </c>
      <c r="D129" s="95" t="s">
        <v>219</v>
      </c>
      <c r="E129" s="54">
        <v>550000</v>
      </c>
      <c r="F129" s="59">
        <f t="shared" si="23"/>
        <v>2.052</v>
      </c>
      <c r="G129" s="55">
        <f t="shared" si="25"/>
        <v>1128600</v>
      </c>
      <c r="H129" s="113">
        <v>1.8</v>
      </c>
      <c r="I129" s="221">
        <f t="shared" si="21"/>
        <v>2031480</v>
      </c>
      <c r="J129" s="53">
        <v>2004</v>
      </c>
      <c r="K129" s="53">
        <v>2019</v>
      </c>
      <c r="L129" s="113">
        <v>400</v>
      </c>
      <c r="M129" s="57">
        <f t="shared" si="24"/>
        <v>3085310.25</v>
      </c>
      <c r="N129" s="97"/>
      <c r="O129" s="224" t="s">
        <v>227</v>
      </c>
      <c r="P129" s="225">
        <f t="shared" si="22"/>
        <v>3085310.25</v>
      </c>
      <c r="Q129" s="211" t="s">
        <v>99</v>
      </c>
    </row>
    <row r="130" spans="1:17" s="62" customFormat="1" ht="13.8" thickBot="1" x14ac:dyDescent="0.3">
      <c r="A130" s="65" t="s">
        <v>228</v>
      </c>
      <c r="B130" s="66">
        <v>1</v>
      </c>
      <c r="C130" s="137">
        <v>36305.370824850004</v>
      </c>
      <c r="D130" s="171" t="s">
        <v>219</v>
      </c>
      <c r="E130" s="137">
        <v>460000</v>
      </c>
      <c r="F130" s="67">
        <f t="shared" si="23"/>
        <v>2.052</v>
      </c>
      <c r="G130" s="68">
        <f t="shared" si="25"/>
        <v>943920</v>
      </c>
      <c r="H130" s="213">
        <v>1.8</v>
      </c>
      <c r="I130" s="226">
        <f t="shared" si="21"/>
        <v>1699056</v>
      </c>
      <c r="J130" s="66">
        <v>2004</v>
      </c>
      <c r="K130" s="66">
        <v>2019</v>
      </c>
      <c r="L130" s="213">
        <v>400</v>
      </c>
      <c r="M130" s="139">
        <f t="shared" si="24"/>
        <v>2580441.3000000003</v>
      </c>
      <c r="N130" s="227"/>
      <c r="O130" s="228" t="s">
        <v>229</v>
      </c>
      <c r="P130" s="229">
        <f t="shared" si="22"/>
        <v>2580441.3000000003</v>
      </c>
      <c r="Q130" s="215" t="s">
        <v>99</v>
      </c>
    </row>
    <row r="131" spans="1:17" s="62" customFormat="1" x14ac:dyDescent="0.25">
      <c r="A131" s="40"/>
      <c r="B131" s="41"/>
      <c r="C131" s="39"/>
      <c r="D131" s="39"/>
      <c r="E131" s="39"/>
      <c r="F131" s="39"/>
      <c r="G131" s="40"/>
      <c r="H131" s="41"/>
      <c r="I131" s="43"/>
      <c r="J131" s="40"/>
      <c r="K131" s="42"/>
      <c r="L131" s="42"/>
      <c r="O131" s="177" t="s">
        <v>230</v>
      </c>
    </row>
    <row r="132" spans="1:17" s="62" customFormat="1" ht="13.8" thickBot="1" x14ac:dyDescent="0.3">
      <c r="A132" s="31"/>
      <c r="B132" s="32"/>
      <c r="C132" s="33"/>
      <c r="D132" s="33"/>
      <c r="E132" s="33"/>
      <c r="F132" s="33"/>
      <c r="G132" s="31"/>
      <c r="H132" s="32"/>
      <c r="I132" s="34"/>
      <c r="J132" s="31"/>
      <c r="K132" s="35"/>
      <c r="L132" s="35"/>
    </row>
    <row r="133" spans="1:17" s="62" customFormat="1" x14ac:dyDescent="0.25">
      <c r="A133" s="230"/>
      <c r="B133" s="231"/>
      <c r="C133" s="232" t="s">
        <v>51</v>
      </c>
      <c r="D133" s="233"/>
      <c r="E133" s="233" t="s">
        <v>215</v>
      </c>
      <c r="F133" s="233" t="s">
        <v>216</v>
      </c>
      <c r="G133" s="234" t="s">
        <v>126</v>
      </c>
      <c r="H133" s="235" t="s">
        <v>53</v>
      </c>
      <c r="I133" s="50" t="s">
        <v>49</v>
      </c>
      <c r="J133" s="46" t="s">
        <v>55</v>
      </c>
      <c r="K133" s="46" t="s">
        <v>56</v>
      </c>
      <c r="L133" s="236" t="s">
        <v>57</v>
      </c>
      <c r="M133" s="48" t="s">
        <v>54</v>
      </c>
      <c r="N133" s="237"/>
      <c r="O133" s="238"/>
      <c r="P133" s="237"/>
      <c r="Q133" s="239"/>
    </row>
    <row r="134" spans="1:17" s="62" customFormat="1" x14ac:dyDescent="0.25">
      <c r="A134" s="111" t="s">
        <v>288</v>
      </c>
      <c r="B134" s="145"/>
      <c r="C134" s="240" t="s">
        <v>129</v>
      </c>
      <c r="D134" s="241" t="s">
        <v>61</v>
      </c>
      <c r="E134" s="146" t="s">
        <v>58</v>
      </c>
      <c r="F134" s="146" t="s">
        <v>66</v>
      </c>
      <c r="G134" s="242" t="s">
        <v>65</v>
      </c>
      <c r="H134" s="243" t="s">
        <v>66</v>
      </c>
      <c r="I134" s="57" t="s">
        <v>65</v>
      </c>
      <c r="J134" s="53" t="s">
        <v>68</v>
      </c>
      <c r="K134" s="53" t="s">
        <v>68</v>
      </c>
      <c r="L134" s="244" t="s">
        <v>67</v>
      </c>
      <c r="M134" s="55" t="s">
        <v>75</v>
      </c>
      <c r="N134" s="245"/>
      <c r="O134" s="146"/>
      <c r="P134" s="242"/>
      <c r="Q134" s="150"/>
    </row>
    <row r="135" spans="1:17" s="62" customFormat="1" x14ac:dyDescent="0.25">
      <c r="A135" s="111" t="s">
        <v>231</v>
      </c>
      <c r="B135" s="145">
        <v>1</v>
      </c>
      <c r="C135" s="246">
        <v>8830.4619399999992</v>
      </c>
      <c r="D135" s="241" t="s">
        <v>137</v>
      </c>
      <c r="E135" s="247">
        <v>700000</v>
      </c>
      <c r="F135" s="248">
        <v>3.5</v>
      </c>
      <c r="G135" s="249">
        <f>E135*F135</f>
        <v>2450000</v>
      </c>
      <c r="H135" s="243">
        <v>1.8</v>
      </c>
      <c r="I135" s="247">
        <f>G135*H135</f>
        <v>4410000</v>
      </c>
      <c r="J135" s="243">
        <v>2004</v>
      </c>
      <c r="K135" s="53">
        <v>2019</v>
      </c>
      <c r="L135" s="250">
        <f>400</f>
        <v>400</v>
      </c>
      <c r="M135" s="247">
        <f>I135*(B4/L135)</f>
        <v>6697687.5</v>
      </c>
      <c r="N135" s="245"/>
      <c r="O135" s="146"/>
      <c r="P135" s="245"/>
      <c r="Q135" s="211" t="s">
        <v>99</v>
      </c>
    </row>
    <row r="136" spans="1:17" s="62" customFormat="1" x14ac:dyDescent="0.25">
      <c r="A136" s="111" t="s">
        <v>232</v>
      </c>
      <c r="B136" s="145">
        <v>1</v>
      </c>
      <c r="C136" s="251">
        <v>8921.7318099999993</v>
      </c>
      <c r="D136" s="241" t="s">
        <v>137</v>
      </c>
      <c r="E136" s="247">
        <v>725000</v>
      </c>
      <c r="F136" s="248">
        <v>3.5</v>
      </c>
      <c r="G136" s="249">
        <f>E136*F136</f>
        <v>2537500</v>
      </c>
      <c r="H136" s="243">
        <v>1.8</v>
      </c>
      <c r="I136" s="247">
        <f>G136*H136</f>
        <v>4567500</v>
      </c>
      <c r="J136" s="243">
        <v>2004</v>
      </c>
      <c r="K136" s="243">
        <v>2019</v>
      </c>
      <c r="L136" s="250">
        <v>400</v>
      </c>
      <c r="M136" s="247">
        <f>I136*(B4/L136)</f>
        <v>6936890.625</v>
      </c>
      <c r="N136" s="245"/>
      <c r="O136" s="146"/>
      <c r="P136" s="252"/>
      <c r="Q136" s="211" t="s">
        <v>99</v>
      </c>
    </row>
    <row r="137" spans="1:17" s="62" customFormat="1" ht="13.8" thickBot="1" x14ac:dyDescent="0.3">
      <c r="A137" s="152" t="s">
        <v>234</v>
      </c>
      <c r="B137" s="153">
        <v>1</v>
      </c>
      <c r="C137" s="253">
        <v>110</v>
      </c>
      <c r="D137" s="254" t="s">
        <v>97</v>
      </c>
      <c r="E137" s="255">
        <v>25000</v>
      </c>
      <c r="F137" s="256">
        <v>4.9000000000000004</v>
      </c>
      <c r="G137" s="257">
        <f>E137*F137</f>
        <v>122500.00000000001</v>
      </c>
      <c r="H137" s="258">
        <v>1.8</v>
      </c>
      <c r="I137" s="257">
        <f>G137*H137</f>
        <v>220500.00000000003</v>
      </c>
      <c r="J137" s="258">
        <v>2004</v>
      </c>
      <c r="K137" s="153">
        <v>2019</v>
      </c>
      <c r="L137" s="259">
        <v>400</v>
      </c>
      <c r="M137" s="255">
        <f>I137*(B4/L137)</f>
        <v>334884.37500000006</v>
      </c>
      <c r="N137" s="260"/>
      <c r="O137" s="257"/>
      <c r="P137" s="261"/>
      <c r="Q137" s="215" t="s">
        <v>99</v>
      </c>
    </row>
    <row r="138" spans="1:17" x14ac:dyDescent="0.25">
      <c r="A138" s="40"/>
      <c r="B138" s="41"/>
      <c r="C138" s="39"/>
      <c r="D138" s="39"/>
      <c r="E138" s="39"/>
      <c r="F138" s="39"/>
      <c r="G138" s="40"/>
      <c r="H138" s="40"/>
      <c r="I138" s="43"/>
      <c r="J138" s="40"/>
      <c r="K138" s="42"/>
      <c r="L138" s="42"/>
      <c r="M138" s="42"/>
      <c r="N138" s="42"/>
      <c r="O138" s="87" t="s">
        <v>235</v>
      </c>
      <c r="P138" s="178">
        <f>M135+M137</f>
        <v>7032571.875</v>
      </c>
      <c r="Q138" s="40"/>
    </row>
    <row r="139" spans="1:17" x14ac:dyDescent="0.25">
      <c r="O139" s="76" t="s">
        <v>236</v>
      </c>
      <c r="P139" s="77">
        <f>M137+M136</f>
        <v>7271775</v>
      </c>
    </row>
    <row r="140" spans="1:17" ht="13.8" thickBot="1" x14ac:dyDescent="0.3">
      <c r="A140" s="31"/>
      <c r="B140" s="32"/>
      <c r="C140" s="33"/>
      <c r="D140" s="33"/>
      <c r="E140" s="33"/>
      <c r="F140" s="33"/>
      <c r="G140" s="31"/>
      <c r="H140" s="31"/>
      <c r="I140" s="34"/>
      <c r="J140" s="31"/>
      <c r="K140" s="35"/>
      <c r="L140" s="35"/>
      <c r="M140" s="35"/>
      <c r="N140" s="35"/>
      <c r="O140" s="34"/>
      <c r="P140" s="31"/>
      <c r="Q140" s="31"/>
    </row>
    <row r="141" spans="1:17" x14ac:dyDescent="0.25">
      <c r="A141" s="45"/>
      <c r="B141" s="46" t="s">
        <v>48</v>
      </c>
      <c r="C141" s="47" t="s">
        <v>49</v>
      </c>
      <c r="D141" s="47" t="s">
        <v>103</v>
      </c>
      <c r="E141" s="46"/>
      <c r="F141" s="46" t="s">
        <v>51</v>
      </c>
      <c r="G141" s="49" t="s">
        <v>52</v>
      </c>
      <c r="H141" s="46" t="s">
        <v>51</v>
      </c>
      <c r="I141" s="50" t="s">
        <v>49</v>
      </c>
      <c r="J141" s="50" t="s">
        <v>73</v>
      </c>
      <c r="K141" s="49" t="s">
        <v>53</v>
      </c>
      <c r="L141" s="48" t="s">
        <v>54</v>
      </c>
      <c r="M141" s="46" t="s">
        <v>55</v>
      </c>
      <c r="N141" s="46" t="s">
        <v>56</v>
      </c>
      <c r="O141" s="46" t="s">
        <v>57</v>
      </c>
      <c r="P141" s="48" t="s">
        <v>54</v>
      </c>
      <c r="Q141" s="51" t="s">
        <v>58</v>
      </c>
    </row>
    <row r="142" spans="1:17" x14ac:dyDescent="0.25">
      <c r="A142" s="52" t="s">
        <v>237</v>
      </c>
      <c r="B142" s="53" t="s">
        <v>59</v>
      </c>
      <c r="C142" s="54" t="s">
        <v>60</v>
      </c>
      <c r="D142" s="54" t="s">
        <v>60</v>
      </c>
      <c r="E142" s="53" t="s">
        <v>61</v>
      </c>
      <c r="F142" s="53" t="s">
        <v>62</v>
      </c>
      <c r="G142" s="56" t="s">
        <v>63</v>
      </c>
      <c r="H142" s="53" t="s">
        <v>64</v>
      </c>
      <c r="I142" s="57" t="s">
        <v>65</v>
      </c>
      <c r="J142" s="57" t="s">
        <v>65</v>
      </c>
      <c r="K142" s="56" t="s">
        <v>66</v>
      </c>
      <c r="L142" s="55" t="s">
        <v>67</v>
      </c>
      <c r="M142" s="53" t="s">
        <v>68</v>
      </c>
      <c r="N142" s="53" t="s">
        <v>68</v>
      </c>
      <c r="O142" s="53" t="s">
        <v>67</v>
      </c>
      <c r="P142" s="55" t="s">
        <v>75</v>
      </c>
      <c r="Q142" s="58" t="s">
        <v>69</v>
      </c>
    </row>
    <row r="143" spans="1:17" x14ac:dyDescent="0.25">
      <c r="A143" s="52" t="s">
        <v>238</v>
      </c>
      <c r="B143" s="53">
        <v>1</v>
      </c>
      <c r="C143" s="54">
        <v>10037820</v>
      </c>
      <c r="D143" s="54">
        <v>3785390.9967071498</v>
      </c>
      <c r="E143" s="53" t="s">
        <v>70</v>
      </c>
      <c r="F143" s="53" t="s">
        <v>239</v>
      </c>
      <c r="G143" s="56">
        <f t="shared" ref="G143:G151" si="26">D143/C143</f>
        <v>0.37711285883858742</v>
      </c>
      <c r="H143" s="53">
        <v>0.6</v>
      </c>
      <c r="I143" s="57">
        <v>1375000</v>
      </c>
      <c r="J143" s="61">
        <f t="shared" ref="J143:J151" si="27">(G143^H143)*I143</f>
        <v>765923.6908587435</v>
      </c>
      <c r="K143" s="56">
        <v>1.5</v>
      </c>
      <c r="L143" s="57">
        <f t="shared" ref="L143:L151" si="28">J143*K143</f>
        <v>1148885.5362881152</v>
      </c>
      <c r="M143" s="53">
        <v>2010</v>
      </c>
      <c r="N143" s="53">
        <v>2014</v>
      </c>
      <c r="O143" s="53">
        <v>550.79999999999995</v>
      </c>
      <c r="P143" s="57">
        <f t="shared" ref="P143:P151" si="29">($B$4/O143)*L143</f>
        <v>1267153.1650236566</v>
      </c>
      <c r="Q143" s="58" t="s">
        <v>72</v>
      </c>
    </row>
    <row r="144" spans="1:17" x14ac:dyDescent="0.25">
      <c r="A144" s="52" t="s">
        <v>240</v>
      </c>
      <c r="B144" s="53">
        <v>1</v>
      </c>
      <c r="C144" s="54">
        <v>83333</v>
      </c>
      <c r="D144" s="54">
        <v>104166</v>
      </c>
      <c r="E144" s="53" t="s">
        <v>70</v>
      </c>
      <c r="F144" s="53" t="s">
        <v>71</v>
      </c>
      <c r="G144" s="56">
        <f t="shared" si="26"/>
        <v>1.2499969999879998</v>
      </c>
      <c r="H144" s="53">
        <v>0.6</v>
      </c>
      <c r="I144" s="57">
        <v>28000</v>
      </c>
      <c r="J144" s="61">
        <f t="shared" si="27"/>
        <v>32011.307538357094</v>
      </c>
      <c r="K144" s="56">
        <v>1.6</v>
      </c>
      <c r="L144" s="57">
        <f t="shared" si="28"/>
        <v>51218.092061371353</v>
      </c>
      <c r="M144" s="53">
        <v>2010</v>
      </c>
      <c r="N144" s="53">
        <v>2014</v>
      </c>
      <c r="O144" s="53">
        <v>550.79999999999995</v>
      </c>
      <c r="P144" s="57">
        <f t="shared" si="29"/>
        <v>56490.542714747819</v>
      </c>
      <c r="Q144" s="58" t="s">
        <v>72</v>
      </c>
    </row>
    <row r="145" spans="1:17" x14ac:dyDescent="0.25">
      <c r="A145" s="52" t="s">
        <v>241</v>
      </c>
      <c r="B145" s="53">
        <v>1</v>
      </c>
      <c r="C145" s="54">
        <f>C144</f>
        <v>83333</v>
      </c>
      <c r="D145" s="54">
        <v>104166</v>
      </c>
      <c r="E145" s="53" t="s">
        <v>70</v>
      </c>
      <c r="F145" s="53" t="s">
        <v>71</v>
      </c>
      <c r="G145" s="56">
        <f t="shared" si="26"/>
        <v>1.2499969999879998</v>
      </c>
      <c r="H145" s="53">
        <v>0.6</v>
      </c>
      <c r="I145" s="57">
        <v>421000</v>
      </c>
      <c r="J145" s="61">
        <f t="shared" si="27"/>
        <v>481312.8740588692</v>
      </c>
      <c r="K145" s="56">
        <v>1.8</v>
      </c>
      <c r="L145" s="57">
        <f t="shared" si="28"/>
        <v>866363.17330596456</v>
      </c>
      <c r="M145" s="53">
        <v>2009</v>
      </c>
      <c r="N145" s="53">
        <v>2014</v>
      </c>
      <c r="O145" s="53">
        <v>521.9</v>
      </c>
      <c r="P145" s="57">
        <f t="shared" si="29"/>
        <v>1008460.6778757875</v>
      </c>
      <c r="Q145" s="58" t="s">
        <v>72</v>
      </c>
    </row>
    <row r="146" spans="1:17" x14ac:dyDescent="0.25">
      <c r="A146" s="52" t="s">
        <v>242</v>
      </c>
      <c r="B146" s="53">
        <v>3</v>
      </c>
      <c r="C146" s="54">
        <v>10982556</v>
      </c>
      <c r="D146" s="54">
        <v>4126695.0526745901</v>
      </c>
      <c r="E146" s="53" t="s">
        <v>70</v>
      </c>
      <c r="F146" s="53" t="s">
        <v>239</v>
      </c>
      <c r="G146" s="56">
        <f t="shared" si="26"/>
        <v>0.3757499668269017</v>
      </c>
      <c r="H146" s="53">
        <v>0.8</v>
      </c>
      <c r="I146" s="57">
        <v>283671</v>
      </c>
      <c r="J146" s="61">
        <f t="shared" si="27"/>
        <v>129638.53076627316</v>
      </c>
      <c r="K146" s="56">
        <v>3.1</v>
      </c>
      <c r="L146" s="57">
        <f t="shared" si="28"/>
        <v>401879.44537544681</v>
      </c>
      <c r="M146" s="53">
        <v>2010</v>
      </c>
      <c r="N146" s="53">
        <v>2014</v>
      </c>
      <c r="O146" s="53">
        <v>550.79999999999995</v>
      </c>
      <c r="P146" s="57">
        <f t="shared" si="29"/>
        <v>443249.38828174287</v>
      </c>
      <c r="Q146" s="58" t="s">
        <v>72</v>
      </c>
    </row>
    <row r="147" spans="1:17" x14ac:dyDescent="0.25">
      <c r="A147" s="52" t="s">
        <v>243</v>
      </c>
      <c r="B147" s="53">
        <v>1</v>
      </c>
      <c r="C147" s="54">
        <v>155563.5</v>
      </c>
      <c r="D147" s="54">
        <v>67162.983825627307</v>
      </c>
      <c r="E147" s="53" t="s">
        <v>244</v>
      </c>
      <c r="F147" s="53" t="s">
        <v>245</v>
      </c>
      <c r="G147" s="56">
        <f t="shared" si="26"/>
        <v>0.43173998930100765</v>
      </c>
      <c r="H147" s="53">
        <v>0.8</v>
      </c>
      <c r="I147" s="57">
        <v>6864</v>
      </c>
      <c r="J147" s="61">
        <f t="shared" si="27"/>
        <v>3505.5413640067527</v>
      </c>
      <c r="K147" s="56">
        <v>3.1</v>
      </c>
      <c r="L147" s="57">
        <f t="shared" si="28"/>
        <v>10867.178228420933</v>
      </c>
      <c r="M147" s="53">
        <v>2010</v>
      </c>
      <c r="N147" s="53">
        <v>2014</v>
      </c>
      <c r="O147" s="53">
        <v>550.79999999999995</v>
      </c>
      <c r="P147" s="57">
        <f t="shared" si="29"/>
        <v>11985.858340170147</v>
      </c>
      <c r="Q147" s="58" t="s">
        <v>72</v>
      </c>
    </row>
    <row r="148" spans="1:17" x14ac:dyDescent="0.25">
      <c r="A148" s="52" t="s">
        <v>246</v>
      </c>
      <c r="B148" s="53">
        <v>1</v>
      </c>
      <c r="C148" s="54">
        <v>518923.5</v>
      </c>
      <c r="D148" s="54">
        <v>428781.45687621803</v>
      </c>
      <c r="E148" s="53" t="s">
        <v>70</v>
      </c>
      <c r="F148" s="53" t="s">
        <v>247</v>
      </c>
      <c r="G148" s="56">
        <f t="shared" si="26"/>
        <v>0.82629030459444996</v>
      </c>
      <c r="H148" s="53">
        <v>0.8</v>
      </c>
      <c r="I148" s="57">
        <v>15292</v>
      </c>
      <c r="J148" s="61">
        <f t="shared" si="27"/>
        <v>13127.149004422234</v>
      </c>
      <c r="K148" s="56">
        <v>3.1</v>
      </c>
      <c r="L148" s="57">
        <f t="shared" si="28"/>
        <v>40694.161913708929</v>
      </c>
      <c r="M148" s="53">
        <v>2010</v>
      </c>
      <c r="N148" s="53">
        <v>2014</v>
      </c>
      <c r="O148" s="53">
        <v>550.79999999999995</v>
      </c>
      <c r="P148" s="57">
        <f t="shared" si="29"/>
        <v>44883.266816590731</v>
      </c>
      <c r="Q148" s="58" t="s">
        <v>72</v>
      </c>
    </row>
    <row r="149" spans="1:17" x14ac:dyDescent="0.25">
      <c r="A149" s="52" t="s">
        <v>248</v>
      </c>
      <c r="B149" s="53">
        <v>1</v>
      </c>
      <c r="C149" s="54">
        <v>83333</v>
      </c>
      <c r="D149" s="54">
        <v>104166</v>
      </c>
      <c r="E149" s="53" t="s">
        <v>70</v>
      </c>
      <c r="F149" s="53" t="s">
        <v>71</v>
      </c>
      <c r="G149" s="56">
        <f t="shared" si="26"/>
        <v>1.2499969999879998</v>
      </c>
      <c r="H149" s="53">
        <v>0.6</v>
      </c>
      <c r="I149" s="57">
        <v>15000</v>
      </c>
      <c r="J149" s="61">
        <f t="shared" si="27"/>
        <v>17148.9147526913</v>
      </c>
      <c r="K149" s="56">
        <v>1.8</v>
      </c>
      <c r="L149" s="57">
        <f t="shared" si="28"/>
        <v>30868.046554844343</v>
      </c>
      <c r="M149" s="53">
        <v>2009</v>
      </c>
      <c r="N149" s="53">
        <v>2014</v>
      </c>
      <c r="O149" s="53">
        <v>521.9</v>
      </c>
      <c r="P149" s="57">
        <f t="shared" si="29"/>
        <v>35930.903012201452</v>
      </c>
      <c r="Q149" s="58" t="s">
        <v>72</v>
      </c>
    </row>
    <row r="150" spans="1:17" x14ac:dyDescent="0.25">
      <c r="A150" s="52" t="s">
        <v>249</v>
      </c>
      <c r="B150" s="53">
        <v>1</v>
      </c>
      <c r="C150" s="54">
        <v>83333</v>
      </c>
      <c r="D150" s="54">
        <v>104166</v>
      </c>
      <c r="E150" s="53" t="s">
        <v>70</v>
      </c>
      <c r="F150" s="53" t="s">
        <v>71</v>
      </c>
      <c r="G150" s="56">
        <f t="shared" si="26"/>
        <v>1.2499969999879998</v>
      </c>
      <c r="H150" s="53">
        <v>0.6</v>
      </c>
      <c r="I150" s="57">
        <v>16000</v>
      </c>
      <c r="J150" s="61">
        <f t="shared" si="27"/>
        <v>18292.175736204055</v>
      </c>
      <c r="K150" s="56">
        <v>3.1</v>
      </c>
      <c r="L150" s="57">
        <f t="shared" si="28"/>
        <v>56705.74478223257</v>
      </c>
      <c r="M150" s="53">
        <v>2009</v>
      </c>
      <c r="N150" s="53">
        <v>2014</v>
      </c>
      <c r="O150" s="53">
        <v>521.9</v>
      </c>
      <c r="P150" s="57">
        <f t="shared" si="29"/>
        <v>66006.399607599698</v>
      </c>
      <c r="Q150" s="58" t="s">
        <v>72</v>
      </c>
    </row>
    <row r="151" spans="1:17" ht="13.8" thickBot="1" x14ac:dyDescent="0.3">
      <c r="A151" s="65" t="s">
        <v>250</v>
      </c>
      <c r="B151" s="66">
        <v>1</v>
      </c>
      <c r="C151" s="137">
        <v>451555</v>
      </c>
      <c r="D151" s="137">
        <v>428781.45687621803</v>
      </c>
      <c r="E151" s="66" t="s">
        <v>70</v>
      </c>
      <c r="F151" s="66" t="s">
        <v>247</v>
      </c>
      <c r="G151" s="69">
        <f t="shared" si="26"/>
        <v>0.94956640248965918</v>
      </c>
      <c r="H151" s="66">
        <v>0.7</v>
      </c>
      <c r="I151" s="139">
        <v>250000</v>
      </c>
      <c r="J151" s="72">
        <f t="shared" si="27"/>
        <v>241105.84934213414</v>
      </c>
      <c r="K151" s="69">
        <v>1.7</v>
      </c>
      <c r="L151" s="139">
        <f t="shared" si="28"/>
        <v>409879.94388162805</v>
      </c>
      <c r="M151" s="66">
        <v>2009</v>
      </c>
      <c r="N151" s="66">
        <v>2014</v>
      </c>
      <c r="O151" s="66">
        <v>521.9</v>
      </c>
      <c r="P151" s="139">
        <f t="shared" si="29"/>
        <v>477106.85171122634</v>
      </c>
      <c r="Q151" s="73" t="s">
        <v>72</v>
      </c>
    </row>
    <row r="152" spans="1:17" x14ac:dyDescent="0.25">
      <c r="A152" s="40"/>
      <c r="B152" s="41"/>
      <c r="C152" s="39"/>
      <c r="D152" s="39"/>
      <c r="E152" s="40"/>
      <c r="F152" s="40"/>
      <c r="G152" s="43"/>
      <c r="H152" s="40"/>
      <c r="I152" s="42"/>
      <c r="J152" s="42"/>
      <c r="K152" s="42"/>
      <c r="L152" s="42"/>
      <c r="M152" s="43"/>
      <c r="N152" s="40"/>
      <c r="O152" s="76" t="s">
        <v>251</v>
      </c>
      <c r="P152" s="159">
        <f>SUM(P143:P151)</f>
        <v>3411267.0533837238</v>
      </c>
      <c r="Q152" s="40"/>
    </row>
    <row r="153" spans="1:17" ht="13.8" thickBot="1" x14ac:dyDescent="0.3">
      <c r="A153" s="31"/>
      <c r="B153" s="32"/>
      <c r="C153" s="33"/>
      <c r="D153" s="33"/>
      <c r="E153" s="31"/>
      <c r="F153" s="31"/>
      <c r="G153" s="34"/>
      <c r="H153" s="31"/>
      <c r="I153" s="35"/>
      <c r="J153" s="35"/>
      <c r="K153" s="35"/>
      <c r="L153" s="35"/>
      <c r="M153" s="34"/>
      <c r="N153" s="31"/>
      <c r="O153" s="31"/>
      <c r="P153" s="31"/>
      <c r="Q153" s="31"/>
    </row>
    <row r="154" spans="1:17" x14ac:dyDescent="0.25">
      <c r="A154" s="179"/>
      <c r="B154" s="180" t="s">
        <v>48</v>
      </c>
      <c r="C154" s="181" t="s">
        <v>49</v>
      </c>
      <c r="D154" s="181" t="s">
        <v>103</v>
      </c>
      <c r="E154" s="182"/>
      <c r="F154" s="180" t="s">
        <v>51</v>
      </c>
      <c r="G154" s="183" t="s">
        <v>52</v>
      </c>
      <c r="H154" s="180" t="s">
        <v>51</v>
      </c>
      <c r="I154" s="184" t="s">
        <v>49</v>
      </c>
      <c r="J154" s="184" t="s">
        <v>73</v>
      </c>
      <c r="K154" s="183" t="s">
        <v>53</v>
      </c>
      <c r="L154" s="182" t="s">
        <v>54</v>
      </c>
      <c r="M154" s="180" t="s">
        <v>55</v>
      </c>
      <c r="N154" s="180" t="s">
        <v>56</v>
      </c>
      <c r="O154" s="180" t="s">
        <v>57</v>
      </c>
      <c r="P154" s="182" t="s">
        <v>54</v>
      </c>
      <c r="Q154" s="185" t="s">
        <v>58</v>
      </c>
    </row>
    <row r="155" spans="1:17" x14ac:dyDescent="0.25">
      <c r="A155" s="186" t="s">
        <v>252</v>
      </c>
      <c r="B155" s="187" t="s">
        <v>59</v>
      </c>
      <c r="C155" s="188" t="s">
        <v>60</v>
      </c>
      <c r="D155" s="188" t="s">
        <v>253</v>
      </c>
      <c r="E155" s="187" t="s">
        <v>61</v>
      </c>
      <c r="F155" s="187" t="s">
        <v>62</v>
      </c>
      <c r="G155" s="189" t="s">
        <v>63</v>
      </c>
      <c r="H155" s="187" t="s">
        <v>64</v>
      </c>
      <c r="I155" s="190" t="s">
        <v>65</v>
      </c>
      <c r="J155" s="190" t="s">
        <v>65</v>
      </c>
      <c r="K155" s="189" t="s">
        <v>66</v>
      </c>
      <c r="L155" s="191" t="s">
        <v>67</v>
      </c>
      <c r="M155" s="187" t="s">
        <v>68</v>
      </c>
      <c r="N155" s="187" t="s">
        <v>68</v>
      </c>
      <c r="O155" s="187" t="s">
        <v>67</v>
      </c>
      <c r="P155" s="191" t="s">
        <v>75</v>
      </c>
      <c r="Q155" s="192" t="s">
        <v>69</v>
      </c>
    </row>
    <row r="156" spans="1:17" x14ac:dyDescent="0.25">
      <c r="A156" s="186" t="s">
        <v>254</v>
      </c>
      <c r="B156" s="187">
        <v>1</v>
      </c>
      <c r="C156" s="188">
        <v>1393</v>
      </c>
      <c r="D156" s="193">
        <v>2753.02</v>
      </c>
      <c r="E156" s="187" t="s">
        <v>70</v>
      </c>
      <c r="F156" s="187" t="s">
        <v>255</v>
      </c>
      <c r="G156" s="189">
        <f t="shared" ref="G156:G166" si="30">D156/C156</f>
        <v>1.9763244795405599</v>
      </c>
      <c r="H156" s="187">
        <v>0.5</v>
      </c>
      <c r="I156" s="190">
        <v>21200</v>
      </c>
      <c r="J156" s="194">
        <f t="shared" ref="J156:J166" si="31">(G156^H156)*I156</f>
        <v>29803.34333736249</v>
      </c>
      <c r="K156" s="189">
        <v>1.5</v>
      </c>
      <c r="L156" s="190">
        <f t="shared" ref="L156:L166" si="32">J156*K156</f>
        <v>44705.015006043737</v>
      </c>
      <c r="M156" s="187">
        <v>2009</v>
      </c>
      <c r="N156" s="187">
        <v>2014</v>
      </c>
      <c r="O156" s="187">
        <v>525.4</v>
      </c>
      <c r="P156" s="190">
        <f t="shared" ref="P156:P166" si="33">($B$4/O156)*L156</f>
        <v>51690.70539811872</v>
      </c>
      <c r="Q156" s="192" t="s">
        <v>72</v>
      </c>
    </row>
    <row r="157" spans="1:17" x14ac:dyDescent="0.25">
      <c r="A157" s="186" t="s">
        <v>256</v>
      </c>
      <c r="B157" s="187">
        <v>1</v>
      </c>
      <c r="C157" s="188">
        <v>163</v>
      </c>
      <c r="D157" s="195">
        <v>275.3</v>
      </c>
      <c r="E157" s="187" t="s">
        <v>70</v>
      </c>
      <c r="F157" s="187" t="s">
        <v>257</v>
      </c>
      <c r="G157" s="189">
        <f t="shared" si="30"/>
        <v>1.6889570552147239</v>
      </c>
      <c r="H157" s="187">
        <v>0.5</v>
      </c>
      <c r="I157" s="190">
        <v>9800</v>
      </c>
      <c r="J157" s="194">
        <f t="shared" si="31"/>
        <v>12736.068293740502</v>
      </c>
      <c r="K157" s="189">
        <v>1.5</v>
      </c>
      <c r="L157" s="190">
        <f t="shared" si="32"/>
        <v>19104.102440610754</v>
      </c>
      <c r="M157" s="187">
        <v>2009</v>
      </c>
      <c r="N157" s="187">
        <v>2014</v>
      </c>
      <c r="O157" s="187">
        <v>525.4</v>
      </c>
      <c r="P157" s="190">
        <f t="shared" si="33"/>
        <v>22089.345703599229</v>
      </c>
      <c r="Q157" s="192" t="s">
        <v>72</v>
      </c>
    </row>
    <row r="158" spans="1:17" x14ac:dyDescent="0.25">
      <c r="A158" s="186" t="s">
        <v>258</v>
      </c>
      <c r="B158" s="187">
        <v>1</v>
      </c>
      <c r="C158" s="188">
        <v>163</v>
      </c>
      <c r="D158" s="195">
        <v>275.3</v>
      </c>
      <c r="E158" s="187" t="s">
        <v>70</v>
      </c>
      <c r="F158" s="187" t="s">
        <v>257</v>
      </c>
      <c r="G158" s="189">
        <f t="shared" si="30"/>
        <v>1.6889570552147239</v>
      </c>
      <c r="H158" s="187">
        <v>0.6</v>
      </c>
      <c r="I158" s="190">
        <v>30000</v>
      </c>
      <c r="J158" s="194">
        <f t="shared" si="31"/>
        <v>41085.86349597363</v>
      </c>
      <c r="K158" s="189">
        <v>1.7</v>
      </c>
      <c r="L158" s="190">
        <f t="shared" si="32"/>
        <v>69845.967943155163</v>
      </c>
      <c r="M158" s="187">
        <v>2009</v>
      </c>
      <c r="N158" s="187">
        <v>2014</v>
      </c>
      <c r="O158" s="187">
        <v>525.4</v>
      </c>
      <c r="P158" s="190">
        <f t="shared" si="33"/>
        <v>80760.231300850341</v>
      </c>
      <c r="Q158" s="192" t="s">
        <v>72</v>
      </c>
    </row>
    <row r="159" spans="1:17" x14ac:dyDescent="0.25">
      <c r="A159" s="186" t="s">
        <v>259</v>
      </c>
      <c r="B159" s="187">
        <v>2</v>
      </c>
      <c r="C159" s="188">
        <v>22681</v>
      </c>
      <c r="D159" s="193">
        <v>21445.017259938701</v>
      </c>
      <c r="E159" s="187" t="s">
        <v>70</v>
      </c>
      <c r="F159" s="187" t="s">
        <v>260</v>
      </c>
      <c r="G159" s="189">
        <f t="shared" si="30"/>
        <v>0.9455058092649663</v>
      </c>
      <c r="H159" s="187">
        <v>0.8</v>
      </c>
      <c r="I159" s="190">
        <v>9200</v>
      </c>
      <c r="J159" s="194">
        <f t="shared" si="31"/>
        <v>8796.6879966867164</v>
      </c>
      <c r="K159" s="189">
        <v>3.1</v>
      </c>
      <c r="L159" s="190">
        <f t="shared" si="32"/>
        <v>27269.732789728823</v>
      </c>
      <c r="M159" s="187">
        <v>2009</v>
      </c>
      <c r="N159" s="187">
        <v>2014</v>
      </c>
      <c r="O159" s="187">
        <v>525.4</v>
      </c>
      <c r="P159" s="190">
        <f t="shared" si="33"/>
        <v>31530.95293064382</v>
      </c>
      <c r="Q159" s="192" t="s">
        <v>72</v>
      </c>
    </row>
    <row r="160" spans="1:17" x14ac:dyDescent="0.25">
      <c r="A160" s="186" t="s">
        <v>261</v>
      </c>
      <c r="B160" s="187">
        <v>1</v>
      </c>
      <c r="C160" s="188">
        <f>C150</f>
        <v>83333</v>
      </c>
      <c r="D160" s="193">
        <v>104166</v>
      </c>
      <c r="E160" s="187" t="s">
        <v>70</v>
      </c>
      <c r="F160" s="187" t="s">
        <v>71</v>
      </c>
      <c r="G160" s="189">
        <f t="shared" si="30"/>
        <v>1.2499969999879998</v>
      </c>
      <c r="H160" s="187">
        <v>0.8</v>
      </c>
      <c r="I160" s="190">
        <v>15000</v>
      </c>
      <c r="J160" s="194">
        <f t="shared" si="31"/>
        <v>17931.57494222722</v>
      </c>
      <c r="K160" s="189">
        <v>3.1</v>
      </c>
      <c r="L160" s="190">
        <f t="shared" si="32"/>
        <v>55587.882320904384</v>
      </c>
      <c r="M160" s="187">
        <v>2009</v>
      </c>
      <c r="N160" s="187">
        <v>2014</v>
      </c>
      <c r="O160" s="187">
        <v>525.4</v>
      </c>
      <c r="P160" s="190">
        <f t="shared" si="33"/>
        <v>64274.150190234905</v>
      </c>
      <c r="Q160" s="192" t="s">
        <v>72</v>
      </c>
    </row>
    <row r="161" spans="1:17" x14ac:dyDescent="0.25">
      <c r="A161" s="186" t="s">
        <v>262</v>
      </c>
      <c r="B161" s="187">
        <v>1</v>
      </c>
      <c r="C161" s="188">
        <v>1393</v>
      </c>
      <c r="D161" s="193">
        <v>2753.02</v>
      </c>
      <c r="E161" s="187" t="s">
        <v>70</v>
      </c>
      <c r="F161" s="187" t="s">
        <v>255</v>
      </c>
      <c r="G161" s="189">
        <f t="shared" si="30"/>
        <v>1.9763244795405599</v>
      </c>
      <c r="H161" s="187">
        <v>0.8</v>
      </c>
      <c r="I161" s="190">
        <v>3000</v>
      </c>
      <c r="J161" s="194">
        <f t="shared" si="31"/>
        <v>5173.7787738806128</v>
      </c>
      <c r="K161" s="189">
        <v>3.1</v>
      </c>
      <c r="L161" s="190">
        <f t="shared" si="32"/>
        <v>16038.714199029901</v>
      </c>
      <c r="M161" s="187">
        <v>2009</v>
      </c>
      <c r="N161" s="187">
        <v>2014</v>
      </c>
      <c r="O161" s="187">
        <v>525.4</v>
      </c>
      <c r="P161" s="190">
        <f t="shared" si="33"/>
        <v>18544.954084337012</v>
      </c>
      <c r="Q161" s="192" t="s">
        <v>72</v>
      </c>
    </row>
    <row r="162" spans="1:17" x14ac:dyDescent="0.25">
      <c r="A162" s="186" t="s">
        <v>263</v>
      </c>
      <c r="B162" s="187">
        <v>1</v>
      </c>
      <c r="C162" s="188">
        <v>163</v>
      </c>
      <c r="D162" s="195">
        <v>275.3</v>
      </c>
      <c r="E162" s="187" t="s">
        <v>70</v>
      </c>
      <c r="F162" s="187" t="s">
        <v>257</v>
      </c>
      <c r="G162" s="189">
        <f t="shared" si="30"/>
        <v>1.6889570552147239</v>
      </c>
      <c r="H162" s="187">
        <v>0.8</v>
      </c>
      <c r="I162" s="190">
        <v>3000</v>
      </c>
      <c r="J162" s="194">
        <f t="shared" si="31"/>
        <v>4562.6393355528471</v>
      </c>
      <c r="K162" s="189">
        <v>3.1</v>
      </c>
      <c r="L162" s="190">
        <f t="shared" si="32"/>
        <v>14144.181940213826</v>
      </c>
      <c r="M162" s="187">
        <v>2009</v>
      </c>
      <c r="N162" s="187">
        <v>2014</v>
      </c>
      <c r="O162" s="187">
        <v>525.4</v>
      </c>
      <c r="P162" s="190">
        <f t="shared" si="33"/>
        <v>16354.378623296347</v>
      </c>
      <c r="Q162" s="192" t="s">
        <v>72</v>
      </c>
    </row>
    <row r="163" spans="1:17" x14ac:dyDescent="0.25">
      <c r="A163" s="186" t="s">
        <v>264</v>
      </c>
      <c r="B163" s="187">
        <v>2</v>
      </c>
      <c r="C163" s="188">
        <v>22681</v>
      </c>
      <c r="D163" s="193">
        <v>21445.017259938701</v>
      </c>
      <c r="E163" s="187" t="s">
        <v>70</v>
      </c>
      <c r="F163" s="187" t="s">
        <v>260</v>
      </c>
      <c r="G163" s="189">
        <f t="shared" si="30"/>
        <v>0.9455058092649663</v>
      </c>
      <c r="H163" s="187">
        <v>0.7</v>
      </c>
      <c r="I163" s="190">
        <v>1340000</v>
      </c>
      <c r="J163" s="194">
        <f t="shared" si="31"/>
        <v>1288456.4366859873</v>
      </c>
      <c r="K163" s="189">
        <v>1.7</v>
      </c>
      <c r="L163" s="190">
        <f t="shared" si="32"/>
        <v>2190375.9423661781</v>
      </c>
      <c r="M163" s="187">
        <v>2009</v>
      </c>
      <c r="N163" s="187">
        <v>2014</v>
      </c>
      <c r="O163" s="187">
        <v>525.4</v>
      </c>
      <c r="P163" s="190">
        <f t="shared" si="33"/>
        <v>2532648.2394127394</v>
      </c>
      <c r="Q163" s="192" t="s">
        <v>72</v>
      </c>
    </row>
    <row r="164" spans="1:17" x14ac:dyDescent="0.25">
      <c r="A164" s="186" t="s">
        <v>265</v>
      </c>
      <c r="B164" s="187">
        <v>1</v>
      </c>
      <c r="C164" s="188">
        <f>C160</f>
        <v>83333</v>
      </c>
      <c r="D164" s="193">
        <v>104166</v>
      </c>
      <c r="E164" s="187" t="s">
        <v>70</v>
      </c>
      <c r="F164" s="187" t="s">
        <v>71</v>
      </c>
      <c r="G164" s="189">
        <f t="shared" si="30"/>
        <v>1.2499969999879998</v>
      </c>
      <c r="H164" s="187">
        <v>0.7</v>
      </c>
      <c r="I164" s="190">
        <v>803000</v>
      </c>
      <c r="J164" s="194">
        <f t="shared" si="31"/>
        <v>938754.05238562217</v>
      </c>
      <c r="K164" s="189">
        <v>1.7</v>
      </c>
      <c r="L164" s="190">
        <f t="shared" si="32"/>
        <v>1595881.8890555575</v>
      </c>
      <c r="M164" s="187">
        <v>2009</v>
      </c>
      <c r="N164" s="187">
        <v>2014</v>
      </c>
      <c r="O164" s="187">
        <v>525.4</v>
      </c>
      <c r="P164" s="190">
        <f t="shared" si="33"/>
        <v>1845257.418350307</v>
      </c>
      <c r="Q164" s="192" t="s">
        <v>72</v>
      </c>
    </row>
    <row r="165" spans="1:17" x14ac:dyDescent="0.25">
      <c r="A165" s="186" t="s">
        <v>266</v>
      </c>
      <c r="B165" s="187">
        <v>1</v>
      </c>
      <c r="C165" s="188">
        <v>1393</v>
      </c>
      <c r="D165" s="193">
        <v>2753.02</v>
      </c>
      <c r="E165" s="187" t="s">
        <v>70</v>
      </c>
      <c r="F165" s="187" t="s">
        <v>255</v>
      </c>
      <c r="G165" s="189">
        <f t="shared" si="30"/>
        <v>1.9763244795405599</v>
      </c>
      <c r="H165" s="187">
        <v>0.7</v>
      </c>
      <c r="I165" s="190">
        <v>70000</v>
      </c>
      <c r="J165" s="194">
        <f t="shared" si="31"/>
        <v>112771.35923651257</v>
      </c>
      <c r="K165" s="189">
        <v>2.6</v>
      </c>
      <c r="L165" s="190">
        <f t="shared" si="32"/>
        <v>293205.53401493269</v>
      </c>
      <c r="M165" s="187">
        <v>2009</v>
      </c>
      <c r="N165" s="187">
        <v>2014</v>
      </c>
      <c r="O165" s="187">
        <v>525.4</v>
      </c>
      <c r="P165" s="190">
        <f t="shared" si="33"/>
        <v>339022.38658940169</v>
      </c>
      <c r="Q165" s="192" t="s">
        <v>72</v>
      </c>
    </row>
    <row r="166" spans="1:17" ht="13.8" thickBot="1" x14ac:dyDescent="0.3">
      <c r="A166" s="196" t="s">
        <v>267</v>
      </c>
      <c r="B166" s="197">
        <v>1</v>
      </c>
      <c r="C166" s="198">
        <v>1615</v>
      </c>
      <c r="D166" s="199">
        <v>275.3</v>
      </c>
      <c r="E166" s="197" t="s">
        <v>70</v>
      </c>
      <c r="F166" s="197" t="s">
        <v>257</v>
      </c>
      <c r="G166" s="200">
        <f t="shared" si="30"/>
        <v>0.17046439628482973</v>
      </c>
      <c r="H166" s="197">
        <v>0.7</v>
      </c>
      <c r="I166" s="201">
        <v>102000</v>
      </c>
      <c r="J166" s="202">
        <f t="shared" si="31"/>
        <v>29562.676505691234</v>
      </c>
      <c r="K166" s="200">
        <v>1.8</v>
      </c>
      <c r="L166" s="201">
        <f t="shared" si="32"/>
        <v>53212.817710244221</v>
      </c>
      <c r="M166" s="197">
        <v>2009</v>
      </c>
      <c r="N166" s="197">
        <v>2014</v>
      </c>
      <c r="O166" s="197">
        <v>525.4</v>
      </c>
      <c r="P166" s="201">
        <f t="shared" si="33"/>
        <v>61527.953481106524</v>
      </c>
      <c r="Q166" s="203" t="s">
        <v>72</v>
      </c>
    </row>
    <row r="167" spans="1:17" x14ac:dyDescent="0.25">
      <c r="A167" s="40"/>
      <c r="B167" s="41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76" t="s">
        <v>16</v>
      </c>
      <c r="P167" s="140">
        <f>SUM(P156:P166)</f>
        <v>5063700.7160646347</v>
      </c>
      <c r="Q167" s="40"/>
    </row>
    <row r="168" spans="1:17" ht="13.8" thickBot="1" x14ac:dyDescent="0.3">
      <c r="A168" s="31"/>
      <c r="B168" s="32"/>
      <c r="C168" s="31"/>
      <c r="D168" s="31"/>
      <c r="E168" s="31"/>
      <c r="F168" s="31"/>
      <c r="G168" s="31"/>
      <c r="H168" s="32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1:17" x14ac:dyDescent="0.25">
      <c r="A169" s="45"/>
      <c r="B169" s="46" t="s">
        <v>48</v>
      </c>
      <c r="C169" s="48" t="s">
        <v>49</v>
      </c>
      <c r="D169" s="48" t="s">
        <v>103</v>
      </c>
      <c r="E169" s="48"/>
      <c r="F169" s="46" t="s">
        <v>51</v>
      </c>
      <c r="G169" s="46" t="s">
        <v>52</v>
      </c>
      <c r="H169" s="46" t="s">
        <v>89</v>
      </c>
      <c r="I169" s="48" t="s">
        <v>49</v>
      </c>
      <c r="J169" s="48" t="s">
        <v>73</v>
      </c>
      <c r="K169" s="46" t="s">
        <v>90</v>
      </c>
      <c r="L169" s="48" t="s">
        <v>54</v>
      </c>
      <c r="M169" s="46" t="s">
        <v>268</v>
      </c>
      <c r="N169" s="46" t="s">
        <v>56</v>
      </c>
      <c r="O169" s="46" t="s">
        <v>57</v>
      </c>
      <c r="P169" s="219" t="s">
        <v>54</v>
      </c>
      <c r="Q169" s="51"/>
    </row>
    <row r="170" spans="1:17" x14ac:dyDescent="0.25">
      <c r="A170" s="52" t="s">
        <v>289</v>
      </c>
      <c r="B170" s="53" t="s">
        <v>59</v>
      </c>
      <c r="C170" s="55" t="s">
        <v>60</v>
      </c>
      <c r="D170" s="55" t="s">
        <v>60</v>
      </c>
      <c r="E170" s="53" t="s">
        <v>61</v>
      </c>
      <c r="F170" s="53" t="s">
        <v>62</v>
      </c>
      <c r="G170" s="53" t="s">
        <v>63</v>
      </c>
      <c r="H170" s="53" t="s">
        <v>64</v>
      </c>
      <c r="I170" s="55" t="s">
        <v>65</v>
      </c>
      <c r="J170" s="55" t="s">
        <v>65</v>
      </c>
      <c r="K170" s="53" t="s">
        <v>66</v>
      </c>
      <c r="L170" s="55" t="s">
        <v>67</v>
      </c>
      <c r="M170" s="53" t="s">
        <v>68</v>
      </c>
      <c r="N170" s="53" t="s">
        <v>68</v>
      </c>
      <c r="O170" s="53" t="s">
        <v>67</v>
      </c>
      <c r="P170" s="61" t="s">
        <v>75</v>
      </c>
      <c r="Q170" s="58"/>
    </row>
    <row r="171" spans="1:17" x14ac:dyDescent="0.25">
      <c r="A171" s="52" t="s">
        <v>269</v>
      </c>
      <c r="B171" s="53">
        <v>1</v>
      </c>
      <c r="C171" s="55">
        <v>35991</v>
      </c>
      <c r="D171" s="251">
        <v>47681.7</v>
      </c>
      <c r="E171" s="53" t="s">
        <v>270</v>
      </c>
      <c r="F171" s="53" t="s">
        <v>271</v>
      </c>
      <c r="G171" s="56">
        <f>D171/C171</f>
        <v>1.3248228723847628</v>
      </c>
      <c r="H171" s="53">
        <v>0.6</v>
      </c>
      <c r="I171" s="61">
        <f>6026000-582000</f>
        <v>5444000</v>
      </c>
      <c r="J171" s="61">
        <f>I171*G171^H171</f>
        <v>6444849.8974909</v>
      </c>
      <c r="K171" s="53">
        <v>1</v>
      </c>
      <c r="L171" s="61">
        <f>J171</f>
        <v>6444849.8974909</v>
      </c>
      <c r="M171" s="53">
        <v>2011</v>
      </c>
      <c r="N171" s="53">
        <v>2019</v>
      </c>
      <c r="O171" s="53">
        <v>585.70000000000005</v>
      </c>
      <c r="P171" s="61">
        <f>L171*B4/O171</f>
        <v>6684729.9175784895</v>
      </c>
      <c r="Q171" s="58" t="s">
        <v>372</v>
      </c>
    </row>
    <row r="172" spans="1:17" ht="13.8" thickBot="1" x14ac:dyDescent="0.3">
      <c r="A172" s="65" t="s">
        <v>272</v>
      </c>
      <c r="B172" s="66">
        <v>1</v>
      </c>
      <c r="C172" s="68">
        <v>35991</v>
      </c>
      <c r="D172" s="262">
        <v>73776.889551519795</v>
      </c>
      <c r="E172" s="66" t="s">
        <v>270</v>
      </c>
      <c r="F172" s="66" t="s">
        <v>273</v>
      </c>
      <c r="G172" s="69">
        <f>D172/C172</f>
        <v>2.0498705107254533</v>
      </c>
      <c r="H172" s="66">
        <v>0.6</v>
      </c>
      <c r="I172" s="72">
        <f>6026000-582000</f>
        <v>5444000</v>
      </c>
      <c r="J172" s="72">
        <f>I172*G172^H172</f>
        <v>8374405.2493170686</v>
      </c>
      <c r="K172" s="66">
        <v>1</v>
      </c>
      <c r="L172" s="72">
        <f>J172</f>
        <v>8374405.2493170686</v>
      </c>
      <c r="M172" s="66">
        <v>2011</v>
      </c>
      <c r="N172" s="66">
        <v>2019</v>
      </c>
      <c r="O172" s="66">
        <v>585.70000000000005</v>
      </c>
      <c r="P172" s="72">
        <f>L172*B4/O172</f>
        <v>8686104.1300326418</v>
      </c>
      <c r="Q172" s="58" t="s">
        <v>372</v>
      </c>
    </row>
    <row r="173" spans="1:17" x14ac:dyDescent="0.25">
      <c r="A173" s="40"/>
      <c r="B173" s="41"/>
      <c r="C173" s="40"/>
      <c r="D173" s="40"/>
      <c r="E173" s="41"/>
      <c r="F173" s="40"/>
      <c r="G173" s="141"/>
      <c r="H173" s="41"/>
      <c r="I173" s="141"/>
      <c r="J173" s="40"/>
      <c r="K173" s="141"/>
      <c r="L173" s="40"/>
      <c r="M173" s="40"/>
      <c r="N173" s="40"/>
      <c r="O173" s="76" t="s">
        <v>17</v>
      </c>
      <c r="P173" s="89">
        <f>P172-P171</f>
        <v>2001374.2124541523</v>
      </c>
      <c r="Q173" s="40"/>
    </row>
    <row r="175" spans="1:17" hidden="1" x14ac:dyDescent="0.25">
      <c r="A175" s="84"/>
      <c r="B175" s="83"/>
      <c r="C175" s="84" t="s">
        <v>51</v>
      </c>
      <c r="D175" s="84"/>
      <c r="E175" s="84" t="s">
        <v>215</v>
      </c>
      <c r="F175" s="84" t="s">
        <v>216</v>
      </c>
      <c r="G175" s="84" t="s">
        <v>126</v>
      </c>
      <c r="H175" s="84" t="s">
        <v>53</v>
      </c>
      <c r="I175" s="84" t="s">
        <v>233</v>
      </c>
      <c r="J175" s="84"/>
      <c r="K175" s="84"/>
      <c r="L175" s="84"/>
      <c r="M175" s="84"/>
      <c r="N175" s="84"/>
      <c r="O175" s="84"/>
      <c r="P175" s="84"/>
      <c r="Q175" s="84"/>
    </row>
    <row r="176" spans="1:17" hidden="1" x14ac:dyDescent="0.25">
      <c r="A176" s="204" t="s">
        <v>274</v>
      </c>
      <c r="B176" s="83"/>
      <c r="C176" s="84" t="s">
        <v>129</v>
      </c>
      <c r="D176" s="84" t="s">
        <v>61</v>
      </c>
      <c r="E176" s="84" t="s">
        <v>58</v>
      </c>
      <c r="F176" s="84" t="s">
        <v>66</v>
      </c>
      <c r="G176" s="84" t="s">
        <v>65</v>
      </c>
      <c r="H176" s="84" t="s">
        <v>66</v>
      </c>
      <c r="I176" s="84" t="s">
        <v>58</v>
      </c>
      <c r="J176" s="84" t="s">
        <v>275</v>
      </c>
      <c r="K176" s="84" t="s">
        <v>276</v>
      </c>
      <c r="L176" s="84" t="s">
        <v>277</v>
      </c>
      <c r="M176" s="84"/>
      <c r="N176" s="84"/>
      <c r="O176" s="84"/>
      <c r="P176" s="84"/>
      <c r="Q176" s="84"/>
    </row>
    <row r="177" spans="1:17" hidden="1" x14ac:dyDescent="0.25">
      <c r="A177" s="84" t="s">
        <v>278</v>
      </c>
      <c r="B177" s="83">
        <v>1</v>
      </c>
      <c r="C177" s="84">
        <v>1814.4</v>
      </c>
      <c r="D177" s="84" t="s">
        <v>137</v>
      </c>
      <c r="E177" s="85">
        <v>1200000</v>
      </c>
      <c r="F177" s="84">
        <v>2.5</v>
      </c>
      <c r="G177" s="85">
        <f>E177*F177</f>
        <v>3000000</v>
      </c>
      <c r="H177" s="84">
        <v>1.6</v>
      </c>
      <c r="I177" s="85">
        <f>H177*G177</f>
        <v>4800000</v>
      </c>
      <c r="J177" s="84">
        <v>400</v>
      </c>
      <c r="K177" s="85">
        <f>I177*$B$4/J177</f>
        <v>7290000</v>
      </c>
      <c r="L177" s="85"/>
      <c r="M177" s="84"/>
      <c r="N177" s="84"/>
      <c r="O177" s="84"/>
      <c r="P177" s="84"/>
      <c r="Q177" s="84"/>
    </row>
    <row r="178" spans="1:17" hidden="1" x14ac:dyDescent="0.25">
      <c r="A178" s="84" t="s">
        <v>279</v>
      </c>
      <c r="B178" s="83">
        <v>1</v>
      </c>
      <c r="C178" s="84">
        <v>1814.4</v>
      </c>
      <c r="D178" s="84" t="s">
        <v>137</v>
      </c>
      <c r="E178" s="85">
        <v>100000</v>
      </c>
      <c r="F178" s="84">
        <v>1.5</v>
      </c>
      <c r="G178" s="85">
        <f>F178*E178</f>
        <v>150000</v>
      </c>
      <c r="H178" s="84">
        <v>1.6</v>
      </c>
      <c r="I178" s="85">
        <f>H178*G178</f>
        <v>240000</v>
      </c>
      <c r="J178" s="84">
        <v>400</v>
      </c>
      <c r="K178" s="85">
        <f>I178*$B$4/J178</f>
        <v>364500</v>
      </c>
      <c r="L178" s="85">
        <f>K177+K178</f>
        <v>7654500</v>
      </c>
      <c r="M178" s="84"/>
      <c r="N178" s="84"/>
      <c r="O178" s="84"/>
      <c r="P178" s="84"/>
      <c r="Q178" s="84"/>
    </row>
    <row r="179" spans="1:17" hidden="1" x14ac:dyDescent="0.25">
      <c r="A179" s="84" t="s">
        <v>272</v>
      </c>
      <c r="B179" s="83">
        <v>1</v>
      </c>
      <c r="C179" s="84">
        <v>2761.500959</v>
      </c>
      <c r="D179" s="84" t="s">
        <v>137</v>
      </c>
      <c r="E179" s="85">
        <v>1800000</v>
      </c>
      <c r="F179" s="84">
        <v>2.5</v>
      </c>
      <c r="G179" s="85">
        <f>F179*E179</f>
        <v>4500000</v>
      </c>
      <c r="H179" s="84">
        <v>1.6</v>
      </c>
      <c r="I179" s="85">
        <f>H179*G179</f>
        <v>7200000</v>
      </c>
      <c r="J179" s="84">
        <v>400</v>
      </c>
      <c r="K179" s="85">
        <f>I179*$B$4/J179</f>
        <v>10935000</v>
      </c>
      <c r="L179" s="85"/>
      <c r="M179" s="84"/>
      <c r="N179" s="84"/>
      <c r="O179" s="84"/>
      <c r="P179" s="84"/>
      <c r="Q179" s="84"/>
    </row>
    <row r="180" spans="1:17" hidden="1" x14ac:dyDescent="0.25">
      <c r="A180" s="84" t="s">
        <v>280</v>
      </c>
      <c r="B180" s="83">
        <v>1</v>
      </c>
      <c r="C180" s="84">
        <v>2761.500959</v>
      </c>
      <c r="D180" s="84" t="s">
        <v>137</v>
      </c>
      <c r="E180" s="85">
        <v>170000</v>
      </c>
      <c r="F180" s="84">
        <v>1.5</v>
      </c>
      <c r="G180" s="85">
        <f>F180*E180</f>
        <v>255000</v>
      </c>
      <c r="H180" s="84">
        <v>1.6</v>
      </c>
      <c r="I180" s="85">
        <f>H180*G180</f>
        <v>408000</v>
      </c>
      <c r="J180" s="84">
        <v>400</v>
      </c>
      <c r="K180" s="85">
        <f>I180*$B$4/J180</f>
        <v>619650</v>
      </c>
      <c r="L180" s="85">
        <f>K179+K180</f>
        <v>11554650</v>
      </c>
      <c r="M180" s="84"/>
      <c r="N180" s="84"/>
      <c r="O180" s="84"/>
      <c r="P180" s="84"/>
      <c r="Q180" s="84"/>
    </row>
    <row r="181" spans="1:17" s="205" customFormat="1" ht="13.8" thickBot="1" x14ac:dyDescent="0.3">
      <c r="A181" s="82" t="s">
        <v>370</v>
      </c>
      <c r="B181" s="32"/>
      <c r="C181" s="31"/>
      <c r="D181" s="31"/>
      <c r="E181" s="297"/>
      <c r="F181" s="31"/>
      <c r="G181" s="297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1:17" s="205" customFormat="1" x14ac:dyDescent="0.25">
      <c r="A182" s="331"/>
      <c r="B182" s="298" t="s">
        <v>48</v>
      </c>
      <c r="C182" s="299"/>
      <c r="D182" s="299" t="s">
        <v>103</v>
      </c>
      <c r="E182" s="298"/>
      <c r="F182" s="298" t="s">
        <v>51</v>
      </c>
      <c r="G182" s="300" t="s">
        <v>52</v>
      </c>
      <c r="H182" s="298" t="s">
        <v>51</v>
      </c>
      <c r="I182" s="301" t="s">
        <v>49</v>
      </c>
      <c r="J182" s="301" t="s">
        <v>73</v>
      </c>
      <c r="K182" s="300" t="s">
        <v>53</v>
      </c>
      <c r="L182" s="302" t="s">
        <v>54</v>
      </c>
      <c r="M182" s="298" t="s">
        <v>55</v>
      </c>
      <c r="N182" s="298" t="s">
        <v>56</v>
      </c>
      <c r="O182" s="298" t="s">
        <v>57</v>
      </c>
      <c r="P182" s="302" t="s">
        <v>54</v>
      </c>
      <c r="Q182" s="303" t="s">
        <v>58</v>
      </c>
    </row>
    <row r="183" spans="1:17" x14ac:dyDescent="0.25">
      <c r="A183" s="304" t="s">
        <v>281</v>
      </c>
      <c r="B183" s="305" t="s">
        <v>59</v>
      </c>
      <c r="C183" s="306" t="s">
        <v>150</v>
      </c>
      <c r="D183" s="306" t="s">
        <v>60</v>
      </c>
      <c r="E183" s="305" t="s">
        <v>61</v>
      </c>
      <c r="F183" s="305" t="s">
        <v>62</v>
      </c>
      <c r="G183" s="307" t="s">
        <v>63</v>
      </c>
      <c r="H183" s="305" t="s">
        <v>64</v>
      </c>
      <c r="I183" s="308" t="s">
        <v>65</v>
      </c>
      <c r="J183" s="308" t="s">
        <v>65</v>
      </c>
      <c r="K183" s="307" t="s">
        <v>66</v>
      </c>
      <c r="L183" s="309" t="s">
        <v>67</v>
      </c>
      <c r="M183" s="305" t="s">
        <v>68</v>
      </c>
      <c r="N183" s="305" t="s">
        <v>68</v>
      </c>
      <c r="O183" s="305" t="s">
        <v>67</v>
      </c>
      <c r="P183" s="309" t="s">
        <v>75</v>
      </c>
      <c r="Q183" s="310" t="s">
        <v>69</v>
      </c>
    </row>
    <row r="184" spans="1:17" x14ac:dyDescent="0.25">
      <c r="A184" s="304" t="s">
        <v>105</v>
      </c>
      <c r="B184" s="305">
        <v>1</v>
      </c>
      <c r="C184" s="306">
        <v>30379</v>
      </c>
      <c r="D184" s="306">
        <f>scale*(LOOKUP(F184,'[4]stream results'!$A$1:$EG$1,'[4]stream results'!$A$149:$EG$149))</f>
        <v>28820.69</v>
      </c>
      <c r="E184" s="305" t="s">
        <v>70</v>
      </c>
      <c r="F184" s="311">
        <v>114</v>
      </c>
      <c r="G184" s="307">
        <f>D184/C184</f>
        <v>0.94870436814905024</v>
      </c>
      <c r="H184" s="305">
        <v>0.6</v>
      </c>
      <c r="I184" s="308">
        <v>3407000</v>
      </c>
      <c r="J184" s="312">
        <f>(G184^H184)*I184</f>
        <v>3301039.1397362212</v>
      </c>
      <c r="K184" s="307">
        <v>2.4</v>
      </c>
      <c r="L184" s="313">
        <f>J184*K184</f>
        <v>7922493.9353669304</v>
      </c>
      <c r="M184" s="305">
        <v>2009</v>
      </c>
      <c r="N184" s="305">
        <v>2019</v>
      </c>
      <c r="O184" s="305">
        <v>521.9</v>
      </c>
      <c r="P184" s="308">
        <f>($B$4/O184)*L184</f>
        <v>9221910.4536030088</v>
      </c>
      <c r="Q184" s="310" t="s">
        <v>72</v>
      </c>
    </row>
    <row r="185" spans="1:17" x14ac:dyDescent="0.25">
      <c r="A185" s="304" t="s">
        <v>143</v>
      </c>
      <c r="B185" s="305">
        <v>1</v>
      </c>
      <c r="C185" s="306">
        <v>22687</v>
      </c>
      <c r="D185" s="306">
        <f>scale*(LOOKUP(F185,'[4]stream results'!$A$1:$EG$1,'[4]stream results'!$A$149:$EG$149))</f>
        <v>21425.3</v>
      </c>
      <c r="E185" s="305" t="s">
        <v>70</v>
      </c>
      <c r="F185" s="305">
        <v>120</v>
      </c>
      <c r="G185" s="307">
        <f>D185/C185</f>
        <v>0.94438665314938064</v>
      </c>
      <c r="H185" s="305">
        <v>0.6</v>
      </c>
      <c r="I185" s="308">
        <v>2601000</v>
      </c>
      <c r="J185" s="312">
        <f>(G185^H185)*I185</f>
        <v>2513218.550054824</v>
      </c>
      <c r="K185" s="307">
        <v>2.4</v>
      </c>
      <c r="L185" s="313">
        <f>J185*K185</f>
        <v>6031724.5201315777</v>
      </c>
      <c r="M185" s="305">
        <v>2009</v>
      </c>
      <c r="N185" s="305">
        <v>2019</v>
      </c>
      <c r="O185" s="305">
        <v>521.9</v>
      </c>
      <c r="P185" s="308">
        <f>($B$4/O185)*L185</f>
        <v>7021024.4222646737</v>
      </c>
      <c r="Q185" s="310" t="s">
        <v>72</v>
      </c>
    </row>
    <row r="186" spans="1:17" x14ac:dyDescent="0.25">
      <c r="A186" s="304" t="s">
        <v>114</v>
      </c>
      <c r="B186" s="305"/>
      <c r="C186" s="306"/>
      <c r="D186" s="306"/>
      <c r="E186" s="309"/>
      <c r="F186" s="314"/>
      <c r="G186" s="315"/>
      <c r="H186" s="309"/>
      <c r="I186" s="316">
        <v>487000</v>
      </c>
      <c r="J186" s="312">
        <f>I186</f>
        <v>487000</v>
      </c>
      <c r="K186" s="307">
        <v>2.8</v>
      </c>
      <c r="L186" s="313">
        <f>K186*J186</f>
        <v>1363600</v>
      </c>
      <c r="M186" s="305">
        <v>2009</v>
      </c>
      <c r="N186" s="305">
        <v>2019</v>
      </c>
      <c r="O186" s="305">
        <v>521.9</v>
      </c>
      <c r="P186" s="308">
        <f>L186*(B4/O186)</f>
        <v>1587252.3471929489</v>
      </c>
      <c r="Q186" s="310" t="s">
        <v>72</v>
      </c>
    </row>
    <row r="187" spans="1:17" x14ac:dyDescent="0.25">
      <c r="A187" s="304"/>
      <c r="B187" s="305"/>
      <c r="C187" s="306" t="s">
        <v>49</v>
      </c>
      <c r="D187" s="306"/>
      <c r="E187" s="306" t="s">
        <v>49</v>
      </c>
      <c r="F187" s="309" t="s">
        <v>50</v>
      </c>
      <c r="G187" s="309" t="s">
        <v>73</v>
      </c>
      <c r="H187" s="305" t="s">
        <v>90</v>
      </c>
      <c r="I187" s="315" t="s">
        <v>282</v>
      </c>
      <c r="J187" s="309" t="s">
        <v>283</v>
      </c>
      <c r="K187" s="308" t="s">
        <v>54</v>
      </c>
      <c r="L187" s="308"/>
      <c r="M187" s="308"/>
      <c r="N187" s="308"/>
      <c r="O187" s="315"/>
      <c r="P187" s="309"/>
      <c r="Q187" s="310"/>
    </row>
    <row r="188" spans="1:17" s="205" customFormat="1" x14ac:dyDescent="0.25">
      <c r="A188" s="304"/>
      <c r="B188" s="305"/>
      <c r="C188" s="306" t="s">
        <v>60</v>
      </c>
      <c r="D188" s="317" t="s">
        <v>61</v>
      </c>
      <c r="E188" s="306" t="s">
        <v>65</v>
      </c>
      <c r="F188" s="309" t="s">
        <v>60</v>
      </c>
      <c r="G188" s="309" t="s">
        <v>65</v>
      </c>
      <c r="H188" s="305" t="s">
        <v>66</v>
      </c>
      <c r="I188" s="315" t="s">
        <v>58</v>
      </c>
      <c r="J188" s="309" t="s">
        <v>67</v>
      </c>
      <c r="K188" s="308" t="s">
        <v>284</v>
      </c>
      <c r="L188" s="308"/>
      <c r="M188" s="308"/>
      <c r="N188" s="308"/>
      <c r="O188" s="315"/>
      <c r="P188" s="309"/>
      <c r="Q188" s="310"/>
    </row>
    <row r="189" spans="1:17" s="205" customFormat="1" x14ac:dyDescent="0.25">
      <c r="A189" s="304" t="s">
        <v>285</v>
      </c>
      <c r="B189" s="305">
        <v>1</v>
      </c>
      <c r="C189" s="306">
        <v>488719</v>
      </c>
      <c r="D189" s="317" t="s">
        <v>70</v>
      </c>
      <c r="E189" s="306">
        <v>26800</v>
      </c>
      <c r="F189" s="318">
        <v>460769.31768161798</v>
      </c>
      <c r="G189" s="319">
        <f>F189/C189*E189</f>
        <v>25267.316625437852</v>
      </c>
      <c r="H189" s="305">
        <v>2.2999999999999998</v>
      </c>
      <c r="I189" s="320">
        <f>H189*G189</f>
        <v>58114.828238507056</v>
      </c>
      <c r="J189" s="305">
        <v>521.9</v>
      </c>
      <c r="K189" s="320">
        <f>I189*B4/J189</f>
        <v>67646.595429954075</v>
      </c>
      <c r="L189" s="308"/>
      <c r="M189" s="308"/>
      <c r="N189" s="308" t="s">
        <v>101</v>
      </c>
      <c r="O189" s="315" t="s">
        <v>16</v>
      </c>
      <c r="P189" s="308">
        <f>K189</f>
        <v>67646.595429954075</v>
      </c>
      <c r="Q189" s="310" t="s">
        <v>72</v>
      </c>
    </row>
    <row r="190" spans="1:17" s="205" customFormat="1" ht="13.8" thickBot="1" x14ac:dyDescent="0.3">
      <c r="A190" s="321"/>
      <c r="B190" s="322"/>
      <c r="C190" s="323"/>
      <c r="D190" s="324"/>
      <c r="E190" s="323"/>
      <c r="F190" s="323"/>
      <c r="G190" s="325"/>
      <c r="H190" s="322"/>
      <c r="I190" s="326"/>
      <c r="J190" s="325"/>
      <c r="K190" s="327"/>
      <c r="L190" s="327"/>
      <c r="M190" s="327"/>
      <c r="N190" s="328" t="s">
        <v>101</v>
      </c>
      <c r="O190" s="329" t="s">
        <v>286</v>
      </c>
      <c r="P190" s="328">
        <f>SUM(P184:P189)</f>
        <v>17897833.818490587</v>
      </c>
      <c r="Q190" s="330" t="s">
        <v>72</v>
      </c>
    </row>
    <row r="191" spans="1:17" x14ac:dyDescent="0.25">
      <c r="A191" s="40"/>
      <c r="B191" s="41"/>
      <c r="C191" s="39"/>
      <c r="D191" s="39"/>
      <c r="E191" s="40"/>
      <c r="F191" s="40"/>
      <c r="G191" s="43"/>
      <c r="H191" s="40"/>
      <c r="I191" s="42"/>
      <c r="J191" s="42"/>
      <c r="K191" s="43"/>
      <c r="L191" s="40"/>
      <c r="M191" s="40"/>
      <c r="N191" s="40"/>
      <c r="O191" s="43"/>
      <c r="P191" s="43"/>
      <c r="Q191" s="40"/>
    </row>
    <row r="192" spans="1:17" x14ac:dyDescent="0.25">
      <c r="O192" s="27"/>
      <c r="P192" s="26"/>
    </row>
    <row r="193" spans="3:16" x14ac:dyDescent="0.25">
      <c r="C193" s="23"/>
      <c r="D193" s="23"/>
      <c r="E193" s="23"/>
      <c r="F193" s="23"/>
      <c r="I193" s="23"/>
      <c r="K193" s="23"/>
      <c r="L193" s="23"/>
      <c r="M193" s="23"/>
      <c r="N193" s="23"/>
      <c r="O193" s="27"/>
      <c r="P193" s="26"/>
    </row>
    <row r="194" spans="3:16" x14ac:dyDescent="0.25">
      <c r="O194" s="27"/>
      <c r="P194" s="26"/>
    </row>
  </sheetData>
  <customSheetViews>
    <customSheetView guid="{BF3C265C-F8D8-44A5-ADB2-387DE1CABD91}" scale="60" showPageBreaks="1" hiddenRows="1" view="pageBreakPreview">
      <selection activeCell="B24" sqref="B24"/>
      <pageMargins left="0.7" right="0.7" top="0.75" bottom="0.75" header="0.3" footer="0.3"/>
      <pageSetup orientation="portrait" horizontalDpi="1200" verticalDpi="1200" r:id="rId1"/>
    </customSheetView>
  </customSheetViews>
  <mergeCells count="1">
    <mergeCell ref="A2:D2"/>
  </mergeCells>
  <pageMargins left="0.7" right="0.7" top="0.75" bottom="0.75" header="0.3" footer="0.3"/>
  <pageSetup scale="45" fitToWidth="0" fitToHeight="0" orientation="landscape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E91E-9D79-4241-A53B-17F0EDC540EF}">
  <sheetPr codeName="Sheet19"/>
  <dimension ref="A1:X95"/>
  <sheetViews>
    <sheetView tabSelected="1" topLeftCell="A15" workbookViewId="0">
      <selection activeCell="H34" sqref="H34"/>
    </sheetView>
  </sheetViews>
  <sheetFormatPr defaultColWidth="8.88671875" defaultRowHeight="14.4" x14ac:dyDescent="0.3"/>
  <cols>
    <col min="1" max="1" width="30.88671875" customWidth="1"/>
    <col min="2" max="2" width="6.109375" bestFit="1" customWidth="1"/>
    <col min="3" max="3" width="6.88671875" bestFit="1" customWidth="1"/>
    <col min="4" max="4" width="18.6640625" customWidth="1"/>
    <col min="5" max="6" width="16.33203125" style="2" bestFit="1" customWidth="1"/>
    <col min="7" max="9" width="16.33203125" bestFit="1" customWidth="1"/>
    <col min="11" max="11" width="17.5546875" bestFit="1" customWidth="1"/>
    <col min="15" max="15" width="20.109375" customWidth="1"/>
  </cols>
  <sheetData>
    <row r="1" spans="1:15" ht="15" thickBot="1" x14ac:dyDescent="0.35"/>
    <row r="2" spans="1:15" ht="15" thickBot="1" x14ac:dyDescent="0.35">
      <c r="A2" s="347" t="s">
        <v>364</v>
      </c>
      <c r="B2" s="348"/>
      <c r="C2" s="349"/>
    </row>
    <row r="3" spans="1:15" x14ac:dyDescent="0.3">
      <c r="A3" s="290" t="s">
        <v>0</v>
      </c>
      <c r="B3" s="291"/>
    </row>
    <row r="4" spans="1:15" x14ac:dyDescent="0.3">
      <c r="A4" s="291">
        <v>132</v>
      </c>
      <c r="B4" s="291" t="s">
        <v>1</v>
      </c>
    </row>
    <row r="5" spans="1:15" x14ac:dyDescent="0.3">
      <c r="A5" s="292">
        <v>14000</v>
      </c>
      <c r="B5" s="291" t="s">
        <v>2</v>
      </c>
    </row>
    <row r="6" spans="1:15" ht="15" thickBot="1" x14ac:dyDescent="0.35">
      <c r="A6" s="292">
        <f>A4*A5</f>
        <v>1848000</v>
      </c>
      <c r="B6" s="291"/>
    </row>
    <row r="7" spans="1:15" s="1" customFormat="1" ht="15" thickBot="1" x14ac:dyDescent="0.35">
      <c r="A7" s="264" t="s">
        <v>3</v>
      </c>
      <c r="B7" s="265"/>
      <c r="C7" s="265"/>
      <c r="D7" s="265"/>
      <c r="E7" s="266"/>
      <c r="F7" s="266"/>
      <c r="G7" s="265"/>
      <c r="H7" s="265"/>
      <c r="I7" s="267"/>
    </row>
    <row r="8" spans="1:15" ht="15.75" customHeight="1" x14ac:dyDescent="0.3">
      <c r="A8" s="1" t="s">
        <v>4</v>
      </c>
      <c r="B8" s="1"/>
      <c r="C8" s="1"/>
      <c r="D8" t="s">
        <v>5</v>
      </c>
      <c r="E8" s="2" t="s">
        <v>221</v>
      </c>
      <c r="F8" s="2" t="s">
        <v>223</v>
      </c>
      <c r="G8" t="s">
        <v>225</v>
      </c>
      <c r="H8" t="s">
        <v>227</v>
      </c>
      <c r="I8" t="s">
        <v>229</v>
      </c>
    </row>
    <row r="9" spans="1:15" x14ac:dyDescent="0.3">
      <c r="A9" s="3" t="s">
        <v>6</v>
      </c>
      <c r="B9" s="4" t="s">
        <v>7</v>
      </c>
      <c r="C9" s="3"/>
      <c r="D9" s="16" t="s">
        <v>369</v>
      </c>
      <c r="E9" s="16" t="s">
        <v>369</v>
      </c>
      <c r="F9" s="16" t="s">
        <v>369</v>
      </c>
      <c r="G9" s="16" t="s">
        <v>369</v>
      </c>
      <c r="H9" s="16" t="s">
        <v>369</v>
      </c>
      <c r="I9" s="16" t="s">
        <v>369</v>
      </c>
      <c r="K9" s="13"/>
      <c r="N9" s="5"/>
      <c r="O9" s="5"/>
    </row>
    <row r="10" spans="1:15" x14ac:dyDescent="0.3">
      <c r="A10" t="s">
        <v>8</v>
      </c>
      <c r="D10" s="6">
        <f>CAPEX!P18+CAPEX!P26</f>
        <v>45186689.330776431</v>
      </c>
      <c r="E10" s="6">
        <f>CAPEX!P18+CAPEX!P27</f>
        <v>45488226.010521702</v>
      </c>
      <c r="F10" s="6">
        <f>CAPEX!P18+CAPEX!P27</f>
        <v>45488226.010521702</v>
      </c>
      <c r="G10" s="263">
        <f>CAPEX!P18+CAPEX!P27</f>
        <v>45488226.010521702</v>
      </c>
      <c r="H10" s="6">
        <f>CAPEX!P18+CAPEX!P27</f>
        <v>45488226.010521702</v>
      </c>
      <c r="I10" s="6">
        <f>CAPEX!P18+CAPEX!P27</f>
        <v>45488226.010521702</v>
      </c>
    </row>
    <row r="11" spans="1:15" x14ac:dyDescent="0.3">
      <c r="A11" t="s">
        <v>9</v>
      </c>
      <c r="D11" s="6">
        <f>CAPEX!P190+CAPEX!P84</f>
        <v>29195244.684424933</v>
      </c>
      <c r="E11" s="6">
        <f>CAPEX!P55+CAPEX!P62+CAPEX!P84</f>
        <v>27192296.675656624</v>
      </c>
      <c r="F11" s="6">
        <f>CAPEX!P55+CAPEX!P62+CAPEX!P84</f>
        <v>27192296.675656624</v>
      </c>
      <c r="G11" s="263">
        <f>CAPEX!P55+CAPEX!P62+CAPEX!P84</f>
        <v>27192296.675656624</v>
      </c>
      <c r="H11" s="6">
        <f>CAPEX!P55+CAPEX!P62+CAPEX!P84</f>
        <v>27192296.675656624</v>
      </c>
      <c r="I11" s="6">
        <f>CAPEX!P55+CAPEX!P62+CAPEX!P84</f>
        <v>27192296.675656624</v>
      </c>
    </row>
    <row r="12" spans="1:15" x14ac:dyDescent="0.3">
      <c r="A12" t="s">
        <v>10</v>
      </c>
      <c r="D12" s="6">
        <v>0</v>
      </c>
      <c r="E12" s="6">
        <v>0</v>
      </c>
      <c r="F12" s="6">
        <v>0</v>
      </c>
      <c r="G12" s="6"/>
      <c r="H12" s="6">
        <f>CAPEX!P121</f>
        <v>17920865.274851114</v>
      </c>
      <c r="I12" s="6">
        <f>CAPEX!P121</f>
        <v>17920865.274851114</v>
      </c>
    </row>
    <row r="13" spans="1:15" x14ac:dyDescent="0.3">
      <c r="A13" t="s">
        <v>11</v>
      </c>
      <c r="D13" s="6">
        <f>CAPEX!P95</f>
        <v>24958811.261730973</v>
      </c>
      <c r="E13" s="6">
        <f>CAPEX!P95</f>
        <v>24958811.261730973</v>
      </c>
      <c r="F13" s="6">
        <f>CAPEX!P95</f>
        <v>24958811.261730973</v>
      </c>
      <c r="G13" s="6">
        <f>CAPEX!P95</f>
        <v>24958811.261730973</v>
      </c>
      <c r="H13" s="6">
        <f>CAPEX!P95</f>
        <v>24958811.261730973</v>
      </c>
      <c r="I13" s="6">
        <f>CAPEX!P95</f>
        <v>24958811.261730973</v>
      </c>
    </row>
    <row r="14" spans="1:15" x14ac:dyDescent="0.3">
      <c r="A14" t="s">
        <v>12</v>
      </c>
      <c r="D14" s="6">
        <f>CAPEX!P125</f>
        <v>4543820.55</v>
      </c>
      <c r="E14" s="6">
        <f>CAPEX!P126</f>
        <v>3365793</v>
      </c>
      <c r="F14" s="6">
        <f>CAPEX!P127</f>
        <v>2524344.75</v>
      </c>
      <c r="G14" s="6">
        <f>CAPEX!P128</f>
        <v>2524344.75</v>
      </c>
      <c r="H14" s="6">
        <f>CAPEX!P129</f>
        <v>3085310.25</v>
      </c>
      <c r="I14" s="6">
        <f>CAPEX!P130</f>
        <v>2580441.3000000003</v>
      </c>
    </row>
    <row r="15" spans="1:15" x14ac:dyDescent="0.3">
      <c r="A15" t="s">
        <v>13</v>
      </c>
      <c r="D15" s="6"/>
      <c r="E15" s="6"/>
      <c r="F15" s="6">
        <f>CAPEX!P138</f>
        <v>7032571.875</v>
      </c>
      <c r="G15" s="6">
        <f>CAPEX!P138</f>
        <v>7032571.875</v>
      </c>
      <c r="H15" s="6"/>
      <c r="I15" s="6">
        <f>CAPEX!P139</f>
        <v>7271775</v>
      </c>
    </row>
    <row r="16" spans="1:15" x14ac:dyDescent="0.3">
      <c r="A16" t="s">
        <v>14</v>
      </c>
      <c r="D16" s="6">
        <f>CAPEX!P108+CAPEX!P114</f>
        <v>40134961.041007757</v>
      </c>
      <c r="E16" s="6">
        <f>CAPEX!P108+CAPEX!P114</f>
        <v>40134961.041007757</v>
      </c>
      <c r="F16" s="6">
        <f>CAPEX!P108+CAPEX!P114</f>
        <v>40134961.041007757</v>
      </c>
      <c r="G16" s="6">
        <f>CAPEX!P108+CAPEX!P114</f>
        <v>40134961.041007757</v>
      </c>
      <c r="H16" s="6">
        <f>CAPEX!P108+CAPEX!P114</f>
        <v>40134961.041007757</v>
      </c>
      <c r="I16" s="6">
        <f>CAPEX!P108+CAPEX!P114</f>
        <v>40134961.041007757</v>
      </c>
    </row>
    <row r="17" spans="1:15" x14ac:dyDescent="0.3">
      <c r="A17" t="s">
        <v>15</v>
      </c>
      <c r="D17" s="6">
        <f>CAPEX!P152</f>
        <v>3411267.0533837238</v>
      </c>
      <c r="E17" s="6">
        <f>CAPEX!P152</f>
        <v>3411267.0533837238</v>
      </c>
      <c r="F17" s="6">
        <f>CAPEX!P152</f>
        <v>3411267.0533837238</v>
      </c>
      <c r="G17" s="263">
        <f>CAPEX!P152</f>
        <v>3411267.0533837238</v>
      </c>
      <c r="H17" s="6">
        <f>CAPEX!P152</f>
        <v>3411267.0533837238</v>
      </c>
      <c r="I17" s="6">
        <f>CAPEX!P152</f>
        <v>3411267.0533837238</v>
      </c>
    </row>
    <row r="18" spans="1:15" x14ac:dyDescent="0.3">
      <c r="A18" t="s">
        <v>16</v>
      </c>
      <c r="D18" s="6">
        <f>CAPEX!$P$167</f>
        <v>5063700.7160646347</v>
      </c>
      <c r="E18" s="6">
        <f>CAPEX!$P$167</f>
        <v>5063700.7160646347</v>
      </c>
      <c r="F18" s="6">
        <f>CAPEX!$P$167</f>
        <v>5063700.7160646347</v>
      </c>
      <c r="G18" s="263">
        <f>CAPEX!$P$167</f>
        <v>5063700.7160646347</v>
      </c>
      <c r="H18" s="6">
        <f>CAPEX!$P$167</f>
        <v>5063700.7160646347</v>
      </c>
      <c r="I18" s="6">
        <f>CAPEX!$P$167</f>
        <v>5063700.7160646347</v>
      </c>
    </row>
    <row r="19" spans="1:15" x14ac:dyDescent="0.3">
      <c r="A19" t="s">
        <v>17</v>
      </c>
      <c r="D19" s="6"/>
      <c r="E19" s="6"/>
      <c r="F19" s="6"/>
      <c r="G19" s="6">
        <f>CAPEX!P171</f>
        <v>6684729.9175784895</v>
      </c>
      <c r="H19" s="6">
        <f>CAPEX!P172</f>
        <v>8686104.1300326418</v>
      </c>
      <c r="I19" s="6">
        <f>CAPEX!P172</f>
        <v>8686104.1300326418</v>
      </c>
    </row>
    <row r="20" spans="1:15" x14ac:dyDescent="0.3">
      <c r="A20" s="1" t="s">
        <v>18</v>
      </c>
      <c r="B20" s="1"/>
      <c r="C20" s="1"/>
      <c r="D20" s="6">
        <f>SUM(D10:D19)</f>
        <v>152494494.63738844</v>
      </c>
      <c r="E20" s="6">
        <f>SUM(E10:E19)</f>
        <v>149615055.75836542</v>
      </c>
      <c r="F20" s="6">
        <f t="shared" ref="F20:H20" si="0">SUM(F10:F19)</f>
        <v>155806179.38336542</v>
      </c>
      <c r="G20" s="6">
        <f t="shared" si="0"/>
        <v>162490909.30094391</v>
      </c>
      <c r="H20" s="6">
        <f t="shared" si="0"/>
        <v>175941542.41324916</v>
      </c>
      <c r="I20" s="6">
        <f>SUM(I10:I19)</f>
        <v>182708448.46324915</v>
      </c>
    </row>
    <row r="21" spans="1:15" x14ac:dyDescent="0.3">
      <c r="A21" s="7" t="s">
        <v>19</v>
      </c>
      <c r="D21" s="6">
        <f>D10+D11+D13</f>
        <v>99340745.276932329</v>
      </c>
      <c r="E21" s="6">
        <f>E10+E11+E13</f>
        <v>97639333.947909296</v>
      </c>
      <c r="F21" s="6">
        <f>F10+F11+F13</f>
        <v>97639333.947909296</v>
      </c>
      <c r="G21" s="6">
        <f>G10+G11+G13+G19</f>
        <v>104324063.86548778</v>
      </c>
      <c r="H21" s="6">
        <f>H10+H11+H13+H19</f>
        <v>106325438.07794194</v>
      </c>
      <c r="I21" s="6">
        <f>I10+I11+I13+I19</f>
        <v>106325438.07794194</v>
      </c>
    </row>
    <row r="22" spans="1:15" x14ac:dyDescent="0.3">
      <c r="D22" s="6"/>
      <c r="E22" s="6"/>
      <c r="F22" s="6"/>
      <c r="G22" s="6"/>
      <c r="H22" s="6"/>
      <c r="I22" s="6"/>
    </row>
    <row r="23" spans="1:15" x14ac:dyDescent="0.3">
      <c r="D23" s="6"/>
      <c r="E23" s="6"/>
      <c r="F23" s="6"/>
      <c r="G23" s="6"/>
      <c r="H23" s="6"/>
      <c r="I23" s="6"/>
      <c r="N23" s="5"/>
      <c r="O23" s="5"/>
    </row>
    <row r="24" spans="1:15" x14ac:dyDescent="0.3">
      <c r="A24" s="1" t="s">
        <v>20</v>
      </c>
      <c r="B24" s="1"/>
      <c r="C24" s="1"/>
      <c r="D24" s="6"/>
      <c r="E24" s="6"/>
      <c r="F24" s="6"/>
      <c r="G24" s="5"/>
      <c r="N24" s="5"/>
      <c r="O24" s="5"/>
    </row>
    <row r="25" spans="1:15" x14ac:dyDescent="0.3">
      <c r="A25" t="s">
        <v>21</v>
      </c>
      <c r="B25" s="8">
        <v>0.04</v>
      </c>
      <c r="C25" s="9" t="s">
        <v>22</v>
      </c>
      <c r="D25" s="6">
        <f t="shared" ref="D25:I25" si="1">$B$25*D21</f>
        <v>3973629.811077293</v>
      </c>
      <c r="E25" s="6">
        <f t="shared" si="1"/>
        <v>3905573.3579163719</v>
      </c>
      <c r="F25" s="6">
        <f t="shared" si="1"/>
        <v>3905573.3579163719</v>
      </c>
      <c r="G25" s="263">
        <f t="shared" si="1"/>
        <v>4172962.5546195116</v>
      </c>
      <c r="H25" s="6">
        <f t="shared" si="1"/>
        <v>4253017.5231176773</v>
      </c>
      <c r="I25" s="6">
        <f t="shared" si="1"/>
        <v>4253017.5231176773</v>
      </c>
      <c r="N25" s="5"/>
      <c r="O25" s="5"/>
    </row>
    <row r="26" spans="1:15" x14ac:dyDescent="0.3">
      <c r="A26" t="s">
        <v>23</v>
      </c>
      <c r="B26" s="8">
        <v>0.09</v>
      </c>
      <c r="C26" s="9" t="s">
        <v>22</v>
      </c>
      <c r="D26" s="6">
        <f t="shared" ref="D26:I26" si="2">$B$26*D21</f>
        <v>8940667.0749239102</v>
      </c>
      <c r="E26" s="6">
        <f t="shared" si="2"/>
        <v>8787540.0553118363</v>
      </c>
      <c r="F26" s="6">
        <f t="shared" si="2"/>
        <v>8787540.0553118363</v>
      </c>
      <c r="G26" s="6">
        <f t="shared" si="2"/>
        <v>9389165.7478938997</v>
      </c>
      <c r="H26" s="6">
        <f t="shared" si="2"/>
        <v>9569289.4270147737</v>
      </c>
      <c r="I26" s="6">
        <f t="shared" si="2"/>
        <v>9569289.4270147737</v>
      </c>
      <c r="N26" s="5"/>
      <c r="O26" s="5"/>
    </row>
    <row r="27" spans="1:15" x14ac:dyDescent="0.3">
      <c r="A27" t="s">
        <v>24</v>
      </c>
      <c r="B27" s="8">
        <v>4.4999999999999998E-2</v>
      </c>
      <c r="C27" s="9" t="s">
        <v>22</v>
      </c>
      <c r="D27" s="6">
        <f t="shared" ref="D27:I27" si="3">$B$27*D21</f>
        <v>4470333.5374619551</v>
      </c>
      <c r="E27" s="6">
        <f t="shared" si="3"/>
        <v>4393770.0276559182</v>
      </c>
      <c r="F27" s="6">
        <f t="shared" si="3"/>
        <v>4393770.0276559182</v>
      </c>
      <c r="G27" s="6">
        <f t="shared" si="3"/>
        <v>4694582.8739469498</v>
      </c>
      <c r="H27" s="6">
        <f t="shared" si="3"/>
        <v>4784644.7135073869</v>
      </c>
      <c r="I27" s="6">
        <f t="shared" si="3"/>
        <v>4784644.7135073869</v>
      </c>
      <c r="N27" s="5"/>
      <c r="O27" s="5"/>
    </row>
    <row r="28" spans="1:15" ht="15.75" customHeight="1" x14ac:dyDescent="0.3">
      <c r="D28" s="6">
        <f t="shared" ref="D28:I28" si="4">SUM(D25:D27)</f>
        <v>17384630.423463158</v>
      </c>
      <c r="E28" s="6">
        <f t="shared" si="4"/>
        <v>17086883.440884128</v>
      </c>
      <c r="F28" s="6">
        <f t="shared" si="4"/>
        <v>17086883.440884128</v>
      </c>
      <c r="G28" s="6">
        <f t="shared" si="4"/>
        <v>18256711.176460363</v>
      </c>
      <c r="H28" s="6">
        <f t="shared" si="4"/>
        <v>18606951.66363984</v>
      </c>
      <c r="I28" s="6">
        <f t="shared" si="4"/>
        <v>18606951.66363984</v>
      </c>
      <c r="K28" s="2"/>
      <c r="N28" s="5"/>
      <c r="O28" s="5"/>
    </row>
    <row r="29" spans="1:15" x14ac:dyDescent="0.3">
      <c r="A29" s="1" t="s">
        <v>25</v>
      </c>
      <c r="D29" s="6">
        <f t="shared" ref="D29:I29" si="5">D20+D28</f>
        <v>169879125.0608516</v>
      </c>
      <c r="E29" s="6">
        <f t="shared" si="5"/>
        <v>166701939.19924957</v>
      </c>
      <c r="F29" s="6">
        <f t="shared" si="5"/>
        <v>172893062.82424957</v>
      </c>
      <c r="G29" s="6">
        <f t="shared" si="5"/>
        <v>180747620.47740427</v>
      </c>
      <c r="H29" s="6">
        <f t="shared" si="5"/>
        <v>194548494.07688901</v>
      </c>
      <c r="I29" s="6">
        <f t="shared" si="5"/>
        <v>201315400.12688899</v>
      </c>
      <c r="N29" s="5"/>
      <c r="O29" s="5"/>
    </row>
    <row r="30" spans="1:15" ht="15" thickBot="1" x14ac:dyDescent="0.35">
      <c r="A30" s="1"/>
      <c r="D30" s="6"/>
      <c r="E30" s="6"/>
      <c r="F30" s="6"/>
      <c r="G30" s="263"/>
      <c r="H30" s="6"/>
      <c r="I30" s="6"/>
    </row>
    <row r="31" spans="1:15" ht="15" thickBot="1" x14ac:dyDescent="0.35">
      <c r="A31" s="264" t="s">
        <v>26</v>
      </c>
      <c r="B31" s="268"/>
      <c r="C31" s="268"/>
      <c r="D31" s="269"/>
      <c r="E31" s="269"/>
      <c r="F31" s="269"/>
      <c r="G31" s="270"/>
      <c r="H31" s="269"/>
      <c r="I31" s="271"/>
    </row>
    <row r="32" spans="1:15" x14ac:dyDescent="0.3">
      <c r="A32" t="s">
        <v>27</v>
      </c>
      <c r="B32" s="10">
        <v>0.1</v>
      </c>
      <c r="C32" t="s">
        <v>28</v>
      </c>
      <c r="D32" s="6">
        <v>16987912.506085161</v>
      </c>
      <c r="E32" s="6">
        <v>16670193.919924958</v>
      </c>
      <c r="F32" s="6">
        <v>17289306.282424957</v>
      </c>
      <c r="G32" s="6">
        <v>18074762.047740426</v>
      </c>
      <c r="H32" s="6">
        <v>19454849.407688901</v>
      </c>
      <c r="I32" s="6">
        <v>20131540.012688901</v>
      </c>
    </row>
    <row r="33" spans="1:19" x14ac:dyDescent="0.3">
      <c r="A33" t="s">
        <v>29</v>
      </c>
      <c r="B33" s="10">
        <v>0.1</v>
      </c>
      <c r="C33" t="s">
        <v>28</v>
      </c>
      <c r="D33" s="6">
        <v>16987912.506085161</v>
      </c>
      <c r="E33" s="6">
        <v>16670193.919924958</v>
      </c>
      <c r="F33" s="6">
        <v>17289306.282424957</v>
      </c>
      <c r="G33" s="6">
        <v>18074762.047740426</v>
      </c>
      <c r="H33" s="6">
        <v>19454849.407688901</v>
      </c>
      <c r="I33" s="6">
        <v>20131540.012688901</v>
      </c>
    </row>
    <row r="34" spans="1:19" x14ac:dyDescent="0.3">
      <c r="A34" t="s">
        <v>30</v>
      </c>
      <c r="B34" s="10">
        <v>0.2</v>
      </c>
      <c r="C34" t="s">
        <v>28</v>
      </c>
      <c r="D34" s="6">
        <v>33975825.012170322</v>
      </c>
      <c r="E34" s="6">
        <v>33340387.839849915</v>
      </c>
      <c r="F34" s="6">
        <v>34578612.564849913</v>
      </c>
      <c r="G34" s="6">
        <v>36149524.095480852</v>
      </c>
      <c r="H34" s="6">
        <v>38909698.815377802</v>
      </c>
      <c r="I34" s="6">
        <v>40263080.025377803</v>
      </c>
    </row>
    <row r="35" spans="1:19" x14ac:dyDescent="0.3">
      <c r="A35" t="s">
        <v>31</v>
      </c>
      <c r="B35" s="10">
        <v>0.1</v>
      </c>
      <c r="C35" t="s">
        <v>28</v>
      </c>
      <c r="D35" s="6">
        <v>16987912.506085161</v>
      </c>
      <c r="E35" s="6">
        <v>16670193.919924958</v>
      </c>
      <c r="F35" s="6">
        <v>17289306.282424957</v>
      </c>
      <c r="G35" s="6">
        <v>18074762.047740426</v>
      </c>
      <c r="H35" s="6">
        <v>19454849.407688901</v>
      </c>
      <c r="I35" s="6">
        <v>20131540.012688901</v>
      </c>
    </row>
    <row r="36" spans="1:19" x14ac:dyDescent="0.3">
      <c r="A36" t="s">
        <v>32</v>
      </c>
      <c r="B36" s="10">
        <v>0.1</v>
      </c>
      <c r="C36" t="s">
        <v>28</v>
      </c>
      <c r="D36" s="6">
        <v>16987912.506085161</v>
      </c>
      <c r="E36" s="6">
        <v>16670193.919924958</v>
      </c>
      <c r="F36" s="6">
        <v>17289306.282424957</v>
      </c>
      <c r="G36" s="6">
        <v>18074762.047740426</v>
      </c>
      <c r="H36" s="6">
        <v>19454849.407688901</v>
      </c>
      <c r="I36" s="6">
        <v>20131540.012688901</v>
      </c>
    </row>
    <row r="37" spans="1:19" x14ac:dyDescent="0.3">
      <c r="A37" s="1" t="s">
        <v>33</v>
      </c>
      <c r="D37" s="6">
        <v>101927475.03651096</v>
      </c>
      <c r="E37" s="6">
        <v>100021163.51954974</v>
      </c>
      <c r="F37" s="6">
        <v>103735837.69454974</v>
      </c>
      <c r="G37" s="6">
        <v>108448572.28644256</v>
      </c>
      <c r="H37" s="6">
        <v>116729096.4461334</v>
      </c>
      <c r="I37" s="6">
        <v>120789240.07613342</v>
      </c>
    </row>
    <row r="38" spans="1:19" ht="15" thickBot="1" x14ac:dyDescent="0.35">
      <c r="D38" s="6"/>
      <c r="E38" s="6"/>
      <c r="F38" s="6"/>
      <c r="G38" s="6"/>
      <c r="H38" s="6"/>
      <c r="I38" s="6"/>
    </row>
    <row r="39" spans="1:19" ht="15" thickBot="1" x14ac:dyDescent="0.35">
      <c r="A39" s="264" t="s">
        <v>34</v>
      </c>
      <c r="B39" s="268"/>
      <c r="C39" s="268"/>
      <c r="D39" s="269">
        <f>D29+D37</f>
        <v>271806600.09736258</v>
      </c>
      <c r="E39" s="269">
        <f>TDC+E37</f>
        <v>266723102.71879929</v>
      </c>
      <c r="F39" s="269">
        <f>F29+F37</f>
        <v>276628900.5187993</v>
      </c>
      <c r="G39" s="269">
        <f>G29+G37</f>
        <v>289196192.76384681</v>
      </c>
      <c r="H39" s="269">
        <f>H29+H37</f>
        <v>311277590.52302241</v>
      </c>
      <c r="I39" s="271">
        <f>I29+I37</f>
        <v>322104640.20302242</v>
      </c>
    </row>
    <row r="40" spans="1:19" x14ac:dyDescent="0.3">
      <c r="A40" s="1"/>
      <c r="D40" s="6"/>
      <c r="E40" s="6"/>
      <c r="F40" s="6"/>
      <c r="G40" s="263"/>
      <c r="H40" s="6"/>
      <c r="I40" s="6"/>
    </row>
    <row r="41" spans="1:19" x14ac:dyDescent="0.3">
      <c r="A41" s="1" t="s">
        <v>35</v>
      </c>
      <c r="D41" s="6"/>
      <c r="E41" s="6"/>
      <c r="F41" s="6"/>
      <c r="G41" s="263"/>
      <c r="H41" s="6"/>
      <c r="I41" s="6"/>
    </row>
    <row r="42" spans="1:19" x14ac:dyDescent="0.3">
      <c r="A42" t="s">
        <v>36</v>
      </c>
      <c r="D42" s="6">
        <f t="shared" ref="D42:I42" si="6">$A$6</f>
        <v>1848000</v>
      </c>
      <c r="E42" s="6">
        <f t="shared" si="6"/>
        <v>1848000</v>
      </c>
      <c r="F42" s="6">
        <f t="shared" si="6"/>
        <v>1848000</v>
      </c>
      <c r="G42" s="6">
        <f t="shared" si="6"/>
        <v>1848000</v>
      </c>
      <c r="H42" s="6">
        <f t="shared" si="6"/>
        <v>1848000</v>
      </c>
      <c r="I42" s="6">
        <f t="shared" si="6"/>
        <v>1848000</v>
      </c>
    </row>
    <row r="43" spans="1:19" x14ac:dyDescent="0.3">
      <c r="A43" t="s">
        <v>37</v>
      </c>
      <c r="B43" s="9">
        <v>0.05</v>
      </c>
      <c r="C43" t="s">
        <v>38</v>
      </c>
      <c r="D43" s="6">
        <f t="shared" ref="D43:I43" si="7">D39*$B$43</f>
        <v>13590330.004868129</v>
      </c>
      <c r="E43" s="6">
        <f t="shared" si="7"/>
        <v>13336155.135939965</v>
      </c>
      <c r="F43" s="6">
        <f t="shared" si="7"/>
        <v>13831445.025939966</v>
      </c>
      <c r="G43" s="6">
        <f t="shared" si="7"/>
        <v>14459809.638192341</v>
      </c>
      <c r="H43" s="6">
        <f t="shared" si="7"/>
        <v>15563879.526151121</v>
      </c>
      <c r="I43" s="6">
        <f t="shared" si="7"/>
        <v>16105232.010151122</v>
      </c>
    </row>
    <row r="44" spans="1:19" ht="15" thickBot="1" x14ac:dyDescent="0.35">
      <c r="D44" s="6"/>
      <c r="E44" s="6"/>
      <c r="F44" s="6"/>
      <c r="G44" s="263"/>
      <c r="H44" s="6"/>
      <c r="I44" s="6"/>
    </row>
    <row r="45" spans="1:19" ht="15" thickBot="1" x14ac:dyDescent="0.35">
      <c r="A45" s="264" t="s">
        <v>39</v>
      </c>
      <c r="B45" s="268"/>
      <c r="C45" s="268"/>
      <c r="D45" s="269">
        <f>D39+D42+D43</f>
        <v>287244930.10223073</v>
      </c>
      <c r="E45" s="269">
        <f>FCI+E42+E43</f>
        <v>281907257.85473925</v>
      </c>
      <c r="F45" s="269">
        <f>F39+F42+F43</f>
        <v>292308345.54473925</v>
      </c>
      <c r="G45" s="269">
        <f>G39+G42+G43</f>
        <v>305504002.40203917</v>
      </c>
      <c r="H45" s="269">
        <f>H39+H42+H43</f>
        <v>328689470.04917353</v>
      </c>
      <c r="I45" s="271">
        <f>I39+I42+I43</f>
        <v>340057872.21317357</v>
      </c>
      <c r="K45" s="11"/>
      <c r="L45" s="11"/>
      <c r="M45" s="11"/>
      <c r="N45" s="11"/>
      <c r="O45" s="12"/>
      <c r="P45" s="13"/>
      <c r="Q45" s="13"/>
      <c r="R45" s="13"/>
      <c r="S45" s="13"/>
    </row>
    <row r="46" spans="1:19" x14ac:dyDescent="0.3">
      <c r="A46" t="s">
        <v>40</v>
      </c>
      <c r="D46" s="14">
        <v>60.02672297297363</v>
      </c>
      <c r="E46" s="14">
        <v>60.018351774756383</v>
      </c>
      <c r="F46" s="14">
        <v>60.018351774756383</v>
      </c>
      <c r="G46" s="14">
        <v>60.018351774756383</v>
      </c>
      <c r="H46" s="14">
        <v>60.018351774756383</v>
      </c>
      <c r="I46" s="14">
        <v>60.018351774756383</v>
      </c>
      <c r="J46" t="s">
        <v>41</v>
      </c>
      <c r="K46" s="11"/>
      <c r="L46" s="11"/>
      <c r="M46" s="11"/>
      <c r="N46" s="11"/>
      <c r="O46" s="12"/>
      <c r="P46" s="13"/>
      <c r="Q46" s="13"/>
      <c r="R46" s="13"/>
      <c r="S46" s="13"/>
    </row>
    <row r="47" spans="1:19" x14ac:dyDescent="0.3">
      <c r="D47" s="14">
        <f t="shared" ref="D47:I47" si="8">D45/(D46*10^6)</f>
        <v>4.7852842180233557</v>
      </c>
      <c r="E47" s="14">
        <f t="shared" si="8"/>
        <v>4.6970176540787474</v>
      </c>
      <c r="F47" s="14">
        <f t="shared" si="8"/>
        <v>4.8703161100082673</v>
      </c>
      <c r="G47" s="14">
        <f t="shared" si="8"/>
        <v>5.0901764771643334</v>
      </c>
      <c r="H47" s="14">
        <f t="shared" si="8"/>
        <v>5.4764827811786025</v>
      </c>
      <c r="I47" s="14">
        <f t="shared" si="8"/>
        <v>5.6658982154221924</v>
      </c>
      <c r="J47" t="s">
        <v>42</v>
      </c>
      <c r="K47" s="11"/>
      <c r="L47" s="11"/>
      <c r="M47" s="11"/>
      <c r="N47" s="11"/>
      <c r="O47" s="12"/>
      <c r="P47" s="13"/>
      <c r="Q47" s="13"/>
      <c r="R47" s="13"/>
      <c r="S47" s="13"/>
    </row>
    <row r="48" spans="1:19" x14ac:dyDescent="0.3">
      <c r="A48" s="13"/>
      <c r="B48" s="13"/>
      <c r="C48" s="13"/>
      <c r="D48" s="13"/>
      <c r="E48" s="15"/>
      <c r="F48" s="15"/>
      <c r="G48" s="13"/>
      <c r="H48" s="13"/>
      <c r="I48" s="13"/>
      <c r="M48" s="2"/>
      <c r="N48" s="2"/>
    </row>
    <row r="49" spans="1:24" x14ac:dyDescent="0.3">
      <c r="A49" s="12"/>
      <c r="B49" s="11"/>
      <c r="C49" s="11"/>
      <c r="D49" s="11"/>
      <c r="E49" s="11"/>
      <c r="F49" s="12"/>
      <c r="G49" s="13"/>
      <c r="H49" s="13"/>
      <c r="I49" s="13"/>
      <c r="M49" s="2"/>
      <c r="N49" s="2"/>
    </row>
    <row r="50" spans="1:24" x14ac:dyDescent="0.3">
      <c r="A50" s="12"/>
      <c r="B50" s="11"/>
      <c r="C50" s="11"/>
      <c r="D50" s="11"/>
      <c r="E50" s="11"/>
      <c r="F50" s="12"/>
      <c r="G50" s="13"/>
      <c r="H50" s="13"/>
      <c r="I50" s="13"/>
      <c r="M50" s="2"/>
      <c r="N50" s="2"/>
    </row>
    <row r="51" spans="1:24" x14ac:dyDescent="0.3">
      <c r="A51" s="12"/>
      <c r="B51" s="11"/>
      <c r="C51" s="16"/>
      <c r="D51" s="16"/>
      <c r="E51" s="11"/>
      <c r="F51" s="17"/>
      <c r="G51" s="13"/>
      <c r="H51" s="13"/>
      <c r="I51" s="13"/>
      <c r="M51" s="18"/>
      <c r="N51" s="18"/>
      <c r="U51" s="19"/>
      <c r="W51" s="19"/>
      <c r="X51" s="19"/>
    </row>
    <row r="52" spans="1:24" x14ac:dyDescent="0.3">
      <c r="D52" s="2"/>
      <c r="F52" s="13"/>
      <c r="M52" s="2"/>
      <c r="N52" s="2"/>
      <c r="U52" s="19"/>
      <c r="W52" s="14"/>
      <c r="X52" s="14"/>
    </row>
    <row r="53" spans="1:24" x14ac:dyDescent="0.3">
      <c r="D53" s="2"/>
      <c r="F53" s="13"/>
      <c r="M53" s="18"/>
      <c r="N53" s="18"/>
      <c r="W53" s="14"/>
      <c r="X53" s="14"/>
    </row>
    <row r="54" spans="1:24" x14ac:dyDescent="0.3">
      <c r="D54" s="2"/>
      <c r="F54" s="13"/>
      <c r="M54" s="18"/>
      <c r="N54" s="18"/>
      <c r="W54" s="14"/>
      <c r="X54" s="14"/>
    </row>
    <row r="55" spans="1:24" x14ac:dyDescent="0.3">
      <c r="D55" s="2"/>
      <c r="E55" s="18"/>
      <c r="F55"/>
      <c r="M55" s="18"/>
      <c r="N55" s="18"/>
      <c r="W55" s="14"/>
      <c r="X55" s="14"/>
    </row>
    <row r="56" spans="1:24" x14ac:dyDescent="0.3">
      <c r="D56" s="20"/>
      <c r="F56"/>
      <c r="M56" s="18"/>
      <c r="N56" s="18"/>
      <c r="W56" s="14"/>
      <c r="X56" s="14"/>
    </row>
    <row r="57" spans="1:24" x14ac:dyDescent="0.3">
      <c r="D57" s="18"/>
      <c r="E57" s="18"/>
      <c r="F57"/>
      <c r="M57" s="18"/>
      <c r="N57" s="18"/>
      <c r="W57" s="14"/>
      <c r="X57" s="14"/>
    </row>
    <row r="58" spans="1:24" x14ac:dyDescent="0.3">
      <c r="D58" s="18"/>
      <c r="E58" s="18"/>
      <c r="F58"/>
      <c r="M58" s="2"/>
      <c r="N58" s="2"/>
      <c r="W58" s="14"/>
      <c r="X58" s="14"/>
    </row>
    <row r="59" spans="1:24" x14ac:dyDescent="0.3">
      <c r="D59" s="18"/>
      <c r="E59" s="18"/>
      <c r="F59"/>
      <c r="M59" s="2"/>
      <c r="N59" s="2"/>
      <c r="W59" s="14"/>
      <c r="X59" s="14"/>
    </row>
    <row r="60" spans="1:24" x14ac:dyDescent="0.3">
      <c r="D60" s="18"/>
      <c r="E60" s="18"/>
      <c r="F60"/>
      <c r="M60" s="2"/>
      <c r="N60" s="2"/>
      <c r="W60" s="14"/>
      <c r="X60" s="14"/>
    </row>
    <row r="61" spans="1:24" x14ac:dyDescent="0.3">
      <c r="D61" s="18"/>
      <c r="E61" s="18"/>
      <c r="F61"/>
      <c r="M61" s="2"/>
      <c r="N61" s="2"/>
      <c r="W61" s="14"/>
      <c r="X61" s="14"/>
    </row>
    <row r="62" spans="1:24" x14ac:dyDescent="0.3">
      <c r="D62" s="2"/>
      <c r="F62"/>
      <c r="M62" s="2"/>
      <c r="N62" s="2"/>
      <c r="W62" s="14"/>
      <c r="X62" s="14"/>
    </row>
    <row r="63" spans="1:24" x14ac:dyDescent="0.3">
      <c r="D63" s="2"/>
      <c r="F63"/>
      <c r="M63" s="2"/>
      <c r="N63" s="2"/>
      <c r="W63" s="14"/>
      <c r="X63" s="14"/>
    </row>
    <row r="64" spans="1:24" x14ac:dyDescent="0.3">
      <c r="D64" s="2"/>
      <c r="F64"/>
      <c r="M64" s="2"/>
      <c r="N64" s="2"/>
    </row>
    <row r="65" spans="1:14" x14ac:dyDescent="0.3">
      <c r="D65" s="2"/>
      <c r="F65"/>
      <c r="M65" s="2"/>
      <c r="N65" s="2"/>
    </row>
    <row r="66" spans="1:14" x14ac:dyDescent="0.3">
      <c r="D66" s="2"/>
      <c r="F66"/>
    </row>
    <row r="67" spans="1:14" x14ac:dyDescent="0.3">
      <c r="D67" s="2"/>
      <c r="F67"/>
    </row>
    <row r="68" spans="1:14" x14ac:dyDescent="0.3">
      <c r="D68" s="2"/>
      <c r="F68"/>
    </row>
    <row r="69" spans="1:14" x14ac:dyDescent="0.3">
      <c r="D69" s="2"/>
      <c r="F69"/>
    </row>
    <row r="70" spans="1:14" x14ac:dyDescent="0.3">
      <c r="A70" s="13"/>
      <c r="B70" s="13"/>
      <c r="C70" s="13"/>
      <c r="D70" s="13"/>
      <c r="E70" s="21"/>
      <c r="F70" s="21"/>
      <c r="G70" s="13"/>
      <c r="H70" s="13"/>
      <c r="I70" s="13"/>
      <c r="J70" s="13"/>
      <c r="K70" s="13"/>
    </row>
    <row r="71" spans="1:14" x14ac:dyDescent="0.3">
      <c r="A71" s="13"/>
      <c r="B71" s="13"/>
      <c r="C71" s="13"/>
      <c r="D71" s="13"/>
      <c r="E71" s="11"/>
      <c r="F71" s="11"/>
      <c r="G71" s="11"/>
      <c r="H71" s="13"/>
      <c r="I71" s="13"/>
      <c r="J71" s="13"/>
      <c r="K71" s="13"/>
    </row>
    <row r="72" spans="1:14" x14ac:dyDescent="0.3">
      <c r="A72" s="13"/>
      <c r="B72" s="13"/>
      <c r="C72" s="13"/>
      <c r="D72" s="13"/>
      <c r="E72" s="21"/>
      <c r="F72" s="21"/>
      <c r="G72" s="13"/>
      <c r="H72" s="13"/>
      <c r="I72" s="13"/>
      <c r="J72" s="13"/>
      <c r="K72" s="13"/>
    </row>
    <row r="73" spans="1:14" x14ac:dyDescent="0.3">
      <c r="A73" s="13"/>
      <c r="B73" s="13"/>
      <c r="C73" s="13"/>
      <c r="D73" s="13"/>
      <c r="E73" s="21"/>
      <c r="F73" s="21"/>
      <c r="G73" s="13"/>
      <c r="H73" s="13"/>
      <c r="I73" s="13"/>
      <c r="J73" s="13"/>
      <c r="K73" s="13"/>
    </row>
    <row r="74" spans="1:14" x14ac:dyDescent="0.3">
      <c r="A74" s="22"/>
      <c r="B74" s="22"/>
      <c r="C74" s="13"/>
      <c r="D74" s="13"/>
      <c r="E74" s="13"/>
      <c r="F74" s="13"/>
      <c r="G74" s="22"/>
      <c r="H74" s="13"/>
      <c r="I74" s="13"/>
      <c r="J74" s="13"/>
      <c r="K74" s="13"/>
    </row>
    <row r="75" spans="1:14" x14ac:dyDescent="0.3">
      <c r="A75" s="15"/>
      <c r="B75" s="12"/>
      <c r="C75" s="11"/>
      <c r="D75" s="11"/>
      <c r="E75" s="11"/>
      <c r="F75" s="11"/>
      <c r="G75" s="12"/>
      <c r="H75" s="13"/>
      <c r="I75" s="13"/>
      <c r="J75" s="13"/>
      <c r="K75" s="13"/>
    </row>
    <row r="76" spans="1:14" x14ac:dyDescent="0.3">
      <c r="A76" s="15"/>
      <c r="B76" s="12"/>
      <c r="C76" s="11"/>
      <c r="D76" s="11"/>
      <c r="E76" s="11"/>
      <c r="F76" s="11"/>
      <c r="G76" s="12"/>
      <c r="H76" s="13"/>
      <c r="I76" s="13"/>
      <c r="J76" s="13"/>
      <c r="K76" s="13"/>
    </row>
    <row r="77" spans="1:14" x14ac:dyDescent="0.3">
      <c r="A77" s="15"/>
      <c r="B77" s="12"/>
      <c r="C77" s="11"/>
      <c r="D77" s="11"/>
      <c r="E77" s="11"/>
      <c r="F77" s="11"/>
      <c r="G77" s="12"/>
      <c r="H77" s="13"/>
      <c r="I77" s="13"/>
      <c r="J77" s="13"/>
      <c r="K77" s="13"/>
    </row>
    <row r="78" spans="1:14" x14ac:dyDescent="0.3">
      <c r="A78" s="15"/>
      <c r="B78" s="11"/>
      <c r="C78" s="11"/>
      <c r="D78" s="11"/>
      <c r="E78" s="11"/>
      <c r="F78" s="11"/>
      <c r="G78" s="11"/>
      <c r="H78" s="13"/>
      <c r="I78" s="13"/>
      <c r="J78" s="13"/>
      <c r="K78" s="13"/>
    </row>
    <row r="79" spans="1:14" x14ac:dyDescent="0.3">
      <c r="A79" s="15"/>
      <c r="B79" s="12"/>
      <c r="C79" s="11"/>
      <c r="D79" s="11"/>
      <c r="E79" s="11"/>
      <c r="F79" s="11"/>
      <c r="G79" s="12"/>
      <c r="H79" s="13"/>
      <c r="I79" s="13"/>
      <c r="J79" s="13"/>
      <c r="K79" s="13"/>
    </row>
    <row r="80" spans="1:14" x14ac:dyDescent="0.3">
      <c r="A80" s="15"/>
      <c r="B80" s="12"/>
      <c r="C80" s="11"/>
      <c r="D80" s="11"/>
      <c r="E80" s="11"/>
      <c r="F80" s="11"/>
      <c r="G80" s="12"/>
      <c r="H80" s="13"/>
      <c r="I80" s="13"/>
      <c r="J80" s="13"/>
      <c r="K80" s="13"/>
    </row>
    <row r="81" spans="1:11" x14ac:dyDescent="0.3">
      <c r="A81" s="15"/>
      <c r="B81" s="12"/>
      <c r="C81" s="11"/>
      <c r="D81" s="11"/>
      <c r="E81" s="11"/>
      <c r="F81" s="11"/>
      <c r="G81" s="12"/>
      <c r="H81" s="13"/>
      <c r="I81" s="13"/>
      <c r="J81" s="13"/>
      <c r="K81" s="13"/>
    </row>
    <row r="82" spans="1:11" x14ac:dyDescent="0.3">
      <c r="A82" s="15"/>
      <c r="B82" s="12"/>
      <c r="C82" s="11"/>
      <c r="D82" s="11"/>
      <c r="E82" s="11"/>
      <c r="F82" s="11"/>
      <c r="G82" s="12"/>
      <c r="H82" s="13"/>
      <c r="I82" s="13"/>
      <c r="J82" s="13"/>
      <c r="K82" s="13"/>
    </row>
    <row r="83" spans="1:11" x14ac:dyDescent="0.3">
      <c r="A83" s="15"/>
      <c r="B83" s="12"/>
      <c r="C83" s="11"/>
      <c r="D83" s="11"/>
      <c r="E83" s="11"/>
      <c r="F83" s="11"/>
      <c r="G83" s="12"/>
      <c r="H83" s="13"/>
      <c r="I83" s="13"/>
      <c r="J83" s="13"/>
      <c r="K83" s="13"/>
    </row>
    <row r="84" spans="1:11" x14ac:dyDescent="0.3">
      <c r="A84" s="15"/>
      <c r="B84" s="12"/>
      <c r="C84" s="11"/>
      <c r="D84" s="11"/>
      <c r="E84" s="11"/>
      <c r="F84" s="11"/>
      <c r="G84" s="12"/>
      <c r="H84" s="13"/>
      <c r="I84" s="13"/>
      <c r="J84" s="13"/>
      <c r="K84" s="13"/>
    </row>
    <row r="85" spans="1:11" x14ac:dyDescent="0.3">
      <c r="A85" s="15"/>
      <c r="B85" s="12"/>
      <c r="C85" s="11"/>
      <c r="D85" s="11"/>
      <c r="E85" s="11"/>
      <c r="F85" s="11"/>
      <c r="G85" s="12"/>
      <c r="H85" s="13"/>
      <c r="I85" s="13"/>
      <c r="J85" s="13"/>
      <c r="K85" s="13"/>
    </row>
    <row r="89" spans="1:11" x14ac:dyDescent="0.3">
      <c r="E89" s="18"/>
      <c r="F89" s="18"/>
    </row>
    <row r="91" spans="1:11" x14ac:dyDescent="0.3">
      <c r="E91" s="18"/>
      <c r="F91" s="18"/>
    </row>
    <row r="92" spans="1:11" x14ac:dyDescent="0.3">
      <c r="E92" s="18"/>
      <c r="F92" s="18"/>
    </row>
    <row r="93" spans="1:11" x14ac:dyDescent="0.3">
      <c r="E93" s="18"/>
      <c r="F93" s="18"/>
    </row>
    <row r="94" spans="1:11" x14ac:dyDescent="0.3">
      <c r="E94" s="18"/>
      <c r="F94" s="18"/>
    </row>
    <row r="95" spans="1:11" x14ac:dyDescent="0.3">
      <c r="E95" s="18"/>
      <c r="F95" s="18"/>
    </row>
  </sheetData>
  <customSheetViews>
    <customSheetView guid="{BF3C265C-F8D8-44A5-ADB2-387DE1CABD91}">
      <selection activeCell="I8" sqref="I8"/>
      <pageMargins left="0.7" right="0.7" top="0.75" bottom="0.75" header="0.3" footer="0.3"/>
    </customSheetView>
  </customSheetViews>
  <mergeCells count="1">
    <mergeCell ref="A2:C2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D3AA-CE51-4AE2-B78C-CD82B4F19018}">
  <dimension ref="A1:G11"/>
  <sheetViews>
    <sheetView workbookViewId="0">
      <selection activeCell="E20" sqref="E20"/>
    </sheetView>
  </sheetViews>
  <sheetFormatPr defaultRowHeight="14.4" x14ac:dyDescent="0.3"/>
  <cols>
    <col min="1" max="1" width="15.44140625" bestFit="1" customWidth="1"/>
    <col min="2" max="2" width="8.6640625" bestFit="1" customWidth="1"/>
    <col min="3" max="3" width="25.109375" bestFit="1" customWidth="1"/>
    <col min="4" max="4" width="16.88671875" bestFit="1" customWidth="1"/>
    <col min="5" max="5" width="12.6640625" bestFit="1" customWidth="1"/>
  </cols>
  <sheetData>
    <row r="1" spans="1:7" ht="15" thickBot="1" x14ac:dyDescent="0.35"/>
    <row r="2" spans="1:7" ht="15" thickBot="1" x14ac:dyDescent="0.35">
      <c r="A2" s="350" t="s">
        <v>365</v>
      </c>
      <c r="B2" s="351"/>
      <c r="C2" s="352"/>
    </row>
    <row r="4" spans="1:7" ht="39.6" x14ac:dyDescent="0.3">
      <c r="A4" s="272" t="s">
        <v>68</v>
      </c>
      <c r="B4" s="273" t="s">
        <v>290</v>
      </c>
      <c r="C4" s="274" t="s">
        <v>291</v>
      </c>
      <c r="D4" s="275" t="s">
        <v>292</v>
      </c>
      <c r="E4" s="276" t="s">
        <v>293</v>
      </c>
      <c r="F4" s="276" t="s">
        <v>294</v>
      </c>
      <c r="G4" s="276" t="s">
        <v>295</v>
      </c>
    </row>
    <row r="5" spans="1:7" ht="27" x14ac:dyDescent="0.3">
      <c r="A5" s="277">
        <v>2019</v>
      </c>
      <c r="B5" s="278" t="s">
        <v>296</v>
      </c>
      <c r="C5" s="279" t="s">
        <v>297</v>
      </c>
      <c r="D5" s="278" t="s">
        <v>298</v>
      </c>
      <c r="E5" s="280">
        <v>1724396105</v>
      </c>
      <c r="F5" s="280">
        <v>1266690</v>
      </c>
      <c r="G5" s="280">
        <v>1341546</v>
      </c>
    </row>
    <row r="7" spans="1:7" ht="52.8" x14ac:dyDescent="0.3">
      <c r="A7" s="281" t="s">
        <v>299</v>
      </c>
      <c r="B7" s="281" t="s">
        <v>300</v>
      </c>
      <c r="C7" s="281" t="s">
        <v>301</v>
      </c>
      <c r="D7" s="281" t="s">
        <v>302</v>
      </c>
      <c r="E7" s="282" t="s">
        <v>303</v>
      </c>
    </row>
    <row r="8" spans="1:7" x14ac:dyDescent="0.3">
      <c r="A8" s="283">
        <v>2019</v>
      </c>
      <c r="B8" s="284" t="s">
        <v>304</v>
      </c>
      <c r="C8" s="285" t="s">
        <v>297</v>
      </c>
      <c r="D8" s="285" t="s">
        <v>305</v>
      </c>
      <c r="E8" s="286">
        <v>4127855213</v>
      </c>
    </row>
    <row r="10" spans="1:7" x14ac:dyDescent="0.3">
      <c r="A10" s="287" t="s">
        <v>306</v>
      </c>
      <c r="B10" s="287">
        <f>E5/E8</f>
        <v>0.41774626677052495</v>
      </c>
      <c r="C10" s="287" t="s">
        <v>307</v>
      </c>
    </row>
    <row r="11" spans="1:7" x14ac:dyDescent="0.3">
      <c r="A11" s="287"/>
      <c r="B11" s="287">
        <f>B10</f>
        <v>0.41774626677052495</v>
      </c>
      <c r="C11" s="287" t="s">
        <v>308</v>
      </c>
    </row>
  </sheetData>
  <customSheetViews>
    <customSheetView guid="{BF3C265C-F8D8-44A5-ADB2-387DE1CABD91}">
      <selection activeCell="D17" sqref="D16:D17"/>
      <pageMargins left="0.7" right="0.7" top="0.75" bottom="0.75" header="0.3" footer="0.3"/>
      <pageSetup orientation="portrait" r:id="rId1"/>
    </customSheetView>
  </customSheetViews>
  <mergeCells count="1">
    <mergeCell ref="A2:C2"/>
  </mergeCells>
  <pageMargins left="0.7" right="0.7" top="0.75" bottom="0.75" header="0.3" footer="0.3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4FC4-5BD2-417A-8D91-DB2EFAC5E606}">
  <dimension ref="A1:F110"/>
  <sheetViews>
    <sheetView workbookViewId="0">
      <selection activeCell="A13" sqref="A13:XFD13"/>
    </sheetView>
  </sheetViews>
  <sheetFormatPr defaultRowHeight="14.4" x14ac:dyDescent="0.3"/>
  <cols>
    <col min="1" max="1" width="23.109375" customWidth="1"/>
    <col min="2" max="2" width="10.88671875" bestFit="1" customWidth="1"/>
  </cols>
  <sheetData>
    <row r="1" spans="1:6" ht="15" thickBot="1" x14ac:dyDescent="0.35"/>
    <row r="2" spans="1:6" ht="15" thickBot="1" x14ac:dyDescent="0.35">
      <c r="A2" s="350" t="s">
        <v>366</v>
      </c>
      <c r="B2" s="352"/>
    </row>
    <row r="3" spans="1:6" x14ac:dyDescent="0.3">
      <c r="A3" s="341"/>
      <c r="B3" s="341"/>
    </row>
    <row r="4" spans="1:6" x14ac:dyDescent="0.3">
      <c r="A4" t="s">
        <v>373</v>
      </c>
    </row>
    <row r="5" spans="1:6" x14ac:dyDescent="0.3">
      <c r="A5" t="s">
        <v>374</v>
      </c>
    </row>
    <row r="6" spans="1:6" x14ac:dyDescent="0.3">
      <c r="A6" t="s">
        <v>309</v>
      </c>
    </row>
    <row r="7" spans="1:6" x14ac:dyDescent="0.3">
      <c r="A7" t="s">
        <v>310</v>
      </c>
      <c r="B7" s="288">
        <f>AVERAGE(F15:F110)</f>
        <v>1.3517708333333329</v>
      </c>
      <c r="C7" t="s">
        <v>311</v>
      </c>
    </row>
    <row r="8" spans="1:6" x14ac:dyDescent="0.3">
      <c r="B8" s="288">
        <v>17.7</v>
      </c>
      <c r="C8" t="s">
        <v>312</v>
      </c>
    </row>
    <row r="9" spans="1:6" x14ac:dyDescent="0.3">
      <c r="A9" t="s">
        <v>313</v>
      </c>
      <c r="B9">
        <v>50</v>
      </c>
      <c r="C9" t="s">
        <v>314</v>
      </c>
    </row>
    <row r="10" spans="1:6" x14ac:dyDescent="0.3">
      <c r="B10">
        <f>B9*0.000948</f>
        <v>4.7399999999999998E-2</v>
      </c>
      <c r="C10" t="s">
        <v>315</v>
      </c>
    </row>
    <row r="11" spans="1:6" x14ac:dyDescent="0.3">
      <c r="A11" t="s">
        <v>316</v>
      </c>
      <c r="B11" s="288">
        <f>B8*B10</f>
        <v>0.83897999999999995</v>
      </c>
      <c r="C11" t="s">
        <v>317</v>
      </c>
    </row>
    <row r="12" spans="1:6" x14ac:dyDescent="0.3">
      <c r="B12" s="288">
        <f>B11*1000</f>
        <v>838.9799999999999</v>
      </c>
      <c r="C12" t="s">
        <v>318</v>
      </c>
    </row>
    <row r="14" spans="1:6" x14ac:dyDescent="0.3">
      <c r="A14" t="s">
        <v>319</v>
      </c>
      <c r="B14" t="s">
        <v>320</v>
      </c>
      <c r="C14" t="s">
        <v>321</v>
      </c>
      <c r="D14" t="s">
        <v>322</v>
      </c>
      <c r="E14" t="s">
        <v>323</v>
      </c>
      <c r="F14" t="s">
        <v>324</v>
      </c>
    </row>
    <row r="15" spans="1:6" x14ac:dyDescent="0.3">
      <c r="A15" s="289">
        <v>43465</v>
      </c>
      <c r="B15">
        <v>2019</v>
      </c>
      <c r="C15">
        <v>2018</v>
      </c>
      <c r="D15" t="s">
        <v>325</v>
      </c>
      <c r="E15" t="s">
        <v>326</v>
      </c>
      <c r="F15" s="288">
        <v>2.2999999999999998</v>
      </c>
    </row>
    <row r="16" spans="1:6" x14ac:dyDescent="0.3">
      <c r="A16" s="289">
        <v>43472</v>
      </c>
      <c r="B16">
        <v>2019</v>
      </c>
      <c r="C16">
        <v>2017</v>
      </c>
      <c r="D16" t="s">
        <v>325</v>
      </c>
      <c r="E16" t="s">
        <v>326</v>
      </c>
      <c r="F16" s="288">
        <v>1.8</v>
      </c>
    </row>
    <row r="17" spans="1:6" x14ac:dyDescent="0.3">
      <c r="A17" s="289">
        <v>43472</v>
      </c>
      <c r="B17">
        <v>2019</v>
      </c>
      <c r="C17">
        <v>2018</v>
      </c>
      <c r="D17" t="s">
        <v>325</v>
      </c>
      <c r="E17" t="s">
        <v>326</v>
      </c>
      <c r="F17" s="288">
        <v>2.12</v>
      </c>
    </row>
    <row r="18" spans="1:6" x14ac:dyDescent="0.3">
      <c r="A18" s="289">
        <v>43472</v>
      </c>
      <c r="B18">
        <v>2019</v>
      </c>
      <c r="C18">
        <v>2018</v>
      </c>
      <c r="D18" t="s">
        <v>325</v>
      </c>
      <c r="E18" t="s">
        <v>327</v>
      </c>
      <c r="F18" s="288">
        <v>1.9</v>
      </c>
    </row>
    <row r="19" spans="1:6" x14ac:dyDescent="0.3">
      <c r="A19" s="289">
        <v>43479</v>
      </c>
      <c r="B19">
        <v>2019</v>
      </c>
      <c r="C19">
        <v>2017</v>
      </c>
      <c r="D19" t="s">
        <v>325</v>
      </c>
      <c r="E19" t="s">
        <v>326</v>
      </c>
      <c r="F19" s="288">
        <v>1.76</v>
      </c>
    </row>
    <row r="20" spans="1:6" x14ac:dyDescent="0.3">
      <c r="A20" s="289">
        <v>43479</v>
      </c>
      <c r="B20">
        <v>2019</v>
      </c>
      <c r="C20">
        <v>2018</v>
      </c>
      <c r="D20" t="s">
        <v>325</v>
      </c>
      <c r="E20" t="s">
        <v>326</v>
      </c>
      <c r="F20" s="288">
        <v>2</v>
      </c>
    </row>
    <row r="21" spans="1:6" x14ac:dyDescent="0.3">
      <c r="A21" s="289">
        <v>43479</v>
      </c>
      <c r="B21">
        <v>2019</v>
      </c>
      <c r="C21">
        <v>2018</v>
      </c>
      <c r="D21" t="s">
        <v>325</v>
      </c>
      <c r="E21" t="s">
        <v>327</v>
      </c>
      <c r="F21" s="288">
        <v>2.2000000000000002</v>
      </c>
    </row>
    <row r="22" spans="1:6" x14ac:dyDescent="0.3">
      <c r="A22" s="289">
        <v>43486</v>
      </c>
      <c r="B22">
        <v>2019</v>
      </c>
      <c r="C22">
        <v>2018</v>
      </c>
      <c r="D22" t="s">
        <v>325</v>
      </c>
      <c r="E22" t="s">
        <v>326</v>
      </c>
      <c r="F22" s="288">
        <v>2.06</v>
      </c>
    </row>
    <row r="23" spans="1:6" x14ac:dyDescent="0.3">
      <c r="A23" s="289">
        <v>43493</v>
      </c>
      <c r="B23">
        <v>2019</v>
      </c>
      <c r="C23">
        <v>2018</v>
      </c>
      <c r="D23" t="s">
        <v>325</v>
      </c>
      <c r="E23" t="s">
        <v>326</v>
      </c>
      <c r="F23" s="288">
        <v>1.97</v>
      </c>
    </row>
    <row r="24" spans="1:6" x14ac:dyDescent="0.3">
      <c r="A24" s="289">
        <v>43500</v>
      </c>
      <c r="B24">
        <v>2019</v>
      </c>
      <c r="C24">
        <v>2018</v>
      </c>
      <c r="D24" t="s">
        <v>325</v>
      </c>
      <c r="E24" t="s">
        <v>326</v>
      </c>
      <c r="F24" s="288">
        <v>1.9</v>
      </c>
    </row>
    <row r="25" spans="1:6" x14ac:dyDescent="0.3">
      <c r="A25" s="289">
        <v>43500</v>
      </c>
      <c r="B25">
        <v>2019</v>
      </c>
      <c r="C25">
        <v>2018</v>
      </c>
      <c r="D25" t="s">
        <v>325</v>
      </c>
      <c r="E25" t="s">
        <v>327</v>
      </c>
      <c r="F25" s="288">
        <v>1.84</v>
      </c>
    </row>
    <row r="26" spans="1:6" x14ac:dyDescent="0.3">
      <c r="A26" s="289">
        <v>43507</v>
      </c>
      <c r="B26">
        <v>2019</v>
      </c>
      <c r="C26">
        <v>2018</v>
      </c>
      <c r="D26" t="s">
        <v>325</v>
      </c>
      <c r="E26" t="s">
        <v>326</v>
      </c>
      <c r="F26" s="288">
        <v>1.87</v>
      </c>
    </row>
    <row r="27" spans="1:6" x14ac:dyDescent="0.3">
      <c r="A27" s="289">
        <v>43507</v>
      </c>
      <c r="B27">
        <v>2019</v>
      </c>
      <c r="C27">
        <v>2018</v>
      </c>
      <c r="D27" t="s">
        <v>325</v>
      </c>
      <c r="E27" t="s">
        <v>327</v>
      </c>
      <c r="F27" s="288">
        <v>1.77</v>
      </c>
    </row>
    <row r="28" spans="1:6" x14ac:dyDescent="0.3">
      <c r="A28" s="289">
        <v>43507</v>
      </c>
      <c r="B28">
        <v>2019</v>
      </c>
      <c r="C28">
        <v>2019</v>
      </c>
      <c r="D28" t="s">
        <v>325</v>
      </c>
      <c r="E28" t="s">
        <v>326</v>
      </c>
      <c r="F28" s="288">
        <v>1.85</v>
      </c>
    </row>
    <row r="29" spans="1:6" x14ac:dyDescent="0.3">
      <c r="A29" s="289">
        <v>43514</v>
      </c>
      <c r="B29">
        <v>2019</v>
      </c>
      <c r="C29">
        <v>2018</v>
      </c>
      <c r="D29" t="s">
        <v>325</v>
      </c>
      <c r="E29" t="s">
        <v>326</v>
      </c>
      <c r="F29" s="288">
        <v>1.97</v>
      </c>
    </row>
    <row r="30" spans="1:6" x14ac:dyDescent="0.3">
      <c r="A30" s="289">
        <v>43514</v>
      </c>
      <c r="B30">
        <v>2019</v>
      </c>
      <c r="C30">
        <v>2018</v>
      </c>
      <c r="D30" t="s">
        <v>325</v>
      </c>
      <c r="E30" t="s">
        <v>327</v>
      </c>
      <c r="F30" s="288">
        <v>1.77</v>
      </c>
    </row>
    <row r="31" spans="1:6" x14ac:dyDescent="0.3">
      <c r="A31" s="289">
        <v>43514</v>
      </c>
      <c r="B31">
        <v>2019</v>
      </c>
      <c r="C31">
        <v>2019</v>
      </c>
      <c r="D31" t="s">
        <v>325</v>
      </c>
      <c r="E31" t="s">
        <v>326</v>
      </c>
      <c r="F31" s="288">
        <v>1.61</v>
      </c>
    </row>
    <row r="32" spans="1:6" x14ac:dyDescent="0.3">
      <c r="A32" s="289">
        <v>43521</v>
      </c>
      <c r="B32">
        <v>2019</v>
      </c>
      <c r="C32">
        <v>2017</v>
      </c>
      <c r="D32" t="s">
        <v>325</v>
      </c>
      <c r="E32" t="s">
        <v>326</v>
      </c>
      <c r="F32" s="288">
        <v>1.78</v>
      </c>
    </row>
    <row r="33" spans="1:6" x14ac:dyDescent="0.3">
      <c r="A33" s="289">
        <v>43521</v>
      </c>
      <c r="B33">
        <v>2019</v>
      </c>
      <c r="C33">
        <v>2017</v>
      </c>
      <c r="D33" t="s">
        <v>325</v>
      </c>
      <c r="E33" t="s">
        <v>327</v>
      </c>
      <c r="F33" s="288">
        <v>1.47</v>
      </c>
    </row>
    <row r="34" spans="1:6" x14ac:dyDescent="0.3">
      <c r="A34" s="289">
        <v>43521</v>
      </c>
      <c r="B34">
        <v>2019</v>
      </c>
      <c r="C34">
        <v>2018</v>
      </c>
      <c r="D34" t="s">
        <v>325</v>
      </c>
      <c r="E34" t="s">
        <v>326</v>
      </c>
      <c r="F34" s="288">
        <v>1.89</v>
      </c>
    </row>
    <row r="35" spans="1:6" x14ac:dyDescent="0.3">
      <c r="A35" s="289">
        <v>43521</v>
      </c>
      <c r="B35">
        <v>2019</v>
      </c>
      <c r="C35">
        <v>2019</v>
      </c>
      <c r="D35" t="s">
        <v>325</v>
      </c>
      <c r="E35" t="s">
        <v>326</v>
      </c>
      <c r="F35" s="288">
        <v>1.82</v>
      </c>
    </row>
    <row r="36" spans="1:6" x14ac:dyDescent="0.3">
      <c r="A36" s="289">
        <v>43528</v>
      </c>
      <c r="B36">
        <v>2019</v>
      </c>
      <c r="C36">
        <v>2017</v>
      </c>
      <c r="D36" t="s">
        <v>325</v>
      </c>
      <c r="E36" t="s">
        <v>327</v>
      </c>
      <c r="F36" s="288">
        <v>1.5</v>
      </c>
    </row>
    <row r="37" spans="1:6" x14ac:dyDescent="0.3">
      <c r="A37" s="289">
        <v>43528</v>
      </c>
      <c r="B37">
        <v>2019</v>
      </c>
      <c r="C37">
        <v>2018</v>
      </c>
      <c r="D37" t="s">
        <v>325</v>
      </c>
      <c r="E37" t="s">
        <v>326</v>
      </c>
      <c r="F37" s="288">
        <v>1.8</v>
      </c>
    </row>
    <row r="38" spans="1:6" x14ac:dyDescent="0.3">
      <c r="A38" s="289">
        <v>43528</v>
      </c>
      <c r="B38">
        <v>2019</v>
      </c>
      <c r="C38">
        <v>2019</v>
      </c>
      <c r="D38" t="s">
        <v>325</v>
      </c>
      <c r="E38" t="s">
        <v>326</v>
      </c>
      <c r="F38" s="288">
        <v>1.77</v>
      </c>
    </row>
    <row r="39" spans="1:6" x14ac:dyDescent="0.3">
      <c r="A39" s="289">
        <v>43535</v>
      </c>
      <c r="B39">
        <v>2019</v>
      </c>
      <c r="C39">
        <v>2017</v>
      </c>
      <c r="D39" t="s">
        <v>325</v>
      </c>
      <c r="E39" t="s">
        <v>326</v>
      </c>
      <c r="F39" s="288">
        <v>1.6</v>
      </c>
    </row>
    <row r="40" spans="1:6" x14ac:dyDescent="0.3">
      <c r="A40" s="289">
        <v>43535</v>
      </c>
      <c r="B40">
        <v>2019</v>
      </c>
      <c r="C40">
        <v>2018</v>
      </c>
      <c r="D40" t="s">
        <v>325</v>
      </c>
      <c r="E40" t="s">
        <v>326</v>
      </c>
      <c r="F40" s="288">
        <v>1.84</v>
      </c>
    </row>
    <row r="41" spans="1:6" x14ac:dyDescent="0.3">
      <c r="A41" s="289">
        <v>43535</v>
      </c>
      <c r="B41">
        <v>2019</v>
      </c>
      <c r="C41">
        <v>2019</v>
      </c>
      <c r="D41" t="s">
        <v>325</v>
      </c>
      <c r="E41" t="s">
        <v>326</v>
      </c>
      <c r="F41" s="288">
        <v>1.82</v>
      </c>
    </row>
    <row r="42" spans="1:6" x14ac:dyDescent="0.3">
      <c r="A42" s="289">
        <v>43542</v>
      </c>
      <c r="B42">
        <v>2019</v>
      </c>
      <c r="C42">
        <v>2017</v>
      </c>
      <c r="D42" t="s">
        <v>325</v>
      </c>
      <c r="E42" t="s">
        <v>326</v>
      </c>
      <c r="F42" s="288">
        <v>1.26</v>
      </c>
    </row>
    <row r="43" spans="1:6" x14ac:dyDescent="0.3">
      <c r="A43" s="289">
        <v>43542</v>
      </c>
      <c r="B43">
        <v>2019</v>
      </c>
      <c r="C43">
        <v>2018</v>
      </c>
      <c r="D43" t="s">
        <v>325</v>
      </c>
      <c r="E43" t="s">
        <v>326</v>
      </c>
      <c r="F43" s="288">
        <v>1.85</v>
      </c>
    </row>
    <row r="44" spans="1:6" x14ac:dyDescent="0.3">
      <c r="A44" s="289">
        <v>43542</v>
      </c>
      <c r="B44">
        <v>2019</v>
      </c>
      <c r="C44">
        <v>2019</v>
      </c>
      <c r="D44" t="s">
        <v>325</v>
      </c>
      <c r="E44" t="s">
        <v>326</v>
      </c>
      <c r="F44" s="288">
        <v>1.51</v>
      </c>
    </row>
    <row r="45" spans="1:6" x14ac:dyDescent="0.3">
      <c r="A45" s="289">
        <v>43549</v>
      </c>
      <c r="B45">
        <v>2019</v>
      </c>
      <c r="C45">
        <v>2017</v>
      </c>
      <c r="D45" t="s">
        <v>325</v>
      </c>
      <c r="E45" t="s">
        <v>327</v>
      </c>
      <c r="F45" s="288">
        <v>1.78</v>
      </c>
    </row>
    <row r="46" spans="1:6" x14ac:dyDescent="0.3">
      <c r="A46" s="289">
        <v>43549</v>
      </c>
      <c r="B46">
        <v>2019</v>
      </c>
      <c r="C46">
        <v>2018</v>
      </c>
      <c r="D46" t="s">
        <v>325</v>
      </c>
      <c r="E46" t="s">
        <v>326</v>
      </c>
      <c r="F46" s="288">
        <v>1.78</v>
      </c>
    </row>
    <row r="47" spans="1:6" x14ac:dyDescent="0.3">
      <c r="A47" s="289">
        <v>43549</v>
      </c>
      <c r="B47">
        <v>2019</v>
      </c>
      <c r="C47">
        <v>2018</v>
      </c>
      <c r="D47" t="s">
        <v>325</v>
      </c>
      <c r="E47" t="s">
        <v>327</v>
      </c>
      <c r="F47" s="288">
        <v>1.84</v>
      </c>
    </row>
    <row r="48" spans="1:6" x14ac:dyDescent="0.3">
      <c r="A48" s="289">
        <v>43549</v>
      </c>
      <c r="B48">
        <v>2019</v>
      </c>
      <c r="C48">
        <v>2019</v>
      </c>
      <c r="D48" t="s">
        <v>325</v>
      </c>
      <c r="E48" t="s">
        <v>326</v>
      </c>
      <c r="F48" s="288">
        <v>1.77</v>
      </c>
    </row>
    <row r="49" spans="1:6" x14ac:dyDescent="0.3">
      <c r="A49" s="289">
        <v>43556</v>
      </c>
      <c r="B49">
        <v>2019</v>
      </c>
      <c r="C49">
        <v>2018</v>
      </c>
      <c r="D49" t="s">
        <v>325</v>
      </c>
      <c r="E49" t="s">
        <v>326</v>
      </c>
      <c r="F49" s="288">
        <v>1.65</v>
      </c>
    </row>
    <row r="50" spans="1:6" x14ac:dyDescent="0.3">
      <c r="A50" s="289">
        <v>43556</v>
      </c>
      <c r="B50">
        <v>2019</v>
      </c>
      <c r="C50">
        <v>2019</v>
      </c>
      <c r="D50" t="s">
        <v>325</v>
      </c>
      <c r="E50" t="s">
        <v>326</v>
      </c>
      <c r="F50" s="288">
        <v>1.64</v>
      </c>
    </row>
    <row r="51" spans="1:6" x14ac:dyDescent="0.3">
      <c r="A51" s="289">
        <v>43563</v>
      </c>
      <c r="B51">
        <v>2019</v>
      </c>
      <c r="C51">
        <v>2019</v>
      </c>
      <c r="D51" t="s">
        <v>325</v>
      </c>
      <c r="E51" t="s">
        <v>326</v>
      </c>
      <c r="F51" s="288">
        <v>1.6</v>
      </c>
    </row>
    <row r="52" spans="1:6" x14ac:dyDescent="0.3">
      <c r="A52" s="289">
        <v>43570</v>
      </c>
      <c r="B52">
        <v>2019</v>
      </c>
      <c r="C52">
        <v>2019</v>
      </c>
      <c r="D52" t="s">
        <v>325</v>
      </c>
      <c r="E52" t="s">
        <v>326</v>
      </c>
      <c r="F52" s="288">
        <v>1.76</v>
      </c>
    </row>
    <row r="53" spans="1:6" x14ac:dyDescent="0.3">
      <c r="A53" s="289">
        <v>43577</v>
      </c>
      <c r="B53">
        <v>2019</v>
      </c>
      <c r="C53">
        <v>2018</v>
      </c>
      <c r="D53" t="s">
        <v>325</v>
      </c>
      <c r="E53" t="s">
        <v>326</v>
      </c>
      <c r="F53" s="288">
        <v>1.67</v>
      </c>
    </row>
    <row r="54" spans="1:6" x14ac:dyDescent="0.3">
      <c r="A54" s="289">
        <v>43577</v>
      </c>
      <c r="B54">
        <v>2019</v>
      </c>
      <c r="C54">
        <v>2019</v>
      </c>
      <c r="D54" t="s">
        <v>325</v>
      </c>
      <c r="E54" t="s">
        <v>326</v>
      </c>
      <c r="F54" s="288">
        <v>1.72</v>
      </c>
    </row>
    <row r="55" spans="1:6" x14ac:dyDescent="0.3">
      <c r="A55" s="289">
        <v>43584</v>
      </c>
      <c r="B55">
        <v>2019</v>
      </c>
      <c r="C55">
        <v>2019</v>
      </c>
      <c r="D55" t="s">
        <v>325</v>
      </c>
      <c r="E55" t="s">
        <v>326</v>
      </c>
      <c r="F55" s="288">
        <v>1.71</v>
      </c>
    </row>
    <row r="56" spans="1:6" x14ac:dyDescent="0.3">
      <c r="A56" s="289">
        <v>43591</v>
      </c>
      <c r="B56">
        <v>2019</v>
      </c>
      <c r="C56">
        <v>2018</v>
      </c>
      <c r="D56" t="s">
        <v>325</v>
      </c>
      <c r="E56" t="s">
        <v>327</v>
      </c>
      <c r="F56" s="288">
        <v>1.25</v>
      </c>
    </row>
    <row r="57" spans="1:6" x14ac:dyDescent="0.3">
      <c r="A57" s="289">
        <v>43591</v>
      </c>
      <c r="B57">
        <v>2019</v>
      </c>
      <c r="C57">
        <v>2019</v>
      </c>
      <c r="D57" t="s">
        <v>325</v>
      </c>
      <c r="E57" t="s">
        <v>326</v>
      </c>
      <c r="F57" s="288">
        <v>1.54</v>
      </c>
    </row>
    <row r="58" spans="1:6" x14ac:dyDescent="0.3">
      <c r="A58" s="289">
        <v>43598</v>
      </c>
      <c r="B58">
        <v>2019</v>
      </c>
      <c r="C58">
        <v>2019</v>
      </c>
      <c r="D58" t="s">
        <v>325</v>
      </c>
      <c r="E58" t="s">
        <v>326</v>
      </c>
      <c r="F58" s="288">
        <v>1.67</v>
      </c>
    </row>
    <row r="59" spans="1:6" x14ac:dyDescent="0.3">
      <c r="A59" s="289">
        <v>43605</v>
      </c>
      <c r="B59">
        <v>2019</v>
      </c>
      <c r="C59">
        <v>2019</v>
      </c>
      <c r="D59" t="s">
        <v>325</v>
      </c>
      <c r="E59" t="s">
        <v>326</v>
      </c>
      <c r="F59" s="288">
        <v>1.57</v>
      </c>
    </row>
    <row r="60" spans="1:6" x14ac:dyDescent="0.3">
      <c r="A60" s="289">
        <v>43612</v>
      </c>
      <c r="B60">
        <v>2019</v>
      </c>
      <c r="C60">
        <v>2019</v>
      </c>
      <c r="D60" t="s">
        <v>325</v>
      </c>
      <c r="E60" t="s">
        <v>326</v>
      </c>
      <c r="F60" s="288">
        <v>1.54</v>
      </c>
    </row>
    <row r="61" spans="1:6" x14ac:dyDescent="0.3">
      <c r="A61" s="289">
        <v>43612</v>
      </c>
      <c r="B61">
        <v>2019</v>
      </c>
      <c r="C61">
        <v>2019</v>
      </c>
      <c r="D61" t="s">
        <v>325</v>
      </c>
      <c r="E61" t="s">
        <v>327</v>
      </c>
      <c r="F61" s="288">
        <v>1.1000000000000001</v>
      </c>
    </row>
    <row r="62" spans="1:6" x14ac:dyDescent="0.3">
      <c r="A62" s="289">
        <v>43619</v>
      </c>
      <c r="B62">
        <v>2019</v>
      </c>
      <c r="C62">
        <v>2019</v>
      </c>
      <c r="D62" t="s">
        <v>325</v>
      </c>
      <c r="E62" t="s">
        <v>326</v>
      </c>
      <c r="F62" s="288">
        <v>1.46</v>
      </c>
    </row>
    <row r="63" spans="1:6" x14ac:dyDescent="0.3">
      <c r="A63" s="289">
        <v>43626</v>
      </c>
      <c r="B63">
        <v>2019</v>
      </c>
      <c r="C63">
        <v>2018</v>
      </c>
      <c r="D63" t="s">
        <v>325</v>
      </c>
      <c r="E63" t="s">
        <v>326</v>
      </c>
      <c r="F63" s="288">
        <v>1.38</v>
      </c>
    </row>
    <row r="64" spans="1:6" x14ac:dyDescent="0.3">
      <c r="A64" s="289">
        <v>43626</v>
      </c>
      <c r="B64">
        <v>2019</v>
      </c>
      <c r="C64">
        <v>2019</v>
      </c>
      <c r="D64" t="s">
        <v>325</v>
      </c>
      <c r="E64" t="s">
        <v>326</v>
      </c>
      <c r="F64" s="288">
        <v>1.47</v>
      </c>
    </row>
    <row r="65" spans="1:6" x14ac:dyDescent="0.3">
      <c r="A65" s="289">
        <v>43633</v>
      </c>
      <c r="B65">
        <v>2019</v>
      </c>
      <c r="C65">
        <v>2019</v>
      </c>
      <c r="D65" t="s">
        <v>325</v>
      </c>
      <c r="E65" t="s">
        <v>326</v>
      </c>
      <c r="F65" s="288">
        <v>1.38</v>
      </c>
    </row>
    <row r="66" spans="1:6" x14ac:dyDescent="0.3">
      <c r="A66" s="289">
        <v>43640</v>
      </c>
      <c r="B66">
        <v>2019</v>
      </c>
      <c r="C66">
        <v>2019</v>
      </c>
      <c r="D66" t="s">
        <v>325</v>
      </c>
      <c r="E66" t="s">
        <v>326</v>
      </c>
      <c r="F66" s="288">
        <v>1.17</v>
      </c>
    </row>
    <row r="67" spans="1:6" x14ac:dyDescent="0.3">
      <c r="A67" s="289">
        <v>43640</v>
      </c>
      <c r="B67">
        <v>2019</v>
      </c>
      <c r="C67">
        <v>2019</v>
      </c>
      <c r="D67" t="s">
        <v>325</v>
      </c>
      <c r="E67" t="s">
        <v>327</v>
      </c>
      <c r="F67" s="288">
        <v>0.7</v>
      </c>
    </row>
    <row r="68" spans="1:6" x14ac:dyDescent="0.3">
      <c r="A68" s="289">
        <v>43647</v>
      </c>
      <c r="B68">
        <v>2019</v>
      </c>
      <c r="C68">
        <v>2019</v>
      </c>
      <c r="D68" t="s">
        <v>325</v>
      </c>
      <c r="E68" t="s">
        <v>326</v>
      </c>
      <c r="F68" s="288">
        <v>1.1299999999999999</v>
      </c>
    </row>
    <row r="69" spans="1:6" x14ac:dyDescent="0.3">
      <c r="A69" s="289">
        <v>43654</v>
      </c>
      <c r="B69">
        <v>2019</v>
      </c>
      <c r="C69">
        <v>2019</v>
      </c>
      <c r="D69" t="s">
        <v>325</v>
      </c>
      <c r="E69" t="s">
        <v>326</v>
      </c>
      <c r="F69" s="288">
        <v>0.99</v>
      </c>
    </row>
    <row r="70" spans="1:6" x14ac:dyDescent="0.3">
      <c r="A70" s="289">
        <v>43661</v>
      </c>
      <c r="B70">
        <v>2019</v>
      </c>
      <c r="C70">
        <v>2018</v>
      </c>
      <c r="D70" t="s">
        <v>325</v>
      </c>
      <c r="E70" t="s">
        <v>326</v>
      </c>
      <c r="F70" s="288">
        <v>0.8</v>
      </c>
    </row>
    <row r="71" spans="1:6" x14ac:dyDescent="0.3">
      <c r="A71" s="289">
        <v>43661</v>
      </c>
      <c r="B71">
        <v>2019</v>
      </c>
      <c r="C71">
        <v>2019</v>
      </c>
      <c r="D71" t="s">
        <v>325</v>
      </c>
      <c r="E71" t="s">
        <v>326</v>
      </c>
      <c r="F71" s="288">
        <v>1.36</v>
      </c>
    </row>
    <row r="72" spans="1:6" x14ac:dyDescent="0.3">
      <c r="A72" s="289">
        <v>43668</v>
      </c>
      <c r="B72">
        <v>2019</v>
      </c>
      <c r="C72">
        <v>2019</v>
      </c>
      <c r="D72" t="s">
        <v>325</v>
      </c>
      <c r="E72" t="s">
        <v>326</v>
      </c>
      <c r="F72" s="288">
        <v>1.34</v>
      </c>
    </row>
    <row r="73" spans="1:6" x14ac:dyDescent="0.3">
      <c r="A73" s="289">
        <v>43675</v>
      </c>
      <c r="B73">
        <v>2019</v>
      </c>
      <c r="C73">
        <v>2019</v>
      </c>
      <c r="D73" t="s">
        <v>325</v>
      </c>
      <c r="E73" t="s">
        <v>326</v>
      </c>
      <c r="F73" s="288">
        <v>1.27</v>
      </c>
    </row>
    <row r="74" spans="1:6" x14ac:dyDescent="0.3">
      <c r="A74" s="289">
        <v>43675</v>
      </c>
      <c r="B74">
        <v>2019</v>
      </c>
      <c r="C74">
        <v>2019</v>
      </c>
      <c r="D74" t="s">
        <v>325</v>
      </c>
      <c r="E74" t="s">
        <v>327</v>
      </c>
      <c r="F74" s="288">
        <v>1.71</v>
      </c>
    </row>
    <row r="75" spans="1:6" x14ac:dyDescent="0.3">
      <c r="A75" s="289">
        <v>43682</v>
      </c>
      <c r="B75">
        <v>2019</v>
      </c>
      <c r="C75">
        <v>2018</v>
      </c>
      <c r="D75" t="s">
        <v>325</v>
      </c>
      <c r="E75" t="s">
        <v>326</v>
      </c>
      <c r="F75" s="288">
        <v>0.52</v>
      </c>
    </row>
    <row r="76" spans="1:6" x14ac:dyDescent="0.3">
      <c r="A76" s="289">
        <v>43682</v>
      </c>
      <c r="B76">
        <v>2019</v>
      </c>
      <c r="C76">
        <v>2019</v>
      </c>
      <c r="D76" t="s">
        <v>325</v>
      </c>
      <c r="E76" t="s">
        <v>326</v>
      </c>
      <c r="F76" s="288">
        <v>0.7</v>
      </c>
    </row>
    <row r="77" spans="1:6" x14ac:dyDescent="0.3">
      <c r="A77" s="289">
        <v>43689</v>
      </c>
      <c r="B77">
        <v>2019</v>
      </c>
      <c r="C77">
        <v>2018</v>
      </c>
      <c r="D77" t="s">
        <v>325</v>
      </c>
      <c r="E77" t="s">
        <v>326</v>
      </c>
      <c r="F77" s="288">
        <v>0.48</v>
      </c>
    </row>
    <row r="78" spans="1:6" x14ac:dyDescent="0.3">
      <c r="A78" s="289">
        <v>43689</v>
      </c>
      <c r="B78">
        <v>2019</v>
      </c>
      <c r="C78">
        <v>2019</v>
      </c>
      <c r="D78" t="s">
        <v>325</v>
      </c>
      <c r="E78" t="s">
        <v>326</v>
      </c>
      <c r="F78" s="288">
        <v>1.01</v>
      </c>
    </row>
    <row r="79" spans="1:6" x14ac:dyDescent="0.3">
      <c r="A79" s="289">
        <v>43696</v>
      </c>
      <c r="B79">
        <v>2019</v>
      </c>
      <c r="C79">
        <v>2019</v>
      </c>
      <c r="D79" t="s">
        <v>325</v>
      </c>
      <c r="E79" t="s">
        <v>326</v>
      </c>
      <c r="F79" s="288">
        <v>1.1599999999999999</v>
      </c>
    </row>
    <row r="80" spans="1:6" x14ac:dyDescent="0.3">
      <c r="A80" s="289">
        <v>43703</v>
      </c>
      <c r="B80">
        <v>2019</v>
      </c>
      <c r="C80">
        <v>2019</v>
      </c>
      <c r="D80" t="s">
        <v>325</v>
      </c>
      <c r="E80" t="s">
        <v>326</v>
      </c>
      <c r="F80" s="288">
        <v>0.64</v>
      </c>
    </row>
    <row r="81" spans="1:6" x14ac:dyDescent="0.3">
      <c r="A81" s="289">
        <v>43710</v>
      </c>
      <c r="B81">
        <v>2019</v>
      </c>
      <c r="C81">
        <v>2019</v>
      </c>
      <c r="D81" t="s">
        <v>325</v>
      </c>
      <c r="E81" t="s">
        <v>326</v>
      </c>
      <c r="F81" s="288">
        <v>0.68</v>
      </c>
    </row>
    <row r="82" spans="1:6" x14ac:dyDescent="0.3">
      <c r="A82" s="289">
        <v>43717</v>
      </c>
      <c r="B82">
        <v>2019</v>
      </c>
      <c r="C82">
        <v>2019</v>
      </c>
      <c r="D82" t="s">
        <v>325</v>
      </c>
      <c r="E82" t="s">
        <v>326</v>
      </c>
      <c r="F82" s="288">
        <v>0.59</v>
      </c>
    </row>
    <row r="83" spans="1:6" x14ac:dyDescent="0.3">
      <c r="A83" s="289">
        <v>43724</v>
      </c>
      <c r="B83">
        <v>2019</v>
      </c>
      <c r="C83">
        <v>2018</v>
      </c>
      <c r="D83" t="s">
        <v>325</v>
      </c>
      <c r="E83" t="s">
        <v>326</v>
      </c>
      <c r="F83" s="288">
        <v>0.46</v>
      </c>
    </row>
    <row r="84" spans="1:6" x14ac:dyDescent="0.3">
      <c r="A84" s="289">
        <v>43724</v>
      </c>
      <c r="B84">
        <v>2019</v>
      </c>
      <c r="C84">
        <v>2019</v>
      </c>
      <c r="D84" t="s">
        <v>325</v>
      </c>
      <c r="E84" t="s">
        <v>326</v>
      </c>
      <c r="F84" s="288">
        <v>0.87</v>
      </c>
    </row>
    <row r="85" spans="1:6" x14ac:dyDescent="0.3">
      <c r="A85" s="289">
        <v>43731</v>
      </c>
      <c r="B85">
        <v>2019</v>
      </c>
      <c r="C85">
        <v>2019</v>
      </c>
      <c r="D85" t="s">
        <v>325</v>
      </c>
      <c r="E85" t="s">
        <v>326</v>
      </c>
      <c r="F85" s="288">
        <v>0.95</v>
      </c>
    </row>
    <row r="86" spans="1:6" x14ac:dyDescent="0.3">
      <c r="A86" s="289">
        <v>43738</v>
      </c>
      <c r="B86">
        <v>2019</v>
      </c>
      <c r="C86">
        <v>2019</v>
      </c>
      <c r="D86" t="s">
        <v>325</v>
      </c>
      <c r="E86" t="s">
        <v>326</v>
      </c>
      <c r="F86" s="288">
        <v>1.07</v>
      </c>
    </row>
    <row r="87" spans="1:6" x14ac:dyDescent="0.3">
      <c r="A87" s="289">
        <v>43745</v>
      </c>
      <c r="B87">
        <v>2019</v>
      </c>
      <c r="C87">
        <v>2018</v>
      </c>
      <c r="D87" t="s">
        <v>325</v>
      </c>
      <c r="E87" t="s">
        <v>326</v>
      </c>
      <c r="F87" s="288">
        <v>0.57999999999999996</v>
      </c>
    </row>
    <row r="88" spans="1:6" x14ac:dyDescent="0.3">
      <c r="A88" s="289">
        <v>43745</v>
      </c>
      <c r="B88">
        <v>2019</v>
      </c>
      <c r="C88">
        <v>2019</v>
      </c>
      <c r="D88" t="s">
        <v>325</v>
      </c>
      <c r="E88" t="s">
        <v>326</v>
      </c>
      <c r="F88" s="288">
        <v>0.73</v>
      </c>
    </row>
    <row r="89" spans="1:6" x14ac:dyDescent="0.3">
      <c r="A89" s="289">
        <v>43752</v>
      </c>
      <c r="B89">
        <v>2019</v>
      </c>
      <c r="C89">
        <v>2018</v>
      </c>
      <c r="D89" t="s">
        <v>325</v>
      </c>
      <c r="E89" t="s">
        <v>326</v>
      </c>
      <c r="F89" s="288">
        <v>0.69</v>
      </c>
    </row>
    <row r="90" spans="1:6" x14ac:dyDescent="0.3">
      <c r="A90" s="289">
        <v>43752</v>
      </c>
      <c r="B90">
        <v>2019</v>
      </c>
      <c r="C90">
        <v>2019</v>
      </c>
      <c r="D90" t="s">
        <v>325</v>
      </c>
      <c r="E90" t="s">
        <v>326</v>
      </c>
      <c r="F90" s="288">
        <v>0.83</v>
      </c>
    </row>
    <row r="91" spans="1:6" x14ac:dyDescent="0.3">
      <c r="A91" s="289">
        <v>43759</v>
      </c>
      <c r="B91">
        <v>2019</v>
      </c>
      <c r="C91">
        <v>2018</v>
      </c>
      <c r="D91" t="s">
        <v>325</v>
      </c>
      <c r="E91" t="s">
        <v>326</v>
      </c>
      <c r="F91" s="288">
        <v>0.67</v>
      </c>
    </row>
    <row r="92" spans="1:6" x14ac:dyDescent="0.3">
      <c r="A92" s="289">
        <v>43759</v>
      </c>
      <c r="B92">
        <v>2019</v>
      </c>
      <c r="C92">
        <v>2019</v>
      </c>
      <c r="D92" t="s">
        <v>325</v>
      </c>
      <c r="E92" t="s">
        <v>326</v>
      </c>
      <c r="F92" s="288">
        <v>0.83</v>
      </c>
    </row>
    <row r="93" spans="1:6" x14ac:dyDescent="0.3">
      <c r="A93" s="289">
        <v>43766</v>
      </c>
      <c r="B93">
        <v>2019</v>
      </c>
      <c r="C93">
        <v>2019</v>
      </c>
      <c r="D93" t="s">
        <v>325</v>
      </c>
      <c r="E93" t="s">
        <v>326</v>
      </c>
      <c r="F93" s="288">
        <v>0.96</v>
      </c>
    </row>
    <row r="94" spans="1:6" x14ac:dyDescent="0.3">
      <c r="A94" s="289">
        <v>43773</v>
      </c>
      <c r="B94">
        <v>2019</v>
      </c>
      <c r="C94">
        <v>2019</v>
      </c>
      <c r="D94" t="s">
        <v>325</v>
      </c>
      <c r="E94" t="s">
        <v>326</v>
      </c>
      <c r="F94" s="288">
        <v>1.01</v>
      </c>
    </row>
    <row r="95" spans="1:6" x14ac:dyDescent="0.3">
      <c r="A95" s="289">
        <v>43773</v>
      </c>
      <c r="B95">
        <v>2019</v>
      </c>
      <c r="C95">
        <v>2019</v>
      </c>
      <c r="D95" t="s">
        <v>325</v>
      </c>
      <c r="E95" t="s">
        <v>327</v>
      </c>
      <c r="F95" s="288">
        <v>0.73</v>
      </c>
    </row>
    <row r="96" spans="1:6" x14ac:dyDescent="0.3">
      <c r="A96" s="289">
        <v>43780</v>
      </c>
      <c r="B96">
        <v>2019</v>
      </c>
      <c r="C96">
        <v>2019</v>
      </c>
      <c r="D96" t="s">
        <v>325</v>
      </c>
      <c r="E96" t="s">
        <v>326</v>
      </c>
      <c r="F96" s="288">
        <v>0.68</v>
      </c>
    </row>
    <row r="97" spans="1:6" x14ac:dyDescent="0.3">
      <c r="A97" s="289">
        <v>43787</v>
      </c>
      <c r="B97">
        <v>2019</v>
      </c>
      <c r="C97">
        <v>2019</v>
      </c>
      <c r="D97" t="s">
        <v>325</v>
      </c>
      <c r="E97" t="s">
        <v>326</v>
      </c>
      <c r="F97" s="288">
        <v>0.94</v>
      </c>
    </row>
    <row r="98" spans="1:6" x14ac:dyDescent="0.3">
      <c r="A98" s="289">
        <v>43787</v>
      </c>
      <c r="B98">
        <v>2019</v>
      </c>
      <c r="C98">
        <v>2019</v>
      </c>
      <c r="D98" t="s">
        <v>325</v>
      </c>
      <c r="E98" t="s">
        <v>327</v>
      </c>
      <c r="F98" s="288">
        <v>1.77</v>
      </c>
    </row>
    <row r="99" spans="1:6" x14ac:dyDescent="0.3">
      <c r="A99" s="289">
        <v>43794</v>
      </c>
      <c r="B99">
        <v>2019</v>
      </c>
      <c r="C99">
        <v>2019</v>
      </c>
      <c r="D99" t="s">
        <v>325</v>
      </c>
      <c r="E99" t="s">
        <v>326</v>
      </c>
      <c r="F99" s="288">
        <v>1.04</v>
      </c>
    </row>
    <row r="100" spans="1:6" x14ac:dyDescent="0.3">
      <c r="A100" s="289">
        <v>43801</v>
      </c>
      <c r="B100">
        <v>2019</v>
      </c>
      <c r="C100">
        <v>2018</v>
      </c>
      <c r="D100" t="s">
        <v>325</v>
      </c>
      <c r="E100" t="s">
        <v>326</v>
      </c>
      <c r="F100" s="288">
        <v>0.74</v>
      </c>
    </row>
    <row r="101" spans="1:6" x14ac:dyDescent="0.3">
      <c r="A101" s="289">
        <v>43801</v>
      </c>
      <c r="B101">
        <v>2019</v>
      </c>
      <c r="C101">
        <v>2019</v>
      </c>
      <c r="D101" t="s">
        <v>325</v>
      </c>
      <c r="E101" t="s">
        <v>326</v>
      </c>
      <c r="F101" s="288">
        <v>0.78</v>
      </c>
    </row>
    <row r="102" spans="1:6" x14ac:dyDescent="0.3">
      <c r="A102" s="289">
        <v>43808</v>
      </c>
      <c r="B102">
        <v>2019</v>
      </c>
      <c r="C102">
        <v>2018</v>
      </c>
      <c r="D102" t="s">
        <v>325</v>
      </c>
      <c r="E102" t="s">
        <v>326</v>
      </c>
      <c r="F102" s="288">
        <v>1.28</v>
      </c>
    </row>
    <row r="103" spans="1:6" x14ac:dyDescent="0.3">
      <c r="A103" s="289">
        <v>43808</v>
      </c>
      <c r="B103">
        <v>2019</v>
      </c>
      <c r="C103">
        <v>2019</v>
      </c>
      <c r="D103" t="s">
        <v>325</v>
      </c>
      <c r="E103" t="s">
        <v>326</v>
      </c>
      <c r="F103" s="288">
        <v>0.77</v>
      </c>
    </row>
    <row r="104" spans="1:6" x14ac:dyDescent="0.3">
      <c r="A104" s="289">
        <v>43815</v>
      </c>
      <c r="B104">
        <v>2019</v>
      </c>
      <c r="C104">
        <v>2018</v>
      </c>
      <c r="D104" t="s">
        <v>325</v>
      </c>
      <c r="E104" t="s">
        <v>326</v>
      </c>
      <c r="F104" s="288">
        <v>0.82</v>
      </c>
    </row>
    <row r="105" spans="1:6" x14ac:dyDescent="0.3">
      <c r="A105" s="289">
        <v>43815</v>
      </c>
      <c r="B105">
        <v>2019</v>
      </c>
      <c r="C105">
        <v>2019</v>
      </c>
      <c r="D105" t="s">
        <v>325</v>
      </c>
      <c r="E105" t="s">
        <v>326</v>
      </c>
      <c r="F105" s="288">
        <v>0.96</v>
      </c>
    </row>
    <row r="106" spans="1:6" x14ac:dyDescent="0.3">
      <c r="A106" s="289">
        <v>43815</v>
      </c>
      <c r="B106">
        <v>2019</v>
      </c>
      <c r="C106">
        <v>2019</v>
      </c>
      <c r="D106" t="s">
        <v>325</v>
      </c>
      <c r="E106" t="s">
        <v>327</v>
      </c>
      <c r="F106" s="288">
        <v>1.26</v>
      </c>
    </row>
    <row r="107" spans="1:6" x14ac:dyDescent="0.3">
      <c r="A107" s="289">
        <v>43822</v>
      </c>
      <c r="B107">
        <v>2019</v>
      </c>
      <c r="C107">
        <v>2019</v>
      </c>
      <c r="D107" t="s">
        <v>325</v>
      </c>
      <c r="E107" t="s">
        <v>326</v>
      </c>
      <c r="F107" s="288">
        <v>0.98</v>
      </c>
    </row>
    <row r="108" spans="1:6" x14ac:dyDescent="0.3">
      <c r="A108" s="289">
        <v>43822</v>
      </c>
      <c r="B108">
        <v>2019</v>
      </c>
      <c r="C108">
        <v>2019</v>
      </c>
      <c r="D108" t="s">
        <v>325</v>
      </c>
      <c r="E108" t="s">
        <v>327</v>
      </c>
      <c r="F108" s="288">
        <v>1.19</v>
      </c>
    </row>
    <row r="109" spans="1:6" x14ac:dyDescent="0.3">
      <c r="A109" s="289">
        <v>43829</v>
      </c>
      <c r="B109">
        <v>2019</v>
      </c>
      <c r="C109">
        <v>2018</v>
      </c>
      <c r="D109" t="s">
        <v>325</v>
      </c>
      <c r="E109" t="s">
        <v>326</v>
      </c>
      <c r="F109" s="288">
        <v>1.01</v>
      </c>
    </row>
    <row r="110" spans="1:6" x14ac:dyDescent="0.3">
      <c r="A110" s="289">
        <v>43829</v>
      </c>
      <c r="B110">
        <v>2019</v>
      </c>
      <c r="C110">
        <v>2019</v>
      </c>
      <c r="D110" t="s">
        <v>325</v>
      </c>
      <c r="E110" t="s">
        <v>326</v>
      </c>
      <c r="F110" s="288">
        <v>1.04</v>
      </c>
    </row>
  </sheetData>
  <customSheetViews>
    <customSheetView guid="{BF3C265C-F8D8-44A5-ADB2-387DE1CABD91}">
      <selection activeCell="P18" sqref="P18"/>
      <pageMargins left="0.7" right="0.7" top="0.75" bottom="0.75" header="0.3" footer="0.3"/>
    </customSheetView>
  </customSheetViews>
  <mergeCells count="1">
    <mergeCell ref="A2:B2"/>
  </mergeCells>
  <pageMargins left="0.7" right="0.7" top="0.75" bottom="0.75" header="0.3" footer="0.3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5A3C-5EC1-4913-A645-BB149700E2DE}">
  <dimension ref="A1:M27"/>
  <sheetViews>
    <sheetView workbookViewId="0">
      <selection activeCell="F31" sqref="F31"/>
    </sheetView>
  </sheetViews>
  <sheetFormatPr defaultRowHeight="14.4" x14ac:dyDescent="0.3"/>
  <cols>
    <col min="2" max="2" width="10.5546875" customWidth="1"/>
  </cols>
  <sheetData>
    <row r="1" spans="1:13" ht="15" thickBot="1" x14ac:dyDescent="0.35"/>
    <row r="2" spans="1:13" ht="15" thickBot="1" x14ac:dyDescent="0.35">
      <c r="B2" s="332" t="s">
        <v>368</v>
      </c>
      <c r="C2" s="342"/>
      <c r="D2" s="342"/>
      <c r="E2" s="342"/>
      <c r="F2" s="343"/>
    </row>
    <row r="3" spans="1:13" x14ac:dyDescent="0.3">
      <c r="A3" s="354" t="s">
        <v>341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</row>
    <row r="4" spans="1:13" x14ac:dyDescent="0.3">
      <c r="A4" s="353" t="s">
        <v>328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</row>
    <row r="5" spans="1:13" x14ac:dyDescent="0.3">
      <c r="A5" s="293" t="s">
        <v>68</v>
      </c>
      <c r="B5" s="294" t="s">
        <v>329</v>
      </c>
      <c r="C5" s="294" t="s">
        <v>330</v>
      </c>
      <c r="D5" s="294" t="s">
        <v>331</v>
      </c>
      <c r="E5" s="294" t="s">
        <v>332</v>
      </c>
      <c r="F5" s="294" t="s">
        <v>333</v>
      </c>
      <c r="G5" s="294" t="s">
        <v>334</v>
      </c>
      <c r="H5" s="294" t="s">
        <v>335</v>
      </c>
      <c r="I5" s="294" t="s">
        <v>336</v>
      </c>
      <c r="J5" s="294" t="s">
        <v>337</v>
      </c>
      <c r="K5" s="294" t="s">
        <v>338</v>
      </c>
      <c r="L5" s="294" t="s">
        <v>339</v>
      </c>
      <c r="M5" s="294" t="s">
        <v>340</v>
      </c>
    </row>
    <row r="6" spans="1:13" x14ac:dyDescent="0.3">
      <c r="A6" s="295" t="s">
        <v>342</v>
      </c>
      <c r="B6">
        <v>2.097</v>
      </c>
      <c r="C6">
        <v>2.0329999999999999</v>
      </c>
      <c r="D6">
        <v>2.1970000000000001</v>
      </c>
      <c r="E6">
        <v>2.2650000000000001</v>
      </c>
      <c r="F6">
        <v>2.1520000000000001</v>
      </c>
      <c r="G6">
        <v>2.113</v>
      </c>
      <c r="H6">
        <v>2.113</v>
      </c>
      <c r="I6">
        <v>2.0950000000000002</v>
      </c>
      <c r="J6">
        <v>2.0880000000000001</v>
      </c>
      <c r="K6">
        <v>2.198</v>
      </c>
      <c r="L6">
        <v>2.2429999999999999</v>
      </c>
      <c r="M6">
        <v>2.383</v>
      </c>
    </row>
    <row r="7" spans="1:13" x14ac:dyDescent="0.3">
      <c r="A7" s="295" t="s">
        <v>343</v>
      </c>
      <c r="B7">
        <v>2.472</v>
      </c>
      <c r="C7">
        <v>2.5840000000000001</v>
      </c>
      <c r="D7">
        <v>2.9340000000000002</v>
      </c>
      <c r="E7">
        <v>3.218</v>
      </c>
      <c r="F7">
        <v>3.1739999999999999</v>
      </c>
      <c r="G7">
        <v>2.97</v>
      </c>
      <c r="H7">
        <v>3.0579999999999998</v>
      </c>
      <c r="I7">
        <v>2.9489999999999998</v>
      </c>
      <c r="J7">
        <v>2.8959999999999999</v>
      </c>
      <c r="K7">
        <v>2.8050000000000002</v>
      </c>
      <c r="L7">
        <v>2.7010000000000001</v>
      </c>
      <c r="M7">
        <v>2.6139999999999999</v>
      </c>
    </row>
    <row r="8" spans="1:13" x14ac:dyDescent="0.3">
      <c r="A8" s="295" t="s">
        <v>344</v>
      </c>
      <c r="B8">
        <v>2.7469999999999999</v>
      </c>
      <c r="C8">
        <v>2.9359999999999999</v>
      </c>
      <c r="D8">
        <v>3.2029999999999998</v>
      </c>
      <c r="E8">
        <v>3.1890000000000001</v>
      </c>
      <c r="F8">
        <v>3.016</v>
      </c>
      <c r="G8">
        <v>2.7570000000000001</v>
      </c>
      <c r="H8">
        <v>2.806</v>
      </c>
      <c r="I8">
        <v>3.0870000000000002</v>
      </c>
      <c r="J8">
        <v>3.1629999999999998</v>
      </c>
      <c r="K8">
        <v>2.9409999999999998</v>
      </c>
      <c r="L8">
        <v>2.7130000000000001</v>
      </c>
      <c r="M8">
        <v>2.59</v>
      </c>
    </row>
    <row r="9" spans="1:13" x14ac:dyDescent="0.3">
      <c r="A9" s="295" t="s">
        <v>345</v>
      </c>
      <c r="B9">
        <v>2.6760000000000002</v>
      </c>
      <c r="C9">
        <v>3.02</v>
      </c>
      <c r="D9">
        <v>2.9870000000000001</v>
      </c>
      <c r="E9">
        <v>2.8530000000000002</v>
      </c>
      <c r="F9">
        <v>2.9510000000000001</v>
      </c>
      <c r="G9">
        <v>2.8820000000000001</v>
      </c>
      <c r="H9">
        <v>2.9420000000000002</v>
      </c>
      <c r="I9">
        <v>2.89</v>
      </c>
      <c r="J9">
        <v>2.7919999999999998</v>
      </c>
      <c r="K9">
        <v>2.6320000000000001</v>
      </c>
      <c r="L9">
        <v>2.544</v>
      </c>
      <c r="M9">
        <v>2.581</v>
      </c>
    </row>
    <row r="10" spans="1:13" x14ac:dyDescent="0.3">
      <c r="A10" s="295" t="s">
        <v>346</v>
      </c>
      <c r="B10">
        <v>2.6040000000000001</v>
      </c>
      <c r="C10">
        <v>2.6989999999999998</v>
      </c>
      <c r="D10">
        <v>2.855</v>
      </c>
      <c r="E10">
        <v>2.9809999999999999</v>
      </c>
      <c r="F10">
        <v>2.9510000000000001</v>
      </c>
      <c r="G10">
        <v>3.0009999999999999</v>
      </c>
      <c r="H10">
        <v>2.855</v>
      </c>
      <c r="I10">
        <v>2.7589999999999999</v>
      </c>
      <c r="J10">
        <v>2.669</v>
      </c>
      <c r="K10">
        <v>2.3330000000000002</v>
      </c>
      <c r="L10">
        <v>2.1110000000000002</v>
      </c>
      <c r="M10">
        <v>1.6339999999999999</v>
      </c>
    </row>
    <row r="11" spans="1:13" x14ac:dyDescent="0.3">
      <c r="A11" s="295" t="s">
        <v>347</v>
      </c>
      <c r="B11">
        <v>1.3660000000000001</v>
      </c>
      <c r="C11">
        <v>1.637</v>
      </c>
      <c r="D11">
        <v>1.77</v>
      </c>
      <c r="E11">
        <v>1.835</v>
      </c>
      <c r="F11">
        <v>2.08</v>
      </c>
      <c r="G11">
        <v>2.121</v>
      </c>
      <c r="H11">
        <v>2.0720000000000001</v>
      </c>
      <c r="I11">
        <v>1.8380000000000001</v>
      </c>
      <c r="J11">
        <v>1.609</v>
      </c>
      <c r="K11">
        <v>1.5580000000000001</v>
      </c>
      <c r="L11">
        <v>1.4259999999999999</v>
      </c>
      <c r="M11">
        <v>1.3560000000000001</v>
      </c>
    </row>
    <row r="12" spans="1:13" x14ac:dyDescent="0.3">
      <c r="A12" s="295" t="s">
        <v>348</v>
      </c>
      <c r="B12">
        <v>1.1870000000000001</v>
      </c>
      <c r="C12">
        <v>1.046</v>
      </c>
      <c r="D12">
        <v>1.335</v>
      </c>
      <c r="E12">
        <v>1.476</v>
      </c>
      <c r="F12">
        <v>1.613</v>
      </c>
      <c r="G12">
        <v>1.643</v>
      </c>
      <c r="H12">
        <v>1.49</v>
      </c>
      <c r="I12">
        <v>1.508</v>
      </c>
      <c r="J12">
        <v>1.514</v>
      </c>
      <c r="K12">
        <v>1.5680000000000001</v>
      </c>
      <c r="L12">
        <v>1.427</v>
      </c>
      <c r="M12">
        <v>1.585</v>
      </c>
    </row>
    <row r="13" spans="1:13" x14ac:dyDescent="0.3">
      <c r="A13" s="295" t="s">
        <v>349</v>
      </c>
      <c r="B13">
        <v>1.627</v>
      </c>
      <c r="C13">
        <v>1.625</v>
      </c>
      <c r="D13">
        <v>1.6339999999999999</v>
      </c>
      <c r="E13">
        <v>1.7230000000000001</v>
      </c>
      <c r="F13">
        <v>1.6679999999999999</v>
      </c>
      <c r="G13">
        <v>1.5740000000000001</v>
      </c>
      <c r="H13">
        <v>1.621</v>
      </c>
      <c r="I13">
        <v>1.7110000000000001</v>
      </c>
      <c r="J13">
        <v>1.8260000000000001</v>
      </c>
      <c r="K13">
        <v>1.73</v>
      </c>
      <c r="L13">
        <v>1.806</v>
      </c>
      <c r="M13">
        <v>1.72</v>
      </c>
    </row>
    <row r="14" spans="1:13" x14ac:dyDescent="0.3">
      <c r="A14" s="295" t="s">
        <v>350</v>
      </c>
      <c r="B14">
        <v>1.849</v>
      </c>
      <c r="C14">
        <v>1.823</v>
      </c>
      <c r="D14">
        <v>1.889</v>
      </c>
      <c r="E14">
        <v>2.0539999999999998</v>
      </c>
      <c r="F14">
        <v>2.2050000000000001</v>
      </c>
      <c r="G14">
        <v>2.1349999999999998</v>
      </c>
      <c r="H14">
        <v>2.1480000000000001</v>
      </c>
      <c r="I14">
        <v>2.1179999999999999</v>
      </c>
      <c r="J14">
        <v>2.1360000000000001</v>
      </c>
      <c r="K14">
        <v>2.09</v>
      </c>
      <c r="L14">
        <v>1.732</v>
      </c>
      <c r="M14">
        <v>1.514</v>
      </c>
    </row>
    <row r="15" spans="1:13" x14ac:dyDescent="0.3">
      <c r="A15" s="295" t="s">
        <v>351</v>
      </c>
      <c r="B15">
        <v>1.4830000000000001</v>
      </c>
      <c r="C15">
        <v>1.6240000000000001</v>
      </c>
      <c r="D15">
        <v>1.881</v>
      </c>
      <c r="E15">
        <v>2.1379999999999999</v>
      </c>
      <c r="F15">
        <v>2.11</v>
      </c>
      <c r="G15">
        <v>1.909</v>
      </c>
      <c r="H15">
        <v>1.984</v>
      </c>
      <c r="I15">
        <v>1.82</v>
      </c>
      <c r="J15">
        <v>1.8540000000000001</v>
      </c>
      <c r="K15">
        <v>1.871</v>
      </c>
      <c r="L15">
        <v>1.819</v>
      </c>
      <c r="M15">
        <v>1.7569999999999999</v>
      </c>
    </row>
    <row r="16" spans="1:13" x14ac:dyDescent="0.3">
      <c r="A16" s="295" t="s">
        <v>352</v>
      </c>
      <c r="B16">
        <v>1.7430000000000001</v>
      </c>
      <c r="C16">
        <v>1.669</v>
      </c>
      <c r="D16">
        <v>1.127</v>
      </c>
      <c r="E16">
        <v>0.64500000000000002</v>
      </c>
      <c r="F16">
        <v>1.0489999999999999</v>
      </c>
      <c r="G16">
        <v>1.3109999999999999</v>
      </c>
      <c r="H16">
        <v>1.38</v>
      </c>
      <c r="I16">
        <v>1.389</v>
      </c>
      <c r="J16">
        <v>1.3540000000000001</v>
      </c>
      <c r="K16">
        <v>1.3120000000000001</v>
      </c>
      <c r="L16">
        <v>1.2869999999999999</v>
      </c>
      <c r="M16">
        <v>1.3939999999999999</v>
      </c>
    </row>
    <row r="17" spans="1:13" x14ac:dyDescent="0.3">
      <c r="A17" s="295" t="s">
        <v>353</v>
      </c>
      <c r="B17">
        <v>1.575</v>
      </c>
      <c r="C17">
        <v>1.784</v>
      </c>
      <c r="D17">
        <v>2.0110000000000001</v>
      </c>
      <c r="E17">
        <v>2.0550000000000002</v>
      </c>
      <c r="F17">
        <v>2.181</v>
      </c>
      <c r="G17">
        <v>2.2519999999999998</v>
      </c>
      <c r="H17">
        <v>2.3370000000000002</v>
      </c>
      <c r="I17">
        <v>2.302</v>
      </c>
      <c r="J17">
        <v>2.31</v>
      </c>
      <c r="K17">
        <v>2.4940000000000002</v>
      </c>
      <c r="L17">
        <v>2.484</v>
      </c>
      <c r="M17">
        <v>2.3039999999999998</v>
      </c>
    </row>
    <row r="18" spans="1:13" x14ac:dyDescent="0.3">
      <c r="A18" s="295" t="s">
        <v>354</v>
      </c>
      <c r="B18">
        <v>2.423</v>
      </c>
      <c r="C18">
        <v>2.6389999999999998</v>
      </c>
      <c r="D18">
        <v>3.2320000000000002</v>
      </c>
    </row>
    <row r="20" spans="1:13" x14ac:dyDescent="0.3">
      <c r="B20" t="s">
        <v>361</v>
      </c>
      <c r="C20">
        <f>COUNT(B6:M18)</f>
        <v>147</v>
      </c>
    </row>
    <row r="21" spans="1:13" x14ac:dyDescent="0.3">
      <c r="B21" t="s">
        <v>310</v>
      </c>
      <c r="C21">
        <f>AVERAGE(B6:M18)</f>
        <v>2.1429455782312927</v>
      </c>
      <c r="D21" t="s">
        <v>362</v>
      </c>
    </row>
    <row r="22" spans="1:13" x14ac:dyDescent="0.3">
      <c r="B22" t="s">
        <v>355</v>
      </c>
      <c r="C22">
        <f>_xlfn.STDEV.S(B6:M18)</f>
        <v>0.58870291345096704</v>
      </c>
    </row>
    <row r="24" spans="1:13" x14ac:dyDescent="0.3">
      <c r="C24" s="296" t="s">
        <v>359</v>
      </c>
      <c r="D24" s="296" t="s">
        <v>360</v>
      </c>
    </row>
    <row r="25" spans="1:13" x14ac:dyDescent="0.3">
      <c r="B25" t="s">
        <v>356</v>
      </c>
      <c r="C25">
        <v>21.1</v>
      </c>
      <c r="D25">
        <f>C25/C27</f>
        <v>79.87220447284345</v>
      </c>
    </row>
    <row r="26" spans="1:13" x14ac:dyDescent="0.3">
      <c r="B26" t="s">
        <v>357</v>
      </c>
      <c r="C26">
        <v>32</v>
      </c>
      <c r="D26">
        <f>C26/C27</f>
        <v>121.13320109625546</v>
      </c>
    </row>
    <row r="27" spans="1:13" x14ac:dyDescent="0.3">
      <c r="B27" t="s">
        <v>358</v>
      </c>
      <c r="C27">
        <v>0.26417200000000002</v>
      </c>
    </row>
  </sheetData>
  <customSheetViews>
    <customSheetView guid="{BF3C265C-F8D8-44A5-ADB2-387DE1CABD91}">
      <selection activeCell="I26" sqref="I26:I27"/>
      <pageMargins left="0.7" right="0.7" top="0.75" bottom="0.75" header="0.3" footer="0.3"/>
    </customSheetView>
  </customSheetViews>
  <mergeCells count="2">
    <mergeCell ref="A4:M4"/>
    <mergeCell ref="A3:M3"/>
  </mergeCells>
  <phoneticPr fontId="31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3CFD4-7AD9-41FB-BF12-2C78B0D2E413}">
  <dimension ref="A1:E2"/>
  <sheetViews>
    <sheetView topLeftCell="A3" workbookViewId="0">
      <selection activeCell="X20" sqref="X20"/>
    </sheetView>
  </sheetViews>
  <sheetFormatPr defaultRowHeight="14.4" x14ac:dyDescent="0.3"/>
  <sheetData>
    <row r="1" spans="1:5" ht="15" thickBot="1" x14ac:dyDescent="0.35"/>
    <row r="2" spans="1:5" ht="15" thickBot="1" x14ac:dyDescent="0.35">
      <c r="A2" s="332" t="s">
        <v>367</v>
      </c>
      <c r="B2" s="342"/>
      <c r="C2" s="342"/>
      <c r="D2" s="342"/>
      <c r="E2" s="343"/>
    </row>
  </sheetData>
  <customSheetViews>
    <customSheetView guid="{BF3C265C-F8D8-44A5-ADB2-387DE1CABD91}">
      <selection activeCell="Y24" sqref="Y24"/>
      <pageMargins left="0.7" right="0.7" top="0.75" bottom="0.75" header="0.3" footer="0.3"/>
    </customSheetView>
  </customSheetView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CAPEX</vt:lpstr>
      <vt:lpstr>TCI</vt:lpstr>
      <vt:lpstr>Electricty Carbon Intensity Est</vt:lpstr>
      <vt:lpstr>D3 RIN - 2019</vt:lpstr>
      <vt:lpstr>Gasoline Data</vt:lpstr>
      <vt:lpstr>D3 RIN - 2014-2022</vt:lpstr>
      <vt:lpstr>TCI!FCI</vt:lpstr>
      <vt:lpstr>TCI!ISBL</vt:lpstr>
      <vt:lpstr>CAPEX!scale</vt:lpstr>
      <vt:lpstr>TCI!TDC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Kubis</dc:creator>
  <cp:lastModifiedBy>Matt Kubis</cp:lastModifiedBy>
  <cp:lastPrinted>2023-04-28T20:45:38Z</cp:lastPrinted>
  <dcterms:created xsi:type="dcterms:W3CDTF">2022-11-27T20:32:46Z</dcterms:created>
  <dcterms:modified xsi:type="dcterms:W3CDTF">2023-04-29T12:20:27Z</dcterms:modified>
</cp:coreProperties>
</file>