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mboudreau/Desktop/Sustainability/"/>
    </mc:Choice>
  </mc:AlternateContent>
  <xr:revisionPtr revIDLastSave="0" documentId="13_ncr:1_{7904A54E-CFE8-C34C-BBF7-921E462115DC}" xr6:coauthVersionLast="47" xr6:coauthVersionMax="47" xr10:uidLastSave="{00000000-0000-0000-0000-000000000000}"/>
  <bookViews>
    <workbookView xWindow="0" yWindow="500" windowWidth="28800" windowHeight="16360" xr2:uid="{A04D7197-94FC-E740-B4FF-2001ABA570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1" l="1"/>
  <c r="E130" i="1"/>
  <c r="E131" i="1" s="1"/>
  <c r="E125" i="1"/>
  <c r="P119" i="1"/>
  <c r="O119" i="1"/>
  <c r="N119" i="1"/>
  <c r="M119" i="1"/>
  <c r="G119" i="1"/>
  <c r="E119" i="1"/>
  <c r="P118" i="1"/>
  <c r="O118" i="1"/>
  <c r="N118" i="1"/>
  <c r="G118" i="1"/>
  <c r="F118" i="1"/>
  <c r="E118" i="1"/>
  <c r="E115" i="1"/>
  <c r="E107" i="1"/>
  <c r="H106" i="1"/>
  <c r="E106" i="1"/>
  <c r="E105" i="1"/>
  <c r="E108" i="1"/>
  <c r="P93" i="1"/>
  <c r="O93" i="1"/>
  <c r="N93" i="1"/>
  <c r="Q93" i="1" s="1"/>
  <c r="E87" i="1"/>
  <c r="F92" i="1" s="1"/>
  <c r="H47" i="1"/>
  <c r="E31" i="1"/>
  <c r="F35" i="1" s="1"/>
  <c r="H41" i="1" s="1"/>
  <c r="H23" i="1"/>
  <c r="E4" i="1"/>
  <c r="F11" i="1" s="1"/>
  <c r="U92" i="1"/>
  <c r="P92" i="1"/>
  <c r="O92" i="1"/>
  <c r="N92" i="1"/>
  <c r="M92" i="1"/>
  <c r="P94" i="1"/>
  <c r="O62" i="1"/>
  <c r="O94" i="1"/>
  <c r="K94" i="1"/>
  <c r="N94" i="1"/>
  <c r="M94" i="1"/>
  <c r="K92" i="1"/>
  <c r="H76" i="1"/>
  <c r="H70" i="1"/>
  <c r="E80" i="1"/>
  <c r="E79" i="1"/>
  <c r="E78" i="1"/>
  <c r="E77" i="1"/>
  <c r="E76" i="1"/>
  <c r="E75" i="1"/>
  <c r="O63" i="1"/>
  <c r="N63" i="1"/>
  <c r="M63" i="1"/>
  <c r="P63" i="1" s="1"/>
  <c r="N62" i="1"/>
  <c r="M62" i="1"/>
  <c r="L62" i="1"/>
  <c r="J62" i="1"/>
  <c r="E70" i="1" s="1"/>
  <c r="E10" i="1"/>
  <c r="E48" i="1"/>
  <c r="E47" i="1"/>
  <c r="Q11" i="1"/>
  <c r="N11" i="1"/>
  <c r="N10" i="1"/>
  <c r="M10" i="1"/>
  <c r="J11" i="1"/>
  <c r="O11" i="1" s="1"/>
  <c r="J10" i="1"/>
  <c r="P10" i="1" s="1"/>
  <c r="B23" i="1"/>
  <c r="B22" i="1"/>
  <c r="B21" i="1"/>
  <c r="F119" i="1" l="1"/>
  <c r="E132" i="1"/>
  <c r="Q118" i="1"/>
  <c r="S118" i="1" s="1"/>
  <c r="F9" i="1"/>
  <c r="E22" i="1" s="1"/>
  <c r="Q119" i="1"/>
  <c r="R119" i="1" s="1"/>
  <c r="V119" i="1" s="1"/>
  <c r="H122" i="1" s="1"/>
  <c r="E100" i="1"/>
  <c r="E109" i="1"/>
  <c r="F94" i="1"/>
  <c r="F93" i="1"/>
  <c r="F91" i="1"/>
  <c r="E110" i="1"/>
  <c r="S93" i="1"/>
  <c r="R93" i="1"/>
  <c r="F34" i="1"/>
  <c r="E46" i="1" s="1"/>
  <c r="E49" i="1" s="1"/>
  <c r="E50" i="1" s="1"/>
  <c r="Q94" i="1"/>
  <c r="S94" i="1" s="1"/>
  <c r="F8" i="1"/>
  <c r="F10" i="1"/>
  <c r="P62" i="1"/>
  <c r="Q62" i="1" s="1"/>
  <c r="Q92" i="1"/>
  <c r="S92" i="1" s="1"/>
  <c r="R94" i="1"/>
  <c r="E81" i="1"/>
  <c r="E82" i="1" s="1"/>
  <c r="Q63" i="1"/>
  <c r="R63" i="1"/>
  <c r="S11" i="1"/>
  <c r="B24" i="1"/>
  <c r="B25" i="1" s="1"/>
  <c r="O10" i="1"/>
  <c r="P11" i="1"/>
  <c r="R118" i="1" l="1"/>
  <c r="S119" i="1"/>
  <c r="W119" i="1" s="1"/>
  <c r="R92" i="1"/>
  <c r="V92" i="1"/>
  <c r="U62" i="1"/>
  <c r="H67" i="1" s="1"/>
  <c r="R62" i="1"/>
  <c r="E23" i="1"/>
  <c r="Q10" i="1"/>
  <c r="S10" i="1" s="1"/>
  <c r="V94" i="1"/>
  <c r="B26" i="1"/>
  <c r="W11" i="1" l="1"/>
  <c r="W118" i="1"/>
  <c r="H125" i="1" s="1"/>
  <c r="V63" i="1"/>
  <c r="W92" i="1"/>
  <c r="W93" i="1"/>
  <c r="W94" i="1"/>
  <c r="H97" i="1"/>
  <c r="E24" i="1"/>
  <c r="E25" i="1" s="1"/>
  <c r="W10" i="1"/>
  <c r="H17" i="1" s="1"/>
  <c r="V62" i="1"/>
  <c r="H100" i="1" l="1"/>
</calcChain>
</file>

<file path=xl/sharedStrings.xml><?xml version="1.0" encoding="utf-8"?>
<sst xmlns="http://schemas.openxmlformats.org/spreadsheetml/2006/main" count="292" uniqueCount="87">
  <si>
    <t>Acetone</t>
  </si>
  <si>
    <t>H</t>
  </si>
  <si>
    <t>Z(water)</t>
  </si>
  <si>
    <t>Koc</t>
  </si>
  <si>
    <t>Z(soil)</t>
  </si>
  <si>
    <t>Z(sediment)</t>
  </si>
  <si>
    <t>Fugacity</t>
  </si>
  <si>
    <t>Assumed data for all compounds</t>
  </si>
  <si>
    <t>Volume air (m3)</t>
  </si>
  <si>
    <t>Volume water (m3)</t>
  </si>
  <si>
    <t>Volume soil (m3)</t>
  </si>
  <si>
    <t>Volume sediemnt (m3)</t>
  </si>
  <si>
    <t>Density soil (tonnes m-3)</t>
  </si>
  <si>
    <t>Density sediment (tonnes m-3)</t>
  </si>
  <si>
    <t>Organic soil fraction</t>
  </si>
  <si>
    <t>Organic sediment fraction</t>
  </si>
  <si>
    <t>Energy consumption</t>
  </si>
  <si>
    <t>Energy consumption (g CO2 kJ-1)</t>
  </si>
  <si>
    <t>Toluene concentrations for toxicity potentials</t>
  </si>
  <si>
    <t>LD50 (mg kg-1)</t>
  </si>
  <si>
    <t>log(Kow)</t>
  </si>
  <si>
    <t>H (atm m3 mol-1)</t>
  </si>
  <si>
    <t>MW (g mol-1)</t>
  </si>
  <si>
    <t>Z(air)</t>
  </si>
  <si>
    <t>C(air)</t>
  </si>
  <si>
    <t>C(water)</t>
  </si>
  <si>
    <t>Our work</t>
  </si>
  <si>
    <t>Chemicals used</t>
  </si>
  <si>
    <t>Water</t>
  </si>
  <si>
    <t>Neutrase</t>
  </si>
  <si>
    <t>Lipozyme CALB L</t>
  </si>
  <si>
    <t>mass (g)</t>
  </si>
  <si>
    <t>Kow</t>
  </si>
  <si>
    <t>SFP</t>
  </si>
  <si>
    <t>I(AP)</t>
  </si>
  <si>
    <t>I(SF)</t>
  </si>
  <si>
    <t>Emissions</t>
  </si>
  <si>
    <t>Cp (kJ g-1 K-1)</t>
  </si>
  <si>
    <t>CO2 emissions</t>
  </si>
  <si>
    <t>I(GW)</t>
  </si>
  <si>
    <t>I(INHT)</t>
  </si>
  <si>
    <t>Not volatile</t>
  </si>
  <si>
    <t>LC50</t>
  </si>
  <si>
    <t>LD50</t>
  </si>
  <si>
    <t>a. Boiling water</t>
  </si>
  <si>
    <t>b. Enzyme treatment</t>
  </si>
  <si>
    <t>1. Acidification potential</t>
  </si>
  <si>
    <t>2. Smog formation</t>
  </si>
  <si>
    <t>3. Global warming</t>
  </si>
  <si>
    <t>4. Toxic Inhalation</t>
  </si>
  <si>
    <t>5. Toxic ingestion</t>
  </si>
  <si>
    <t>INGTP</t>
  </si>
  <si>
    <t>INHTP</t>
  </si>
  <si>
    <t>I(INGT)</t>
  </si>
  <si>
    <t>6. Persistance</t>
  </si>
  <si>
    <t>PER</t>
  </si>
  <si>
    <t>7. Bioaccumulation</t>
  </si>
  <si>
    <t>ACCU</t>
  </si>
  <si>
    <t>8. Abiotic depletion</t>
  </si>
  <si>
    <t>I(AD)</t>
  </si>
  <si>
    <t>Nam et al.</t>
  </si>
  <si>
    <t>Alcalase</t>
  </si>
  <si>
    <t>a. Enzyme treatment</t>
  </si>
  <si>
    <t>b. Drying</t>
  </si>
  <si>
    <t>c. Calcination</t>
  </si>
  <si>
    <t>Venkatesan et al.</t>
  </si>
  <si>
    <t>NaOH</t>
  </si>
  <si>
    <t>b. Boiling water</t>
  </si>
  <si>
    <t>c. 2%NaOH/acetone</t>
  </si>
  <si>
    <t>d. Drying</t>
  </si>
  <si>
    <t>e. Alkaline treatment</t>
  </si>
  <si>
    <t>f. Drying</t>
  </si>
  <si>
    <t>MOD</t>
  </si>
  <si>
    <t>NO</t>
  </si>
  <si>
    <t>Ahamed et al.</t>
  </si>
  <si>
    <t>Butanol</t>
  </si>
  <si>
    <t>NaOH (50%)*</t>
  </si>
  <si>
    <t>Starting material mass:</t>
  </si>
  <si>
    <t>Goal starting material mass</t>
  </si>
  <si>
    <t>Factor</t>
  </si>
  <si>
    <t>mass (g) x factor</t>
  </si>
  <si>
    <t>?</t>
  </si>
  <si>
    <t>*Assume already 1000 g</t>
  </si>
  <si>
    <t>Yamamura et al.</t>
  </si>
  <si>
    <t>NaOH (1 N)*</t>
  </si>
  <si>
    <t>Hydrogen peroxide (30%)*</t>
  </si>
  <si>
    <t>a. Calcination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</si>
</sst>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9CC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2" borderId="0" xfId="0" applyFill="1"/>
    <xf numFmtId="11" fontId="0" fillId="2" borderId="0" xfId="0" applyNumberFormat="1" applyFill="1"/>
    <xf numFmtId="3" fontId="0" fillId="2" borderId="0" xfId="0" applyNumberFormat="1" applyFill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0" fontId="0" fillId="7" borderId="0" xfId="0" applyFill="1"/>
    <xf numFmtId="11" fontId="0" fillId="7" borderId="0" xfId="0" applyNumberFormat="1" applyFill="1"/>
    <xf numFmtId="0" fontId="0" fillId="8" borderId="0" xfId="0" applyFill="1"/>
    <xf numFmtId="11" fontId="0" fillId="8" borderId="0" xfId="0" applyNumberFormat="1" applyFill="1"/>
    <xf numFmtId="0" fontId="0" fillId="9" borderId="0" xfId="0" applyFill="1"/>
    <xf numFmtId="11" fontId="0" fillId="9" borderId="0" xfId="0" applyNumberForma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C6E7"/>
      <color rgb="FFF9CC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B5F4-C590-6E4F-BEF1-51266E47371C}">
  <dimension ref="A1:W134"/>
  <sheetViews>
    <sheetView tabSelected="1" zoomScale="65" zoomScaleNormal="112" workbookViewId="0">
      <selection activeCell="F75" sqref="F75"/>
    </sheetView>
  </sheetViews>
  <sheetFormatPr baseColWidth="10" defaultRowHeight="16" x14ac:dyDescent="0.2"/>
  <cols>
    <col min="1" max="1" width="38.83203125" bestFit="1" customWidth="1"/>
    <col min="2" max="2" width="11" bestFit="1" customWidth="1"/>
    <col min="4" max="4" width="22.83203125" bestFit="1" customWidth="1"/>
    <col min="5" max="5" width="11" bestFit="1" customWidth="1"/>
    <col min="6" max="6" width="15" bestFit="1" customWidth="1"/>
    <col min="7" max="7" width="17.1640625" bestFit="1" customWidth="1"/>
    <col min="8" max="10" width="11" bestFit="1" customWidth="1"/>
    <col min="11" max="11" width="13.1640625" bestFit="1" customWidth="1"/>
    <col min="12" max="15" width="11.1640625" bestFit="1" customWidth="1"/>
    <col min="16" max="16" width="12.6640625" bestFit="1" customWidth="1"/>
    <col min="17" max="17" width="12.1640625" bestFit="1" customWidth="1"/>
    <col min="18" max="18" width="13.33203125" bestFit="1" customWidth="1"/>
    <col min="19" max="19" width="11.1640625" bestFit="1" customWidth="1"/>
    <col min="20" max="20" width="11.33203125" bestFit="1" customWidth="1"/>
    <col min="21" max="21" width="11" bestFit="1" customWidth="1"/>
    <col min="22" max="22" width="11.1640625" bestFit="1" customWidth="1"/>
    <col min="23" max="23" width="11" bestFit="1" customWidth="1"/>
  </cols>
  <sheetData>
    <row r="1" spans="1:23" x14ac:dyDescent="0.2">
      <c r="A1" s="2" t="s">
        <v>7</v>
      </c>
      <c r="D1" s="19" t="s">
        <v>26</v>
      </c>
    </row>
    <row r="2" spans="1:23" x14ac:dyDescent="0.2">
      <c r="B2" s="1"/>
      <c r="D2" s="12" t="s">
        <v>77</v>
      </c>
      <c r="E2" s="12">
        <v>350</v>
      </c>
    </row>
    <row r="3" spans="1:23" x14ac:dyDescent="0.2">
      <c r="A3" t="s">
        <v>8</v>
      </c>
      <c r="B3" s="1">
        <v>10000000000</v>
      </c>
      <c r="D3" s="12" t="s">
        <v>78</v>
      </c>
      <c r="E3" s="12">
        <v>1000</v>
      </c>
    </row>
    <row r="4" spans="1:23" x14ac:dyDescent="0.2">
      <c r="A4" t="s">
        <v>9</v>
      </c>
      <c r="B4" s="1">
        <v>7000000</v>
      </c>
      <c r="D4" s="12" t="s">
        <v>79</v>
      </c>
      <c r="E4" s="12">
        <f>E3/E2</f>
        <v>2.8571428571428572</v>
      </c>
    </row>
    <row r="5" spans="1:23" x14ac:dyDescent="0.2">
      <c r="A5" t="s">
        <v>10</v>
      </c>
      <c r="B5" s="1">
        <v>9000</v>
      </c>
    </row>
    <row r="6" spans="1:23" x14ac:dyDescent="0.2">
      <c r="A6" t="s">
        <v>11</v>
      </c>
      <c r="B6" s="1">
        <v>20000</v>
      </c>
    </row>
    <row r="7" spans="1:23" x14ac:dyDescent="0.2">
      <c r="A7" t="s">
        <v>12</v>
      </c>
      <c r="B7" s="1">
        <v>1.5</v>
      </c>
      <c r="D7" s="3" t="s">
        <v>27</v>
      </c>
      <c r="E7" s="3" t="s">
        <v>31</v>
      </c>
      <c r="F7" s="3" t="s">
        <v>80</v>
      </c>
      <c r="G7" s="3" t="s">
        <v>22</v>
      </c>
      <c r="H7" s="3" t="s">
        <v>1</v>
      </c>
      <c r="I7" s="3" t="s">
        <v>32</v>
      </c>
      <c r="J7" s="3" t="s">
        <v>3</v>
      </c>
      <c r="K7" s="3" t="s">
        <v>33</v>
      </c>
      <c r="L7" s="3" t="s">
        <v>37</v>
      </c>
      <c r="M7" s="3" t="s">
        <v>23</v>
      </c>
      <c r="N7" s="3" t="s">
        <v>2</v>
      </c>
      <c r="O7" s="3" t="s">
        <v>4</v>
      </c>
      <c r="P7" s="3" t="s">
        <v>5</v>
      </c>
      <c r="Q7" s="3" t="s">
        <v>6</v>
      </c>
      <c r="R7" s="3" t="s">
        <v>24</v>
      </c>
      <c r="S7" s="3" t="s">
        <v>25</v>
      </c>
      <c r="T7" s="3" t="s">
        <v>42</v>
      </c>
      <c r="U7" s="3" t="s">
        <v>43</v>
      </c>
      <c r="V7" s="3" t="s">
        <v>52</v>
      </c>
      <c r="W7" s="3" t="s">
        <v>51</v>
      </c>
    </row>
    <row r="8" spans="1:23" x14ac:dyDescent="0.2">
      <c r="A8" t="s">
        <v>13</v>
      </c>
      <c r="B8" s="1">
        <v>1.5</v>
      </c>
      <c r="D8" s="3" t="s">
        <v>28</v>
      </c>
      <c r="E8" s="3">
        <v>2000</v>
      </c>
      <c r="F8" s="3">
        <f>E8*E4</f>
        <v>5714.2857142857147</v>
      </c>
      <c r="G8" s="3">
        <v>18.02</v>
      </c>
      <c r="H8" s="3"/>
      <c r="I8" s="3"/>
      <c r="J8" s="3"/>
      <c r="K8" s="3">
        <v>0</v>
      </c>
      <c r="L8" s="3">
        <v>4.1799999999999997E-3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">
      <c r="A9" t="s">
        <v>14</v>
      </c>
      <c r="B9" s="1">
        <v>0.02</v>
      </c>
      <c r="D9" s="3"/>
      <c r="E9" s="3">
        <v>1000</v>
      </c>
      <c r="F9" s="3">
        <f>E9*E4</f>
        <v>2857.1428571428573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">
      <c r="A10" t="s">
        <v>15</v>
      </c>
      <c r="B10" s="1">
        <v>0.04</v>
      </c>
      <c r="D10" s="3" t="s">
        <v>29</v>
      </c>
      <c r="E10" s="3">
        <f>0.015*100</f>
        <v>1.5</v>
      </c>
      <c r="F10" s="3">
        <f>E4*E10</f>
        <v>4.2857142857142856</v>
      </c>
      <c r="G10" s="4">
        <v>22500</v>
      </c>
      <c r="H10" s="4">
        <v>1E-50</v>
      </c>
      <c r="I10" s="3">
        <v>3</v>
      </c>
      <c r="J10" s="3">
        <f>0.41*I10</f>
        <v>1.23</v>
      </c>
      <c r="K10" s="3">
        <v>0</v>
      </c>
      <c r="L10" s="3"/>
      <c r="M10" s="3">
        <f>B20</f>
        <v>41</v>
      </c>
      <c r="N10" s="4">
        <f>1/H10</f>
        <v>1.0000000000000001E+50</v>
      </c>
      <c r="O10" s="4">
        <f>(J10*B7*B9)/H10</f>
        <v>3.6900000000000005E+48</v>
      </c>
      <c r="P10" s="4">
        <f>(J10*B8*B10)/H10</f>
        <v>7.380000000000001E+48</v>
      </c>
      <c r="Q10" s="4">
        <f>1000/(G10*((M10*B3)+(N10*B4)+(B5*O10)+(P10*B6)))</f>
        <v>6.3475667727089575E-59</v>
      </c>
      <c r="R10" s="3" t="s">
        <v>41</v>
      </c>
      <c r="S10" s="4">
        <f>Q10*N10</f>
        <v>6.3475667727089583E-9</v>
      </c>
      <c r="T10" s="3" t="s">
        <v>41</v>
      </c>
      <c r="U10" s="5">
        <v>2000</v>
      </c>
      <c r="V10" s="3" t="s">
        <v>41</v>
      </c>
      <c r="W10" s="4">
        <f>(S10/U10) / (B26/B18)</f>
        <v>0.51226836595833014</v>
      </c>
    </row>
    <row r="11" spans="1:23" x14ac:dyDescent="0.2">
      <c r="A11" t="s">
        <v>17</v>
      </c>
      <c r="B11" s="1">
        <v>4.2000000000000003E-2</v>
      </c>
      <c r="D11" s="3" t="s">
        <v>30</v>
      </c>
      <c r="E11" s="3">
        <v>0.75</v>
      </c>
      <c r="F11" s="3">
        <f>E4*E11</f>
        <v>2.1428571428571428</v>
      </c>
      <c r="G11" s="4">
        <v>39500</v>
      </c>
      <c r="H11" s="4">
        <v>1E-50</v>
      </c>
      <c r="I11" s="3">
        <v>3</v>
      </c>
      <c r="J11" s="3">
        <f>0.41*I11</f>
        <v>1.23</v>
      </c>
      <c r="K11" s="3">
        <v>0</v>
      </c>
      <c r="L11" s="3"/>
      <c r="M11" s="3">
        <v>41</v>
      </c>
      <c r="N11" s="4">
        <f>1/H11</f>
        <v>1.0000000000000001E+50</v>
      </c>
      <c r="O11" s="4">
        <f>(B7*B9*J11)/H11</f>
        <v>3.6899999999999992E+48</v>
      </c>
      <c r="P11" s="4">
        <f>(J11*B8*B10)/H11</f>
        <v>7.380000000000001E+48</v>
      </c>
      <c r="Q11" s="3">
        <f>6.35E-59</f>
        <v>6.3500000000000001E-59</v>
      </c>
      <c r="R11" s="3" t="s">
        <v>41</v>
      </c>
      <c r="S11" s="4">
        <f>N11*Q11</f>
        <v>6.3500000000000006E-9</v>
      </c>
      <c r="T11" s="3" t="s">
        <v>41</v>
      </c>
      <c r="U11" s="5">
        <v>27000</v>
      </c>
      <c r="V11" s="3" t="s">
        <v>41</v>
      </c>
      <c r="W11" s="4">
        <f>(S11/U11)/(B26/B18)</f>
        <v>3.7960350737990145E-2</v>
      </c>
    </row>
    <row r="13" spans="1:23" x14ac:dyDescent="0.2">
      <c r="A13" s="2" t="s">
        <v>18</v>
      </c>
      <c r="D13" s="3" t="s">
        <v>46</v>
      </c>
      <c r="E13" s="3"/>
      <c r="F13" s="3"/>
      <c r="G13" s="3" t="s">
        <v>49</v>
      </c>
      <c r="H13" s="3"/>
    </row>
    <row r="14" spans="1:23" x14ac:dyDescent="0.2">
      <c r="A14" t="s">
        <v>22</v>
      </c>
      <c r="B14">
        <v>92.14</v>
      </c>
      <c r="D14" s="3" t="s">
        <v>34</v>
      </c>
      <c r="E14" s="3">
        <v>0</v>
      </c>
      <c r="F14" s="3"/>
      <c r="G14" s="3" t="s">
        <v>40</v>
      </c>
      <c r="H14" s="3">
        <v>0</v>
      </c>
    </row>
    <row r="15" spans="1:23" x14ac:dyDescent="0.2">
      <c r="A15" t="s">
        <v>21</v>
      </c>
      <c r="B15" s="1">
        <v>6.7000000000000002E-3</v>
      </c>
      <c r="D15" s="3"/>
      <c r="E15" s="3"/>
      <c r="F15" s="3"/>
      <c r="G15" s="3"/>
      <c r="H15" s="3"/>
    </row>
    <row r="16" spans="1:23" x14ac:dyDescent="0.2">
      <c r="A16" t="s">
        <v>20</v>
      </c>
      <c r="B16">
        <v>2.73</v>
      </c>
      <c r="D16" s="3" t="s">
        <v>47</v>
      </c>
      <c r="E16" s="3"/>
      <c r="F16" s="3"/>
      <c r="G16" s="3" t="s">
        <v>50</v>
      </c>
      <c r="H16" s="3"/>
    </row>
    <row r="17" spans="1:8" x14ac:dyDescent="0.2">
      <c r="A17" t="s">
        <v>3</v>
      </c>
      <c r="B17">
        <v>220</v>
      </c>
      <c r="D17" s="3" t="s">
        <v>35</v>
      </c>
      <c r="E17" s="3">
        <v>0</v>
      </c>
      <c r="F17" s="3"/>
      <c r="G17" s="3" t="s">
        <v>53</v>
      </c>
      <c r="H17" s="4">
        <f>(F10*W10)+(W11*F11)</f>
        <v>2.276779462831394</v>
      </c>
    </row>
    <row r="18" spans="1:8" x14ac:dyDescent="0.2">
      <c r="A18" t="s">
        <v>19</v>
      </c>
      <c r="B18">
        <v>636</v>
      </c>
      <c r="D18" s="3"/>
      <c r="E18" s="3"/>
      <c r="F18" s="3"/>
      <c r="G18" s="3"/>
      <c r="H18" s="3"/>
    </row>
    <row r="19" spans="1:8" x14ac:dyDescent="0.2">
      <c r="A19" t="s">
        <v>42</v>
      </c>
      <c r="B19">
        <v>49</v>
      </c>
      <c r="D19" s="3" t="s">
        <v>48</v>
      </c>
      <c r="E19" s="3"/>
      <c r="F19" s="3"/>
      <c r="G19" s="3" t="s">
        <v>54</v>
      </c>
      <c r="H19" s="3"/>
    </row>
    <row r="20" spans="1:8" x14ac:dyDescent="0.2">
      <c r="A20" t="s">
        <v>23</v>
      </c>
      <c r="B20">
        <v>41</v>
      </c>
      <c r="D20" s="3" t="s">
        <v>36</v>
      </c>
      <c r="E20" s="3">
        <v>0</v>
      </c>
      <c r="F20" s="3"/>
      <c r="G20" s="3" t="s">
        <v>55</v>
      </c>
      <c r="H20" s="3" t="s">
        <v>73</v>
      </c>
    </row>
    <row r="21" spans="1:8" x14ac:dyDescent="0.2">
      <c r="A21" t="s">
        <v>2</v>
      </c>
      <c r="B21" s="1">
        <f>1/B15</f>
        <v>149.25373134328359</v>
      </c>
      <c r="D21" s="3" t="s">
        <v>16</v>
      </c>
      <c r="E21" s="3"/>
      <c r="F21" s="3"/>
      <c r="G21" s="3"/>
      <c r="H21" s="3"/>
    </row>
    <row r="22" spans="1:8" x14ac:dyDescent="0.2">
      <c r="A22" t="s">
        <v>4</v>
      </c>
      <c r="B22" s="1">
        <f>(B17*B7*B9)/B15</f>
        <v>985.07462686567169</v>
      </c>
      <c r="D22" s="3" t="s">
        <v>44</v>
      </c>
      <c r="E22" s="3">
        <f>F9*L8*80*2</f>
        <v>1910.8571428571429</v>
      </c>
      <c r="F22" s="3"/>
      <c r="G22" s="3" t="s">
        <v>56</v>
      </c>
      <c r="H22" s="3"/>
    </row>
    <row r="23" spans="1:8" x14ac:dyDescent="0.2">
      <c r="A23" t="s">
        <v>5</v>
      </c>
      <c r="B23" s="1">
        <f>(B17*B8*B10)/B15</f>
        <v>1970.1492537313434</v>
      </c>
      <c r="D23" s="3" t="s">
        <v>45</v>
      </c>
      <c r="E23" s="3">
        <f>F8*L8*20*12</f>
        <v>5732.5714285714284</v>
      </c>
      <c r="F23" s="3"/>
      <c r="G23" s="3" t="s">
        <v>57</v>
      </c>
      <c r="H23" s="3">
        <f>LOG(I10+I11)</f>
        <v>0.77815125038364363</v>
      </c>
    </row>
    <row r="24" spans="1:8" x14ac:dyDescent="0.2">
      <c r="A24" t="s">
        <v>6</v>
      </c>
      <c r="B24" s="1">
        <f>1000/(B14*((B20*B3)+(B21*B4)+(B22*B5)+(B23*B6)))</f>
        <v>2.6400470270369593E-11</v>
      </c>
      <c r="D24" s="3" t="s">
        <v>38</v>
      </c>
      <c r="E24" s="4">
        <f>(E22*B11)+(E23*B11)</f>
        <v>321.024</v>
      </c>
      <c r="F24" s="3"/>
      <c r="G24" s="3"/>
      <c r="H24" s="3"/>
    </row>
    <row r="25" spans="1:8" x14ac:dyDescent="0.2">
      <c r="A25" t="s">
        <v>24</v>
      </c>
      <c r="B25" s="1">
        <f>B24*B20</f>
        <v>1.0824192810851534E-9</v>
      </c>
      <c r="D25" s="3" t="s">
        <v>39</v>
      </c>
      <c r="E25" s="3">
        <f>E20+E24</f>
        <v>321.024</v>
      </c>
      <c r="F25" s="3"/>
      <c r="G25" s="3" t="s">
        <v>58</v>
      </c>
      <c r="H25" s="3"/>
    </row>
    <row r="26" spans="1:8" x14ac:dyDescent="0.2">
      <c r="A26" t="s">
        <v>25</v>
      </c>
      <c r="B26" s="1">
        <f>B24*B21</f>
        <v>3.9403686970700883E-9</v>
      </c>
      <c r="D26" s="3"/>
      <c r="E26" s="3"/>
      <c r="F26" s="3"/>
      <c r="G26" s="3" t="s">
        <v>59</v>
      </c>
      <c r="H26" s="3">
        <v>0</v>
      </c>
    </row>
    <row r="28" spans="1:8" x14ac:dyDescent="0.2">
      <c r="D28" s="20" t="s">
        <v>60</v>
      </c>
    </row>
    <row r="29" spans="1:8" x14ac:dyDescent="0.2">
      <c r="D29" s="6" t="s">
        <v>77</v>
      </c>
      <c r="E29" s="6">
        <v>100</v>
      </c>
    </row>
    <row r="30" spans="1:8" x14ac:dyDescent="0.2">
      <c r="D30" s="6" t="s">
        <v>78</v>
      </c>
      <c r="E30" s="6">
        <v>1000</v>
      </c>
    </row>
    <row r="31" spans="1:8" x14ac:dyDescent="0.2">
      <c r="D31" s="6" t="s">
        <v>79</v>
      </c>
      <c r="E31" s="6">
        <f>E30/E29</f>
        <v>10</v>
      </c>
    </row>
    <row r="33" spans="4:23" x14ac:dyDescent="0.2">
      <c r="D33" s="6" t="s">
        <v>27</v>
      </c>
      <c r="E33" s="6" t="s">
        <v>31</v>
      </c>
      <c r="F33" s="6" t="s">
        <v>80</v>
      </c>
      <c r="G33" s="6" t="s">
        <v>22</v>
      </c>
      <c r="H33" s="6" t="s">
        <v>1</v>
      </c>
      <c r="I33" s="6" t="s">
        <v>32</v>
      </c>
      <c r="J33" s="6" t="s">
        <v>3</v>
      </c>
      <c r="K33" s="6" t="s">
        <v>33</v>
      </c>
      <c r="L33" s="6" t="s">
        <v>37</v>
      </c>
      <c r="M33" s="6" t="s">
        <v>23</v>
      </c>
      <c r="N33" s="6" t="s">
        <v>2</v>
      </c>
      <c r="O33" s="6" t="s">
        <v>4</v>
      </c>
      <c r="P33" s="6" t="s">
        <v>5</v>
      </c>
      <c r="Q33" s="6" t="s">
        <v>6</v>
      </c>
      <c r="R33" s="6" t="s">
        <v>24</v>
      </c>
      <c r="S33" s="6" t="s">
        <v>25</v>
      </c>
      <c r="T33" s="6" t="s">
        <v>42</v>
      </c>
      <c r="U33" s="6" t="s">
        <v>43</v>
      </c>
      <c r="V33" s="6" t="s">
        <v>52</v>
      </c>
      <c r="W33" s="6" t="s">
        <v>51</v>
      </c>
    </row>
    <row r="34" spans="4:23" x14ac:dyDescent="0.2">
      <c r="D34" s="6" t="s">
        <v>28</v>
      </c>
      <c r="E34" s="6">
        <v>100</v>
      </c>
      <c r="F34" s="6">
        <f>E34*E31</f>
        <v>1000</v>
      </c>
      <c r="G34" s="6">
        <v>18.02</v>
      </c>
      <c r="H34" s="6"/>
      <c r="I34" s="6"/>
      <c r="J34" s="6"/>
      <c r="K34" s="6">
        <v>0</v>
      </c>
      <c r="L34" s="6">
        <v>4.1799999999999997E-3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4:23" x14ac:dyDescent="0.2">
      <c r="D35" s="6" t="s">
        <v>61</v>
      </c>
      <c r="E35" s="6">
        <v>0.4</v>
      </c>
      <c r="F35" s="6">
        <f>E31*E35</f>
        <v>4</v>
      </c>
      <c r="G35" s="6">
        <v>22500</v>
      </c>
      <c r="H35" s="6">
        <v>1E-50</v>
      </c>
      <c r="I35" s="6">
        <v>3</v>
      </c>
      <c r="J35" s="6">
        <v>1.23</v>
      </c>
      <c r="K35" s="6">
        <v>0</v>
      </c>
      <c r="L35" s="6"/>
      <c r="M35" s="6">
        <v>41</v>
      </c>
      <c r="N35" s="6">
        <v>1.0000000000000001E+50</v>
      </c>
      <c r="O35" s="6">
        <v>3.6900000000000005E+48</v>
      </c>
      <c r="P35" s="6">
        <v>7.380000000000001E+48</v>
      </c>
      <c r="Q35" s="6">
        <v>6.3475667727089575E-59</v>
      </c>
      <c r="R35" s="6" t="s">
        <v>41</v>
      </c>
      <c r="S35" s="6">
        <v>6.3475667727089583E-9</v>
      </c>
      <c r="T35" s="6" t="s">
        <v>41</v>
      </c>
      <c r="U35" s="6">
        <v>2000</v>
      </c>
      <c r="V35" s="6" t="s">
        <v>41</v>
      </c>
      <c r="W35" s="6">
        <v>0.51226836595833014</v>
      </c>
    </row>
    <row r="37" spans="4:23" x14ac:dyDescent="0.2">
      <c r="D37" s="6" t="s">
        <v>46</v>
      </c>
      <c r="E37" s="6"/>
      <c r="F37" s="6"/>
      <c r="G37" s="6" t="s">
        <v>49</v>
      </c>
      <c r="H37" s="6"/>
    </row>
    <row r="38" spans="4:23" x14ac:dyDescent="0.2">
      <c r="D38" s="6" t="s">
        <v>34</v>
      </c>
      <c r="E38" s="6">
        <v>0</v>
      </c>
      <c r="F38" s="6"/>
      <c r="G38" s="6" t="s">
        <v>40</v>
      </c>
      <c r="H38" s="6">
        <v>0</v>
      </c>
    </row>
    <row r="39" spans="4:23" x14ac:dyDescent="0.2">
      <c r="D39" s="6"/>
      <c r="E39" s="6"/>
      <c r="F39" s="6"/>
      <c r="G39" s="6"/>
      <c r="H39" s="6"/>
    </row>
    <row r="40" spans="4:23" x14ac:dyDescent="0.2">
      <c r="D40" s="6" t="s">
        <v>47</v>
      </c>
      <c r="E40" s="6"/>
      <c r="F40" s="6"/>
      <c r="G40" s="6" t="s">
        <v>50</v>
      </c>
      <c r="H40" s="6"/>
    </row>
    <row r="41" spans="4:23" x14ac:dyDescent="0.2">
      <c r="D41" s="6" t="s">
        <v>35</v>
      </c>
      <c r="E41" s="6">
        <v>0</v>
      </c>
      <c r="F41" s="6"/>
      <c r="G41" s="6" t="s">
        <v>53</v>
      </c>
      <c r="H41" s="6">
        <f>(W35*F35)</f>
        <v>2.0490734638333206</v>
      </c>
    </row>
    <row r="42" spans="4:23" x14ac:dyDescent="0.2">
      <c r="D42" s="6"/>
      <c r="E42" s="6"/>
      <c r="F42" s="6"/>
      <c r="G42" s="6"/>
      <c r="H42" s="6"/>
    </row>
    <row r="43" spans="4:23" x14ac:dyDescent="0.2">
      <c r="D43" s="6" t="s">
        <v>48</v>
      </c>
      <c r="E43" s="6"/>
      <c r="F43" s="6"/>
      <c r="G43" s="6" t="s">
        <v>54</v>
      </c>
      <c r="H43" s="6"/>
    </row>
    <row r="44" spans="4:23" x14ac:dyDescent="0.2">
      <c r="D44" s="6" t="s">
        <v>36</v>
      </c>
      <c r="E44" s="6">
        <v>0</v>
      </c>
      <c r="F44" s="6"/>
      <c r="G44" s="6" t="s">
        <v>55</v>
      </c>
      <c r="H44" s="6" t="s">
        <v>73</v>
      </c>
    </row>
    <row r="45" spans="4:23" x14ac:dyDescent="0.2">
      <c r="D45" s="6" t="s">
        <v>16</v>
      </c>
      <c r="E45" s="6"/>
      <c r="F45" s="6"/>
      <c r="G45" s="6"/>
      <c r="H45" s="6"/>
    </row>
    <row r="46" spans="4:23" x14ac:dyDescent="0.2">
      <c r="D46" s="6" t="s">
        <v>62</v>
      </c>
      <c r="E46" s="6">
        <f>F34*L34*40*18</f>
        <v>3009.6</v>
      </c>
      <c r="F46" s="6"/>
      <c r="G46" s="6" t="s">
        <v>56</v>
      </c>
      <c r="H46" s="6"/>
    </row>
    <row r="47" spans="4:23" x14ac:dyDescent="0.2">
      <c r="D47" s="6" t="s">
        <v>63</v>
      </c>
      <c r="E47" s="6">
        <f>(100-20)*6</f>
        <v>480</v>
      </c>
      <c r="F47" s="6"/>
      <c r="G47" s="6" t="s">
        <v>57</v>
      </c>
      <c r="H47" s="6">
        <f>LOG(I35)</f>
        <v>0.47712125471966244</v>
      </c>
    </row>
    <row r="48" spans="4:23" x14ac:dyDescent="0.2">
      <c r="D48" s="6" t="s">
        <v>64</v>
      </c>
      <c r="E48" s="6">
        <f>(680*9.75)</f>
        <v>6630</v>
      </c>
      <c r="F48" s="6"/>
      <c r="G48" s="6"/>
      <c r="H48" s="6"/>
    </row>
    <row r="49" spans="4:22" x14ac:dyDescent="0.2">
      <c r="D49" s="6" t="s">
        <v>38</v>
      </c>
      <c r="E49" s="7">
        <f>(E46*B11)+(E47*B11)+(E48*B11)</f>
        <v>425.02320000000003</v>
      </c>
      <c r="F49" s="6"/>
      <c r="G49" s="6" t="s">
        <v>58</v>
      </c>
      <c r="H49" s="6"/>
    </row>
    <row r="50" spans="4:22" x14ac:dyDescent="0.2">
      <c r="D50" s="6" t="s">
        <v>39</v>
      </c>
      <c r="E50" s="6">
        <f>E44+E49</f>
        <v>425.02320000000003</v>
      </c>
      <c r="F50" s="6"/>
      <c r="G50" s="6" t="s">
        <v>59</v>
      </c>
      <c r="H50" s="6">
        <v>0</v>
      </c>
    </row>
    <row r="52" spans="4:22" x14ac:dyDescent="0.2">
      <c r="D52" s="21" t="s">
        <v>65</v>
      </c>
      <c r="E52" s="8"/>
    </row>
    <row r="53" spans="4:22" x14ac:dyDescent="0.2">
      <c r="D53" s="8" t="s">
        <v>77</v>
      </c>
      <c r="E53" s="8" t="s">
        <v>81</v>
      </c>
      <c r="F53" s="8" t="s">
        <v>82</v>
      </c>
      <c r="G53" s="8"/>
    </row>
    <row r="54" spans="4:22" x14ac:dyDescent="0.2">
      <c r="D54" s="8" t="s">
        <v>78</v>
      </c>
      <c r="E54" s="8" t="s">
        <v>81</v>
      </c>
    </row>
    <row r="55" spans="4:22" x14ac:dyDescent="0.2">
      <c r="D55" s="8" t="s">
        <v>79</v>
      </c>
      <c r="E55" s="8" t="s">
        <v>81</v>
      </c>
    </row>
    <row r="57" spans="4:22" x14ac:dyDescent="0.2">
      <c r="D57" s="8" t="s">
        <v>27</v>
      </c>
      <c r="E57" s="8" t="s">
        <v>31</v>
      </c>
      <c r="F57" s="8" t="s">
        <v>22</v>
      </c>
      <c r="G57" s="8" t="s">
        <v>1</v>
      </c>
      <c r="H57" s="8" t="s">
        <v>32</v>
      </c>
      <c r="I57" s="8" t="s">
        <v>3</v>
      </c>
      <c r="J57" s="8" t="s">
        <v>33</v>
      </c>
      <c r="K57" s="8" t="s">
        <v>37</v>
      </c>
      <c r="L57" s="8" t="s">
        <v>23</v>
      </c>
      <c r="M57" s="8" t="s">
        <v>2</v>
      </c>
      <c r="N57" s="8" t="s">
        <v>4</v>
      </c>
      <c r="O57" s="8" t="s">
        <v>5</v>
      </c>
      <c r="P57" s="8" t="s">
        <v>6</v>
      </c>
      <c r="Q57" s="8" t="s">
        <v>24</v>
      </c>
      <c r="R57" s="8" t="s">
        <v>25</v>
      </c>
      <c r="S57" s="8" t="s">
        <v>42</v>
      </c>
      <c r="T57" s="8" t="s">
        <v>43</v>
      </c>
      <c r="U57" s="8" t="s">
        <v>52</v>
      </c>
      <c r="V57" s="8" t="s">
        <v>51</v>
      </c>
    </row>
    <row r="58" spans="4:22" x14ac:dyDescent="0.2">
      <c r="D58" s="8" t="s">
        <v>28</v>
      </c>
      <c r="E58" s="8">
        <v>2000</v>
      </c>
      <c r="F58" s="8">
        <v>18.02</v>
      </c>
      <c r="G58" s="8"/>
      <c r="H58" s="8"/>
      <c r="I58" s="8"/>
      <c r="J58" s="8">
        <v>0</v>
      </c>
      <c r="K58" s="8">
        <v>4.1799999999999997E-3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4:22" x14ac:dyDescent="0.2">
      <c r="D59" s="8"/>
      <c r="E59" s="8">
        <v>1000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4:22" x14ac:dyDescent="0.2">
      <c r="D60" s="8"/>
      <c r="E60" s="8">
        <v>500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4:22" x14ac:dyDescent="0.2">
      <c r="D61" s="8"/>
      <c r="E61" s="8">
        <v>100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4:22" x14ac:dyDescent="0.2">
      <c r="D62" s="8" t="s">
        <v>0</v>
      </c>
      <c r="E62" s="8">
        <v>7.85</v>
      </c>
      <c r="F62" s="8">
        <v>58.08</v>
      </c>
      <c r="G62" s="9">
        <v>3.9700000000000003E-5</v>
      </c>
      <c r="H62" s="8">
        <v>0.57499999999999996</v>
      </c>
      <c r="I62" s="8">
        <v>5.37</v>
      </c>
      <c r="J62" s="8">
        <f>0.56/3.1</f>
        <v>0.1806451612903226</v>
      </c>
      <c r="K62" s="8">
        <v>2.14E-3</v>
      </c>
      <c r="L62" s="8">
        <f>41</f>
        <v>41</v>
      </c>
      <c r="M62" s="9">
        <f>1/G62</f>
        <v>25188.916876574305</v>
      </c>
      <c r="N62" s="9">
        <f>(I62*B7*B9)/G62</f>
        <v>4057.9345088161203</v>
      </c>
      <c r="O62" s="9">
        <f>(I62*B8*B10)/G62</f>
        <v>8115.8690176322407</v>
      </c>
      <c r="P62" s="9">
        <f>1000/(F62*((L62*B3)+(M62*B4)+(N62*B5)+(O62*B6)))</f>
        <v>2.9355510393954656E-11</v>
      </c>
      <c r="Q62" s="9">
        <f>(P62*L62)</f>
        <v>1.2035759261521408E-9</v>
      </c>
      <c r="R62" s="9">
        <f>N62*P62</f>
        <v>1.191227386515389E-7</v>
      </c>
      <c r="S62" s="8">
        <v>76</v>
      </c>
      <c r="T62" s="8">
        <v>5800</v>
      </c>
      <c r="U62" s="9">
        <f>(Q62/S62)/(B25/49)</f>
        <v>0.71690310346587582</v>
      </c>
      <c r="V62" s="9">
        <f>(R62/T62)/(B26/B18)</f>
        <v>3.3150259403264588</v>
      </c>
    </row>
    <row r="63" spans="4:22" x14ac:dyDescent="0.2">
      <c r="D63" s="8" t="s">
        <v>66</v>
      </c>
      <c r="E63" s="8">
        <v>10</v>
      </c>
      <c r="F63" s="8">
        <v>40</v>
      </c>
      <c r="G63" s="9">
        <v>1E-50</v>
      </c>
      <c r="H63" s="8"/>
      <c r="I63" s="8">
        <v>0</v>
      </c>
      <c r="J63" s="8">
        <v>0</v>
      </c>
      <c r="K63" s="8"/>
      <c r="L63" s="8">
        <v>41</v>
      </c>
      <c r="M63" s="9">
        <f>1/G63</f>
        <v>1.0000000000000001E+50</v>
      </c>
      <c r="N63" s="8">
        <f>I63</f>
        <v>0</v>
      </c>
      <c r="O63" s="8">
        <f>I63</f>
        <v>0</v>
      </c>
      <c r="P63" s="9">
        <f>1000/(F63*((L63*B3)+(M63*B4)))</f>
        <v>3.5714285714285709E-56</v>
      </c>
      <c r="Q63" s="9">
        <f>L63*P63</f>
        <v>1.464285714285714E-54</v>
      </c>
      <c r="R63" s="9">
        <f>P63*M63</f>
        <v>3.5714285714285714E-6</v>
      </c>
      <c r="S63" s="8" t="s">
        <v>41</v>
      </c>
      <c r="T63" s="8">
        <v>340</v>
      </c>
      <c r="U63" s="8" t="s">
        <v>41</v>
      </c>
      <c r="V63" s="9">
        <f>(R63/T63)/($B$26/$B$18)</f>
        <v>1695.4434426085718</v>
      </c>
    </row>
    <row r="64" spans="4:22" x14ac:dyDescent="0.2">
      <c r="D64" s="8"/>
      <c r="E64" s="8">
        <v>8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6" spans="4:8" x14ac:dyDescent="0.2">
      <c r="D66" s="8" t="s">
        <v>46</v>
      </c>
      <c r="E66" s="8"/>
      <c r="F66" s="8"/>
      <c r="G66" s="8" t="s">
        <v>49</v>
      </c>
      <c r="H66" s="8"/>
    </row>
    <row r="67" spans="4:8" x14ac:dyDescent="0.2">
      <c r="D67" s="8" t="s">
        <v>34</v>
      </c>
      <c r="E67" s="8">
        <v>0</v>
      </c>
      <c r="F67" s="8"/>
      <c r="G67" s="8" t="s">
        <v>40</v>
      </c>
      <c r="H67" s="9">
        <f>U62*E62</f>
        <v>5.6276893622071249</v>
      </c>
    </row>
    <row r="68" spans="4:8" x14ac:dyDescent="0.2">
      <c r="D68" s="8"/>
      <c r="E68" s="8"/>
      <c r="F68" s="8"/>
      <c r="G68" s="8"/>
      <c r="H68" s="8"/>
    </row>
    <row r="69" spans="4:8" x14ac:dyDescent="0.2">
      <c r="D69" s="8" t="s">
        <v>47</v>
      </c>
      <c r="E69" s="8"/>
      <c r="F69" s="8"/>
      <c r="G69" s="8" t="s">
        <v>50</v>
      </c>
      <c r="H69" s="8"/>
    </row>
    <row r="70" spans="4:8" x14ac:dyDescent="0.2">
      <c r="D70" s="8" t="s">
        <v>35</v>
      </c>
      <c r="E70" s="8">
        <f>E62*J62</f>
        <v>1.4180645161290324</v>
      </c>
      <c r="F70" s="8"/>
      <c r="G70" s="8" t="s">
        <v>53</v>
      </c>
      <c r="H70" s="9">
        <f>((E63+E64)*T63) + (E62*T62)</f>
        <v>51650</v>
      </c>
    </row>
    <row r="71" spans="4:8" x14ac:dyDescent="0.2">
      <c r="D71" s="8"/>
      <c r="E71" s="8"/>
      <c r="F71" s="8"/>
      <c r="G71" s="8"/>
      <c r="H71" s="8"/>
    </row>
    <row r="72" spans="4:8" x14ac:dyDescent="0.2">
      <c r="D72" s="8" t="s">
        <v>48</v>
      </c>
      <c r="E72" s="8"/>
      <c r="F72" s="8"/>
      <c r="G72" s="8" t="s">
        <v>54</v>
      </c>
      <c r="H72" s="8"/>
    </row>
    <row r="73" spans="4:8" x14ac:dyDescent="0.2">
      <c r="D73" s="8" t="s">
        <v>36</v>
      </c>
      <c r="E73" s="8">
        <v>0</v>
      </c>
      <c r="F73" s="8"/>
      <c r="G73" s="8" t="s">
        <v>55</v>
      </c>
      <c r="H73" s="8" t="s">
        <v>72</v>
      </c>
    </row>
    <row r="74" spans="4:8" x14ac:dyDescent="0.2">
      <c r="D74" s="8" t="s">
        <v>16</v>
      </c>
      <c r="E74" s="8"/>
      <c r="F74" s="8"/>
      <c r="G74" s="8"/>
      <c r="H74" s="8"/>
    </row>
    <row r="75" spans="4:8" x14ac:dyDescent="0.2">
      <c r="D75" s="8" t="s">
        <v>44</v>
      </c>
      <c r="E75" s="8">
        <f>E58*K58*180*6</f>
        <v>9028.7999999999993</v>
      </c>
      <c r="F75" s="8"/>
      <c r="G75" s="8" t="s">
        <v>56</v>
      </c>
      <c r="H75" s="8"/>
    </row>
    <row r="76" spans="4:8" x14ac:dyDescent="0.2">
      <c r="D76" s="8" t="s">
        <v>67</v>
      </c>
      <c r="E76" s="8">
        <f>E59*K58*80*8</f>
        <v>2675.2</v>
      </c>
      <c r="F76" s="8"/>
      <c r="G76" s="8" t="s">
        <v>57</v>
      </c>
      <c r="H76" s="8">
        <f>LOG(H62)</f>
        <v>-0.24033215531036956</v>
      </c>
    </row>
    <row r="77" spans="4:8" x14ac:dyDescent="0.2">
      <c r="D77" s="8" t="s">
        <v>68</v>
      </c>
      <c r="E77" s="8">
        <f>E60*K58*80*2</f>
        <v>334.4</v>
      </c>
      <c r="F77" s="8"/>
      <c r="G77" s="8"/>
      <c r="H77" s="8"/>
    </row>
    <row r="78" spans="4:8" x14ac:dyDescent="0.2">
      <c r="D78" s="8" t="s">
        <v>69</v>
      </c>
      <c r="E78" s="8">
        <f>80*6</f>
        <v>480</v>
      </c>
      <c r="F78" s="8"/>
      <c r="G78" s="8" t="s">
        <v>58</v>
      </c>
      <c r="H78" s="8"/>
    </row>
    <row r="79" spans="4:8" x14ac:dyDescent="0.2">
      <c r="D79" s="8" t="s">
        <v>70</v>
      </c>
      <c r="E79" s="8">
        <f>E61*K58*180*2</f>
        <v>150.47999999999999</v>
      </c>
      <c r="F79" s="8"/>
      <c r="G79" s="8" t="s">
        <v>59</v>
      </c>
      <c r="H79" s="8">
        <v>0</v>
      </c>
    </row>
    <row r="80" spans="4:8" x14ac:dyDescent="0.2">
      <c r="D80" s="8" t="s">
        <v>71</v>
      </c>
      <c r="E80" s="8">
        <f>80*6</f>
        <v>480</v>
      </c>
      <c r="F80" s="8"/>
      <c r="G80" s="8"/>
      <c r="H80" s="8"/>
    </row>
    <row r="81" spans="4:23" x14ac:dyDescent="0.2">
      <c r="D81" s="8" t="s">
        <v>38</v>
      </c>
      <c r="E81" s="9">
        <f>(E75*B11) + (E76*B11) + (E77*B11) + (E78*B11) + (E79*B11) + (E80*B11)</f>
        <v>552.25295999999992</v>
      </c>
      <c r="F81" s="8"/>
      <c r="G81" s="8"/>
      <c r="H81" s="8"/>
    </row>
    <row r="82" spans="4:23" x14ac:dyDescent="0.2">
      <c r="D82" s="8" t="s">
        <v>39</v>
      </c>
      <c r="E82" s="9">
        <f>E73+E81</f>
        <v>552.25295999999992</v>
      </c>
      <c r="F82" s="8"/>
      <c r="G82" s="8"/>
      <c r="H82" s="8"/>
    </row>
    <row r="84" spans="4:23" x14ac:dyDescent="0.2">
      <c r="D84" s="22" t="s">
        <v>74</v>
      </c>
    </row>
    <row r="85" spans="4:23" x14ac:dyDescent="0.2">
      <c r="D85" s="13" t="s">
        <v>77</v>
      </c>
      <c r="E85" s="13">
        <v>1000</v>
      </c>
    </row>
    <row r="86" spans="4:23" x14ac:dyDescent="0.2">
      <c r="D86" s="13" t="s">
        <v>78</v>
      </c>
      <c r="E86" s="13">
        <v>1000</v>
      </c>
    </row>
    <row r="87" spans="4:23" x14ac:dyDescent="0.2">
      <c r="D87" s="13" t="s">
        <v>79</v>
      </c>
      <c r="E87" s="13">
        <f>E86/E85</f>
        <v>1</v>
      </c>
      <c r="W87" s="15"/>
    </row>
    <row r="88" spans="4:23" x14ac:dyDescent="0.2">
      <c r="W88" s="15"/>
    </row>
    <row r="89" spans="4:23" x14ac:dyDescent="0.2">
      <c r="W89" s="16"/>
    </row>
    <row r="90" spans="4:23" x14ac:dyDescent="0.2">
      <c r="D90" s="10" t="s">
        <v>27</v>
      </c>
      <c r="E90" s="10" t="s">
        <v>31</v>
      </c>
      <c r="F90" s="10" t="s">
        <v>80</v>
      </c>
      <c r="G90" s="10" t="s">
        <v>22</v>
      </c>
      <c r="H90" s="10" t="s">
        <v>1</v>
      </c>
      <c r="I90" s="10" t="s">
        <v>32</v>
      </c>
      <c r="J90" s="10" t="s">
        <v>3</v>
      </c>
      <c r="K90" s="10" t="s">
        <v>33</v>
      </c>
      <c r="L90" s="10" t="s">
        <v>37</v>
      </c>
      <c r="M90" s="10" t="s">
        <v>23</v>
      </c>
      <c r="N90" s="10" t="s">
        <v>2</v>
      </c>
      <c r="O90" s="10" t="s">
        <v>4</v>
      </c>
      <c r="P90" s="10" t="s">
        <v>5</v>
      </c>
      <c r="Q90" s="10" t="s">
        <v>6</v>
      </c>
      <c r="R90" s="10" t="s">
        <v>24</v>
      </c>
      <c r="S90" s="10" t="s">
        <v>25</v>
      </c>
      <c r="T90" s="10" t="s">
        <v>42</v>
      </c>
      <c r="U90" s="10" t="s">
        <v>43</v>
      </c>
      <c r="V90" s="10" t="s">
        <v>52</v>
      </c>
      <c r="W90" s="14" t="s">
        <v>51</v>
      </c>
    </row>
    <row r="91" spans="4:23" x14ac:dyDescent="0.2">
      <c r="D91" s="10" t="s">
        <v>28</v>
      </c>
      <c r="E91" s="10">
        <v>1000</v>
      </c>
      <c r="F91" s="10">
        <f>E91*E87</f>
        <v>1000</v>
      </c>
      <c r="G91" s="10">
        <v>18.02</v>
      </c>
      <c r="H91" s="10"/>
      <c r="I91" s="10"/>
      <c r="J91" s="10"/>
      <c r="K91" s="10">
        <v>0</v>
      </c>
      <c r="L91" s="10">
        <v>4.1799999999999997E-3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1"/>
    </row>
    <row r="92" spans="4:23" x14ac:dyDescent="0.2">
      <c r="D92" s="10" t="s">
        <v>75</v>
      </c>
      <c r="E92" s="10">
        <v>40.5</v>
      </c>
      <c r="F92" s="10">
        <f>E92*E87</f>
        <v>40.5</v>
      </c>
      <c r="G92" s="10">
        <v>74.099999999999994</v>
      </c>
      <c r="H92" s="11">
        <v>8.7600000000000008E-6</v>
      </c>
      <c r="I92" s="10">
        <v>7.59</v>
      </c>
      <c r="J92" s="10">
        <v>3.5</v>
      </c>
      <c r="K92" s="10">
        <f>2.7/3.1</f>
        <v>0.87096774193548387</v>
      </c>
      <c r="L92" s="10">
        <v>2.3900000000000002E-3</v>
      </c>
      <c r="M92" s="10">
        <f>41</f>
        <v>41</v>
      </c>
      <c r="N92" s="11">
        <f>1/H92</f>
        <v>114155.25114155251</v>
      </c>
      <c r="O92" s="11">
        <f>(J92*B7*B9)/H92</f>
        <v>11986.301369863013</v>
      </c>
      <c r="P92" s="11">
        <f>(J92*B8*B10)/H92</f>
        <v>23972.602739726026</v>
      </c>
      <c r="Q92" s="11">
        <f>1000/(G92*((M92*B3)+(N92*B4)+(O92*B5)+(B6*P92)))</f>
        <v>1.1156126101154776E-11</v>
      </c>
      <c r="R92" s="11">
        <f>(Q92*M92)</f>
        <v>4.5740117014734582E-10</v>
      </c>
      <c r="S92" s="11">
        <f>Q92*N92</f>
        <v>1.2735303768441524E-6</v>
      </c>
      <c r="T92" s="10">
        <v>8000</v>
      </c>
      <c r="U92" s="10">
        <f>500</f>
        <v>500</v>
      </c>
      <c r="V92" s="11">
        <f>(R92/T92)/(B25/B19)</f>
        <v>2.588259666202393E-3</v>
      </c>
      <c r="W92" s="14">
        <f>(S92/U92)/(B26/B18)</f>
        <v>411.11143750336919</v>
      </c>
    </row>
    <row r="93" spans="4:23" x14ac:dyDescent="0.2">
      <c r="D93" s="10" t="s">
        <v>76</v>
      </c>
      <c r="E93" s="13">
        <v>250</v>
      </c>
      <c r="F93" s="13">
        <f>E87*E93</f>
        <v>250</v>
      </c>
      <c r="G93" s="13">
        <v>40</v>
      </c>
      <c r="H93" s="14">
        <v>1E-50</v>
      </c>
      <c r="I93" s="13"/>
      <c r="J93" s="13">
        <v>0</v>
      </c>
      <c r="K93" s="13">
        <v>0</v>
      </c>
      <c r="L93" s="13"/>
      <c r="M93" s="13">
        <v>41</v>
      </c>
      <c r="N93" s="14">
        <f>1/H93</f>
        <v>1.0000000000000001E+50</v>
      </c>
      <c r="O93" s="13">
        <f>J93</f>
        <v>0</v>
      </c>
      <c r="P93" s="13">
        <f>J93</f>
        <v>0</v>
      </c>
      <c r="Q93" s="14">
        <f>1000/(G93*((M93*B3)+(N93*B4)))</f>
        <v>3.5714285714285709E-56</v>
      </c>
      <c r="R93" s="14">
        <f>M93*Q93</f>
        <v>1.464285714285714E-54</v>
      </c>
      <c r="S93" s="14">
        <f>Q93*N93</f>
        <v>3.5714285714285714E-6</v>
      </c>
      <c r="T93" s="13" t="s">
        <v>41</v>
      </c>
      <c r="U93" s="13">
        <v>340</v>
      </c>
      <c r="V93" s="13" t="s">
        <v>41</v>
      </c>
      <c r="W93" s="14">
        <f>(S93/U93)/(B26/B18)</f>
        <v>1695.4434426085718</v>
      </c>
    </row>
    <row r="94" spans="4:23" x14ac:dyDescent="0.2">
      <c r="D94" s="10" t="s">
        <v>0</v>
      </c>
      <c r="E94" s="10">
        <v>78.400000000000006</v>
      </c>
      <c r="F94" s="10">
        <f>E94*E87</f>
        <v>78.400000000000006</v>
      </c>
      <c r="G94" s="10">
        <v>58.08</v>
      </c>
      <c r="H94" s="10">
        <v>3.9700000000000003E-5</v>
      </c>
      <c r="I94" s="10">
        <v>0.57499999999999996</v>
      </c>
      <c r="J94" s="10">
        <v>5.37</v>
      </c>
      <c r="K94" s="10">
        <f>0.56/3.1</f>
        <v>0.1806451612903226</v>
      </c>
      <c r="L94" s="10">
        <v>2.14E-3</v>
      </c>
      <c r="M94" s="10">
        <f>41</f>
        <v>41</v>
      </c>
      <c r="N94" s="10">
        <f>1/H94</f>
        <v>25188.916876574305</v>
      </c>
      <c r="O94" s="11">
        <f>(J94*B7*B9)/H94</f>
        <v>4057.9345088161203</v>
      </c>
      <c r="P94" s="11">
        <f>(J94*B8*B10)/H94</f>
        <v>8115.8690176322407</v>
      </c>
      <c r="Q94" s="11">
        <f>1000/(G94*((M94*$B$3)+(N94*$B$4)+(O94*$B$5)+(P94*$B$6)))</f>
        <v>2.9355510393954656E-11</v>
      </c>
      <c r="R94" s="10">
        <f>(Q94*M94)</f>
        <v>1.2035759261521408E-9</v>
      </c>
      <c r="S94" s="10">
        <f>O94*Q94</f>
        <v>1.191227386515389E-7</v>
      </c>
      <c r="T94" s="10">
        <v>76</v>
      </c>
      <c r="U94" s="10">
        <v>5800</v>
      </c>
      <c r="V94" s="11">
        <f>(R94/T94)/($B$25/$B$19)</f>
        <v>0.71690310346587582</v>
      </c>
      <c r="W94" s="14">
        <f>(S94/U94)/($B$26/$B$18)</f>
        <v>3.3150259403264588</v>
      </c>
    </row>
    <row r="96" spans="4:23" x14ac:dyDescent="0.2">
      <c r="D96" s="13" t="s">
        <v>46</v>
      </c>
      <c r="E96" s="13"/>
      <c r="F96" s="13"/>
      <c r="G96" s="13" t="s">
        <v>49</v>
      </c>
      <c r="H96" s="13"/>
    </row>
    <row r="97" spans="4:8" x14ac:dyDescent="0.2">
      <c r="D97" s="13" t="s">
        <v>34</v>
      </c>
      <c r="E97" s="13">
        <v>0</v>
      </c>
      <c r="F97" s="13"/>
      <c r="G97" s="13" t="s">
        <v>40</v>
      </c>
      <c r="H97" s="14">
        <f>(F92*V92)+(F94*V94)</f>
        <v>56.310027828205861</v>
      </c>
    </row>
    <row r="98" spans="4:8" x14ac:dyDescent="0.2">
      <c r="D98" s="13"/>
      <c r="E98" s="13"/>
      <c r="F98" s="13"/>
      <c r="G98" s="13"/>
      <c r="H98" s="13"/>
    </row>
    <row r="99" spans="4:8" x14ac:dyDescent="0.2">
      <c r="D99" s="13" t="s">
        <v>47</v>
      </c>
      <c r="E99" s="13"/>
      <c r="F99" s="13"/>
      <c r="G99" s="13" t="s">
        <v>50</v>
      </c>
      <c r="H99" s="13"/>
    </row>
    <row r="100" spans="4:8" x14ac:dyDescent="0.2">
      <c r="D100" s="13" t="s">
        <v>35</v>
      </c>
      <c r="E100" s="13">
        <f>(E92*K92)+(E94*K94)</f>
        <v>49.436774193548388</v>
      </c>
      <c r="F100" s="13"/>
      <c r="G100" s="13" t="s">
        <v>53</v>
      </c>
      <c r="H100" s="13">
        <f>(F92*W92)+(F93*W93)+(F94*W94)</f>
        <v>440770.77190475102</v>
      </c>
    </row>
    <row r="101" spans="4:8" x14ac:dyDescent="0.2">
      <c r="D101" s="13"/>
      <c r="E101" s="13"/>
      <c r="F101" s="13"/>
      <c r="G101" s="13"/>
      <c r="H101" s="13"/>
    </row>
    <row r="102" spans="4:8" x14ac:dyDescent="0.2">
      <c r="D102" s="13" t="s">
        <v>48</v>
      </c>
      <c r="E102" s="13"/>
      <c r="F102" s="13"/>
      <c r="G102" s="13" t="s">
        <v>54</v>
      </c>
      <c r="H102" s="13"/>
    </row>
    <row r="103" spans="4:8" x14ac:dyDescent="0.2">
      <c r="D103" s="13" t="s">
        <v>36</v>
      </c>
      <c r="E103" s="13">
        <v>0</v>
      </c>
      <c r="F103" s="13"/>
      <c r="G103" s="13" t="s">
        <v>55</v>
      </c>
      <c r="H103" s="13" t="s">
        <v>72</v>
      </c>
    </row>
    <row r="104" spans="4:8" x14ac:dyDescent="0.2">
      <c r="D104" s="13" t="s">
        <v>16</v>
      </c>
      <c r="E104" s="13"/>
      <c r="F104" s="13"/>
      <c r="G104" s="13"/>
      <c r="H104" s="13"/>
    </row>
    <row r="105" spans="4:8" x14ac:dyDescent="0.2">
      <c r="D105" s="13" t="s">
        <v>44</v>
      </c>
      <c r="E105" s="13">
        <f>E91*L91*130*1</f>
        <v>543.4</v>
      </c>
      <c r="F105" s="13"/>
      <c r="G105" s="13" t="s">
        <v>56</v>
      </c>
      <c r="H105" s="13"/>
    </row>
    <row r="106" spans="4:8" x14ac:dyDescent="0.2">
      <c r="D106" s="13" t="s">
        <v>63</v>
      </c>
      <c r="E106" s="13">
        <f>10*60</f>
        <v>600</v>
      </c>
      <c r="F106" s="13"/>
      <c r="G106" s="13" t="s">
        <v>57</v>
      </c>
      <c r="H106" s="13">
        <f>LOG(I92+I94)</f>
        <v>0.91195618907268694</v>
      </c>
    </row>
    <row r="107" spans="4:8" x14ac:dyDescent="0.2">
      <c r="D107" s="13" t="s">
        <v>64</v>
      </c>
      <c r="E107" s="13">
        <f>(900*(12+(880/15*2)))</f>
        <v>116399.99999999999</v>
      </c>
      <c r="F107" s="13"/>
      <c r="G107" s="13"/>
      <c r="H107" s="13"/>
    </row>
    <row r="108" spans="4:8" x14ac:dyDescent="0.2">
      <c r="D108" s="13" t="s">
        <v>71</v>
      </c>
      <c r="E108" s="13">
        <f>80*6</f>
        <v>480</v>
      </c>
      <c r="F108" s="13"/>
      <c r="G108" s="13" t="s">
        <v>58</v>
      </c>
      <c r="H108" s="13"/>
    </row>
    <row r="109" spans="4:8" x14ac:dyDescent="0.2">
      <c r="D109" s="13" t="s">
        <v>38</v>
      </c>
      <c r="E109" s="14">
        <f>(E105*B11)+(E106*B11)+(E107*B11)+(E108*B11)</f>
        <v>4956.9827999999989</v>
      </c>
      <c r="F109" s="13"/>
      <c r="G109" s="13" t="s">
        <v>59</v>
      </c>
      <c r="H109" s="13">
        <v>0</v>
      </c>
    </row>
    <row r="110" spans="4:8" x14ac:dyDescent="0.2">
      <c r="D110" s="13" t="s">
        <v>39</v>
      </c>
      <c r="E110" s="14">
        <f>E103+E109</f>
        <v>4956.9827999999989</v>
      </c>
      <c r="F110" s="13"/>
      <c r="G110" s="13"/>
      <c r="H110" s="13"/>
    </row>
    <row r="112" spans="4:8" x14ac:dyDescent="0.2">
      <c r="D112" s="23" t="s">
        <v>83</v>
      </c>
    </row>
    <row r="113" spans="4:23" x14ac:dyDescent="0.2">
      <c r="D113" s="17" t="s">
        <v>77</v>
      </c>
      <c r="E113" s="17">
        <v>1000</v>
      </c>
    </row>
    <row r="114" spans="4:23" x14ac:dyDescent="0.2">
      <c r="D114" s="17" t="s">
        <v>78</v>
      </c>
      <c r="E114" s="17">
        <v>1000</v>
      </c>
    </row>
    <row r="115" spans="4:23" x14ac:dyDescent="0.2">
      <c r="D115" s="17" t="s">
        <v>79</v>
      </c>
      <c r="E115" s="17">
        <f>E114/E113</f>
        <v>1</v>
      </c>
    </row>
    <row r="117" spans="4:23" x14ac:dyDescent="0.2">
      <c r="D117" s="17" t="s">
        <v>27</v>
      </c>
      <c r="E117" s="17" t="s">
        <v>31</v>
      </c>
      <c r="F117" s="17" t="s">
        <v>80</v>
      </c>
      <c r="G117" s="17" t="s">
        <v>22</v>
      </c>
      <c r="H117" s="17" t="s">
        <v>1</v>
      </c>
      <c r="I117" s="17" t="s">
        <v>32</v>
      </c>
      <c r="J117" s="17" t="s">
        <v>3</v>
      </c>
      <c r="K117" s="17" t="s">
        <v>33</v>
      </c>
      <c r="L117" s="17" t="s">
        <v>37</v>
      </c>
      <c r="M117" s="17" t="s">
        <v>23</v>
      </c>
      <c r="N117" s="17" t="s">
        <v>2</v>
      </c>
      <c r="O117" s="17" t="s">
        <v>4</v>
      </c>
      <c r="P117" s="17" t="s">
        <v>5</v>
      </c>
      <c r="Q117" s="17" t="s">
        <v>6</v>
      </c>
      <c r="R117" s="17" t="s">
        <v>24</v>
      </c>
      <c r="S117" s="17" t="s">
        <v>25</v>
      </c>
      <c r="T117" s="17" t="s">
        <v>42</v>
      </c>
      <c r="U117" s="17" t="s">
        <v>43</v>
      </c>
      <c r="V117" s="17" t="s">
        <v>52</v>
      </c>
      <c r="W117" s="17" t="s">
        <v>51</v>
      </c>
    </row>
    <row r="118" spans="4:23" x14ac:dyDescent="0.2">
      <c r="D118" s="17" t="s">
        <v>84</v>
      </c>
      <c r="E118" s="17">
        <f>40*5</f>
        <v>200</v>
      </c>
      <c r="F118" s="17">
        <f>E118*E115</f>
        <v>200</v>
      </c>
      <c r="G118" s="17">
        <f>40</f>
        <v>40</v>
      </c>
      <c r="H118" s="18">
        <v>1E-50</v>
      </c>
      <c r="I118" s="17"/>
      <c r="J118" s="17">
        <v>0</v>
      </c>
      <c r="K118" s="17">
        <v>0</v>
      </c>
      <c r="L118" s="17"/>
      <c r="M118" s="17">
        <v>41</v>
      </c>
      <c r="N118" s="18">
        <f>1/H118</f>
        <v>1.0000000000000001E+50</v>
      </c>
      <c r="O118" s="17">
        <f>J118</f>
        <v>0</v>
      </c>
      <c r="P118" s="17">
        <f>J118</f>
        <v>0</v>
      </c>
      <c r="Q118" s="18">
        <f>1000/(G118*((M118*B3)+(N118*B4)))</f>
        <v>3.5714285714285709E-56</v>
      </c>
      <c r="R118" s="18">
        <f>M118*Q118</f>
        <v>1.464285714285714E-54</v>
      </c>
      <c r="S118" s="17">
        <f>Q118*N118</f>
        <v>3.5714285714285714E-6</v>
      </c>
      <c r="T118" s="17" t="s">
        <v>41</v>
      </c>
      <c r="U118" s="17">
        <v>340</v>
      </c>
      <c r="V118" s="17" t="s">
        <v>41</v>
      </c>
      <c r="W118" s="17">
        <f>(S118/U118)/($B$26/$B$18)</f>
        <v>1695.4434426085718</v>
      </c>
    </row>
    <row r="119" spans="4:23" x14ac:dyDescent="0.2">
      <c r="D119" s="17" t="s">
        <v>85</v>
      </c>
      <c r="E119" s="17">
        <f>0.3*500</f>
        <v>150</v>
      </c>
      <c r="F119" s="17">
        <f>E119*E115</f>
        <v>150</v>
      </c>
      <c r="G119" s="17">
        <f>34</f>
        <v>34</v>
      </c>
      <c r="H119" s="18">
        <v>1.0800000000000001E-8</v>
      </c>
      <c r="I119" s="17">
        <v>2.7E-2</v>
      </c>
      <c r="J119" s="17">
        <v>5.37</v>
      </c>
      <c r="K119" s="17">
        <v>0</v>
      </c>
      <c r="L119" s="17"/>
      <c r="M119" s="17">
        <f>41</f>
        <v>41</v>
      </c>
      <c r="N119" s="18">
        <f>1/H119</f>
        <v>92592592.592592582</v>
      </c>
      <c r="O119" s="18">
        <f>(J119*B7*B9)/B15</f>
        <v>24.044776119402982</v>
      </c>
      <c r="P119" s="18">
        <f>(B8*B10*J119)/H119</f>
        <v>29833333.333333328</v>
      </c>
      <c r="Q119" s="18">
        <f>1000/(G119*((M119*B3)+(B4*N119)+(O119*B5)+(P119*B6)))</f>
        <v>4.5307781787720307E-14</v>
      </c>
      <c r="R119" s="18">
        <f>M119*Q119</f>
        <v>1.8576190532965326E-12</v>
      </c>
      <c r="S119" s="18">
        <f>N119*Q119</f>
        <v>4.1951649803444727E-6</v>
      </c>
      <c r="T119" s="17">
        <v>2000</v>
      </c>
      <c r="U119" s="17">
        <v>910</v>
      </c>
      <c r="V119" s="18">
        <f>T119*R119</f>
        <v>3.7152381065930653E-9</v>
      </c>
      <c r="W119" s="18">
        <f>S119*U119</f>
        <v>3.8176001321134703E-3</v>
      </c>
    </row>
    <row r="121" spans="4:23" x14ac:dyDescent="0.2">
      <c r="D121" s="17" t="s">
        <v>46</v>
      </c>
      <c r="E121" s="17"/>
      <c r="F121" s="17"/>
      <c r="G121" s="17" t="s">
        <v>49</v>
      </c>
      <c r="H121" s="17"/>
    </row>
    <row r="122" spans="4:23" x14ac:dyDescent="0.2">
      <c r="D122" s="17" t="s">
        <v>34</v>
      </c>
      <c r="E122" s="17">
        <v>0</v>
      </c>
      <c r="F122" s="17"/>
      <c r="G122" s="17" t="s">
        <v>40</v>
      </c>
      <c r="H122" s="18">
        <f>(F118*0)+(F119*V119)</f>
        <v>5.5728571598895978E-7</v>
      </c>
    </row>
    <row r="123" spans="4:23" x14ac:dyDescent="0.2">
      <c r="D123" s="17"/>
      <c r="E123" s="17"/>
      <c r="F123" s="17"/>
      <c r="G123" s="17"/>
      <c r="H123" s="17"/>
    </row>
    <row r="124" spans="4:23" x14ac:dyDescent="0.2">
      <c r="D124" s="17" t="s">
        <v>47</v>
      </c>
      <c r="E124" s="17"/>
      <c r="F124" s="17"/>
      <c r="G124" s="17" t="s">
        <v>50</v>
      </c>
      <c r="H124" s="17"/>
    </row>
    <row r="125" spans="4:23" x14ac:dyDescent="0.2">
      <c r="D125" s="17" t="s">
        <v>35</v>
      </c>
      <c r="E125" s="17">
        <f>0</f>
        <v>0</v>
      </c>
      <c r="F125" s="17"/>
      <c r="G125" s="17" t="s">
        <v>53</v>
      </c>
      <c r="H125" s="17">
        <f>(F118*W118)+(W119*F119)</f>
        <v>339089.26116173418</v>
      </c>
    </row>
    <row r="126" spans="4:23" x14ac:dyDescent="0.2">
      <c r="D126" s="17"/>
      <c r="E126" s="17"/>
      <c r="F126" s="17"/>
      <c r="G126" s="17"/>
      <c r="H126" s="17"/>
    </row>
    <row r="127" spans="4:23" x14ac:dyDescent="0.2">
      <c r="D127" s="17" t="s">
        <v>48</v>
      </c>
      <c r="E127" s="17"/>
      <c r="F127" s="17"/>
      <c r="G127" s="17" t="s">
        <v>54</v>
      </c>
      <c r="H127" s="17"/>
    </row>
    <row r="128" spans="4:23" x14ac:dyDescent="0.2">
      <c r="D128" s="17" t="s">
        <v>36</v>
      </c>
      <c r="E128" s="17">
        <v>0</v>
      </c>
      <c r="F128" s="17"/>
      <c r="G128" s="17" t="s">
        <v>55</v>
      </c>
      <c r="H128" s="17" t="s">
        <v>73</v>
      </c>
    </row>
    <row r="129" spans="4:8" x14ac:dyDescent="0.2">
      <c r="D129" s="17" t="s">
        <v>16</v>
      </c>
      <c r="E129" s="17"/>
      <c r="F129" s="17"/>
      <c r="G129" s="17"/>
      <c r="H129" s="17"/>
    </row>
    <row r="130" spans="4:8" x14ac:dyDescent="0.2">
      <c r="D130" s="17" t="s">
        <v>86</v>
      </c>
      <c r="E130" s="17">
        <f>780*10</f>
        <v>7800</v>
      </c>
      <c r="F130" s="17"/>
      <c r="G130" s="17" t="s">
        <v>56</v>
      </c>
      <c r="H130" s="17"/>
    </row>
    <row r="131" spans="4:8" x14ac:dyDescent="0.2">
      <c r="D131" s="17" t="s">
        <v>38</v>
      </c>
      <c r="E131" s="18">
        <f>E130*B11</f>
        <v>327.60000000000002</v>
      </c>
      <c r="F131" s="17"/>
      <c r="G131" s="17" t="s">
        <v>57</v>
      </c>
      <c r="H131" s="17">
        <f>LOG(I119)</f>
        <v>-1.5686362358410126</v>
      </c>
    </row>
    <row r="132" spans="4:8" x14ac:dyDescent="0.2">
      <c r="D132" s="17" t="s">
        <v>39</v>
      </c>
      <c r="E132" s="18">
        <f>E128+E131</f>
        <v>327.60000000000002</v>
      </c>
      <c r="F132" s="17"/>
      <c r="G132" s="17"/>
      <c r="H132" s="17"/>
    </row>
    <row r="133" spans="4:8" x14ac:dyDescent="0.2">
      <c r="D133" s="17"/>
      <c r="E133" s="17"/>
      <c r="F133" s="17"/>
      <c r="G133" s="17" t="s">
        <v>58</v>
      </c>
      <c r="H133" s="17"/>
    </row>
    <row r="134" spans="4:8" x14ac:dyDescent="0.2">
      <c r="D134" s="17"/>
      <c r="E134" s="17"/>
      <c r="F134" s="17"/>
      <c r="G134" s="17" t="s">
        <v>59</v>
      </c>
      <c r="H134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BOUDREAU</dc:creator>
  <cp:lastModifiedBy>SARAH BOUDREAU</cp:lastModifiedBy>
  <dcterms:created xsi:type="dcterms:W3CDTF">2023-03-21T18:35:56Z</dcterms:created>
  <dcterms:modified xsi:type="dcterms:W3CDTF">2023-03-22T15:01:45Z</dcterms:modified>
</cp:coreProperties>
</file>