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nnstateoffice365-my.sharepoint.com/personal/pmg5421_psu_edu/Documents/Research/Savage/Biomass/Review/Models/"/>
    </mc:Choice>
  </mc:AlternateContent>
  <xr:revisionPtr revIDLastSave="2" documentId="8_{328FE3DC-9B3D-4C4C-83B3-7BA8DAB443CA}" xr6:coauthVersionLast="47" xr6:coauthVersionMax="47" xr10:uidLastSave="{09486734-A80F-424A-8393-8BAA3DF5D7D5}"/>
  <bookViews>
    <workbookView xWindow="33870" yWindow="1590" windowWidth="21795" windowHeight="18165" activeTab="1" xr2:uid="{053A533B-5A8A-48E1-8F08-C742CD9D1521}"/>
  </bookViews>
  <sheets>
    <sheet name="Algae" sheetId="1" r:id="rId1"/>
    <sheet name="Biomass" sheetId="2" r:id="rId2"/>
  </sheets>
  <definedNames>
    <definedName name="btbl3fna" localSheetId="1">Biomass!#REF!</definedName>
    <definedName name="btbl3fnb" localSheetId="1">#REF!</definedName>
    <definedName name="btbl5fna" localSheetId="1">#REF!</definedName>
    <definedName name="btblfn0015" localSheetId="1">Biomass!$BR$279</definedName>
    <definedName name="btblfn1" localSheetId="1">Biomass!#REF!</definedName>
    <definedName name="btblfn2" localSheetId="1">Biomass!#REF!</definedName>
    <definedName name="btblfn3" localSheetId="1">#REF!</definedName>
    <definedName name="btblfn4" localSheetId="0">Algae!#REF!</definedName>
    <definedName name="btblfn5" localSheetId="0">Algae!$AC$565</definedName>
    <definedName name="solver_eng" localSheetId="1" hidden="1">1</definedName>
    <definedName name="solver_neg" localSheetId="1" hidden="1">1</definedName>
    <definedName name="solver_num" localSheetId="1" hidden="1">0</definedName>
    <definedName name="solver_opt" localSheetId="1" hidden="1">Biomass!$AP$33</definedName>
    <definedName name="solver_typ" localSheetId="1" hidden="1">1</definedName>
    <definedName name="solver_val" localSheetId="1" hidden="1">0</definedName>
    <definedName name="solver_ver" localSheetId="1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3" i="2" l="1"/>
  <c r="AT4" i="2"/>
  <c r="AT5" i="2"/>
  <c r="AT6" i="2"/>
  <c r="AT7" i="2"/>
  <c r="AT8" i="2"/>
  <c r="AT9" i="2"/>
  <c r="AT10" i="2"/>
  <c r="AT11" i="2"/>
  <c r="AT12" i="2"/>
  <c r="AT13" i="2"/>
  <c r="AT14" i="2"/>
  <c r="AT15" i="2"/>
  <c r="AT16" i="2"/>
  <c r="AT17" i="2"/>
  <c r="AU17" i="2" s="1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U33" i="2" s="1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U65" i="2" s="1"/>
  <c r="AT66" i="2"/>
  <c r="AT67" i="2"/>
  <c r="AT68" i="2"/>
  <c r="AT69" i="2"/>
  <c r="AT70" i="2"/>
  <c r="AT71" i="2"/>
  <c r="AT72" i="2"/>
  <c r="AT73" i="2"/>
  <c r="AT74" i="2"/>
  <c r="AT75" i="2"/>
  <c r="AT76" i="2"/>
  <c r="AT77" i="2"/>
  <c r="AT78" i="2"/>
  <c r="AT79" i="2"/>
  <c r="AT80" i="2"/>
  <c r="AT81" i="2"/>
  <c r="AT82" i="2"/>
  <c r="AT83" i="2"/>
  <c r="AT84" i="2"/>
  <c r="AT85" i="2"/>
  <c r="AT86" i="2"/>
  <c r="AT87" i="2"/>
  <c r="AT88" i="2"/>
  <c r="AT89" i="2"/>
  <c r="AT90" i="2"/>
  <c r="AT91" i="2"/>
  <c r="AT92" i="2"/>
  <c r="AT93" i="2"/>
  <c r="AT94" i="2"/>
  <c r="AT95" i="2"/>
  <c r="AT96" i="2"/>
  <c r="AT97" i="2"/>
  <c r="AU97" i="2" s="1"/>
  <c r="AT98" i="2"/>
  <c r="AT99" i="2"/>
  <c r="AT100" i="2"/>
  <c r="AT101" i="2"/>
  <c r="AT102" i="2"/>
  <c r="AT103" i="2"/>
  <c r="AT104" i="2"/>
  <c r="AT105" i="2"/>
  <c r="AT106" i="2"/>
  <c r="AT107" i="2"/>
  <c r="AT108" i="2"/>
  <c r="AT109" i="2"/>
  <c r="AT110" i="2"/>
  <c r="AT111" i="2"/>
  <c r="AT112" i="2"/>
  <c r="AT113" i="2"/>
  <c r="AT114" i="2"/>
  <c r="AT115" i="2"/>
  <c r="AT116" i="2"/>
  <c r="AT117" i="2"/>
  <c r="AT118" i="2"/>
  <c r="AT119" i="2"/>
  <c r="AT120" i="2"/>
  <c r="AT121" i="2"/>
  <c r="AT122" i="2"/>
  <c r="AT123" i="2"/>
  <c r="AT124" i="2"/>
  <c r="AT125" i="2"/>
  <c r="AT126" i="2"/>
  <c r="AT127" i="2"/>
  <c r="AT128" i="2"/>
  <c r="AT129" i="2"/>
  <c r="AT130" i="2"/>
  <c r="AT131" i="2"/>
  <c r="AT132" i="2"/>
  <c r="AT133" i="2"/>
  <c r="AT134" i="2"/>
  <c r="AT135" i="2"/>
  <c r="AT136" i="2"/>
  <c r="AT137" i="2"/>
  <c r="AT138" i="2"/>
  <c r="AT139" i="2"/>
  <c r="AT140" i="2"/>
  <c r="AT141" i="2"/>
  <c r="AT142" i="2"/>
  <c r="AT143" i="2"/>
  <c r="AT144" i="2"/>
  <c r="AT145" i="2"/>
  <c r="AT146" i="2"/>
  <c r="AT147" i="2"/>
  <c r="AT148" i="2"/>
  <c r="AT149" i="2"/>
  <c r="AT150" i="2"/>
  <c r="AT151" i="2"/>
  <c r="AT152" i="2"/>
  <c r="AT153" i="2"/>
  <c r="AT154" i="2"/>
  <c r="AT155" i="2"/>
  <c r="AT156" i="2"/>
  <c r="AT157" i="2"/>
  <c r="AT158" i="2"/>
  <c r="AT159" i="2"/>
  <c r="AT160" i="2"/>
  <c r="AT161" i="2"/>
  <c r="AT162" i="2"/>
  <c r="AT163" i="2"/>
  <c r="AT164" i="2"/>
  <c r="AT165" i="2"/>
  <c r="AT166" i="2"/>
  <c r="AT167" i="2"/>
  <c r="AT168" i="2"/>
  <c r="AT169" i="2"/>
  <c r="AT170" i="2"/>
  <c r="AT171" i="2"/>
  <c r="AT172" i="2"/>
  <c r="AT173" i="2"/>
  <c r="AT174" i="2"/>
  <c r="AT175" i="2"/>
  <c r="AT176" i="2"/>
  <c r="AT177" i="2"/>
  <c r="AT178" i="2"/>
  <c r="AT179" i="2"/>
  <c r="AT180" i="2"/>
  <c r="AT181" i="2"/>
  <c r="AT182" i="2"/>
  <c r="AT183" i="2"/>
  <c r="AT184" i="2"/>
  <c r="AT185" i="2"/>
  <c r="AT186" i="2"/>
  <c r="AT187" i="2"/>
  <c r="AT188" i="2"/>
  <c r="AT189" i="2"/>
  <c r="AT190" i="2"/>
  <c r="AT191" i="2"/>
  <c r="AT192" i="2"/>
  <c r="AT193" i="2"/>
  <c r="AT194" i="2"/>
  <c r="AT195" i="2"/>
  <c r="AT196" i="2"/>
  <c r="AT197" i="2"/>
  <c r="AT198" i="2"/>
  <c r="AT199" i="2"/>
  <c r="AT200" i="2"/>
  <c r="AT201" i="2"/>
  <c r="AT202" i="2"/>
  <c r="AT203" i="2"/>
  <c r="AT204" i="2"/>
  <c r="AT205" i="2"/>
  <c r="AT206" i="2"/>
  <c r="AT207" i="2"/>
  <c r="AT208" i="2"/>
  <c r="AT209" i="2"/>
  <c r="AU209" i="2" s="1"/>
  <c r="AT210" i="2"/>
  <c r="AT211" i="2"/>
  <c r="AT212" i="2"/>
  <c r="AT213" i="2"/>
  <c r="AT214" i="2"/>
  <c r="AT215" i="2"/>
  <c r="AT216" i="2"/>
  <c r="AT217" i="2"/>
  <c r="AT218" i="2"/>
  <c r="AT219" i="2"/>
  <c r="AT220" i="2"/>
  <c r="AT221" i="2"/>
  <c r="AT222" i="2"/>
  <c r="AT223" i="2"/>
  <c r="AT224" i="2"/>
  <c r="AT225" i="2"/>
  <c r="AU225" i="2" s="1"/>
  <c r="AT226" i="2"/>
  <c r="AT227" i="2"/>
  <c r="AT228" i="2"/>
  <c r="AT229" i="2"/>
  <c r="AT230" i="2"/>
  <c r="AT231" i="2"/>
  <c r="AT232" i="2"/>
  <c r="AT233" i="2"/>
  <c r="AT234" i="2"/>
  <c r="AT235" i="2"/>
  <c r="AT236" i="2"/>
  <c r="AT237" i="2"/>
  <c r="AT238" i="2"/>
  <c r="AT239" i="2"/>
  <c r="AT240" i="2"/>
  <c r="AT241" i="2"/>
  <c r="AT242" i="2"/>
  <c r="AT243" i="2"/>
  <c r="AT244" i="2"/>
  <c r="AT245" i="2"/>
  <c r="AT246" i="2"/>
  <c r="AT247" i="2"/>
  <c r="AT248" i="2"/>
  <c r="AT249" i="2"/>
  <c r="AT250" i="2"/>
  <c r="AT251" i="2"/>
  <c r="AT252" i="2"/>
  <c r="AT253" i="2"/>
  <c r="AT254" i="2"/>
  <c r="AT255" i="2"/>
  <c r="AT256" i="2"/>
  <c r="AT257" i="2"/>
  <c r="AT258" i="2"/>
  <c r="AT259" i="2"/>
  <c r="AT260" i="2"/>
  <c r="AT261" i="2"/>
  <c r="AT262" i="2"/>
  <c r="AT263" i="2"/>
  <c r="AT264" i="2"/>
  <c r="AT265" i="2"/>
  <c r="AT266" i="2"/>
  <c r="AT267" i="2"/>
  <c r="AT268" i="2"/>
  <c r="AT269" i="2"/>
  <c r="AT270" i="2"/>
  <c r="AT271" i="2"/>
  <c r="AT272" i="2"/>
  <c r="AT273" i="2"/>
  <c r="AT274" i="2"/>
  <c r="AT275" i="2"/>
  <c r="AT276" i="2"/>
  <c r="AT277" i="2"/>
  <c r="AT278" i="2"/>
  <c r="AT279" i="2"/>
  <c r="AT280" i="2"/>
  <c r="AT281" i="2"/>
  <c r="AT282" i="2"/>
  <c r="AT283" i="2"/>
  <c r="AT284" i="2"/>
  <c r="AT285" i="2"/>
  <c r="AT286" i="2"/>
  <c r="AT287" i="2"/>
  <c r="AT288" i="2"/>
  <c r="AT289" i="2"/>
  <c r="AT290" i="2"/>
  <c r="AT291" i="2"/>
  <c r="AT292" i="2"/>
  <c r="AT293" i="2"/>
  <c r="AT294" i="2"/>
  <c r="AT295" i="2"/>
  <c r="AT296" i="2"/>
  <c r="AT297" i="2"/>
  <c r="AT298" i="2"/>
  <c r="AT299" i="2"/>
  <c r="AT300" i="2"/>
  <c r="AT301" i="2"/>
  <c r="AT302" i="2"/>
  <c r="AT303" i="2"/>
  <c r="AT304" i="2"/>
  <c r="AT305" i="2"/>
  <c r="AT306" i="2"/>
  <c r="AT307" i="2"/>
  <c r="AT308" i="2"/>
  <c r="AT309" i="2"/>
  <c r="AT310" i="2"/>
  <c r="AT311" i="2"/>
  <c r="AT312" i="2"/>
  <c r="AT313" i="2"/>
  <c r="AT314" i="2"/>
  <c r="AT315" i="2"/>
  <c r="AT316" i="2"/>
  <c r="AT317" i="2"/>
  <c r="AT318" i="2"/>
  <c r="AT319" i="2"/>
  <c r="AT320" i="2"/>
  <c r="AT321" i="2"/>
  <c r="AT322" i="2"/>
  <c r="AT323" i="2"/>
  <c r="AT324" i="2"/>
  <c r="AT325" i="2"/>
  <c r="AT326" i="2"/>
  <c r="AT327" i="2"/>
  <c r="AT328" i="2"/>
  <c r="AT329" i="2"/>
  <c r="AT330" i="2"/>
  <c r="AT331" i="2"/>
  <c r="AT332" i="2"/>
  <c r="AT333" i="2"/>
  <c r="AT334" i="2"/>
  <c r="AT335" i="2"/>
  <c r="AT336" i="2"/>
  <c r="AT337" i="2"/>
  <c r="AT338" i="2"/>
  <c r="AT339" i="2"/>
  <c r="AT340" i="2"/>
  <c r="AT341" i="2"/>
  <c r="AT342" i="2"/>
  <c r="AT343" i="2"/>
  <c r="AT344" i="2"/>
  <c r="AT345" i="2"/>
  <c r="AT346" i="2"/>
  <c r="AT347" i="2"/>
  <c r="AT348" i="2"/>
  <c r="AT349" i="2"/>
  <c r="AT350" i="2"/>
  <c r="AT351" i="2"/>
  <c r="AT352" i="2"/>
  <c r="AT353" i="2"/>
  <c r="AU353" i="2" s="1"/>
  <c r="AT354" i="2"/>
  <c r="AT355" i="2"/>
  <c r="AT356" i="2"/>
  <c r="AT357" i="2"/>
  <c r="AT358" i="2"/>
  <c r="AT359" i="2"/>
  <c r="AT360" i="2"/>
  <c r="AT361" i="2"/>
  <c r="AT362" i="2"/>
  <c r="AT363" i="2"/>
  <c r="AT364" i="2"/>
  <c r="AT365" i="2"/>
  <c r="AT366" i="2"/>
  <c r="AT367" i="2"/>
  <c r="AT368" i="2"/>
  <c r="AT369" i="2"/>
  <c r="AU369" i="2" s="1"/>
  <c r="AT370" i="2"/>
  <c r="AT371" i="2"/>
  <c r="AT372" i="2"/>
  <c r="AT373" i="2"/>
  <c r="AT374" i="2"/>
  <c r="AT375" i="2"/>
  <c r="AT376" i="2"/>
  <c r="AT377" i="2"/>
  <c r="AT378" i="2"/>
  <c r="AT379" i="2"/>
  <c r="AT380" i="2"/>
  <c r="AT381" i="2"/>
  <c r="AT382" i="2"/>
  <c r="AT383" i="2"/>
  <c r="AT384" i="2"/>
  <c r="AT385" i="2"/>
  <c r="AT386" i="2"/>
  <c r="AT387" i="2"/>
  <c r="AT388" i="2"/>
  <c r="AT389" i="2"/>
  <c r="AT390" i="2"/>
  <c r="AT391" i="2"/>
  <c r="AT392" i="2"/>
  <c r="AT393" i="2"/>
  <c r="AT394" i="2"/>
  <c r="AT395" i="2"/>
  <c r="AT396" i="2"/>
  <c r="AT397" i="2"/>
  <c r="AT398" i="2"/>
  <c r="AT399" i="2"/>
  <c r="AT400" i="2"/>
  <c r="AT401" i="2"/>
  <c r="AT402" i="2"/>
  <c r="AT403" i="2"/>
  <c r="AT404" i="2"/>
  <c r="AT405" i="2"/>
  <c r="AT406" i="2"/>
  <c r="AT407" i="2"/>
  <c r="AT408" i="2"/>
  <c r="AT409" i="2"/>
  <c r="AT410" i="2"/>
  <c r="AT411" i="2"/>
  <c r="AT412" i="2"/>
  <c r="AT413" i="2"/>
  <c r="AT414" i="2"/>
  <c r="AT415" i="2"/>
  <c r="AT416" i="2"/>
  <c r="AT417" i="2"/>
  <c r="AT418" i="2"/>
  <c r="AT419" i="2"/>
  <c r="AT420" i="2"/>
  <c r="AT421" i="2"/>
  <c r="AT422" i="2"/>
  <c r="AT423" i="2"/>
  <c r="AT424" i="2"/>
  <c r="AT425" i="2"/>
  <c r="AT426" i="2"/>
  <c r="AT427" i="2"/>
  <c r="AT428" i="2"/>
  <c r="AT429" i="2"/>
  <c r="AT430" i="2"/>
  <c r="AT431" i="2"/>
  <c r="AT432" i="2"/>
  <c r="AT433" i="2"/>
  <c r="AU433" i="2" s="1"/>
  <c r="AT434" i="2"/>
  <c r="AT435" i="2"/>
  <c r="AT436" i="2"/>
  <c r="AT437" i="2"/>
  <c r="AT438" i="2"/>
  <c r="AT439" i="2"/>
  <c r="AT440" i="2"/>
  <c r="AT441" i="2"/>
  <c r="AT442" i="2"/>
  <c r="AT443" i="2"/>
  <c r="AT444" i="2"/>
  <c r="AT445" i="2"/>
  <c r="AT446" i="2"/>
  <c r="AT447" i="2"/>
  <c r="AT448" i="2"/>
  <c r="AT449" i="2"/>
  <c r="AU449" i="2" s="1"/>
  <c r="AT450" i="2"/>
  <c r="AT451" i="2"/>
  <c r="AT452" i="2"/>
  <c r="AT453" i="2"/>
  <c r="AT454" i="2"/>
  <c r="AT455" i="2"/>
  <c r="AT456" i="2"/>
  <c r="AT457" i="2"/>
  <c r="AT458" i="2"/>
  <c r="AT459" i="2"/>
  <c r="AT460" i="2"/>
  <c r="AT461" i="2"/>
  <c r="AT462" i="2"/>
  <c r="AT463" i="2"/>
  <c r="AT464" i="2"/>
  <c r="AT465" i="2"/>
  <c r="AT466" i="2"/>
  <c r="AT467" i="2"/>
  <c r="AT468" i="2"/>
  <c r="AT469" i="2"/>
  <c r="AT470" i="2"/>
  <c r="AT471" i="2"/>
  <c r="AT472" i="2"/>
  <c r="AT473" i="2"/>
  <c r="AT474" i="2"/>
  <c r="AT475" i="2"/>
  <c r="AT476" i="2"/>
  <c r="AT477" i="2"/>
  <c r="AT478" i="2"/>
  <c r="AT479" i="2"/>
  <c r="AT480" i="2"/>
  <c r="AT481" i="2"/>
  <c r="AU481" i="2" s="1"/>
  <c r="AT482" i="2"/>
  <c r="AT483" i="2"/>
  <c r="AT484" i="2"/>
  <c r="AT485" i="2"/>
  <c r="AT486" i="2"/>
  <c r="AT487" i="2"/>
  <c r="AT488" i="2"/>
  <c r="AT489" i="2"/>
  <c r="AT490" i="2"/>
  <c r="AT491" i="2"/>
  <c r="AT492" i="2"/>
  <c r="AT493" i="2"/>
  <c r="AT494" i="2"/>
  <c r="AT495" i="2"/>
  <c r="AT496" i="2"/>
  <c r="AT497" i="2"/>
  <c r="AU497" i="2" s="1"/>
  <c r="AT498" i="2"/>
  <c r="AT499" i="2"/>
  <c r="AT500" i="2"/>
  <c r="AT501" i="2"/>
  <c r="AT502" i="2"/>
  <c r="AT503" i="2"/>
  <c r="AT504" i="2"/>
  <c r="AT505" i="2"/>
  <c r="AT506" i="2"/>
  <c r="AT507" i="2"/>
  <c r="AT508" i="2"/>
  <c r="AT509" i="2"/>
  <c r="AT510" i="2"/>
  <c r="AT511" i="2"/>
  <c r="AT512" i="2"/>
  <c r="AT513" i="2"/>
  <c r="AU513" i="2" s="1"/>
  <c r="AT514" i="2"/>
  <c r="AT515" i="2"/>
  <c r="AT516" i="2"/>
  <c r="AT517" i="2"/>
  <c r="AT518" i="2"/>
  <c r="AT519" i="2"/>
  <c r="AT520" i="2"/>
  <c r="AT521" i="2"/>
  <c r="AT522" i="2"/>
  <c r="AT523" i="2"/>
  <c r="AT524" i="2"/>
  <c r="AT525" i="2"/>
  <c r="AT526" i="2"/>
  <c r="AT527" i="2"/>
  <c r="AT528" i="2"/>
  <c r="AT529" i="2"/>
  <c r="AU529" i="2" s="1"/>
  <c r="AT530" i="2"/>
  <c r="AT531" i="2"/>
  <c r="AT532" i="2"/>
  <c r="AT533" i="2"/>
  <c r="AT534" i="2"/>
  <c r="AT535" i="2"/>
  <c r="AT536" i="2"/>
  <c r="AT537" i="2"/>
  <c r="AT538" i="2"/>
  <c r="AT539" i="2"/>
  <c r="AT540" i="2"/>
  <c r="AT541" i="2"/>
  <c r="AT542" i="2"/>
  <c r="AT543" i="2"/>
  <c r="AT544" i="2"/>
  <c r="AT545" i="2"/>
  <c r="AU545" i="2" s="1"/>
  <c r="AT546" i="2"/>
  <c r="AT547" i="2"/>
  <c r="AT548" i="2"/>
  <c r="AT549" i="2"/>
  <c r="AT550" i="2"/>
  <c r="AT551" i="2"/>
  <c r="AT552" i="2"/>
  <c r="AT553" i="2"/>
  <c r="AT554" i="2"/>
  <c r="AT555" i="2"/>
  <c r="AT556" i="2"/>
  <c r="AT557" i="2"/>
  <c r="AT558" i="2"/>
  <c r="AT559" i="2"/>
  <c r="AT560" i="2"/>
  <c r="AT561" i="2"/>
  <c r="AU561" i="2" s="1"/>
  <c r="AT562" i="2"/>
  <c r="AT563" i="2"/>
  <c r="AT564" i="2"/>
  <c r="AT565" i="2"/>
  <c r="AT566" i="2"/>
  <c r="AT567" i="2"/>
  <c r="AT568" i="2"/>
  <c r="AT569" i="2"/>
  <c r="AT570" i="2"/>
  <c r="AT571" i="2"/>
  <c r="AT572" i="2"/>
  <c r="AT573" i="2"/>
  <c r="AT574" i="2"/>
  <c r="AT575" i="2"/>
  <c r="AT576" i="2"/>
  <c r="AT577" i="2"/>
  <c r="AU577" i="2" s="1"/>
  <c r="AT578" i="2"/>
  <c r="AT579" i="2"/>
  <c r="AT580" i="2"/>
  <c r="AT581" i="2"/>
  <c r="AT582" i="2"/>
  <c r="AT583" i="2"/>
  <c r="AT584" i="2"/>
  <c r="AT585" i="2"/>
  <c r="AT586" i="2"/>
  <c r="AT587" i="2"/>
  <c r="AT588" i="2"/>
  <c r="AT589" i="2"/>
  <c r="AT590" i="2"/>
  <c r="AT591" i="2"/>
  <c r="AT592" i="2"/>
  <c r="AT593" i="2"/>
  <c r="AU593" i="2" s="1"/>
  <c r="AT594" i="2"/>
  <c r="AT595" i="2"/>
  <c r="AT596" i="2"/>
  <c r="AT597" i="2"/>
  <c r="AT598" i="2"/>
  <c r="AT599" i="2"/>
  <c r="AT600" i="2"/>
  <c r="AT601" i="2"/>
  <c r="AT602" i="2"/>
  <c r="AT603" i="2"/>
  <c r="AT604" i="2"/>
  <c r="AT605" i="2"/>
  <c r="AT606" i="2"/>
  <c r="AT607" i="2"/>
  <c r="AT608" i="2"/>
  <c r="AT609" i="2"/>
  <c r="AU609" i="2" s="1"/>
  <c r="AT610" i="2"/>
  <c r="AT611" i="2"/>
  <c r="AT612" i="2"/>
  <c r="AT613" i="2"/>
  <c r="AT614" i="2"/>
  <c r="AT615" i="2"/>
  <c r="AT616" i="2"/>
  <c r="AT617" i="2"/>
  <c r="AT618" i="2"/>
  <c r="AT619" i="2"/>
  <c r="AT620" i="2"/>
  <c r="AT621" i="2"/>
  <c r="AT622" i="2"/>
  <c r="AT623" i="2"/>
  <c r="AT624" i="2"/>
  <c r="AT625" i="2"/>
  <c r="AU625" i="2" s="1"/>
  <c r="AT626" i="2"/>
  <c r="AT627" i="2"/>
  <c r="AT628" i="2"/>
  <c r="AT629" i="2"/>
  <c r="AT630" i="2"/>
  <c r="AT631" i="2"/>
  <c r="AT632" i="2"/>
  <c r="AT633" i="2"/>
  <c r="AT634" i="2"/>
  <c r="AT635" i="2"/>
  <c r="AT636" i="2"/>
  <c r="AT637" i="2"/>
  <c r="AT638" i="2"/>
  <c r="AT639" i="2"/>
  <c r="AT640" i="2"/>
  <c r="AT641" i="2"/>
  <c r="AU641" i="2" s="1"/>
  <c r="AT642" i="2"/>
  <c r="AT643" i="2"/>
  <c r="AT644" i="2"/>
  <c r="AT645" i="2"/>
  <c r="AT646" i="2"/>
  <c r="AT647" i="2"/>
  <c r="AT648" i="2"/>
  <c r="AT649" i="2"/>
  <c r="AT650" i="2"/>
  <c r="AT651" i="2"/>
  <c r="AT652" i="2"/>
  <c r="AT653" i="2"/>
  <c r="AT654" i="2"/>
  <c r="AT655" i="2"/>
  <c r="AT656" i="2"/>
  <c r="AT657" i="2"/>
  <c r="AU657" i="2" s="1"/>
  <c r="AT658" i="2"/>
  <c r="AT659" i="2"/>
  <c r="AT660" i="2"/>
  <c r="AT661" i="2"/>
  <c r="AT662" i="2"/>
  <c r="AT663" i="2"/>
  <c r="AT664" i="2"/>
  <c r="AT665" i="2"/>
  <c r="AT666" i="2"/>
  <c r="AT667" i="2"/>
  <c r="AT668" i="2"/>
  <c r="AT669" i="2"/>
  <c r="AT670" i="2"/>
  <c r="AT671" i="2"/>
  <c r="AT672" i="2"/>
  <c r="AT673" i="2"/>
  <c r="AU673" i="2" s="1"/>
  <c r="AT674" i="2"/>
  <c r="AT675" i="2"/>
  <c r="AT676" i="2"/>
  <c r="AT677" i="2"/>
  <c r="AT678" i="2"/>
  <c r="AT679" i="2"/>
  <c r="AT680" i="2"/>
  <c r="AT681" i="2"/>
  <c r="AT682" i="2"/>
  <c r="AT683" i="2"/>
  <c r="AT684" i="2"/>
  <c r="AT685" i="2"/>
  <c r="AT686" i="2"/>
  <c r="AT687" i="2"/>
  <c r="AT688" i="2"/>
  <c r="AT689" i="2"/>
  <c r="AU689" i="2" s="1"/>
  <c r="AT690" i="2"/>
  <c r="AT691" i="2"/>
  <c r="AT692" i="2"/>
  <c r="AT693" i="2"/>
  <c r="AT694" i="2"/>
  <c r="AT695" i="2"/>
  <c r="AT696" i="2"/>
  <c r="AT697" i="2"/>
  <c r="AT698" i="2"/>
  <c r="AT699" i="2"/>
  <c r="AT700" i="2"/>
  <c r="AT701" i="2"/>
  <c r="AT702" i="2"/>
  <c r="AT703" i="2"/>
  <c r="AT704" i="2"/>
  <c r="AT705" i="2"/>
  <c r="AU705" i="2" s="1"/>
  <c r="AT706" i="2"/>
  <c r="AT707" i="2"/>
  <c r="AT708" i="2"/>
  <c r="AT709" i="2"/>
  <c r="AT710" i="2"/>
  <c r="AT711" i="2"/>
  <c r="AT712" i="2"/>
  <c r="AT713" i="2"/>
  <c r="AT714" i="2"/>
  <c r="AT715" i="2"/>
  <c r="AT716" i="2"/>
  <c r="AT717" i="2"/>
  <c r="AT718" i="2"/>
  <c r="AT719" i="2"/>
  <c r="AT720" i="2"/>
  <c r="AT721" i="2"/>
  <c r="AT722" i="2"/>
  <c r="AT723" i="2"/>
  <c r="AT724" i="2"/>
  <c r="AT725" i="2"/>
  <c r="AT726" i="2"/>
  <c r="AT727" i="2"/>
  <c r="AT728" i="2"/>
  <c r="AT729" i="2"/>
  <c r="AT730" i="2"/>
  <c r="AT731" i="2"/>
  <c r="AT732" i="2"/>
  <c r="AT733" i="2"/>
  <c r="AT734" i="2"/>
  <c r="AT735" i="2"/>
  <c r="AT736" i="2"/>
  <c r="AT737" i="2"/>
  <c r="AT738" i="2"/>
  <c r="AT739" i="2"/>
  <c r="AT740" i="2"/>
  <c r="AT741" i="2"/>
  <c r="AT742" i="2"/>
  <c r="AT743" i="2"/>
  <c r="AT744" i="2"/>
  <c r="AT745" i="2"/>
  <c r="AT746" i="2"/>
  <c r="AT747" i="2"/>
  <c r="AT748" i="2"/>
  <c r="AT749" i="2"/>
  <c r="AT750" i="2"/>
  <c r="AT751" i="2"/>
  <c r="AT752" i="2"/>
  <c r="AT753" i="2"/>
  <c r="AU753" i="2" s="1"/>
  <c r="AT754" i="2"/>
  <c r="AT755" i="2"/>
  <c r="AT756" i="2"/>
  <c r="AT757" i="2"/>
  <c r="AT758" i="2"/>
  <c r="AT759" i="2"/>
  <c r="AT760" i="2"/>
  <c r="AT761" i="2"/>
  <c r="AT762" i="2"/>
  <c r="AT763" i="2"/>
  <c r="AT764" i="2"/>
  <c r="AT765" i="2"/>
  <c r="AT766" i="2"/>
  <c r="AT767" i="2"/>
  <c r="AT768" i="2"/>
  <c r="AT769" i="2"/>
  <c r="AU769" i="2" s="1"/>
  <c r="AT770" i="2"/>
  <c r="AT771" i="2"/>
  <c r="AT772" i="2"/>
  <c r="AT773" i="2"/>
  <c r="AT774" i="2"/>
  <c r="AT775" i="2"/>
  <c r="AT776" i="2"/>
  <c r="AT777" i="2"/>
  <c r="AT778" i="2"/>
  <c r="AT779" i="2"/>
  <c r="AT780" i="2"/>
  <c r="AT781" i="2"/>
  <c r="AT782" i="2"/>
  <c r="AT783" i="2"/>
  <c r="AT784" i="2"/>
  <c r="AT785" i="2"/>
  <c r="AT786" i="2"/>
  <c r="AT787" i="2"/>
  <c r="AT788" i="2"/>
  <c r="AT789" i="2"/>
  <c r="AT790" i="2"/>
  <c r="AT791" i="2"/>
  <c r="AT792" i="2"/>
  <c r="AT793" i="2"/>
  <c r="AT794" i="2"/>
  <c r="AT795" i="2"/>
  <c r="AT796" i="2"/>
  <c r="AU4" i="2"/>
  <c r="AU5" i="2"/>
  <c r="AU6" i="2"/>
  <c r="AU7" i="2"/>
  <c r="AU8" i="2"/>
  <c r="AU9" i="2"/>
  <c r="AU10" i="2"/>
  <c r="AU11" i="2"/>
  <c r="AU12" i="2"/>
  <c r="AU13" i="2"/>
  <c r="AU14" i="2"/>
  <c r="AU15" i="2"/>
  <c r="AU16" i="2"/>
  <c r="AU18" i="2"/>
  <c r="AU19" i="2"/>
  <c r="AU20" i="2"/>
  <c r="AU21" i="2"/>
  <c r="AU22" i="2"/>
  <c r="AU23" i="2"/>
  <c r="AU24" i="2"/>
  <c r="AU25" i="2"/>
  <c r="AU26" i="2"/>
  <c r="AU27" i="2"/>
  <c r="AU28" i="2"/>
  <c r="AU29" i="2"/>
  <c r="AU30" i="2"/>
  <c r="AU31" i="2"/>
  <c r="AU32" i="2"/>
  <c r="AU34" i="2"/>
  <c r="AU35" i="2"/>
  <c r="AU36" i="2"/>
  <c r="AU37" i="2"/>
  <c r="AU38" i="2"/>
  <c r="AU39" i="2"/>
  <c r="AU40" i="2"/>
  <c r="AU41" i="2"/>
  <c r="AU42" i="2"/>
  <c r="AU43" i="2"/>
  <c r="AU44" i="2"/>
  <c r="AU45" i="2"/>
  <c r="AU46" i="2"/>
  <c r="AU47" i="2"/>
  <c r="AU48" i="2"/>
  <c r="AU49" i="2"/>
  <c r="AU50" i="2"/>
  <c r="AU51" i="2"/>
  <c r="AU52" i="2"/>
  <c r="AU53" i="2"/>
  <c r="AU54" i="2"/>
  <c r="AU55" i="2"/>
  <c r="AU56" i="2"/>
  <c r="AU57" i="2"/>
  <c r="AU58" i="2"/>
  <c r="AU59" i="2"/>
  <c r="AU60" i="2"/>
  <c r="AU61" i="2"/>
  <c r="AU62" i="2"/>
  <c r="AU63" i="2"/>
  <c r="AU64" i="2"/>
  <c r="AU66" i="2"/>
  <c r="AU67" i="2"/>
  <c r="AU68" i="2"/>
  <c r="AU69" i="2"/>
  <c r="AU70" i="2"/>
  <c r="AU71" i="2"/>
  <c r="AU72" i="2"/>
  <c r="AU73" i="2"/>
  <c r="AU74" i="2"/>
  <c r="AU75" i="2"/>
  <c r="AU76" i="2"/>
  <c r="AU77" i="2"/>
  <c r="AU78" i="2"/>
  <c r="AU79" i="2"/>
  <c r="AU80" i="2"/>
  <c r="AU81" i="2"/>
  <c r="AU82" i="2"/>
  <c r="AU83" i="2"/>
  <c r="AU84" i="2"/>
  <c r="AU85" i="2"/>
  <c r="AU86" i="2"/>
  <c r="AU87" i="2"/>
  <c r="AU88" i="2"/>
  <c r="AU89" i="2"/>
  <c r="AU90" i="2"/>
  <c r="AU91" i="2"/>
  <c r="AU92" i="2"/>
  <c r="AU93" i="2"/>
  <c r="AU94" i="2"/>
  <c r="AU95" i="2"/>
  <c r="AU96" i="2"/>
  <c r="AU98" i="2"/>
  <c r="AU99" i="2"/>
  <c r="AU100" i="2"/>
  <c r="AU101" i="2"/>
  <c r="AU102" i="2"/>
  <c r="AU103" i="2"/>
  <c r="AU104" i="2"/>
  <c r="AU105" i="2"/>
  <c r="AU106" i="2"/>
  <c r="AU107" i="2"/>
  <c r="AU108" i="2"/>
  <c r="AU109" i="2"/>
  <c r="AU110" i="2"/>
  <c r="AU111" i="2"/>
  <c r="AU112" i="2"/>
  <c r="AU113" i="2"/>
  <c r="AU114" i="2"/>
  <c r="AU115" i="2"/>
  <c r="AU116" i="2"/>
  <c r="AU117" i="2"/>
  <c r="AU118" i="2"/>
  <c r="AU119" i="2"/>
  <c r="AU120" i="2"/>
  <c r="AU121" i="2"/>
  <c r="AU122" i="2"/>
  <c r="AU123" i="2"/>
  <c r="AU124" i="2"/>
  <c r="AU125" i="2"/>
  <c r="AU126" i="2"/>
  <c r="AU127" i="2"/>
  <c r="AU128" i="2"/>
  <c r="AU129" i="2"/>
  <c r="AU130" i="2"/>
  <c r="AU131" i="2"/>
  <c r="AU132" i="2"/>
  <c r="AU133" i="2"/>
  <c r="AU134" i="2"/>
  <c r="AU135" i="2"/>
  <c r="AU136" i="2"/>
  <c r="AU137" i="2"/>
  <c r="AU138" i="2"/>
  <c r="AU139" i="2"/>
  <c r="AU140" i="2"/>
  <c r="AU141" i="2"/>
  <c r="AU142" i="2"/>
  <c r="AU143" i="2"/>
  <c r="AU144" i="2"/>
  <c r="AU145" i="2"/>
  <c r="AU146" i="2"/>
  <c r="AU147" i="2"/>
  <c r="AU148" i="2"/>
  <c r="AU149" i="2"/>
  <c r="AU150" i="2"/>
  <c r="AU151" i="2"/>
  <c r="AU152" i="2"/>
  <c r="AU153" i="2"/>
  <c r="AU154" i="2"/>
  <c r="AU155" i="2"/>
  <c r="AU156" i="2"/>
  <c r="AU157" i="2"/>
  <c r="AU158" i="2"/>
  <c r="AU159" i="2"/>
  <c r="AU160" i="2"/>
  <c r="AU161" i="2"/>
  <c r="AU162" i="2"/>
  <c r="AU163" i="2"/>
  <c r="AU164" i="2"/>
  <c r="AU165" i="2"/>
  <c r="AU166" i="2"/>
  <c r="AU167" i="2"/>
  <c r="AU168" i="2"/>
  <c r="AU169" i="2"/>
  <c r="AU170" i="2"/>
  <c r="AU171" i="2"/>
  <c r="AU172" i="2"/>
  <c r="AU173" i="2"/>
  <c r="AU174" i="2"/>
  <c r="AU175" i="2"/>
  <c r="AU176" i="2"/>
  <c r="AU177" i="2"/>
  <c r="AU178" i="2"/>
  <c r="AU179" i="2"/>
  <c r="AU180" i="2"/>
  <c r="AU181" i="2"/>
  <c r="AU182" i="2"/>
  <c r="AU183" i="2"/>
  <c r="AU184" i="2"/>
  <c r="AU185" i="2"/>
  <c r="AU186" i="2"/>
  <c r="AU187" i="2"/>
  <c r="AU188" i="2"/>
  <c r="AU189" i="2"/>
  <c r="AU190" i="2"/>
  <c r="AU191" i="2"/>
  <c r="AU192" i="2"/>
  <c r="AU193" i="2"/>
  <c r="AU194" i="2"/>
  <c r="AU195" i="2"/>
  <c r="AU196" i="2"/>
  <c r="AU197" i="2"/>
  <c r="AU198" i="2"/>
  <c r="AU199" i="2"/>
  <c r="AU200" i="2"/>
  <c r="AU201" i="2"/>
  <c r="AU202" i="2"/>
  <c r="AU203" i="2"/>
  <c r="AU204" i="2"/>
  <c r="AU205" i="2"/>
  <c r="AU206" i="2"/>
  <c r="AU207" i="2"/>
  <c r="AU208" i="2"/>
  <c r="AU210" i="2"/>
  <c r="AU211" i="2"/>
  <c r="AU212" i="2"/>
  <c r="AU213" i="2"/>
  <c r="AU214" i="2"/>
  <c r="AU215" i="2"/>
  <c r="AU216" i="2"/>
  <c r="AU217" i="2"/>
  <c r="AU218" i="2"/>
  <c r="AU219" i="2"/>
  <c r="AU220" i="2"/>
  <c r="AU221" i="2"/>
  <c r="AU222" i="2"/>
  <c r="AU223" i="2"/>
  <c r="AU224" i="2"/>
  <c r="AU226" i="2"/>
  <c r="AU227" i="2"/>
  <c r="AU228" i="2"/>
  <c r="AU229" i="2"/>
  <c r="AU230" i="2"/>
  <c r="AU231" i="2"/>
  <c r="AU232" i="2"/>
  <c r="AU233" i="2"/>
  <c r="AU234" i="2"/>
  <c r="AU235" i="2"/>
  <c r="AU236" i="2"/>
  <c r="AU237" i="2"/>
  <c r="AU238" i="2"/>
  <c r="AU239" i="2"/>
  <c r="AU240" i="2"/>
  <c r="AU241" i="2"/>
  <c r="AU242" i="2"/>
  <c r="AU243" i="2"/>
  <c r="AU244" i="2"/>
  <c r="AU245" i="2"/>
  <c r="AU246" i="2"/>
  <c r="AU247" i="2"/>
  <c r="AU248" i="2"/>
  <c r="AU249" i="2"/>
  <c r="AU250" i="2"/>
  <c r="AU251" i="2"/>
  <c r="AU252" i="2"/>
  <c r="AU253" i="2"/>
  <c r="AU254" i="2"/>
  <c r="AU255" i="2"/>
  <c r="AU256" i="2"/>
  <c r="AU257" i="2"/>
  <c r="AU258" i="2"/>
  <c r="AU259" i="2"/>
  <c r="AU260" i="2"/>
  <c r="AU261" i="2"/>
  <c r="AU262" i="2"/>
  <c r="AU263" i="2"/>
  <c r="AU264" i="2"/>
  <c r="AU265" i="2"/>
  <c r="AU266" i="2"/>
  <c r="AU267" i="2"/>
  <c r="AU268" i="2"/>
  <c r="AU269" i="2"/>
  <c r="AU270" i="2"/>
  <c r="AU271" i="2"/>
  <c r="AU272" i="2"/>
  <c r="AU273" i="2"/>
  <c r="AU274" i="2"/>
  <c r="AU275" i="2"/>
  <c r="AU276" i="2"/>
  <c r="AU277" i="2"/>
  <c r="AU278" i="2"/>
  <c r="AU279" i="2"/>
  <c r="AU280" i="2"/>
  <c r="AU281" i="2"/>
  <c r="AU282" i="2"/>
  <c r="AU283" i="2"/>
  <c r="AU284" i="2"/>
  <c r="AU285" i="2"/>
  <c r="AU286" i="2"/>
  <c r="AU287" i="2"/>
  <c r="AU288" i="2"/>
  <c r="AU289" i="2"/>
  <c r="AU290" i="2"/>
  <c r="AU291" i="2"/>
  <c r="AU292" i="2"/>
  <c r="AU293" i="2"/>
  <c r="AU294" i="2"/>
  <c r="AU295" i="2"/>
  <c r="AU296" i="2"/>
  <c r="AU297" i="2"/>
  <c r="AU298" i="2"/>
  <c r="AU299" i="2"/>
  <c r="AU300" i="2"/>
  <c r="AU301" i="2"/>
  <c r="AU302" i="2"/>
  <c r="AU303" i="2"/>
  <c r="AU304" i="2"/>
  <c r="AU305" i="2"/>
  <c r="AU306" i="2"/>
  <c r="AU307" i="2"/>
  <c r="AU308" i="2"/>
  <c r="AU309" i="2"/>
  <c r="AU310" i="2"/>
  <c r="AU311" i="2"/>
  <c r="AU312" i="2"/>
  <c r="AU313" i="2"/>
  <c r="AU314" i="2"/>
  <c r="AU315" i="2"/>
  <c r="AU316" i="2"/>
  <c r="AU317" i="2"/>
  <c r="AU318" i="2"/>
  <c r="AU319" i="2"/>
  <c r="AU320" i="2"/>
  <c r="AU321" i="2"/>
  <c r="AU322" i="2"/>
  <c r="AU323" i="2"/>
  <c r="AU324" i="2"/>
  <c r="AU325" i="2"/>
  <c r="AU326" i="2"/>
  <c r="AU327" i="2"/>
  <c r="AU328" i="2"/>
  <c r="AU329" i="2"/>
  <c r="AU330" i="2"/>
  <c r="AU331" i="2"/>
  <c r="AU332" i="2"/>
  <c r="AU333" i="2"/>
  <c r="AU334" i="2"/>
  <c r="AU335" i="2"/>
  <c r="AU336" i="2"/>
  <c r="AU337" i="2"/>
  <c r="AU338" i="2"/>
  <c r="AU339" i="2"/>
  <c r="AU340" i="2"/>
  <c r="AU341" i="2"/>
  <c r="AU342" i="2"/>
  <c r="AU343" i="2"/>
  <c r="AU344" i="2"/>
  <c r="AU345" i="2"/>
  <c r="AU346" i="2"/>
  <c r="AU347" i="2"/>
  <c r="AU348" i="2"/>
  <c r="AU349" i="2"/>
  <c r="AU350" i="2"/>
  <c r="AU351" i="2"/>
  <c r="AU352" i="2"/>
  <c r="AU354" i="2"/>
  <c r="AU355" i="2"/>
  <c r="AU356" i="2"/>
  <c r="AU357" i="2"/>
  <c r="AU358" i="2"/>
  <c r="AU359" i="2"/>
  <c r="AU360" i="2"/>
  <c r="AU361" i="2"/>
  <c r="AU362" i="2"/>
  <c r="AU363" i="2"/>
  <c r="AU364" i="2"/>
  <c r="AU365" i="2"/>
  <c r="AU366" i="2"/>
  <c r="AU367" i="2"/>
  <c r="AU368" i="2"/>
  <c r="AU370" i="2"/>
  <c r="AU371" i="2"/>
  <c r="AU372" i="2"/>
  <c r="AU373" i="2"/>
  <c r="AU374" i="2"/>
  <c r="AU375" i="2"/>
  <c r="AU376" i="2"/>
  <c r="AU377" i="2"/>
  <c r="AU378" i="2"/>
  <c r="AU379" i="2"/>
  <c r="AU380" i="2"/>
  <c r="AU381" i="2"/>
  <c r="AU382" i="2"/>
  <c r="AU383" i="2"/>
  <c r="AU384" i="2"/>
  <c r="AU385" i="2"/>
  <c r="AU386" i="2"/>
  <c r="AU387" i="2"/>
  <c r="AU388" i="2"/>
  <c r="AU389" i="2"/>
  <c r="AU390" i="2"/>
  <c r="AU391" i="2"/>
  <c r="AU392" i="2"/>
  <c r="AU393" i="2"/>
  <c r="AU394" i="2"/>
  <c r="AU395" i="2"/>
  <c r="AU396" i="2"/>
  <c r="AU397" i="2"/>
  <c r="AU398" i="2"/>
  <c r="AU399" i="2"/>
  <c r="AU400" i="2"/>
  <c r="AU401" i="2"/>
  <c r="AU402" i="2"/>
  <c r="AU403" i="2"/>
  <c r="AU404" i="2"/>
  <c r="AU405" i="2"/>
  <c r="AU406" i="2"/>
  <c r="AU407" i="2"/>
  <c r="AU408" i="2"/>
  <c r="AU409" i="2"/>
  <c r="AU410" i="2"/>
  <c r="AU411" i="2"/>
  <c r="AU412" i="2"/>
  <c r="AU413" i="2"/>
  <c r="AU414" i="2"/>
  <c r="AU415" i="2"/>
  <c r="AU416" i="2"/>
  <c r="AU417" i="2"/>
  <c r="AU418" i="2"/>
  <c r="AU419" i="2"/>
  <c r="AU420" i="2"/>
  <c r="AU421" i="2"/>
  <c r="AU422" i="2"/>
  <c r="AU423" i="2"/>
  <c r="AU424" i="2"/>
  <c r="AU425" i="2"/>
  <c r="AU426" i="2"/>
  <c r="AU427" i="2"/>
  <c r="AU428" i="2"/>
  <c r="AU429" i="2"/>
  <c r="AU430" i="2"/>
  <c r="AU431" i="2"/>
  <c r="AU432" i="2"/>
  <c r="AU434" i="2"/>
  <c r="AU435" i="2"/>
  <c r="AU436" i="2"/>
  <c r="AU437" i="2"/>
  <c r="AU438" i="2"/>
  <c r="AU439" i="2"/>
  <c r="AU440" i="2"/>
  <c r="AU441" i="2"/>
  <c r="AU442" i="2"/>
  <c r="AU443" i="2"/>
  <c r="AU444" i="2"/>
  <c r="AU445" i="2"/>
  <c r="AU446" i="2"/>
  <c r="AU447" i="2"/>
  <c r="AU448" i="2"/>
  <c r="AU450" i="2"/>
  <c r="AU451" i="2"/>
  <c r="AU452" i="2"/>
  <c r="AU453" i="2"/>
  <c r="AU454" i="2"/>
  <c r="AU455" i="2"/>
  <c r="AU456" i="2"/>
  <c r="AU457" i="2"/>
  <c r="AU458" i="2"/>
  <c r="AU459" i="2"/>
  <c r="AU460" i="2"/>
  <c r="AU461" i="2"/>
  <c r="AU462" i="2"/>
  <c r="AU463" i="2"/>
  <c r="AU464" i="2"/>
  <c r="AU465" i="2"/>
  <c r="AU466" i="2"/>
  <c r="AU467" i="2"/>
  <c r="AU468" i="2"/>
  <c r="AU469" i="2"/>
  <c r="AU470" i="2"/>
  <c r="AU471" i="2"/>
  <c r="AU472" i="2"/>
  <c r="AU473" i="2"/>
  <c r="AU474" i="2"/>
  <c r="AU475" i="2"/>
  <c r="AU476" i="2"/>
  <c r="AU477" i="2"/>
  <c r="AU478" i="2"/>
  <c r="AU479" i="2"/>
  <c r="AU480" i="2"/>
  <c r="AU482" i="2"/>
  <c r="AU483" i="2"/>
  <c r="AU484" i="2"/>
  <c r="AU485" i="2"/>
  <c r="AU486" i="2"/>
  <c r="AU487" i="2"/>
  <c r="AU488" i="2"/>
  <c r="AU489" i="2"/>
  <c r="AU490" i="2"/>
  <c r="AU491" i="2"/>
  <c r="AU492" i="2"/>
  <c r="AU493" i="2"/>
  <c r="AU494" i="2"/>
  <c r="AU495" i="2"/>
  <c r="AU496" i="2"/>
  <c r="AU498" i="2"/>
  <c r="AU499" i="2"/>
  <c r="AU500" i="2"/>
  <c r="AU501" i="2"/>
  <c r="AU502" i="2"/>
  <c r="AU503" i="2"/>
  <c r="AU504" i="2"/>
  <c r="AU505" i="2"/>
  <c r="AU506" i="2"/>
  <c r="AU507" i="2"/>
  <c r="AU508" i="2"/>
  <c r="AU509" i="2"/>
  <c r="AU510" i="2"/>
  <c r="AU511" i="2"/>
  <c r="AU512" i="2"/>
  <c r="AU514" i="2"/>
  <c r="AU515" i="2"/>
  <c r="AU516" i="2"/>
  <c r="AU517" i="2"/>
  <c r="AU518" i="2"/>
  <c r="AU519" i="2"/>
  <c r="AU520" i="2"/>
  <c r="AU521" i="2"/>
  <c r="AU522" i="2"/>
  <c r="AU523" i="2"/>
  <c r="AU524" i="2"/>
  <c r="AU525" i="2"/>
  <c r="AU526" i="2"/>
  <c r="AU527" i="2"/>
  <c r="AU528" i="2"/>
  <c r="AU530" i="2"/>
  <c r="AU531" i="2"/>
  <c r="AU532" i="2"/>
  <c r="AU533" i="2"/>
  <c r="AU534" i="2"/>
  <c r="AU535" i="2"/>
  <c r="AU536" i="2"/>
  <c r="AU537" i="2"/>
  <c r="AU538" i="2"/>
  <c r="AU539" i="2"/>
  <c r="AU540" i="2"/>
  <c r="AU541" i="2"/>
  <c r="AU542" i="2"/>
  <c r="AU543" i="2"/>
  <c r="AU544" i="2"/>
  <c r="AU546" i="2"/>
  <c r="AU547" i="2"/>
  <c r="AU548" i="2"/>
  <c r="AU549" i="2"/>
  <c r="AU550" i="2"/>
  <c r="AU551" i="2"/>
  <c r="AU552" i="2"/>
  <c r="AU553" i="2"/>
  <c r="AU554" i="2"/>
  <c r="AU555" i="2"/>
  <c r="AU556" i="2"/>
  <c r="AU557" i="2"/>
  <c r="AU558" i="2"/>
  <c r="AU559" i="2"/>
  <c r="AU560" i="2"/>
  <c r="AU562" i="2"/>
  <c r="AU563" i="2"/>
  <c r="AU564" i="2"/>
  <c r="AU565" i="2"/>
  <c r="AU566" i="2"/>
  <c r="AU567" i="2"/>
  <c r="AU568" i="2"/>
  <c r="AU569" i="2"/>
  <c r="AU570" i="2"/>
  <c r="AU571" i="2"/>
  <c r="AU572" i="2"/>
  <c r="AU573" i="2"/>
  <c r="AU574" i="2"/>
  <c r="AU575" i="2"/>
  <c r="AU576" i="2"/>
  <c r="AU578" i="2"/>
  <c r="AU579" i="2"/>
  <c r="AU580" i="2"/>
  <c r="AU581" i="2"/>
  <c r="AU582" i="2"/>
  <c r="AU583" i="2"/>
  <c r="AU584" i="2"/>
  <c r="AU585" i="2"/>
  <c r="AU586" i="2"/>
  <c r="AU587" i="2"/>
  <c r="AU588" i="2"/>
  <c r="AU589" i="2"/>
  <c r="AU590" i="2"/>
  <c r="AU591" i="2"/>
  <c r="AU592" i="2"/>
  <c r="AU594" i="2"/>
  <c r="AU595" i="2"/>
  <c r="AU596" i="2"/>
  <c r="AU597" i="2"/>
  <c r="AU598" i="2"/>
  <c r="AU599" i="2"/>
  <c r="AU600" i="2"/>
  <c r="AU601" i="2"/>
  <c r="AU602" i="2"/>
  <c r="AU603" i="2"/>
  <c r="AU604" i="2"/>
  <c r="AU605" i="2"/>
  <c r="AU606" i="2"/>
  <c r="AU607" i="2"/>
  <c r="AU608" i="2"/>
  <c r="AU610" i="2"/>
  <c r="AU611" i="2"/>
  <c r="AU612" i="2"/>
  <c r="AU613" i="2"/>
  <c r="AU614" i="2"/>
  <c r="AU615" i="2"/>
  <c r="AU616" i="2"/>
  <c r="AU617" i="2"/>
  <c r="AU618" i="2"/>
  <c r="AU619" i="2"/>
  <c r="AU620" i="2"/>
  <c r="AU621" i="2"/>
  <c r="AU622" i="2"/>
  <c r="AU623" i="2"/>
  <c r="AU624" i="2"/>
  <c r="AU626" i="2"/>
  <c r="AU627" i="2"/>
  <c r="AU628" i="2"/>
  <c r="AU629" i="2"/>
  <c r="AU630" i="2"/>
  <c r="AU631" i="2"/>
  <c r="AU632" i="2"/>
  <c r="AU633" i="2"/>
  <c r="AU634" i="2"/>
  <c r="AU635" i="2"/>
  <c r="AU636" i="2"/>
  <c r="AU637" i="2"/>
  <c r="AU638" i="2"/>
  <c r="AU639" i="2"/>
  <c r="AU640" i="2"/>
  <c r="AU642" i="2"/>
  <c r="AU643" i="2"/>
  <c r="AU644" i="2"/>
  <c r="AU645" i="2"/>
  <c r="AU646" i="2"/>
  <c r="AU647" i="2"/>
  <c r="AU648" i="2"/>
  <c r="AU649" i="2"/>
  <c r="AU650" i="2"/>
  <c r="AU651" i="2"/>
  <c r="AU652" i="2"/>
  <c r="AU653" i="2"/>
  <c r="AU654" i="2"/>
  <c r="AU655" i="2"/>
  <c r="AU656" i="2"/>
  <c r="AU658" i="2"/>
  <c r="AU659" i="2"/>
  <c r="AU660" i="2"/>
  <c r="AU661" i="2"/>
  <c r="AU662" i="2"/>
  <c r="AU663" i="2"/>
  <c r="AU664" i="2"/>
  <c r="AU665" i="2"/>
  <c r="AU666" i="2"/>
  <c r="AU667" i="2"/>
  <c r="AU668" i="2"/>
  <c r="AU669" i="2"/>
  <c r="AU670" i="2"/>
  <c r="AU671" i="2"/>
  <c r="AU672" i="2"/>
  <c r="AU674" i="2"/>
  <c r="AU675" i="2"/>
  <c r="AU676" i="2"/>
  <c r="AU677" i="2"/>
  <c r="AU678" i="2"/>
  <c r="AU679" i="2"/>
  <c r="AU680" i="2"/>
  <c r="AU681" i="2"/>
  <c r="AU682" i="2"/>
  <c r="AU683" i="2"/>
  <c r="AU684" i="2"/>
  <c r="AU685" i="2"/>
  <c r="AU686" i="2"/>
  <c r="AU687" i="2"/>
  <c r="AU688" i="2"/>
  <c r="AU690" i="2"/>
  <c r="AU691" i="2"/>
  <c r="AU692" i="2"/>
  <c r="AU693" i="2"/>
  <c r="AU694" i="2"/>
  <c r="AU695" i="2"/>
  <c r="AU696" i="2"/>
  <c r="AU697" i="2"/>
  <c r="AU698" i="2"/>
  <c r="AU699" i="2"/>
  <c r="AU700" i="2"/>
  <c r="AU701" i="2"/>
  <c r="AU702" i="2"/>
  <c r="AU703" i="2"/>
  <c r="AU704" i="2"/>
  <c r="AU706" i="2"/>
  <c r="AU707" i="2"/>
  <c r="AU708" i="2"/>
  <c r="AU709" i="2"/>
  <c r="AU710" i="2"/>
  <c r="AU711" i="2"/>
  <c r="AU712" i="2"/>
  <c r="AU713" i="2"/>
  <c r="AU714" i="2"/>
  <c r="AU715" i="2"/>
  <c r="AU716" i="2"/>
  <c r="AU717" i="2"/>
  <c r="AU718" i="2"/>
  <c r="AU719" i="2"/>
  <c r="AU720" i="2"/>
  <c r="AU721" i="2"/>
  <c r="AU722" i="2"/>
  <c r="AU723" i="2"/>
  <c r="AU724" i="2"/>
  <c r="AU725" i="2"/>
  <c r="AU726" i="2"/>
  <c r="AU727" i="2"/>
  <c r="AU728" i="2"/>
  <c r="AU729" i="2"/>
  <c r="AU730" i="2"/>
  <c r="AU731" i="2"/>
  <c r="AU732" i="2"/>
  <c r="AU733" i="2"/>
  <c r="AU734" i="2"/>
  <c r="AU735" i="2"/>
  <c r="AU736" i="2"/>
  <c r="AU737" i="2"/>
  <c r="AU738" i="2"/>
  <c r="AU739" i="2"/>
  <c r="AU740" i="2"/>
  <c r="AU741" i="2"/>
  <c r="AU742" i="2"/>
  <c r="AU743" i="2"/>
  <c r="AU744" i="2"/>
  <c r="AU745" i="2"/>
  <c r="AU746" i="2"/>
  <c r="AU747" i="2"/>
  <c r="AU748" i="2"/>
  <c r="AU749" i="2"/>
  <c r="AU750" i="2"/>
  <c r="AU751" i="2"/>
  <c r="AU752" i="2"/>
  <c r="AU754" i="2"/>
  <c r="AU755" i="2"/>
  <c r="AU756" i="2"/>
  <c r="AU757" i="2"/>
  <c r="AU758" i="2"/>
  <c r="AU759" i="2"/>
  <c r="AU760" i="2"/>
  <c r="AU761" i="2"/>
  <c r="AU762" i="2"/>
  <c r="AU763" i="2"/>
  <c r="AU764" i="2"/>
  <c r="AU765" i="2"/>
  <c r="AU766" i="2"/>
  <c r="AU767" i="2"/>
  <c r="AU768" i="2"/>
  <c r="AU770" i="2"/>
  <c r="AU771" i="2"/>
  <c r="AU772" i="2"/>
  <c r="AU773" i="2"/>
  <c r="AU774" i="2"/>
  <c r="AU775" i="2"/>
  <c r="AU776" i="2"/>
  <c r="AU777" i="2"/>
  <c r="AU778" i="2"/>
  <c r="AU779" i="2"/>
  <c r="AU780" i="2"/>
  <c r="AU781" i="2"/>
  <c r="AU782" i="2"/>
  <c r="AU783" i="2"/>
  <c r="AU784" i="2"/>
  <c r="AU785" i="2"/>
  <c r="AU786" i="2"/>
  <c r="AU787" i="2"/>
  <c r="AU788" i="2"/>
  <c r="AU789" i="2"/>
  <c r="AU790" i="2"/>
  <c r="AU791" i="2"/>
  <c r="AU792" i="2"/>
  <c r="AU793" i="2"/>
  <c r="AU794" i="2"/>
  <c r="AU795" i="2"/>
  <c r="AU796" i="2"/>
  <c r="AU3" i="2"/>
  <c r="AV3" i="2" l="1"/>
  <c r="AV789" i="2" l="1"/>
  <c r="AL789" i="2"/>
  <c r="F789" i="2"/>
  <c r="O789" i="2" s="1"/>
  <c r="F796" i="2"/>
  <c r="O796" i="2" s="1"/>
  <c r="AV796" i="2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F3" i="2"/>
  <c r="O3" i="2" s="1"/>
  <c r="F4" i="2"/>
  <c r="O4" i="2" s="1"/>
  <c r="F5" i="2"/>
  <c r="O5" i="2" s="1"/>
  <c r="F6" i="2"/>
  <c r="O6" i="2" s="1"/>
  <c r="F7" i="2"/>
  <c r="O7" i="2" s="1"/>
  <c r="F8" i="2"/>
  <c r="O8" i="2" s="1"/>
  <c r="F9" i="2"/>
  <c r="O9" i="2" s="1"/>
  <c r="F10" i="2"/>
  <c r="O10" i="2" s="1"/>
  <c r="F11" i="2"/>
  <c r="O11" i="2" s="1"/>
  <c r="F12" i="2"/>
  <c r="O12" i="2" s="1"/>
  <c r="F13" i="2"/>
  <c r="O13" i="2" s="1"/>
  <c r="F14" i="2"/>
  <c r="O14" i="2" s="1"/>
  <c r="F15" i="2"/>
  <c r="F16" i="2"/>
  <c r="F17" i="2"/>
  <c r="F18" i="2"/>
  <c r="F19" i="2"/>
  <c r="F20" i="2"/>
  <c r="F21" i="2"/>
  <c r="F22" i="2"/>
  <c r="O22" i="2" s="1"/>
  <c r="F23" i="2"/>
  <c r="F24" i="2"/>
  <c r="F25" i="2"/>
  <c r="F26" i="2"/>
  <c r="F27" i="2"/>
  <c r="F28" i="2"/>
  <c r="F29" i="2"/>
  <c r="F30" i="2"/>
  <c r="O30" i="2" s="1"/>
  <c r="F31" i="2"/>
  <c r="O31" i="2" s="1"/>
  <c r="F32" i="2"/>
  <c r="O32" i="2" s="1"/>
  <c r="F33" i="2"/>
  <c r="F34" i="2"/>
  <c r="F35" i="2"/>
  <c r="F36" i="2"/>
  <c r="F37" i="2"/>
  <c r="F38" i="2"/>
  <c r="F39" i="2"/>
  <c r="F40" i="2"/>
  <c r="F41" i="2"/>
  <c r="F42" i="2"/>
  <c r="O42" i="2" s="1"/>
  <c r="F43" i="2"/>
  <c r="O43" i="2" s="1"/>
  <c r="F44" i="2"/>
  <c r="O44" i="2" s="1"/>
  <c r="F45" i="2"/>
  <c r="F46" i="2"/>
  <c r="F47" i="2"/>
  <c r="F48" i="2"/>
  <c r="F49" i="2"/>
  <c r="F50" i="2"/>
  <c r="F51" i="2"/>
  <c r="F52" i="2"/>
  <c r="F53" i="2"/>
  <c r="F54" i="2"/>
  <c r="O54" i="2" s="1"/>
  <c r="F55" i="2"/>
  <c r="O55" i="2" s="1"/>
  <c r="F56" i="2"/>
  <c r="O56" i="2" s="1"/>
  <c r="F57" i="2"/>
  <c r="O57" i="2" s="1"/>
  <c r="F58" i="2"/>
  <c r="O58" i="2" s="1"/>
  <c r="F59" i="2"/>
  <c r="O59" i="2" s="1"/>
  <c r="F60" i="2"/>
  <c r="O60" i="2" s="1"/>
  <c r="F61" i="2"/>
  <c r="O61" i="2" s="1"/>
  <c r="F62" i="2"/>
  <c r="O62" i="2" s="1"/>
  <c r="F63" i="2"/>
  <c r="O63" i="2" s="1"/>
  <c r="F64" i="2"/>
  <c r="O64" i="2" s="1"/>
  <c r="F65" i="2"/>
  <c r="O65" i="2" s="1"/>
  <c r="F66" i="2"/>
  <c r="O66" i="2" s="1"/>
  <c r="F67" i="2"/>
  <c r="O67" i="2" s="1"/>
  <c r="F68" i="2"/>
  <c r="O68" i="2" s="1"/>
  <c r="F69" i="2"/>
  <c r="O69" i="2" s="1"/>
  <c r="F70" i="2"/>
  <c r="O70" i="2" s="1"/>
  <c r="F71" i="2"/>
  <c r="O71" i="2" s="1"/>
  <c r="F104" i="2"/>
  <c r="O104" i="2" s="1"/>
  <c r="F105" i="2"/>
  <c r="O105" i="2" s="1"/>
  <c r="F106" i="2"/>
  <c r="F107" i="2"/>
  <c r="F108" i="2"/>
  <c r="F109" i="2"/>
  <c r="F110" i="2"/>
  <c r="F111" i="2"/>
  <c r="F112" i="2"/>
  <c r="F113" i="2"/>
  <c r="O113" i="2" s="1"/>
  <c r="F114" i="2"/>
  <c r="O114" i="2" s="1"/>
  <c r="F115" i="2"/>
  <c r="O115" i="2" s="1"/>
  <c r="F116" i="2"/>
  <c r="O116" i="2" s="1"/>
  <c r="F117" i="2"/>
  <c r="O117" i="2" s="1"/>
  <c r="F118" i="2"/>
  <c r="O118" i="2" s="1"/>
  <c r="F119" i="2"/>
  <c r="O119" i="2" s="1"/>
  <c r="F120" i="2"/>
  <c r="O120" i="2" s="1"/>
  <c r="F121" i="2"/>
  <c r="O121" i="2" s="1"/>
  <c r="F122" i="2"/>
  <c r="O122" i="2" s="1"/>
  <c r="F123" i="2"/>
  <c r="F124" i="2"/>
  <c r="F125" i="2"/>
  <c r="O125" i="2" s="1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O151" i="2" s="1"/>
  <c r="F152" i="2"/>
  <c r="O152" i="2" s="1"/>
  <c r="F153" i="2"/>
  <c r="O153" i="2" s="1"/>
  <c r="F154" i="2"/>
  <c r="O154" i="2" s="1"/>
  <c r="F155" i="2"/>
  <c r="O155" i="2" s="1"/>
  <c r="F156" i="2"/>
  <c r="O156" i="2" s="1"/>
  <c r="F157" i="2"/>
  <c r="O157" i="2" s="1"/>
  <c r="F158" i="2"/>
  <c r="O158" i="2" s="1"/>
  <c r="F159" i="2"/>
  <c r="O159" i="2" s="1"/>
  <c r="F160" i="2"/>
  <c r="O160" i="2" s="1"/>
  <c r="F161" i="2"/>
  <c r="O161" i="2" s="1"/>
  <c r="F162" i="2"/>
  <c r="O162" i="2" s="1"/>
  <c r="F163" i="2"/>
  <c r="O163" i="2" s="1"/>
  <c r="F164" i="2"/>
  <c r="O164" i="2" s="1"/>
  <c r="F165" i="2"/>
  <c r="O165" i="2" s="1"/>
  <c r="F166" i="2"/>
  <c r="O166" i="2" s="1"/>
  <c r="F167" i="2"/>
  <c r="O167" i="2" s="1"/>
  <c r="F168" i="2"/>
  <c r="O168" i="2" s="1"/>
  <c r="F169" i="2"/>
  <c r="O169" i="2" s="1"/>
  <c r="F170" i="2"/>
  <c r="O170" i="2" s="1"/>
  <c r="F171" i="2"/>
  <c r="O171" i="2" s="1"/>
  <c r="F172" i="2"/>
  <c r="O172" i="2" s="1"/>
  <c r="F173" i="2"/>
  <c r="O173" i="2" s="1"/>
  <c r="F174" i="2"/>
  <c r="O174" i="2" s="1"/>
  <c r="F175" i="2"/>
  <c r="O175" i="2" s="1"/>
  <c r="F176" i="2"/>
  <c r="O176" i="2" s="1"/>
  <c r="F177" i="2"/>
  <c r="F178" i="2"/>
  <c r="F179" i="2"/>
  <c r="O179" i="2" s="1"/>
  <c r="F180" i="2"/>
  <c r="F181" i="2"/>
  <c r="O181" i="2" s="1"/>
  <c r="F182" i="2"/>
  <c r="O182" i="2" s="1"/>
  <c r="F183" i="2"/>
  <c r="O183" i="2" s="1"/>
  <c r="F184" i="2"/>
  <c r="O184" i="2" s="1"/>
  <c r="F185" i="2"/>
  <c r="O185" i="2" s="1"/>
  <c r="F186" i="2"/>
  <c r="O186" i="2" s="1"/>
  <c r="F187" i="2"/>
  <c r="O187" i="2" s="1"/>
  <c r="F188" i="2"/>
  <c r="O188" i="2" s="1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O202" i="2" s="1"/>
  <c r="F203" i="2"/>
  <c r="O203" i="2" s="1"/>
  <c r="F204" i="2"/>
  <c r="O204" i="2" s="1"/>
  <c r="F205" i="2"/>
  <c r="O205" i="2" s="1"/>
  <c r="F206" i="2"/>
  <c r="O206" i="2" s="1"/>
  <c r="F207" i="2"/>
  <c r="O207" i="2" s="1"/>
  <c r="F208" i="2"/>
  <c r="O208" i="2" s="1"/>
  <c r="F209" i="2"/>
  <c r="O209" i="2" s="1"/>
  <c r="F210" i="2"/>
  <c r="O210" i="2" s="1"/>
  <c r="F211" i="2"/>
  <c r="O211" i="2" s="1"/>
  <c r="F212" i="2"/>
  <c r="F213" i="2"/>
  <c r="F214" i="2"/>
  <c r="F215" i="2"/>
  <c r="F216" i="2"/>
  <c r="F217" i="2"/>
  <c r="F218" i="2"/>
  <c r="O218" i="2" s="1"/>
  <c r="F219" i="2"/>
  <c r="O219" i="2" s="1"/>
  <c r="F220" i="2"/>
  <c r="O220" i="2" s="1"/>
  <c r="F221" i="2"/>
  <c r="O221" i="2" s="1"/>
  <c r="F222" i="2"/>
  <c r="O222" i="2" s="1"/>
  <c r="F223" i="2"/>
  <c r="O223" i="2" s="1"/>
  <c r="F224" i="2"/>
  <c r="F225" i="2"/>
  <c r="F226" i="2"/>
  <c r="F227" i="2"/>
  <c r="O227" i="2" s="1"/>
  <c r="F228" i="2"/>
  <c r="O228" i="2" s="1"/>
  <c r="F229" i="2"/>
  <c r="O229" i="2" s="1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7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O365" i="2" s="1"/>
  <c r="F366" i="2"/>
  <c r="O366" i="2" s="1"/>
  <c r="F367" i="2"/>
  <c r="O367" i="2" s="1"/>
  <c r="F368" i="2"/>
  <c r="O368" i="2" s="1"/>
  <c r="F369" i="2"/>
  <c r="O369" i="2" s="1"/>
  <c r="F370" i="2"/>
  <c r="O370" i="2" s="1"/>
  <c r="F371" i="2"/>
  <c r="O371" i="2" s="1"/>
  <c r="F372" i="2"/>
  <c r="O372" i="2" s="1"/>
  <c r="F373" i="2"/>
  <c r="O373" i="2" s="1"/>
  <c r="F374" i="2"/>
  <c r="O374" i="2" s="1"/>
  <c r="F375" i="2"/>
  <c r="O375" i="2" s="1"/>
  <c r="F376" i="2"/>
  <c r="O376" i="2" s="1"/>
  <c r="F377" i="2"/>
  <c r="O377" i="2" s="1"/>
  <c r="F378" i="2"/>
  <c r="O378" i="2" s="1"/>
  <c r="F379" i="2"/>
  <c r="O379" i="2" s="1"/>
  <c r="F380" i="2"/>
  <c r="O380" i="2" s="1"/>
  <c r="F381" i="2"/>
  <c r="O381" i="2" s="1"/>
  <c r="F382" i="2"/>
  <c r="O382" i="2" s="1"/>
  <c r="F383" i="2"/>
  <c r="O383" i="2" s="1"/>
  <c r="F384" i="2"/>
  <c r="O384" i="2" s="1"/>
  <c r="F385" i="2"/>
  <c r="O385" i="2" s="1"/>
  <c r="F386" i="2"/>
  <c r="O386" i="2" s="1"/>
  <c r="F387" i="2"/>
  <c r="O387" i="2" s="1"/>
  <c r="F388" i="2"/>
  <c r="O388" i="2" s="1"/>
  <c r="F389" i="2"/>
  <c r="O389" i="2" s="1"/>
  <c r="F390" i="2"/>
  <c r="O390" i="2" s="1"/>
  <c r="F391" i="2"/>
  <c r="O391" i="2" s="1"/>
  <c r="F392" i="2"/>
  <c r="O392" i="2" s="1"/>
  <c r="F393" i="2"/>
  <c r="O393" i="2" s="1"/>
  <c r="F394" i="2"/>
  <c r="O394" i="2" s="1"/>
  <c r="F395" i="2"/>
  <c r="O395" i="2" s="1"/>
  <c r="F396" i="2"/>
  <c r="O396" i="2" s="1"/>
  <c r="F397" i="2"/>
  <c r="O397" i="2" s="1"/>
  <c r="F398" i="2"/>
  <c r="O398" i="2" s="1"/>
  <c r="F399" i="2"/>
  <c r="O399" i="2" s="1"/>
  <c r="F400" i="2"/>
  <c r="O400" i="2" s="1"/>
  <c r="F401" i="2"/>
  <c r="O401" i="2" s="1"/>
  <c r="F402" i="2"/>
  <c r="O402" i="2" s="1"/>
  <c r="F403" i="2"/>
  <c r="O403" i="2" s="1"/>
  <c r="F404" i="2"/>
  <c r="O404" i="2" s="1"/>
  <c r="F405" i="2"/>
  <c r="O405" i="2" s="1"/>
  <c r="F406" i="2"/>
  <c r="O406" i="2" s="1"/>
  <c r="F407" i="2"/>
  <c r="O407" i="2" s="1"/>
  <c r="F408" i="2"/>
  <c r="O408" i="2" s="1"/>
  <c r="F409" i="2"/>
  <c r="O409" i="2" s="1"/>
  <c r="F410" i="2"/>
  <c r="O410" i="2" s="1"/>
  <c r="F411" i="2"/>
  <c r="O411" i="2" s="1"/>
  <c r="F412" i="2"/>
  <c r="O412" i="2" s="1"/>
  <c r="F413" i="2"/>
  <c r="O413" i="2" s="1"/>
  <c r="F414" i="2"/>
  <c r="O414" i="2" s="1"/>
  <c r="F415" i="2"/>
  <c r="O415" i="2" s="1"/>
  <c r="F416" i="2"/>
  <c r="O416" i="2" s="1"/>
  <c r="F417" i="2"/>
  <c r="O417" i="2" s="1"/>
  <c r="F418" i="2"/>
  <c r="O418" i="2" s="1"/>
  <c r="F419" i="2"/>
  <c r="O419" i="2" s="1"/>
  <c r="F420" i="2"/>
  <c r="O420" i="2" s="1"/>
  <c r="F421" i="2"/>
  <c r="O421" i="2" s="1"/>
  <c r="F422" i="2"/>
  <c r="O422" i="2" s="1"/>
  <c r="F423" i="2"/>
  <c r="O423" i="2" s="1"/>
  <c r="F424" i="2"/>
  <c r="O424" i="2" s="1"/>
  <c r="F425" i="2"/>
  <c r="O425" i="2" s="1"/>
  <c r="F426" i="2"/>
  <c r="O426" i="2" s="1"/>
  <c r="F427" i="2"/>
  <c r="O427" i="2" s="1"/>
  <c r="F428" i="2"/>
  <c r="O428" i="2" s="1"/>
  <c r="F429" i="2"/>
  <c r="O429" i="2" s="1"/>
  <c r="F430" i="2"/>
  <c r="O430" i="2" s="1"/>
  <c r="F431" i="2"/>
  <c r="O431" i="2" s="1"/>
  <c r="F432" i="2"/>
  <c r="O432" i="2" s="1"/>
  <c r="F433" i="2"/>
  <c r="O433" i="2" s="1"/>
  <c r="F434" i="2"/>
  <c r="O434" i="2" s="1"/>
  <c r="F435" i="2"/>
  <c r="O435" i="2" s="1"/>
  <c r="F436" i="2"/>
  <c r="O436" i="2" s="1"/>
  <c r="F437" i="2"/>
  <c r="O437" i="2" s="1"/>
  <c r="F438" i="2"/>
  <c r="O438" i="2" s="1"/>
  <c r="F439" i="2"/>
  <c r="O439" i="2" s="1"/>
  <c r="F440" i="2"/>
  <c r="O440" i="2" s="1"/>
  <c r="F441" i="2"/>
  <c r="O441" i="2" s="1"/>
  <c r="F442" i="2"/>
  <c r="O442" i="2" s="1"/>
  <c r="F443" i="2"/>
  <c r="O443" i="2" s="1"/>
  <c r="F444" i="2"/>
  <c r="O444" i="2" s="1"/>
  <c r="F445" i="2"/>
  <c r="O445" i="2" s="1"/>
  <c r="F446" i="2"/>
  <c r="O446" i="2" s="1"/>
  <c r="F447" i="2"/>
  <c r="O447" i="2" s="1"/>
  <c r="F448" i="2"/>
  <c r="O448" i="2" s="1"/>
  <c r="F449" i="2"/>
  <c r="O449" i="2" s="1"/>
  <c r="F450" i="2"/>
  <c r="O450" i="2" s="1"/>
  <c r="F451" i="2"/>
  <c r="O451" i="2" s="1"/>
  <c r="F452" i="2"/>
  <c r="O452" i="2" s="1"/>
  <c r="F453" i="2"/>
  <c r="O453" i="2" s="1"/>
  <c r="F454" i="2"/>
  <c r="O454" i="2" s="1"/>
  <c r="F455" i="2"/>
  <c r="O455" i="2" s="1"/>
  <c r="F456" i="2"/>
  <c r="O456" i="2" s="1"/>
  <c r="F457" i="2"/>
  <c r="O457" i="2" s="1"/>
  <c r="F458" i="2"/>
  <c r="O458" i="2" s="1"/>
  <c r="F459" i="2"/>
  <c r="O459" i="2" s="1"/>
  <c r="F460" i="2"/>
  <c r="O460" i="2" s="1"/>
  <c r="F461" i="2"/>
  <c r="O461" i="2" s="1"/>
  <c r="F462" i="2"/>
  <c r="O462" i="2" s="1"/>
  <c r="F463" i="2"/>
  <c r="O463" i="2" s="1"/>
  <c r="F464" i="2"/>
  <c r="O464" i="2" s="1"/>
  <c r="F465" i="2"/>
  <c r="O465" i="2" s="1"/>
  <c r="F466" i="2"/>
  <c r="O466" i="2" s="1"/>
  <c r="F467" i="2"/>
  <c r="O467" i="2" s="1"/>
  <c r="F468" i="2"/>
  <c r="O468" i="2" s="1"/>
  <c r="F469" i="2"/>
  <c r="O469" i="2" s="1"/>
  <c r="F470" i="2"/>
  <c r="O470" i="2" s="1"/>
  <c r="F471" i="2"/>
  <c r="O471" i="2" s="1"/>
  <c r="F472" i="2"/>
  <c r="O472" i="2" s="1"/>
  <c r="F473" i="2"/>
  <c r="O473" i="2" s="1"/>
  <c r="F474" i="2"/>
  <c r="O474" i="2" s="1"/>
  <c r="F475" i="2"/>
  <c r="O475" i="2" s="1"/>
  <c r="F476" i="2"/>
  <c r="O476" i="2" s="1"/>
  <c r="F477" i="2"/>
  <c r="O477" i="2" s="1"/>
  <c r="F478" i="2"/>
  <c r="O478" i="2" s="1"/>
  <c r="F479" i="2"/>
  <c r="O479" i="2" s="1"/>
  <c r="F480" i="2"/>
  <c r="O480" i="2" s="1"/>
  <c r="F481" i="2"/>
  <c r="O481" i="2" s="1"/>
  <c r="F482" i="2"/>
  <c r="O482" i="2" s="1"/>
  <c r="F483" i="2"/>
  <c r="O483" i="2" s="1"/>
  <c r="F484" i="2"/>
  <c r="O484" i="2" s="1"/>
  <c r="F505" i="2"/>
  <c r="O505" i="2" s="1"/>
  <c r="F506" i="2"/>
  <c r="O506" i="2" s="1"/>
  <c r="F507" i="2"/>
  <c r="O507" i="2" s="1"/>
  <c r="F508" i="2"/>
  <c r="O508" i="2" s="1"/>
  <c r="F509" i="2"/>
  <c r="O509" i="2" s="1"/>
  <c r="F510" i="2"/>
  <c r="O510" i="2" s="1"/>
  <c r="F511" i="2"/>
  <c r="O511" i="2" s="1"/>
  <c r="F512" i="2"/>
  <c r="O512" i="2" s="1"/>
  <c r="F513" i="2"/>
  <c r="O513" i="2" s="1"/>
  <c r="F514" i="2"/>
  <c r="O514" i="2" s="1"/>
  <c r="F515" i="2"/>
  <c r="O515" i="2" s="1"/>
  <c r="F516" i="2"/>
  <c r="O516" i="2" s="1"/>
  <c r="F517" i="2"/>
  <c r="O517" i="2" s="1"/>
  <c r="F518" i="2"/>
  <c r="O518" i="2" s="1"/>
  <c r="F519" i="2"/>
  <c r="O519" i="2" s="1"/>
  <c r="F520" i="2"/>
  <c r="O520" i="2" s="1"/>
  <c r="F521" i="2"/>
  <c r="O521" i="2" s="1"/>
  <c r="F522" i="2"/>
  <c r="O522" i="2" s="1"/>
  <c r="F523" i="2"/>
  <c r="O523" i="2" s="1"/>
  <c r="F524" i="2"/>
  <c r="O524" i="2" s="1"/>
  <c r="F525" i="2"/>
  <c r="O525" i="2" s="1"/>
  <c r="F526" i="2"/>
  <c r="O526" i="2" s="1"/>
  <c r="F527" i="2"/>
  <c r="O527" i="2" s="1"/>
  <c r="F528" i="2"/>
  <c r="O528" i="2" s="1"/>
  <c r="F529" i="2"/>
  <c r="O529" i="2" s="1"/>
  <c r="F530" i="2"/>
  <c r="O530" i="2" s="1"/>
  <c r="F531" i="2"/>
  <c r="O531" i="2" s="1"/>
  <c r="F532" i="2"/>
  <c r="O532" i="2" s="1"/>
  <c r="F533" i="2"/>
  <c r="O533" i="2" s="1"/>
  <c r="F534" i="2"/>
  <c r="O534" i="2" s="1"/>
  <c r="F535" i="2"/>
  <c r="O535" i="2" s="1"/>
  <c r="F536" i="2"/>
  <c r="O536" i="2" s="1"/>
  <c r="F537" i="2"/>
  <c r="O537" i="2" s="1"/>
  <c r="F538" i="2"/>
  <c r="O538" i="2" s="1"/>
  <c r="F539" i="2"/>
  <c r="O539" i="2" s="1"/>
  <c r="F540" i="2"/>
  <c r="O540" i="2" s="1"/>
  <c r="F541" i="2"/>
  <c r="O541" i="2" s="1"/>
  <c r="F542" i="2"/>
  <c r="O542" i="2" s="1"/>
  <c r="F543" i="2"/>
  <c r="O543" i="2" s="1"/>
  <c r="F544" i="2"/>
  <c r="O544" i="2" s="1"/>
  <c r="F545" i="2"/>
  <c r="O545" i="2" s="1"/>
  <c r="F546" i="2"/>
  <c r="O546" i="2" s="1"/>
  <c r="F547" i="2"/>
  <c r="O547" i="2" s="1"/>
  <c r="F548" i="2"/>
  <c r="O548" i="2" s="1"/>
  <c r="F549" i="2"/>
  <c r="O549" i="2" s="1"/>
  <c r="F550" i="2"/>
  <c r="O550" i="2" s="1"/>
  <c r="F551" i="2"/>
  <c r="O551" i="2" s="1"/>
  <c r="F552" i="2"/>
  <c r="O552" i="2" s="1"/>
  <c r="F553" i="2"/>
  <c r="O553" i="2" s="1"/>
  <c r="F554" i="2"/>
  <c r="O554" i="2" s="1"/>
  <c r="F555" i="2"/>
  <c r="O555" i="2" s="1"/>
  <c r="F556" i="2"/>
  <c r="O556" i="2" s="1"/>
  <c r="F557" i="2"/>
  <c r="O557" i="2" s="1"/>
  <c r="F558" i="2"/>
  <c r="O558" i="2" s="1"/>
  <c r="F559" i="2"/>
  <c r="O559" i="2" s="1"/>
  <c r="F560" i="2"/>
  <c r="O560" i="2" s="1"/>
  <c r="F561" i="2"/>
  <c r="O561" i="2" s="1"/>
  <c r="F562" i="2"/>
  <c r="O562" i="2" s="1"/>
  <c r="F563" i="2"/>
  <c r="O563" i="2" s="1"/>
  <c r="F564" i="2"/>
  <c r="O564" i="2" s="1"/>
  <c r="F565" i="2"/>
  <c r="O565" i="2" s="1"/>
  <c r="F566" i="2"/>
  <c r="O566" i="2" s="1"/>
  <c r="F567" i="2"/>
  <c r="O567" i="2" s="1"/>
  <c r="F568" i="2"/>
  <c r="O568" i="2" s="1"/>
  <c r="F569" i="2"/>
  <c r="O569" i="2" s="1"/>
  <c r="F570" i="2"/>
  <c r="O570" i="2" s="1"/>
  <c r="F571" i="2"/>
  <c r="O571" i="2" s="1"/>
  <c r="F572" i="2"/>
  <c r="O572" i="2" s="1"/>
  <c r="F573" i="2"/>
  <c r="O573" i="2" s="1"/>
  <c r="F574" i="2"/>
  <c r="O574" i="2" s="1"/>
  <c r="F575" i="2"/>
  <c r="O575" i="2" s="1"/>
  <c r="F576" i="2"/>
  <c r="O576" i="2" s="1"/>
  <c r="F577" i="2"/>
  <c r="O577" i="2" s="1"/>
  <c r="F578" i="2"/>
  <c r="O578" i="2" s="1"/>
  <c r="F579" i="2"/>
  <c r="O579" i="2" s="1"/>
  <c r="F580" i="2"/>
  <c r="O580" i="2" s="1"/>
  <c r="F581" i="2"/>
  <c r="O581" i="2" s="1"/>
  <c r="F582" i="2"/>
  <c r="O582" i="2" s="1"/>
  <c r="F583" i="2"/>
  <c r="O583" i="2" s="1"/>
  <c r="F584" i="2"/>
  <c r="O584" i="2" s="1"/>
  <c r="F585" i="2"/>
  <c r="O585" i="2" s="1"/>
  <c r="F586" i="2"/>
  <c r="O586" i="2" s="1"/>
  <c r="F587" i="2"/>
  <c r="O587" i="2" s="1"/>
  <c r="F588" i="2"/>
  <c r="O588" i="2" s="1"/>
  <c r="F589" i="2"/>
  <c r="O589" i="2" s="1"/>
  <c r="F590" i="2"/>
  <c r="O590" i="2" s="1"/>
  <c r="F591" i="2"/>
  <c r="O591" i="2" s="1"/>
  <c r="F592" i="2"/>
  <c r="O592" i="2" s="1"/>
  <c r="F593" i="2"/>
  <c r="O593" i="2" s="1"/>
  <c r="F594" i="2"/>
  <c r="O594" i="2" s="1"/>
  <c r="F595" i="2"/>
  <c r="O595" i="2" s="1"/>
  <c r="F596" i="2"/>
  <c r="O596" i="2" s="1"/>
  <c r="F597" i="2"/>
  <c r="O597" i="2" s="1"/>
  <c r="F598" i="2"/>
  <c r="O598" i="2" s="1"/>
  <c r="F599" i="2"/>
  <c r="O599" i="2" s="1"/>
  <c r="F600" i="2"/>
  <c r="O600" i="2" s="1"/>
  <c r="F601" i="2"/>
  <c r="O601" i="2" s="1"/>
  <c r="F602" i="2"/>
  <c r="O602" i="2" s="1"/>
  <c r="F603" i="2"/>
  <c r="O603" i="2" s="1"/>
  <c r="F604" i="2"/>
  <c r="O604" i="2" s="1"/>
  <c r="F605" i="2"/>
  <c r="O605" i="2" s="1"/>
  <c r="F606" i="2"/>
  <c r="O606" i="2" s="1"/>
  <c r="F607" i="2"/>
  <c r="O607" i="2" s="1"/>
  <c r="F608" i="2"/>
  <c r="O608" i="2" s="1"/>
  <c r="F609" i="2"/>
  <c r="O609" i="2" s="1"/>
  <c r="F610" i="2"/>
  <c r="O610" i="2" s="1"/>
  <c r="F611" i="2"/>
  <c r="O611" i="2" s="1"/>
  <c r="F612" i="2"/>
  <c r="O612" i="2" s="1"/>
  <c r="F613" i="2"/>
  <c r="O613" i="2" s="1"/>
  <c r="F614" i="2"/>
  <c r="O614" i="2" s="1"/>
  <c r="F615" i="2"/>
  <c r="O615" i="2" s="1"/>
  <c r="F616" i="2"/>
  <c r="O616" i="2" s="1"/>
  <c r="F617" i="2"/>
  <c r="O617" i="2" s="1"/>
  <c r="F618" i="2"/>
  <c r="O618" i="2" s="1"/>
  <c r="F619" i="2"/>
  <c r="O619" i="2" s="1"/>
  <c r="F620" i="2"/>
  <c r="O620" i="2" s="1"/>
  <c r="F621" i="2"/>
  <c r="O621" i="2" s="1"/>
  <c r="F622" i="2"/>
  <c r="O622" i="2" s="1"/>
  <c r="F623" i="2"/>
  <c r="O623" i="2" s="1"/>
  <c r="F624" i="2"/>
  <c r="O624" i="2" s="1"/>
  <c r="F625" i="2"/>
  <c r="O625" i="2" s="1"/>
  <c r="F626" i="2"/>
  <c r="O626" i="2" s="1"/>
  <c r="F627" i="2"/>
  <c r="O627" i="2" s="1"/>
  <c r="F628" i="2"/>
  <c r="O628" i="2" s="1"/>
  <c r="F629" i="2"/>
  <c r="O629" i="2" s="1"/>
  <c r="F630" i="2"/>
  <c r="O630" i="2" s="1"/>
  <c r="F631" i="2"/>
  <c r="O631" i="2" s="1"/>
  <c r="F632" i="2"/>
  <c r="O632" i="2" s="1"/>
  <c r="F633" i="2"/>
  <c r="O633" i="2" s="1"/>
  <c r="F634" i="2"/>
  <c r="O634" i="2" s="1"/>
  <c r="F635" i="2"/>
  <c r="O635" i="2" s="1"/>
  <c r="F636" i="2"/>
  <c r="O636" i="2" s="1"/>
  <c r="F637" i="2"/>
  <c r="O637" i="2" s="1"/>
  <c r="F638" i="2"/>
  <c r="O638" i="2" s="1"/>
  <c r="F639" i="2"/>
  <c r="O639" i="2" s="1"/>
  <c r="F640" i="2"/>
  <c r="O640" i="2" s="1"/>
  <c r="F641" i="2"/>
  <c r="O641" i="2" s="1"/>
  <c r="F642" i="2"/>
  <c r="O642" i="2" s="1"/>
  <c r="F643" i="2"/>
  <c r="O643" i="2" s="1"/>
  <c r="F644" i="2"/>
  <c r="O644" i="2" s="1"/>
  <c r="F645" i="2"/>
  <c r="O645" i="2" s="1"/>
  <c r="F646" i="2"/>
  <c r="O646" i="2" s="1"/>
  <c r="F647" i="2"/>
  <c r="O647" i="2" s="1"/>
  <c r="F648" i="2"/>
  <c r="O648" i="2" s="1"/>
  <c r="F649" i="2"/>
  <c r="O649" i="2" s="1"/>
  <c r="F650" i="2"/>
  <c r="O650" i="2" s="1"/>
  <c r="F651" i="2"/>
  <c r="O651" i="2" s="1"/>
  <c r="F652" i="2"/>
  <c r="O652" i="2" s="1"/>
  <c r="F653" i="2"/>
  <c r="O653" i="2" s="1"/>
  <c r="F654" i="2"/>
  <c r="O654" i="2" s="1"/>
  <c r="F655" i="2"/>
  <c r="O655" i="2" s="1"/>
  <c r="F656" i="2"/>
  <c r="O656" i="2" s="1"/>
  <c r="F657" i="2"/>
  <c r="O657" i="2" s="1"/>
  <c r="F658" i="2"/>
  <c r="O658" i="2" s="1"/>
  <c r="F659" i="2"/>
  <c r="O659" i="2" s="1"/>
  <c r="F660" i="2"/>
  <c r="O660" i="2" s="1"/>
  <c r="F661" i="2"/>
  <c r="O661" i="2" s="1"/>
  <c r="F662" i="2"/>
  <c r="O662" i="2" s="1"/>
  <c r="F663" i="2"/>
  <c r="O663" i="2" s="1"/>
  <c r="F664" i="2"/>
  <c r="O664" i="2" s="1"/>
  <c r="F665" i="2"/>
  <c r="O665" i="2" s="1"/>
  <c r="F666" i="2"/>
  <c r="O666" i="2" s="1"/>
  <c r="F667" i="2"/>
  <c r="O667" i="2" s="1"/>
  <c r="F668" i="2"/>
  <c r="O668" i="2" s="1"/>
  <c r="F669" i="2"/>
  <c r="O669" i="2" s="1"/>
  <c r="F670" i="2"/>
  <c r="O670" i="2" s="1"/>
  <c r="F671" i="2"/>
  <c r="O671" i="2" s="1"/>
  <c r="F672" i="2"/>
  <c r="O672" i="2" s="1"/>
  <c r="F673" i="2"/>
  <c r="O673" i="2" s="1"/>
  <c r="F674" i="2"/>
  <c r="O674" i="2" s="1"/>
  <c r="F675" i="2"/>
  <c r="O675" i="2" s="1"/>
  <c r="F676" i="2"/>
  <c r="O676" i="2" s="1"/>
  <c r="F677" i="2"/>
  <c r="O677" i="2" s="1"/>
  <c r="F678" i="2"/>
  <c r="O678" i="2" s="1"/>
  <c r="F679" i="2"/>
  <c r="O679" i="2" s="1"/>
  <c r="F680" i="2"/>
  <c r="O680" i="2" s="1"/>
  <c r="F681" i="2"/>
  <c r="O681" i="2" s="1"/>
  <c r="F682" i="2"/>
  <c r="O682" i="2" s="1"/>
  <c r="F683" i="2"/>
  <c r="O683" i="2" s="1"/>
  <c r="F684" i="2"/>
  <c r="O684" i="2" s="1"/>
  <c r="F685" i="2"/>
  <c r="O685" i="2" s="1"/>
  <c r="F686" i="2"/>
  <c r="O686" i="2" s="1"/>
  <c r="F687" i="2"/>
  <c r="O687" i="2" s="1"/>
  <c r="F688" i="2"/>
  <c r="O688" i="2" s="1"/>
  <c r="F689" i="2"/>
  <c r="O689" i="2" s="1"/>
  <c r="F690" i="2"/>
  <c r="O690" i="2" s="1"/>
  <c r="F691" i="2"/>
  <c r="O691" i="2" s="1"/>
  <c r="F692" i="2"/>
  <c r="O692" i="2" s="1"/>
  <c r="F693" i="2"/>
  <c r="O693" i="2" s="1"/>
  <c r="F694" i="2"/>
  <c r="O694" i="2" s="1"/>
  <c r="F695" i="2"/>
  <c r="O695" i="2" s="1"/>
  <c r="F696" i="2"/>
  <c r="O696" i="2" s="1"/>
  <c r="F697" i="2"/>
  <c r="O697" i="2" s="1"/>
  <c r="F698" i="2"/>
  <c r="O698" i="2" s="1"/>
  <c r="F699" i="2"/>
  <c r="O699" i="2" s="1"/>
  <c r="F700" i="2"/>
  <c r="O700" i="2" s="1"/>
  <c r="F701" i="2"/>
  <c r="O701" i="2" s="1"/>
  <c r="F702" i="2"/>
  <c r="O702" i="2" s="1"/>
  <c r="F703" i="2"/>
  <c r="O703" i="2" s="1"/>
  <c r="F704" i="2"/>
  <c r="O704" i="2" s="1"/>
  <c r="F705" i="2"/>
  <c r="O705" i="2" s="1"/>
  <c r="F706" i="2"/>
  <c r="O706" i="2" s="1"/>
  <c r="F707" i="2"/>
  <c r="O707" i="2" s="1"/>
  <c r="F708" i="2"/>
  <c r="O708" i="2" s="1"/>
  <c r="F709" i="2"/>
  <c r="O709" i="2" s="1"/>
  <c r="F710" i="2"/>
  <c r="O710" i="2" s="1"/>
  <c r="F711" i="2"/>
  <c r="O711" i="2" s="1"/>
  <c r="F712" i="2"/>
  <c r="O712" i="2" s="1"/>
  <c r="F713" i="2"/>
  <c r="O713" i="2" s="1"/>
  <c r="F714" i="2"/>
  <c r="O714" i="2" s="1"/>
  <c r="F715" i="2"/>
  <c r="O715" i="2" s="1"/>
  <c r="F716" i="2"/>
  <c r="O716" i="2" s="1"/>
  <c r="F717" i="2"/>
  <c r="O717" i="2" s="1"/>
  <c r="F718" i="2"/>
  <c r="O718" i="2" s="1"/>
  <c r="F719" i="2"/>
  <c r="O719" i="2" s="1"/>
  <c r="F720" i="2"/>
  <c r="O720" i="2" s="1"/>
  <c r="F721" i="2"/>
  <c r="O721" i="2" s="1"/>
  <c r="F722" i="2"/>
  <c r="O722" i="2" s="1"/>
  <c r="F723" i="2"/>
  <c r="O723" i="2" s="1"/>
  <c r="F724" i="2"/>
  <c r="O724" i="2" s="1"/>
  <c r="F725" i="2"/>
  <c r="O725" i="2" s="1"/>
  <c r="F726" i="2"/>
  <c r="O726" i="2" s="1"/>
  <c r="F727" i="2"/>
  <c r="O727" i="2" s="1"/>
  <c r="F728" i="2"/>
  <c r="O728" i="2" s="1"/>
  <c r="F729" i="2"/>
  <c r="O729" i="2" s="1"/>
  <c r="F730" i="2"/>
  <c r="O730" i="2" s="1"/>
  <c r="F731" i="2"/>
  <c r="O731" i="2" s="1"/>
  <c r="F732" i="2"/>
  <c r="O732" i="2" s="1"/>
  <c r="F733" i="2"/>
  <c r="O733" i="2" s="1"/>
  <c r="F734" i="2"/>
  <c r="O734" i="2" s="1"/>
  <c r="F735" i="2"/>
  <c r="O735" i="2" s="1"/>
  <c r="F736" i="2"/>
  <c r="O736" i="2" s="1"/>
  <c r="F737" i="2"/>
  <c r="O737" i="2" s="1"/>
  <c r="F738" i="2"/>
  <c r="O738" i="2" s="1"/>
  <c r="F739" i="2"/>
  <c r="O739" i="2" s="1"/>
  <c r="F740" i="2"/>
  <c r="O740" i="2" s="1"/>
  <c r="F741" i="2"/>
  <c r="O741" i="2" s="1"/>
  <c r="F742" i="2"/>
  <c r="O742" i="2" s="1"/>
  <c r="F743" i="2"/>
  <c r="O743" i="2" s="1"/>
  <c r="F744" i="2"/>
  <c r="O744" i="2" s="1"/>
  <c r="F745" i="2"/>
  <c r="O745" i="2" s="1"/>
  <c r="F746" i="2"/>
  <c r="O746" i="2" s="1"/>
  <c r="F747" i="2"/>
  <c r="O747" i="2" s="1"/>
  <c r="F748" i="2"/>
  <c r="O748" i="2" s="1"/>
  <c r="F749" i="2"/>
  <c r="O749" i="2" s="1"/>
  <c r="F750" i="2"/>
  <c r="O750" i="2" s="1"/>
  <c r="F751" i="2"/>
  <c r="O751" i="2" s="1"/>
  <c r="F752" i="2"/>
  <c r="O752" i="2" s="1"/>
  <c r="F753" i="2"/>
  <c r="O753" i="2" s="1"/>
  <c r="F754" i="2"/>
  <c r="O754" i="2" s="1"/>
  <c r="F755" i="2"/>
  <c r="O755" i="2" s="1"/>
  <c r="F756" i="2"/>
  <c r="O756" i="2" s="1"/>
  <c r="F757" i="2"/>
  <c r="O757" i="2" s="1"/>
  <c r="F758" i="2"/>
  <c r="O758" i="2" s="1"/>
  <c r="F759" i="2"/>
  <c r="O759" i="2" s="1"/>
  <c r="F760" i="2"/>
  <c r="O760" i="2" s="1"/>
  <c r="F761" i="2"/>
  <c r="O761" i="2" s="1"/>
  <c r="F762" i="2"/>
  <c r="O762" i="2" s="1"/>
  <c r="F763" i="2"/>
  <c r="O763" i="2" s="1"/>
  <c r="F764" i="2"/>
  <c r="O764" i="2" s="1"/>
  <c r="F765" i="2"/>
  <c r="O765" i="2" s="1"/>
  <c r="F766" i="2"/>
  <c r="O766" i="2" s="1"/>
  <c r="F767" i="2"/>
  <c r="O767" i="2" s="1"/>
  <c r="F768" i="2"/>
  <c r="O768" i="2" s="1"/>
  <c r="F769" i="2"/>
  <c r="O769" i="2" s="1"/>
  <c r="F770" i="2"/>
  <c r="O770" i="2" s="1"/>
  <c r="F771" i="2"/>
  <c r="O771" i="2" s="1"/>
  <c r="F772" i="2"/>
  <c r="O772" i="2" s="1"/>
  <c r="F773" i="2"/>
  <c r="O773" i="2" s="1"/>
  <c r="F774" i="2"/>
  <c r="O774" i="2" s="1"/>
  <c r="F775" i="2"/>
  <c r="O775" i="2" s="1"/>
  <c r="F776" i="2"/>
  <c r="O776" i="2" s="1"/>
  <c r="F777" i="2"/>
  <c r="O777" i="2" s="1"/>
  <c r="F778" i="2"/>
  <c r="O778" i="2" s="1"/>
  <c r="F779" i="2"/>
  <c r="O779" i="2" s="1"/>
  <c r="F780" i="2"/>
  <c r="O780" i="2" s="1"/>
  <c r="F781" i="2"/>
  <c r="O781" i="2" s="1"/>
  <c r="F782" i="2"/>
  <c r="O782" i="2" s="1"/>
  <c r="F783" i="2"/>
  <c r="O783" i="2" s="1"/>
  <c r="F784" i="2"/>
  <c r="O784" i="2" s="1"/>
  <c r="F785" i="2"/>
  <c r="O785" i="2" s="1"/>
  <c r="F786" i="2"/>
  <c r="O786" i="2" s="1"/>
  <c r="F787" i="2"/>
  <c r="O787" i="2" s="1"/>
  <c r="F788" i="2"/>
  <c r="O788" i="2" s="1"/>
  <c r="O21" i="2"/>
  <c r="O23" i="2"/>
  <c r="G504" i="2"/>
  <c r="F504" i="2" s="1"/>
  <c r="G503" i="2"/>
  <c r="F503" i="2" s="1"/>
  <c r="G502" i="2"/>
  <c r="F502" i="2" s="1"/>
  <c r="G501" i="2"/>
  <c r="F501" i="2" s="1"/>
  <c r="G500" i="2"/>
  <c r="F500" i="2" s="1"/>
  <c r="G499" i="2"/>
  <c r="F499" i="2" s="1"/>
  <c r="G498" i="2"/>
  <c r="F498" i="2" s="1"/>
  <c r="G497" i="2"/>
  <c r="F497" i="2" s="1"/>
  <c r="G496" i="2"/>
  <c r="F496" i="2" s="1"/>
  <c r="G495" i="2"/>
  <c r="F495" i="2" s="1"/>
  <c r="G494" i="2"/>
  <c r="F494" i="2" s="1"/>
  <c r="G493" i="2"/>
  <c r="F493" i="2" s="1"/>
  <c r="G492" i="2"/>
  <c r="F492" i="2" s="1"/>
  <c r="G491" i="2"/>
  <c r="F491" i="2" s="1"/>
  <c r="G490" i="2"/>
  <c r="F490" i="2" s="1"/>
  <c r="G489" i="2"/>
  <c r="F489" i="2" s="1"/>
  <c r="G488" i="2"/>
  <c r="F488" i="2" s="1"/>
  <c r="G487" i="2"/>
  <c r="F487" i="2" s="1"/>
  <c r="G486" i="2"/>
  <c r="F486" i="2" s="1"/>
  <c r="G485" i="2"/>
  <c r="F485" i="2" s="1"/>
  <c r="G280" i="2"/>
  <c r="G279" i="2"/>
  <c r="G278" i="2"/>
  <c r="G103" i="2"/>
  <c r="G99" i="2"/>
  <c r="G98" i="2"/>
  <c r="G94" i="2"/>
  <c r="G93" i="2"/>
  <c r="G89" i="2"/>
  <c r="G88" i="2"/>
  <c r="G84" i="2"/>
  <c r="BQ3" i="1"/>
  <c r="BQ4" i="1"/>
  <c r="BQ5" i="1"/>
  <c r="BQ6" i="1"/>
  <c r="BQ7" i="1"/>
  <c r="BQ8" i="1"/>
  <c r="BQ9" i="1"/>
  <c r="BQ10" i="1"/>
  <c r="BQ11" i="1"/>
  <c r="BQ12" i="1"/>
  <c r="BQ13" i="1"/>
  <c r="BQ14" i="1"/>
  <c r="BQ15" i="1"/>
  <c r="BQ16" i="1"/>
  <c r="BQ17" i="1"/>
  <c r="BQ18" i="1"/>
  <c r="BQ19" i="1"/>
  <c r="BQ20" i="1"/>
  <c r="BQ21" i="1"/>
  <c r="BQ44" i="1"/>
  <c r="BQ45" i="1"/>
  <c r="BQ46" i="1"/>
  <c r="BQ47" i="1"/>
  <c r="BQ48" i="1"/>
  <c r="BQ49" i="1"/>
  <c r="BQ50" i="1"/>
  <c r="BQ51" i="1"/>
  <c r="BQ52" i="1"/>
  <c r="BQ53" i="1"/>
  <c r="BQ54" i="1"/>
  <c r="BQ55" i="1"/>
  <c r="BQ56" i="1"/>
  <c r="BQ57" i="1"/>
  <c r="BQ58" i="1"/>
  <c r="BQ59" i="1"/>
  <c r="BQ60" i="1"/>
  <c r="BQ61" i="1"/>
  <c r="BQ62" i="1"/>
  <c r="BQ63" i="1"/>
  <c r="BQ64" i="1"/>
  <c r="BQ65" i="1"/>
  <c r="BQ66" i="1"/>
  <c r="BQ67" i="1"/>
  <c r="BQ68" i="1"/>
  <c r="BQ69" i="1"/>
  <c r="BQ70" i="1"/>
  <c r="BQ71" i="1"/>
  <c r="BQ72" i="1"/>
  <c r="BQ73" i="1"/>
  <c r="BQ74" i="1"/>
  <c r="BQ75" i="1"/>
  <c r="BQ76" i="1"/>
  <c r="BQ77" i="1"/>
  <c r="BQ78" i="1"/>
  <c r="BQ79" i="1"/>
  <c r="BQ80" i="1"/>
  <c r="BQ81" i="1"/>
  <c r="BQ164" i="1"/>
  <c r="BQ165" i="1"/>
  <c r="BQ166" i="1"/>
  <c r="BQ167" i="1"/>
  <c r="BQ168" i="1"/>
  <c r="BQ169" i="1"/>
  <c r="BQ170" i="1"/>
  <c r="BQ171" i="1"/>
  <c r="BQ172" i="1"/>
  <c r="BQ173" i="1"/>
  <c r="BQ199" i="1"/>
  <c r="BQ200" i="1"/>
  <c r="BQ201" i="1"/>
  <c r="BQ202" i="1"/>
  <c r="BQ203" i="1"/>
  <c r="BQ204" i="1"/>
  <c r="BQ205" i="1"/>
  <c r="BQ214" i="1"/>
  <c r="BQ233" i="1"/>
  <c r="BQ234" i="1"/>
  <c r="BQ235" i="1"/>
  <c r="BQ236" i="1"/>
  <c r="BQ237" i="1"/>
  <c r="BQ238" i="1"/>
  <c r="BQ239" i="1"/>
  <c r="BQ240" i="1"/>
  <c r="BQ241" i="1"/>
  <c r="BQ242" i="1"/>
  <c r="BQ243" i="1"/>
  <c r="BQ244" i="1"/>
  <c r="BQ245" i="1"/>
  <c r="BQ246" i="1"/>
  <c r="BQ247" i="1"/>
  <c r="BQ248" i="1"/>
  <c r="BQ251" i="1"/>
  <c r="BQ261" i="1"/>
  <c r="BQ262" i="1"/>
  <c r="BQ263" i="1"/>
  <c r="BQ264" i="1"/>
  <c r="BQ265" i="1"/>
  <c r="BQ266" i="1"/>
  <c r="BQ267" i="1"/>
  <c r="BQ268" i="1"/>
  <c r="BQ269" i="1"/>
  <c r="BQ270" i="1"/>
  <c r="BQ271" i="1"/>
  <c r="BQ272" i="1"/>
  <c r="BQ273" i="1"/>
  <c r="BQ274" i="1"/>
  <c r="BQ275" i="1"/>
  <c r="BQ276" i="1"/>
  <c r="BQ277" i="1"/>
  <c r="BQ278" i="1"/>
  <c r="BQ279" i="1"/>
  <c r="BQ280" i="1"/>
  <c r="BQ281" i="1"/>
  <c r="BQ282" i="1"/>
  <c r="BQ283" i="1"/>
  <c r="BQ284" i="1"/>
  <c r="BQ285" i="1"/>
  <c r="BQ286" i="1"/>
  <c r="BQ287" i="1"/>
  <c r="BQ288" i="1"/>
  <c r="BQ289" i="1"/>
  <c r="BQ290" i="1"/>
  <c r="BQ291" i="1"/>
  <c r="BQ292" i="1"/>
  <c r="BQ293" i="1"/>
  <c r="BQ294" i="1"/>
  <c r="BQ295" i="1"/>
  <c r="BQ296" i="1"/>
  <c r="BQ297" i="1"/>
  <c r="BQ298" i="1"/>
  <c r="BQ299" i="1"/>
  <c r="BQ300" i="1"/>
  <c r="BQ301" i="1"/>
  <c r="BQ302" i="1"/>
  <c r="BQ303" i="1"/>
  <c r="BQ304" i="1"/>
  <c r="BQ305" i="1"/>
  <c r="BQ306" i="1"/>
  <c r="BQ307" i="1"/>
  <c r="BQ308" i="1"/>
  <c r="BQ309" i="1"/>
  <c r="BQ310" i="1"/>
  <c r="BQ311" i="1"/>
  <c r="BQ312" i="1"/>
  <c r="BQ313" i="1"/>
  <c r="BQ314" i="1"/>
  <c r="BQ315" i="1"/>
  <c r="BQ316" i="1"/>
  <c r="BQ317" i="1"/>
  <c r="BQ318" i="1"/>
  <c r="BQ319" i="1"/>
  <c r="BQ320" i="1"/>
  <c r="BQ321" i="1"/>
  <c r="BQ322" i="1"/>
  <c r="BQ323" i="1"/>
  <c r="BQ324" i="1"/>
  <c r="BQ325" i="1"/>
  <c r="BQ326" i="1"/>
  <c r="BQ327" i="1"/>
  <c r="BQ328" i="1"/>
  <c r="BQ329" i="1"/>
  <c r="BQ330" i="1"/>
  <c r="BQ331" i="1"/>
  <c r="BQ334" i="1"/>
  <c r="BQ335" i="1"/>
  <c r="BQ336" i="1"/>
  <c r="BQ337" i="1"/>
  <c r="BQ338" i="1"/>
  <c r="BQ339" i="1"/>
  <c r="BQ340" i="1"/>
  <c r="BQ341" i="1"/>
  <c r="BQ342" i="1"/>
  <c r="BQ343" i="1"/>
  <c r="BQ344" i="1"/>
  <c r="BQ345" i="1"/>
  <c r="BQ347" i="1"/>
  <c r="BQ348" i="1"/>
  <c r="BQ349" i="1"/>
  <c r="BQ350" i="1"/>
  <c r="BQ351" i="1"/>
  <c r="BQ352" i="1"/>
  <c r="BQ353" i="1"/>
  <c r="BQ354" i="1"/>
  <c r="BQ355" i="1"/>
  <c r="BQ356" i="1"/>
  <c r="BQ358" i="1"/>
  <c r="BQ359" i="1"/>
  <c r="BQ360" i="1"/>
  <c r="BQ364" i="1"/>
  <c r="BQ365" i="1"/>
  <c r="BQ366" i="1"/>
  <c r="BQ367" i="1"/>
  <c r="BQ368" i="1"/>
  <c r="BQ369" i="1"/>
  <c r="BQ370" i="1"/>
  <c r="BQ371" i="1"/>
  <c r="BQ372" i="1"/>
  <c r="BQ373" i="1"/>
  <c r="BQ375" i="1"/>
  <c r="BQ376" i="1"/>
  <c r="BQ377" i="1"/>
  <c r="BQ378" i="1"/>
  <c r="BQ379" i="1"/>
  <c r="BQ380" i="1"/>
  <c r="BQ381" i="1"/>
  <c r="BQ382" i="1"/>
  <c r="BQ383" i="1"/>
  <c r="BQ402" i="1"/>
  <c r="BQ403" i="1"/>
  <c r="BQ404" i="1"/>
  <c r="BQ405" i="1"/>
  <c r="BQ406" i="1"/>
  <c r="BQ407" i="1"/>
  <c r="BQ408" i="1"/>
  <c r="BQ409" i="1"/>
  <c r="BQ410" i="1"/>
  <c r="BQ411" i="1"/>
  <c r="BQ412" i="1"/>
  <c r="BQ413" i="1"/>
  <c r="BQ414" i="1"/>
  <c r="BQ415" i="1"/>
  <c r="BQ416" i="1"/>
  <c r="BQ417" i="1"/>
  <c r="BQ418" i="1"/>
  <c r="BQ419" i="1"/>
  <c r="BQ420" i="1"/>
  <c r="BQ421" i="1"/>
  <c r="BQ422" i="1"/>
  <c r="BQ423" i="1"/>
  <c r="BQ424" i="1"/>
  <c r="BQ425" i="1"/>
  <c r="BQ426" i="1"/>
  <c r="BQ427" i="1"/>
  <c r="BQ428" i="1"/>
  <c r="BQ429" i="1"/>
  <c r="BQ438" i="1"/>
  <c r="BQ439" i="1"/>
  <c r="BQ440" i="1"/>
  <c r="BQ441" i="1"/>
  <c r="BQ442" i="1"/>
  <c r="BQ443" i="1"/>
  <c r="BQ444" i="1"/>
  <c r="BQ445" i="1"/>
  <c r="BQ446" i="1"/>
  <c r="BQ447" i="1"/>
  <c r="BQ448" i="1"/>
  <c r="BQ449" i="1"/>
  <c r="BQ450" i="1"/>
  <c r="BQ451" i="1"/>
  <c r="BQ452" i="1"/>
  <c r="BQ453" i="1"/>
  <c r="BQ454" i="1"/>
  <c r="BQ455" i="1"/>
  <c r="BQ456" i="1"/>
  <c r="BQ457" i="1"/>
  <c r="BQ458" i="1"/>
  <c r="BQ459" i="1"/>
  <c r="BQ460" i="1"/>
  <c r="BQ461" i="1"/>
  <c r="BQ462" i="1"/>
  <c r="BQ463" i="1"/>
  <c r="BQ464" i="1"/>
  <c r="BQ465" i="1"/>
  <c r="BQ466" i="1"/>
  <c r="BQ469" i="1"/>
  <c r="BQ471" i="1"/>
  <c r="BQ472" i="1"/>
  <c r="BQ473" i="1"/>
  <c r="BQ474" i="1"/>
  <c r="BQ475" i="1"/>
  <c r="BQ476" i="1"/>
  <c r="BQ477" i="1"/>
  <c r="BQ480" i="1"/>
  <c r="BQ484" i="1"/>
  <c r="BQ485" i="1"/>
  <c r="BQ486" i="1"/>
  <c r="BQ487" i="1"/>
  <c r="BQ488" i="1"/>
  <c r="BQ556" i="1"/>
  <c r="BQ557" i="1"/>
  <c r="BQ558" i="1"/>
  <c r="BQ559" i="1"/>
  <c r="BQ560" i="1"/>
  <c r="BQ561" i="1"/>
  <c r="BQ562" i="1"/>
  <c r="BQ563" i="1"/>
  <c r="O248" i="2" l="1"/>
  <c r="O236" i="2"/>
  <c r="O322" i="2"/>
  <c r="O359" i="2"/>
  <c r="O347" i="2"/>
  <c r="O335" i="2"/>
  <c r="O323" i="2"/>
  <c r="O358" i="2"/>
  <c r="O333" i="2"/>
  <c r="O356" i="2"/>
  <c r="O344" i="2"/>
  <c r="O332" i="2"/>
  <c r="O320" i="2"/>
  <c r="O355" i="2"/>
  <c r="O343" i="2"/>
  <c r="O331" i="2"/>
  <c r="O319" i="2"/>
  <c r="O334" i="2"/>
  <c r="O354" i="2"/>
  <c r="O342" i="2"/>
  <c r="O330" i="2"/>
  <c r="O318" i="2"/>
  <c r="O321" i="2"/>
  <c r="O353" i="2"/>
  <c r="O341" i="2"/>
  <c r="O329" i="2"/>
  <c r="O317" i="2"/>
  <c r="O364" i="2"/>
  <c r="O352" i="2"/>
  <c r="O340" i="2"/>
  <c r="O328" i="2"/>
  <c r="O357" i="2"/>
  <c r="O363" i="2"/>
  <c r="O351" i="2"/>
  <c r="O339" i="2"/>
  <c r="O327" i="2"/>
  <c r="O362" i="2"/>
  <c r="O350" i="2"/>
  <c r="O338" i="2"/>
  <c r="O326" i="2"/>
  <c r="O346" i="2"/>
  <c r="O345" i="2"/>
  <c r="O361" i="2"/>
  <c r="O349" i="2"/>
  <c r="O337" i="2"/>
  <c r="O325" i="2"/>
  <c r="O360" i="2"/>
  <c r="O348" i="2"/>
  <c r="O336" i="2"/>
  <c r="O324" i="2"/>
  <c r="O310" i="2"/>
  <c r="O311" i="2"/>
  <c r="O309" i="2"/>
  <c r="O308" i="2"/>
  <c r="O307" i="2"/>
  <c r="O305" i="2"/>
  <c r="O316" i="2"/>
  <c r="O304" i="2"/>
  <c r="O306" i="2"/>
  <c r="O315" i="2"/>
  <c r="O303" i="2"/>
  <c r="O314" i="2"/>
  <c r="O302" i="2"/>
  <c r="O313" i="2"/>
  <c r="O312" i="2"/>
  <c r="O298" i="2"/>
  <c r="O297" i="2"/>
  <c r="O285" i="2"/>
  <c r="O287" i="2"/>
  <c r="O286" i="2"/>
  <c r="O296" i="2"/>
  <c r="O284" i="2"/>
  <c r="O299" i="2"/>
  <c r="O295" i="2"/>
  <c r="O283" i="2"/>
  <c r="F280" i="2"/>
  <c r="O282" i="2"/>
  <c r="O293" i="2"/>
  <c r="O281" i="2"/>
  <c r="O292" i="2"/>
  <c r="O294" i="2"/>
  <c r="O291" i="2"/>
  <c r="O290" i="2"/>
  <c r="O301" i="2"/>
  <c r="O289" i="2"/>
  <c r="O300" i="2"/>
  <c r="O288" i="2"/>
  <c r="F278" i="2"/>
  <c r="F279" i="2"/>
  <c r="O268" i="2"/>
  <c r="O267" i="2"/>
  <c r="O277" i="2"/>
  <c r="O266" i="2"/>
  <c r="O272" i="2"/>
  <c r="O271" i="2"/>
  <c r="O270" i="2"/>
  <c r="O269" i="2"/>
  <c r="O255" i="2"/>
  <c r="O254" i="2"/>
  <c r="O265" i="2"/>
  <c r="O264" i="2"/>
  <c r="O263" i="2"/>
  <c r="O262" i="2"/>
  <c r="O261" i="2"/>
  <c r="O260" i="2"/>
  <c r="O259" i="2"/>
  <c r="O256" i="2"/>
  <c r="O258" i="2"/>
  <c r="O257" i="2"/>
  <c r="O253" i="2"/>
  <c r="O252" i="2"/>
  <c r="O251" i="2"/>
  <c r="O250" i="2"/>
  <c r="O249" i="2"/>
  <c r="O247" i="2"/>
  <c r="O246" i="2"/>
  <c r="O245" i="2"/>
  <c r="O242" i="2"/>
  <c r="O230" i="2"/>
  <c r="O241" i="2"/>
  <c r="O231" i="2"/>
  <c r="O240" i="2"/>
  <c r="O239" i="2"/>
  <c r="O238" i="2"/>
  <c r="O243" i="2"/>
  <c r="O237" i="2"/>
  <c r="O232" i="2"/>
  <c r="O244" i="2"/>
  <c r="O235" i="2"/>
  <c r="O234" i="2"/>
  <c r="O233" i="2"/>
  <c r="O226" i="2"/>
  <c r="O225" i="2"/>
  <c r="O224" i="2"/>
  <c r="O217" i="2"/>
  <c r="O215" i="2"/>
  <c r="O214" i="2"/>
  <c r="O213" i="2"/>
  <c r="O216" i="2"/>
  <c r="O212" i="2"/>
  <c r="O190" i="2"/>
  <c r="O200" i="2"/>
  <c r="O199" i="2"/>
  <c r="O198" i="2"/>
  <c r="O201" i="2"/>
  <c r="O197" i="2"/>
  <c r="O189" i="2"/>
  <c r="O196" i="2"/>
  <c r="O195" i="2"/>
  <c r="O194" i="2"/>
  <c r="O193" i="2"/>
  <c r="O192" i="2"/>
  <c r="O191" i="2"/>
  <c r="O180" i="2"/>
  <c r="O178" i="2"/>
  <c r="O177" i="2"/>
  <c r="O148" i="2"/>
  <c r="O136" i="2"/>
  <c r="O124" i="2"/>
  <c r="O134" i="2"/>
  <c r="O145" i="2"/>
  <c r="O133" i="2"/>
  <c r="O146" i="2"/>
  <c r="O144" i="2"/>
  <c r="O132" i="2"/>
  <c r="O143" i="2"/>
  <c r="O131" i="2"/>
  <c r="O142" i="2"/>
  <c r="O130" i="2"/>
  <c r="O123" i="2"/>
  <c r="O141" i="2"/>
  <c r="O129" i="2"/>
  <c r="O147" i="2"/>
  <c r="O140" i="2"/>
  <c r="O128" i="2"/>
  <c r="O139" i="2"/>
  <c r="O127" i="2"/>
  <c r="O150" i="2"/>
  <c r="O138" i="2"/>
  <c r="O126" i="2"/>
  <c r="O135" i="2"/>
  <c r="O149" i="2"/>
  <c r="O137" i="2"/>
  <c r="O109" i="2"/>
  <c r="O108" i="2"/>
  <c r="O107" i="2"/>
  <c r="O106" i="2"/>
  <c r="O112" i="2"/>
  <c r="O110" i="2"/>
  <c r="O111" i="2"/>
  <c r="F89" i="2"/>
  <c r="F93" i="2"/>
  <c r="F94" i="2"/>
  <c r="O94" i="2" s="1"/>
  <c r="F98" i="2"/>
  <c r="O46" i="2"/>
  <c r="F88" i="2"/>
  <c r="O88" i="2" s="1"/>
  <c r="O25" i="2"/>
  <c r="F84" i="2"/>
  <c r="O34" i="2"/>
  <c r="O48" i="2"/>
  <c r="O36" i="2"/>
  <c r="O27" i="2"/>
  <c r="O15" i="2"/>
  <c r="O47" i="2"/>
  <c r="O45" i="2"/>
  <c r="O33" i="2"/>
  <c r="O24" i="2"/>
  <c r="O26" i="2"/>
  <c r="O53" i="2"/>
  <c r="O41" i="2"/>
  <c r="O20" i="2"/>
  <c r="O35" i="2"/>
  <c r="O52" i="2"/>
  <c r="O40" i="2"/>
  <c r="O19" i="2"/>
  <c r="O51" i="2"/>
  <c r="O39" i="2"/>
  <c r="O18" i="2"/>
  <c r="O50" i="2"/>
  <c r="O38" i="2"/>
  <c r="O29" i="2"/>
  <c r="O17" i="2"/>
  <c r="O49" i="2"/>
  <c r="O37" i="2"/>
  <c r="O28" i="2"/>
  <c r="O16" i="2"/>
  <c r="F99" i="2"/>
  <c r="O99" i="2" s="1"/>
  <c r="F103" i="2"/>
  <c r="O103" i="2" s="1"/>
  <c r="AQ3" i="1"/>
  <c r="AQ4" i="1"/>
  <c r="AQ5" i="1"/>
  <c r="AR5" i="1" s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66" i="1"/>
  <c r="AQ67" i="1"/>
  <c r="AQ68" i="1"/>
  <c r="AQ69" i="1"/>
  <c r="AQ70" i="1"/>
  <c r="AQ71" i="1"/>
  <c r="AQ78" i="1"/>
  <c r="AQ79" i="1"/>
  <c r="AQ80" i="1"/>
  <c r="AQ81" i="1"/>
  <c r="AQ105" i="1"/>
  <c r="AQ106" i="1"/>
  <c r="AQ107" i="1"/>
  <c r="AQ108" i="1"/>
  <c r="AQ109" i="1"/>
  <c r="AQ110" i="1"/>
  <c r="AQ111" i="1"/>
  <c r="AQ112" i="1"/>
  <c r="AQ113" i="1"/>
  <c r="AQ114" i="1"/>
  <c r="AQ115" i="1"/>
  <c r="AQ116" i="1"/>
  <c r="AQ117" i="1"/>
  <c r="AQ118" i="1"/>
  <c r="AQ119" i="1"/>
  <c r="AQ120" i="1"/>
  <c r="AQ121" i="1"/>
  <c r="AQ122" i="1"/>
  <c r="AQ123" i="1"/>
  <c r="AQ124" i="1"/>
  <c r="AQ125" i="1"/>
  <c r="AQ126" i="1"/>
  <c r="AQ127" i="1"/>
  <c r="AQ128" i="1"/>
  <c r="AQ129" i="1"/>
  <c r="AQ130" i="1"/>
  <c r="AQ131" i="1"/>
  <c r="AQ132" i="1"/>
  <c r="AQ133" i="1"/>
  <c r="AQ134" i="1"/>
  <c r="AQ135" i="1"/>
  <c r="AQ136" i="1"/>
  <c r="AQ137" i="1"/>
  <c r="AQ138" i="1"/>
  <c r="AQ139" i="1"/>
  <c r="AQ140" i="1"/>
  <c r="AQ141" i="1"/>
  <c r="AQ142" i="1"/>
  <c r="AQ143" i="1"/>
  <c r="AQ144" i="1"/>
  <c r="AQ145" i="1"/>
  <c r="AQ146" i="1"/>
  <c r="AQ147" i="1"/>
  <c r="AQ148" i="1"/>
  <c r="AQ149" i="1"/>
  <c r="AQ150" i="1"/>
  <c r="AQ151" i="1"/>
  <c r="AQ152" i="1"/>
  <c r="AQ153" i="1"/>
  <c r="AQ154" i="1"/>
  <c r="AQ155" i="1"/>
  <c r="AQ156" i="1"/>
  <c r="AQ157" i="1"/>
  <c r="AQ158" i="1"/>
  <c r="AQ159" i="1"/>
  <c r="AQ160" i="1"/>
  <c r="AQ161" i="1"/>
  <c r="AQ162" i="1"/>
  <c r="AQ163" i="1"/>
  <c r="AQ173" i="1"/>
  <c r="AQ174" i="1"/>
  <c r="AQ175" i="1"/>
  <c r="AQ176" i="1"/>
  <c r="AQ177" i="1"/>
  <c r="AQ178" i="1"/>
  <c r="AQ179" i="1"/>
  <c r="AQ180" i="1"/>
  <c r="AQ181" i="1"/>
  <c r="AQ182" i="1"/>
  <c r="AQ183" i="1"/>
  <c r="AQ184" i="1"/>
  <c r="AQ185" i="1"/>
  <c r="AQ186" i="1"/>
  <c r="AQ187" i="1"/>
  <c r="AQ188" i="1"/>
  <c r="AQ189" i="1"/>
  <c r="AQ190" i="1"/>
  <c r="AQ191" i="1"/>
  <c r="AQ192" i="1"/>
  <c r="AQ193" i="1"/>
  <c r="AQ194" i="1"/>
  <c r="AQ195" i="1"/>
  <c r="AQ196" i="1"/>
  <c r="AQ197" i="1"/>
  <c r="AQ198" i="1"/>
  <c r="AQ199" i="1"/>
  <c r="AQ200" i="1"/>
  <c r="AQ201" i="1"/>
  <c r="AQ202" i="1"/>
  <c r="AQ203" i="1"/>
  <c r="AQ204" i="1"/>
  <c r="AQ205" i="1"/>
  <c r="AQ214" i="1"/>
  <c r="AQ232" i="1"/>
  <c r="AQ233" i="1"/>
  <c r="AQ234" i="1"/>
  <c r="AQ235" i="1"/>
  <c r="AQ236" i="1"/>
  <c r="AQ237" i="1"/>
  <c r="AQ238" i="1"/>
  <c r="AQ239" i="1"/>
  <c r="AQ240" i="1"/>
  <c r="AQ241" i="1"/>
  <c r="AQ242" i="1"/>
  <c r="AQ243" i="1"/>
  <c r="AQ244" i="1"/>
  <c r="AQ245" i="1"/>
  <c r="AQ246" i="1"/>
  <c r="AQ247" i="1"/>
  <c r="AQ248" i="1"/>
  <c r="AQ249" i="1"/>
  <c r="AQ250" i="1"/>
  <c r="AQ251" i="1"/>
  <c r="AQ252" i="1"/>
  <c r="AQ253" i="1"/>
  <c r="AQ254" i="1"/>
  <c r="AQ255" i="1"/>
  <c r="AQ256" i="1"/>
  <c r="AQ257" i="1"/>
  <c r="AQ258" i="1"/>
  <c r="AQ259" i="1"/>
  <c r="AQ260" i="1"/>
  <c r="AQ261" i="1"/>
  <c r="AQ262" i="1"/>
  <c r="AQ263" i="1"/>
  <c r="AQ264" i="1"/>
  <c r="AQ265" i="1"/>
  <c r="AQ266" i="1"/>
  <c r="AQ267" i="1"/>
  <c r="AQ268" i="1"/>
  <c r="AQ269" i="1"/>
  <c r="AQ270" i="1"/>
  <c r="AQ271" i="1"/>
  <c r="AQ272" i="1"/>
  <c r="AQ273" i="1"/>
  <c r="AQ274" i="1"/>
  <c r="AQ275" i="1"/>
  <c r="AQ276" i="1"/>
  <c r="AQ277" i="1"/>
  <c r="AQ278" i="1"/>
  <c r="AQ279" i="1"/>
  <c r="AQ280" i="1"/>
  <c r="AQ281" i="1"/>
  <c r="AQ282" i="1"/>
  <c r="AQ283" i="1"/>
  <c r="AQ284" i="1"/>
  <c r="AQ285" i="1"/>
  <c r="AQ286" i="1"/>
  <c r="AQ287" i="1"/>
  <c r="AQ288" i="1"/>
  <c r="AQ289" i="1"/>
  <c r="AQ290" i="1"/>
  <c r="AQ291" i="1"/>
  <c r="AQ292" i="1"/>
  <c r="AQ293" i="1"/>
  <c r="AQ294" i="1"/>
  <c r="AQ295" i="1"/>
  <c r="AQ296" i="1"/>
  <c r="AQ297" i="1"/>
  <c r="AQ298" i="1"/>
  <c r="AQ299" i="1"/>
  <c r="AQ300" i="1"/>
  <c r="AQ301" i="1"/>
  <c r="AQ302" i="1"/>
  <c r="AQ303" i="1"/>
  <c r="AQ304" i="1"/>
  <c r="AQ305" i="1"/>
  <c r="AQ306" i="1"/>
  <c r="AQ307" i="1"/>
  <c r="AQ308" i="1"/>
  <c r="AQ309" i="1"/>
  <c r="AQ310" i="1"/>
  <c r="AQ311" i="1"/>
  <c r="AQ312" i="1"/>
  <c r="AQ313" i="1"/>
  <c r="AQ314" i="1"/>
  <c r="AQ315" i="1"/>
  <c r="AQ316" i="1"/>
  <c r="AQ317" i="1"/>
  <c r="AQ318" i="1"/>
  <c r="AQ319" i="1"/>
  <c r="AQ320" i="1"/>
  <c r="AQ321" i="1"/>
  <c r="AQ322" i="1"/>
  <c r="AQ323" i="1"/>
  <c r="AQ324" i="1"/>
  <c r="AQ325" i="1"/>
  <c r="AQ326" i="1"/>
  <c r="AQ327" i="1"/>
  <c r="AQ328" i="1"/>
  <c r="AQ329" i="1"/>
  <c r="AQ330" i="1"/>
  <c r="AQ331" i="1"/>
  <c r="AQ332" i="1"/>
  <c r="AQ333" i="1"/>
  <c r="AQ334" i="1"/>
  <c r="AQ335" i="1"/>
  <c r="AQ336" i="1"/>
  <c r="AQ337" i="1"/>
  <c r="AQ338" i="1"/>
  <c r="AQ339" i="1"/>
  <c r="AQ340" i="1"/>
  <c r="AQ341" i="1"/>
  <c r="AQ342" i="1"/>
  <c r="AQ343" i="1"/>
  <c r="AQ344" i="1"/>
  <c r="AQ345" i="1"/>
  <c r="AQ346" i="1"/>
  <c r="AQ347" i="1"/>
  <c r="AQ348" i="1"/>
  <c r="AQ349" i="1"/>
  <c r="AQ350" i="1"/>
  <c r="AQ351" i="1"/>
  <c r="AQ352" i="1"/>
  <c r="AQ353" i="1"/>
  <c r="AQ354" i="1"/>
  <c r="AQ355" i="1"/>
  <c r="AQ356" i="1"/>
  <c r="AQ357" i="1"/>
  <c r="AQ358" i="1"/>
  <c r="AQ359" i="1"/>
  <c r="AQ360" i="1"/>
  <c r="AQ361" i="1"/>
  <c r="AQ362" i="1"/>
  <c r="AQ363" i="1"/>
  <c r="AQ364" i="1"/>
  <c r="AQ365" i="1"/>
  <c r="AQ366" i="1"/>
  <c r="AQ367" i="1"/>
  <c r="AQ368" i="1"/>
  <c r="AQ369" i="1"/>
  <c r="AQ370" i="1"/>
  <c r="AQ371" i="1"/>
  <c r="AQ372" i="1"/>
  <c r="AQ373" i="1"/>
  <c r="AQ374" i="1"/>
  <c r="AQ375" i="1"/>
  <c r="AQ376" i="1"/>
  <c r="AQ377" i="1"/>
  <c r="AQ378" i="1"/>
  <c r="AQ379" i="1"/>
  <c r="AQ380" i="1"/>
  <c r="AQ381" i="1"/>
  <c r="AQ382" i="1"/>
  <c r="AQ383" i="1"/>
  <c r="AQ439" i="1"/>
  <c r="AQ440" i="1"/>
  <c r="AQ441" i="1"/>
  <c r="AQ442" i="1"/>
  <c r="AQ443" i="1"/>
  <c r="AQ444" i="1"/>
  <c r="AQ445" i="1"/>
  <c r="AQ446" i="1"/>
  <c r="AQ447" i="1"/>
  <c r="AQ448" i="1"/>
  <c r="AQ449" i="1"/>
  <c r="AQ450" i="1"/>
  <c r="AQ451" i="1"/>
  <c r="AQ452" i="1"/>
  <c r="AQ453" i="1"/>
  <c r="AQ454" i="1"/>
  <c r="AQ455" i="1"/>
  <c r="AQ456" i="1"/>
  <c r="AQ457" i="1"/>
  <c r="AQ458" i="1"/>
  <c r="AQ471" i="1"/>
  <c r="AQ472" i="1"/>
  <c r="AQ473" i="1"/>
  <c r="AQ476" i="1"/>
  <c r="AQ477" i="1"/>
  <c r="AQ478" i="1"/>
  <c r="AQ479" i="1"/>
  <c r="AQ480" i="1"/>
  <c r="AQ481" i="1"/>
  <c r="AQ482" i="1"/>
  <c r="AQ483" i="1"/>
  <c r="AQ484" i="1"/>
  <c r="AQ485" i="1"/>
  <c r="AQ486" i="1"/>
  <c r="AQ487" i="1"/>
  <c r="AQ488" i="1"/>
  <c r="AQ489" i="1"/>
  <c r="AQ490" i="1"/>
  <c r="AQ491" i="1"/>
  <c r="AQ492" i="1"/>
  <c r="AQ493" i="1"/>
  <c r="AQ494" i="1"/>
  <c r="AQ495" i="1"/>
  <c r="AQ496" i="1"/>
  <c r="AQ497" i="1"/>
  <c r="AQ498" i="1"/>
  <c r="AQ499" i="1"/>
  <c r="AQ500" i="1"/>
  <c r="AQ501" i="1"/>
  <c r="AQ502" i="1"/>
  <c r="AQ503" i="1"/>
  <c r="AQ504" i="1"/>
  <c r="AQ505" i="1"/>
  <c r="AQ506" i="1"/>
  <c r="AQ507" i="1"/>
  <c r="AQ508" i="1"/>
  <c r="AQ509" i="1"/>
  <c r="AQ510" i="1"/>
  <c r="AQ511" i="1"/>
  <c r="AQ512" i="1"/>
  <c r="AQ513" i="1"/>
  <c r="AQ514" i="1"/>
  <c r="AQ515" i="1"/>
  <c r="AQ516" i="1"/>
  <c r="AQ517" i="1"/>
  <c r="AQ518" i="1"/>
  <c r="AQ519" i="1"/>
  <c r="AQ520" i="1"/>
  <c r="AQ521" i="1"/>
  <c r="AQ522" i="1"/>
  <c r="AQ523" i="1"/>
  <c r="AQ524" i="1"/>
  <c r="AQ525" i="1"/>
  <c r="AQ526" i="1"/>
  <c r="AQ527" i="1"/>
  <c r="AQ528" i="1"/>
  <c r="AQ529" i="1"/>
  <c r="AQ530" i="1"/>
  <c r="AQ531" i="1"/>
  <c r="AQ532" i="1"/>
  <c r="AQ533" i="1"/>
  <c r="AQ534" i="1"/>
  <c r="AQ535" i="1"/>
  <c r="AQ536" i="1"/>
  <c r="AQ537" i="1"/>
  <c r="AQ538" i="1"/>
  <c r="AQ539" i="1"/>
  <c r="AQ540" i="1"/>
  <c r="AQ541" i="1"/>
  <c r="AQ542" i="1"/>
  <c r="AQ543" i="1"/>
  <c r="AQ544" i="1"/>
  <c r="AQ545" i="1"/>
  <c r="AQ546" i="1"/>
  <c r="AQ547" i="1"/>
  <c r="AQ548" i="1"/>
  <c r="AQ549" i="1"/>
  <c r="AQ550" i="1"/>
  <c r="AQ551" i="1"/>
  <c r="AQ552" i="1"/>
  <c r="AQ553" i="1"/>
  <c r="AQ554" i="1"/>
  <c r="AQ555" i="1"/>
  <c r="AV4" i="2"/>
  <c r="AV11" i="2"/>
  <c r="AV52" i="2"/>
  <c r="AV55" i="2"/>
  <c r="AV56" i="2"/>
  <c r="AV57" i="2"/>
  <c r="AV58" i="2"/>
  <c r="AV59" i="2"/>
  <c r="AV60" i="2"/>
  <c r="AV61" i="2"/>
  <c r="AV62" i="2"/>
  <c r="AV63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82" i="2"/>
  <c r="AV83" i="2"/>
  <c r="AV104" i="2"/>
  <c r="AV105" i="2"/>
  <c r="AV110" i="2"/>
  <c r="AV232" i="2"/>
  <c r="AV233" i="2"/>
  <c r="AV234" i="2"/>
  <c r="AV235" i="2"/>
  <c r="AV240" i="2"/>
  <c r="AV241" i="2"/>
  <c r="AV242" i="2"/>
  <c r="AV243" i="2"/>
  <c r="AV244" i="2"/>
  <c r="AV245" i="2"/>
  <c r="AV246" i="2"/>
  <c r="AV247" i="2"/>
  <c r="AV248" i="2"/>
  <c r="AV249" i="2"/>
  <c r="AV250" i="2"/>
  <c r="AV251" i="2"/>
  <c r="AV252" i="2"/>
  <c r="AV253" i="2"/>
  <c r="AV266" i="2"/>
  <c r="AV272" i="2"/>
  <c r="AV273" i="2"/>
  <c r="AV274" i="2"/>
  <c r="AV275" i="2"/>
  <c r="AV276" i="2"/>
  <c r="AV277" i="2"/>
  <c r="AV280" i="2"/>
  <c r="AV505" i="2"/>
  <c r="AV506" i="2"/>
  <c r="AV507" i="2"/>
  <c r="AV508" i="2"/>
  <c r="AV509" i="2"/>
  <c r="AV510" i="2"/>
  <c r="AV511" i="2"/>
  <c r="AV512" i="2"/>
  <c r="AV718" i="2"/>
  <c r="AV719" i="2"/>
  <c r="AV720" i="2"/>
  <c r="AV721" i="2"/>
  <c r="AV722" i="2"/>
  <c r="AV723" i="2"/>
  <c r="AV724" i="2"/>
  <c r="AV725" i="2"/>
  <c r="AV729" i="2"/>
  <c r="AV730" i="2"/>
  <c r="AV731" i="2"/>
  <c r="AV732" i="2"/>
  <c r="AV733" i="2"/>
  <c r="AV734" i="2"/>
  <c r="AV735" i="2"/>
  <c r="AV736" i="2"/>
  <c r="AV737" i="2"/>
  <c r="AV738" i="2"/>
  <c r="AV739" i="2"/>
  <c r="AV740" i="2"/>
  <c r="AV741" i="2"/>
  <c r="AV742" i="2"/>
  <c r="AV743" i="2"/>
  <c r="AV744" i="2"/>
  <c r="AV745" i="2"/>
  <c r="AV746" i="2"/>
  <c r="AV747" i="2"/>
  <c r="AV748" i="2"/>
  <c r="AV749" i="2"/>
  <c r="AV750" i="2"/>
  <c r="AV751" i="2"/>
  <c r="AV780" i="2"/>
  <c r="AV781" i="2"/>
  <c r="AV782" i="2"/>
  <c r="AV783" i="2"/>
  <c r="AV784" i="2"/>
  <c r="AV785" i="2"/>
  <c r="AV786" i="2"/>
  <c r="AV787" i="2"/>
  <c r="AV788" i="2"/>
  <c r="AP3" i="1"/>
  <c r="AP4" i="1"/>
  <c r="AP5" i="1"/>
  <c r="AP6" i="1"/>
  <c r="AP7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Q51" i="1" s="1"/>
  <c r="AR51" i="1" s="1"/>
  <c r="AP52" i="1"/>
  <c r="AQ52" i="1" s="1"/>
  <c r="AR52" i="1" s="1"/>
  <c r="AP53" i="1"/>
  <c r="AQ53" i="1" s="1"/>
  <c r="AR53" i="1" s="1"/>
  <c r="AP54" i="1"/>
  <c r="AQ54" i="1" s="1"/>
  <c r="AR54" i="1" s="1"/>
  <c r="AP55" i="1"/>
  <c r="AQ55" i="1" s="1"/>
  <c r="AR55" i="1" s="1"/>
  <c r="AP56" i="1"/>
  <c r="AQ56" i="1" s="1"/>
  <c r="AR56" i="1" s="1"/>
  <c r="AP57" i="1"/>
  <c r="AQ57" i="1" s="1"/>
  <c r="AR57" i="1" s="1"/>
  <c r="AP58" i="1"/>
  <c r="AQ58" i="1" s="1"/>
  <c r="AR58" i="1" s="1"/>
  <c r="AP59" i="1"/>
  <c r="AQ59" i="1" s="1"/>
  <c r="AR59" i="1" s="1"/>
  <c r="AP60" i="1"/>
  <c r="AQ60" i="1" s="1"/>
  <c r="AR60" i="1" s="1"/>
  <c r="AP61" i="1"/>
  <c r="AQ61" i="1" s="1"/>
  <c r="AR61" i="1" s="1"/>
  <c r="AP62" i="1"/>
  <c r="AQ62" i="1" s="1"/>
  <c r="AR62" i="1" s="1"/>
  <c r="AP63" i="1"/>
  <c r="AQ63" i="1" s="1"/>
  <c r="AR63" i="1" s="1"/>
  <c r="AP64" i="1"/>
  <c r="AQ64" i="1" s="1"/>
  <c r="AR64" i="1" s="1"/>
  <c r="AP65" i="1"/>
  <c r="AQ65" i="1" s="1"/>
  <c r="AR65" i="1" s="1"/>
  <c r="AP66" i="1"/>
  <c r="AP67" i="1"/>
  <c r="AP68" i="1"/>
  <c r="AP69" i="1"/>
  <c r="AP70" i="1"/>
  <c r="AP71" i="1"/>
  <c r="AP72" i="1"/>
  <c r="AQ72" i="1" s="1"/>
  <c r="AR72" i="1" s="1"/>
  <c r="AP73" i="1"/>
  <c r="AQ73" i="1" s="1"/>
  <c r="AR73" i="1" s="1"/>
  <c r="AP74" i="1"/>
  <c r="AQ74" i="1" s="1"/>
  <c r="AR74" i="1" s="1"/>
  <c r="AP75" i="1"/>
  <c r="AQ75" i="1" s="1"/>
  <c r="AR75" i="1" s="1"/>
  <c r="AP76" i="1"/>
  <c r="AQ76" i="1" s="1"/>
  <c r="AR76" i="1" s="1"/>
  <c r="AP77" i="1"/>
  <c r="AQ77" i="1" s="1"/>
  <c r="AR77" i="1" s="1"/>
  <c r="AP78" i="1"/>
  <c r="AP79" i="1"/>
  <c r="AP80" i="1"/>
  <c r="AP81" i="1"/>
  <c r="AP82" i="1"/>
  <c r="AQ82" i="1" s="1"/>
  <c r="AR82" i="1" s="1"/>
  <c r="AP83" i="1"/>
  <c r="AQ83" i="1" s="1"/>
  <c r="AR83" i="1" s="1"/>
  <c r="AP84" i="1"/>
  <c r="AQ84" i="1" s="1"/>
  <c r="AR84" i="1" s="1"/>
  <c r="AP85" i="1"/>
  <c r="AQ85" i="1" s="1"/>
  <c r="AR85" i="1" s="1"/>
  <c r="AP86" i="1"/>
  <c r="AQ86" i="1" s="1"/>
  <c r="AR86" i="1" s="1"/>
  <c r="AP87" i="1"/>
  <c r="AQ87" i="1" s="1"/>
  <c r="AR87" i="1" s="1"/>
  <c r="AP88" i="1"/>
  <c r="AQ88" i="1" s="1"/>
  <c r="AR88" i="1" s="1"/>
  <c r="AP89" i="1"/>
  <c r="AQ89" i="1" s="1"/>
  <c r="AR89" i="1" s="1"/>
  <c r="AP90" i="1"/>
  <c r="AQ90" i="1" s="1"/>
  <c r="AR90" i="1" s="1"/>
  <c r="AP91" i="1"/>
  <c r="AQ91" i="1" s="1"/>
  <c r="AR91" i="1" s="1"/>
  <c r="AP92" i="1"/>
  <c r="AQ92" i="1" s="1"/>
  <c r="AR92" i="1" s="1"/>
  <c r="AP93" i="1"/>
  <c r="AQ93" i="1" s="1"/>
  <c r="AR93" i="1" s="1"/>
  <c r="AP94" i="1"/>
  <c r="AQ94" i="1" s="1"/>
  <c r="AR94" i="1" s="1"/>
  <c r="AP95" i="1"/>
  <c r="AQ95" i="1" s="1"/>
  <c r="AR95" i="1" s="1"/>
  <c r="AP96" i="1"/>
  <c r="AQ96" i="1" s="1"/>
  <c r="AR96" i="1" s="1"/>
  <c r="AP97" i="1"/>
  <c r="AQ97" i="1" s="1"/>
  <c r="AR97" i="1" s="1"/>
  <c r="AP98" i="1"/>
  <c r="AQ98" i="1" s="1"/>
  <c r="AR98" i="1" s="1"/>
  <c r="AP99" i="1"/>
  <c r="AQ99" i="1" s="1"/>
  <c r="AR99" i="1" s="1"/>
  <c r="AP100" i="1"/>
  <c r="AQ100" i="1" s="1"/>
  <c r="AR100" i="1" s="1"/>
  <c r="AP101" i="1"/>
  <c r="AQ101" i="1" s="1"/>
  <c r="AR101" i="1" s="1"/>
  <c r="AP102" i="1"/>
  <c r="AQ102" i="1" s="1"/>
  <c r="AR102" i="1" s="1"/>
  <c r="AP103" i="1"/>
  <c r="AQ103" i="1" s="1"/>
  <c r="AR103" i="1" s="1"/>
  <c r="AP104" i="1"/>
  <c r="AQ104" i="1" s="1"/>
  <c r="AR104" i="1" s="1"/>
  <c r="AP105" i="1"/>
  <c r="AP106" i="1"/>
  <c r="AP107" i="1"/>
  <c r="AP108" i="1"/>
  <c r="AP109" i="1"/>
  <c r="AP110" i="1"/>
  <c r="AP111" i="1"/>
  <c r="AP112" i="1"/>
  <c r="AP113" i="1"/>
  <c r="AP114" i="1"/>
  <c r="AP115" i="1"/>
  <c r="AP116" i="1"/>
  <c r="AP117" i="1"/>
  <c r="AP118" i="1"/>
  <c r="AP119" i="1"/>
  <c r="AP120" i="1"/>
  <c r="AP121" i="1"/>
  <c r="AP122" i="1"/>
  <c r="AP123" i="1"/>
  <c r="AP124" i="1"/>
  <c r="AP125" i="1"/>
  <c r="AP126" i="1"/>
  <c r="AP127" i="1"/>
  <c r="AP128" i="1"/>
  <c r="AP129" i="1"/>
  <c r="AP130" i="1"/>
  <c r="AP131" i="1"/>
  <c r="AP132" i="1"/>
  <c r="AP133" i="1"/>
  <c r="AP134" i="1"/>
  <c r="AP135" i="1"/>
  <c r="AP136" i="1"/>
  <c r="AP137" i="1"/>
  <c r="AP138" i="1"/>
  <c r="AP139" i="1"/>
  <c r="AP140" i="1"/>
  <c r="AP141" i="1"/>
  <c r="AP142" i="1"/>
  <c r="AP143" i="1"/>
  <c r="AP144" i="1"/>
  <c r="AP145" i="1"/>
  <c r="AP146" i="1"/>
  <c r="AP147" i="1"/>
  <c r="AP148" i="1"/>
  <c r="AP149" i="1"/>
  <c r="AP150" i="1"/>
  <c r="AP151" i="1"/>
  <c r="AP152" i="1"/>
  <c r="AP153" i="1"/>
  <c r="AP154" i="1"/>
  <c r="AP155" i="1"/>
  <c r="AP156" i="1"/>
  <c r="AP157" i="1"/>
  <c r="AP158" i="1"/>
  <c r="AP159" i="1"/>
  <c r="AP160" i="1"/>
  <c r="AP161" i="1"/>
  <c r="AP162" i="1"/>
  <c r="AP163" i="1"/>
  <c r="AP164" i="1"/>
  <c r="AQ164" i="1" s="1"/>
  <c r="AP165" i="1"/>
  <c r="AQ165" i="1" s="1"/>
  <c r="AP166" i="1"/>
  <c r="AQ166" i="1" s="1"/>
  <c r="AP167" i="1"/>
  <c r="AQ167" i="1" s="1"/>
  <c r="AP168" i="1"/>
  <c r="AQ168" i="1" s="1"/>
  <c r="AP169" i="1"/>
  <c r="AQ169" i="1" s="1"/>
  <c r="AP170" i="1"/>
  <c r="AQ170" i="1" s="1"/>
  <c r="AP171" i="1"/>
  <c r="AQ171" i="1" s="1"/>
  <c r="AP172" i="1"/>
  <c r="AQ172" i="1" s="1"/>
  <c r="AP173" i="1"/>
  <c r="AP174" i="1"/>
  <c r="AP175" i="1"/>
  <c r="AP176" i="1"/>
  <c r="AP177" i="1"/>
  <c r="AP178" i="1"/>
  <c r="AP179" i="1"/>
  <c r="AP180" i="1"/>
  <c r="AP181" i="1"/>
  <c r="AP182" i="1"/>
  <c r="AP183" i="1"/>
  <c r="AP184" i="1"/>
  <c r="AP185" i="1"/>
  <c r="AP186" i="1"/>
  <c r="AP187" i="1"/>
  <c r="AP188" i="1"/>
  <c r="AP189" i="1"/>
  <c r="AP190" i="1"/>
  <c r="AP191" i="1"/>
  <c r="AP192" i="1"/>
  <c r="AP193" i="1"/>
  <c r="AP194" i="1"/>
  <c r="AP195" i="1"/>
  <c r="AP196" i="1"/>
  <c r="AP197" i="1"/>
  <c r="AP198" i="1"/>
  <c r="AP199" i="1"/>
  <c r="AP200" i="1"/>
  <c r="AP201" i="1"/>
  <c r="AP202" i="1"/>
  <c r="AP203" i="1"/>
  <c r="AP204" i="1"/>
  <c r="AP205" i="1"/>
  <c r="AP206" i="1"/>
  <c r="AQ206" i="1" s="1"/>
  <c r="AP207" i="1"/>
  <c r="AQ207" i="1" s="1"/>
  <c r="AP208" i="1"/>
  <c r="AQ208" i="1" s="1"/>
  <c r="AP209" i="1"/>
  <c r="AQ209" i="1" s="1"/>
  <c r="AP210" i="1"/>
  <c r="AQ210" i="1" s="1"/>
  <c r="AP211" i="1"/>
  <c r="AQ211" i="1" s="1"/>
  <c r="AP212" i="1"/>
  <c r="AQ212" i="1" s="1"/>
  <c r="AP213" i="1"/>
  <c r="AQ213" i="1" s="1"/>
  <c r="AP214" i="1"/>
  <c r="AP215" i="1"/>
  <c r="AQ215" i="1" s="1"/>
  <c r="AP216" i="1"/>
  <c r="AQ216" i="1" s="1"/>
  <c r="AP217" i="1"/>
  <c r="AQ217" i="1" s="1"/>
  <c r="AP218" i="1"/>
  <c r="AQ218" i="1" s="1"/>
  <c r="AP219" i="1"/>
  <c r="AQ219" i="1" s="1"/>
  <c r="AP220" i="1"/>
  <c r="AQ220" i="1" s="1"/>
  <c r="AP221" i="1"/>
  <c r="AQ221" i="1" s="1"/>
  <c r="AP222" i="1"/>
  <c r="AQ222" i="1" s="1"/>
  <c r="AP223" i="1"/>
  <c r="AQ223" i="1" s="1"/>
  <c r="AP224" i="1"/>
  <c r="AQ224" i="1" s="1"/>
  <c r="AP225" i="1"/>
  <c r="AQ225" i="1" s="1"/>
  <c r="AP226" i="1"/>
  <c r="AQ226" i="1" s="1"/>
  <c r="AP227" i="1"/>
  <c r="AQ227" i="1" s="1"/>
  <c r="AP228" i="1"/>
  <c r="AQ228" i="1" s="1"/>
  <c r="AP229" i="1"/>
  <c r="AQ229" i="1" s="1"/>
  <c r="AP230" i="1"/>
  <c r="AQ230" i="1" s="1"/>
  <c r="AP231" i="1"/>
  <c r="AQ231" i="1" s="1"/>
  <c r="AP232" i="1"/>
  <c r="AP233" i="1"/>
  <c r="AP234" i="1"/>
  <c r="AP235" i="1"/>
  <c r="AP236" i="1"/>
  <c r="AP237" i="1"/>
  <c r="AP238" i="1"/>
  <c r="AP239" i="1"/>
  <c r="AP240" i="1"/>
  <c r="AP241" i="1"/>
  <c r="AP242" i="1"/>
  <c r="AP243" i="1"/>
  <c r="AP244" i="1"/>
  <c r="AP245" i="1"/>
  <c r="AP246" i="1"/>
  <c r="AP247" i="1"/>
  <c r="AP248" i="1"/>
  <c r="AP249" i="1"/>
  <c r="AP250" i="1"/>
  <c r="AP251" i="1"/>
  <c r="AP252" i="1"/>
  <c r="AP253" i="1"/>
  <c r="AP254" i="1"/>
  <c r="AP255" i="1"/>
  <c r="AP256" i="1"/>
  <c r="AP257" i="1"/>
  <c r="AP258" i="1"/>
  <c r="AP259" i="1"/>
  <c r="AP260" i="1"/>
  <c r="AP261" i="1"/>
  <c r="AP262" i="1"/>
  <c r="AP263" i="1"/>
  <c r="AP264" i="1"/>
  <c r="AP265" i="1"/>
  <c r="AP266" i="1"/>
  <c r="AP267" i="1"/>
  <c r="AP268" i="1"/>
  <c r="AP269" i="1"/>
  <c r="AP270" i="1"/>
  <c r="AP271" i="1"/>
  <c r="AP272" i="1"/>
  <c r="AP273" i="1"/>
  <c r="AP274" i="1"/>
  <c r="AP275" i="1"/>
  <c r="AP276" i="1"/>
  <c r="AP277" i="1"/>
  <c r="AP278" i="1"/>
  <c r="AP279" i="1"/>
  <c r="AP280" i="1"/>
  <c r="AP281" i="1"/>
  <c r="AP282" i="1"/>
  <c r="AP283" i="1"/>
  <c r="AP284" i="1"/>
  <c r="AP285" i="1"/>
  <c r="AP286" i="1"/>
  <c r="AP287" i="1"/>
  <c r="AP288" i="1"/>
  <c r="AP289" i="1"/>
  <c r="AP290" i="1"/>
  <c r="AP291" i="1"/>
  <c r="AP292" i="1"/>
  <c r="AP293" i="1"/>
  <c r="AP294" i="1"/>
  <c r="AP295" i="1"/>
  <c r="AP296" i="1"/>
  <c r="AP297" i="1"/>
  <c r="AP298" i="1"/>
  <c r="AP299" i="1"/>
  <c r="AP300" i="1"/>
  <c r="AP301" i="1"/>
  <c r="AP302" i="1"/>
  <c r="AP303" i="1"/>
  <c r="AP304" i="1"/>
  <c r="AP305" i="1"/>
  <c r="AP306" i="1"/>
  <c r="AP307" i="1"/>
  <c r="AP308" i="1"/>
  <c r="AP309" i="1"/>
  <c r="AP310" i="1"/>
  <c r="AP311" i="1"/>
  <c r="AP312" i="1"/>
  <c r="AP313" i="1"/>
  <c r="AP314" i="1"/>
  <c r="AP315" i="1"/>
  <c r="AP316" i="1"/>
  <c r="AP317" i="1"/>
  <c r="AP318" i="1"/>
  <c r="AP319" i="1"/>
  <c r="AP320" i="1"/>
  <c r="AP321" i="1"/>
  <c r="AP322" i="1"/>
  <c r="AP323" i="1"/>
  <c r="AP324" i="1"/>
  <c r="AP325" i="1"/>
  <c r="AP326" i="1"/>
  <c r="AP327" i="1"/>
  <c r="AP328" i="1"/>
  <c r="AP329" i="1"/>
  <c r="AP330" i="1"/>
  <c r="AP331" i="1"/>
  <c r="AP332" i="1"/>
  <c r="AP333" i="1"/>
  <c r="AP334" i="1"/>
  <c r="AP335" i="1"/>
  <c r="AP336" i="1"/>
  <c r="AP337" i="1"/>
  <c r="AP338" i="1"/>
  <c r="AP339" i="1"/>
  <c r="AP340" i="1"/>
  <c r="AP341" i="1"/>
  <c r="AP342" i="1"/>
  <c r="AP343" i="1"/>
  <c r="AP344" i="1"/>
  <c r="AP345" i="1"/>
  <c r="AP346" i="1"/>
  <c r="AP347" i="1"/>
  <c r="AP348" i="1"/>
  <c r="AP349" i="1"/>
  <c r="AP350" i="1"/>
  <c r="AP351" i="1"/>
  <c r="AP352" i="1"/>
  <c r="AP353" i="1"/>
  <c r="AP354" i="1"/>
  <c r="AP355" i="1"/>
  <c r="AP356" i="1"/>
  <c r="AP357" i="1"/>
  <c r="AP358" i="1"/>
  <c r="AP359" i="1"/>
  <c r="AP360" i="1"/>
  <c r="AP361" i="1"/>
  <c r="AP362" i="1"/>
  <c r="AP363" i="1"/>
  <c r="AP364" i="1"/>
  <c r="AP365" i="1"/>
  <c r="AP366" i="1"/>
  <c r="AP367" i="1"/>
  <c r="AP368" i="1"/>
  <c r="AP369" i="1"/>
  <c r="AP370" i="1"/>
  <c r="AP371" i="1"/>
  <c r="AP372" i="1"/>
  <c r="AP373" i="1"/>
  <c r="AP374" i="1"/>
  <c r="AP375" i="1"/>
  <c r="AP376" i="1"/>
  <c r="AP377" i="1"/>
  <c r="AP378" i="1"/>
  <c r="AP379" i="1"/>
  <c r="AP380" i="1"/>
  <c r="AP381" i="1"/>
  <c r="AP382" i="1"/>
  <c r="AP383" i="1"/>
  <c r="AP384" i="1"/>
  <c r="AQ384" i="1" s="1"/>
  <c r="AP385" i="1"/>
  <c r="AQ385" i="1" s="1"/>
  <c r="AP386" i="1"/>
  <c r="AQ386" i="1" s="1"/>
  <c r="AP387" i="1"/>
  <c r="AQ387" i="1" s="1"/>
  <c r="AP388" i="1"/>
  <c r="AQ388" i="1" s="1"/>
  <c r="AP389" i="1"/>
  <c r="AQ389" i="1" s="1"/>
  <c r="AP390" i="1"/>
  <c r="AQ390" i="1" s="1"/>
  <c r="AP391" i="1"/>
  <c r="AQ391" i="1" s="1"/>
  <c r="AP392" i="1"/>
  <c r="AQ392" i="1" s="1"/>
  <c r="AP393" i="1"/>
  <c r="AQ393" i="1" s="1"/>
  <c r="AP394" i="1"/>
  <c r="AQ394" i="1" s="1"/>
  <c r="AP395" i="1"/>
  <c r="AQ395" i="1" s="1"/>
  <c r="AP396" i="1"/>
  <c r="AQ396" i="1" s="1"/>
  <c r="AP397" i="1"/>
  <c r="AQ397" i="1" s="1"/>
  <c r="AP398" i="1"/>
  <c r="AQ398" i="1" s="1"/>
  <c r="AP399" i="1"/>
  <c r="AQ399" i="1" s="1"/>
  <c r="AP400" i="1"/>
  <c r="AQ400" i="1" s="1"/>
  <c r="AP401" i="1"/>
  <c r="AQ401" i="1" s="1"/>
  <c r="AP402" i="1"/>
  <c r="AQ402" i="1" s="1"/>
  <c r="AP403" i="1"/>
  <c r="AQ403" i="1" s="1"/>
  <c r="AP404" i="1"/>
  <c r="AQ404" i="1" s="1"/>
  <c r="AP405" i="1"/>
  <c r="AQ405" i="1" s="1"/>
  <c r="AP406" i="1"/>
  <c r="AQ406" i="1" s="1"/>
  <c r="AP407" i="1"/>
  <c r="AQ407" i="1" s="1"/>
  <c r="AP408" i="1"/>
  <c r="AQ408" i="1" s="1"/>
  <c r="AP409" i="1"/>
  <c r="AQ409" i="1" s="1"/>
  <c r="AP410" i="1"/>
  <c r="AQ410" i="1" s="1"/>
  <c r="AP411" i="1"/>
  <c r="AQ411" i="1" s="1"/>
  <c r="AP412" i="1"/>
  <c r="AQ412" i="1" s="1"/>
  <c r="AP413" i="1"/>
  <c r="AQ413" i="1" s="1"/>
  <c r="AP414" i="1"/>
  <c r="AQ414" i="1" s="1"/>
  <c r="AP415" i="1"/>
  <c r="AQ415" i="1" s="1"/>
  <c r="AP416" i="1"/>
  <c r="AQ416" i="1" s="1"/>
  <c r="AP417" i="1"/>
  <c r="AQ417" i="1" s="1"/>
  <c r="AP430" i="1"/>
  <c r="AQ430" i="1" s="1"/>
  <c r="AP431" i="1"/>
  <c r="AQ431" i="1" s="1"/>
  <c r="AP432" i="1"/>
  <c r="AQ432" i="1" s="1"/>
  <c r="AP433" i="1"/>
  <c r="AQ433" i="1" s="1"/>
  <c r="AP434" i="1"/>
  <c r="AQ434" i="1" s="1"/>
  <c r="AP435" i="1"/>
  <c r="AQ435" i="1" s="1"/>
  <c r="AP436" i="1"/>
  <c r="AQ436" i="1" s="1"/>
  <c r="AP437" i="1"/>
  <c r="AQ437" i="1" s="1"/>
  <c r="AP438" i="1"/>
  <c r="AQ438" i="1" s="1"/>
  <c r="AP439" i="1"/>
  <c r="AP440" i="1"/>
  <c r="AP441" i="1"/>
  <c r="AP442" i="1"/>
  <c r="AP443" i="1"/>
  <c r="AP444" i="1"/>
  <c r="AP445" i="1"/>
  <c r="AP446" i="1"/>
  <c r="AP447" i="1"/>
  <c r="AP448" i="1"/>
  <c r="AP449" i="1"/>
  <c r="AP450" i="1"/>
  <c r="AP451" i="1"/>
  <c r="AP452" i="1"/>
  <c r="AP453" i="1"/>
  <c r="AP454" i="1"/>
  <c r="AP455" i="1"/>
  <c r="AP456" i="1"/>
  <c r="AP457" i="1"/>
  <c r="AP458" i="1"/>
  <c r="AP467" i="1"/>
  <c r="AQ467" i="1" s="1"/>
  <c r="AP468" i="1"/>
  <c r="AQ468" i="1" s="1"/>
  <c r="AP469" i="1"/>
  <c r="AQ469" i="1" s="1"/>
  <c r="AP470" i="1"/>
  <c r="AQ470" i="1" s="1"/>
  <c r="AP471" i="1"/>
  <c r="AP472" i="1"/>
  <c r="AP473" i="1"/>
  <c r="AP474" i="1"/>
  <c r="AQ474" i="1" s="1"/>
  <c r="AP475" i="1"/>
  <c r="AQ475" i="1" s="1"/>
  <c r="AP476" i="1"/>
  <c r="AP477" i="1"/>
  <c r="AP478" i="1"/>
  <c r="AP479" i="1"/>
  <c r="AP480" i="1"/>
  <c r="AP481" i="1"/>
  <c r="AP482" i="1"/>
  <c r="AP483" i="1"/>
  <c r="AP484" i="1"/>
  <c r="AP485" i="1"/>
  <c r="AP486" i="1"/>
  <c r="AP487" i="1"/>
  <c r="AP488" i="1"/>
  <c r="AP489" i="1"/>
  <c r="AP490" i="1"/>
  <c r="AP491" i="1"/>
  <c r="AP492" i="1"/>
  <c r="AP493" i="1"/>
  <c r="AP494" i="1"/>
  <c r="AP495" i="1"/>
  <c r="AP496" i="1"/>
  <c r="AP497" i="1"/>
  <c r="AP498" i="1"/>
  <c r="AP499" i="1"/>
  <c r="AP500" i="1"/>
  <c r="AP501" i="1"/>
  <c r="AP502" i="1"/>
  <c r="AP503" i="1"/>
  <c r="AP504" i="1"/>
  <c r="AP505" i="1"/>
  <c r="AP506" i="1"/>
  <c r="AP507" i="1"/>
  <c r="AP508" i="1"/>
  <c r="AP509" i="1"/>
  <c r="AP510" i="1"/>
  <c r="AP511" i="1"/>
  <c r="AP512" i="1"/>
  <c r="AP513" i="1"/>
  <c r="AP514" i="1"/>
  <c r="AP515" i="1"/>
  <c r="AP516" i="1"/>
  <c r="AP517" i="1"/>
  <c r="AP518" i="1"/>
  <c r="AP519" i="1"/>
  <c r="AP520" i="1"/>
  <c r="AP521" i="1"/>
  <c r="AP522" i="1"/>
  <c r="AP523" i="1"/>
  <c r="AP524" i="1"/>
  <c r="AP525" i="1"/>
  <c r="AP526" i="1"/>
  <c r="AP527" i="1"/>
  <c r="AP528" i="1"/>
  <c r="AP529" i="1"/>
  <c r="AP530" i="1"/>
  <c r="AP531" i="1"/>
  <c r="AP532" i="1"/>
  <c r="AP533" i="1"/>
  <c r="AP534" i="1"/>
  <c r="AP535" i="1"/>
  <c r="AP536" i="1"/>
  <c r="AP537" i="1"/>
  <c r="AP538" i="1"/>
  <c r="AP539" i="1"/>
  <c r="AP540" i="1"/>
  <c r="AP541" i="1"/>
  <c r="AP542" i="1"/>
  <c r="AP543" i="1"/>
  <c r="AP544" i="1"/>
  <c r="AP545" i="1"/>
  <c r="AP546" i="1"/>
  <c r="AP547" i="1"/>
  <c r="AP548" i="1"/>
  <c r="AP549" i="1"/>
  <c r="AP550" i="1"/>
  <c r="AP551" i="1"/>
  <c r="AP552" i="1"/>
  <c r="AP553" i="1"/>
  <c r="AP554" i="1"/>
  <c r="AP555" i="1"/>
  <c r="AP556" i="1"/>
  <c r="AQ556" i="1" s="1"/>
  <c r="AP557" i="1"/>
  <c r="AQ557" i="1" s="1"/>
  <c r="AP558" i="1"/>
  <c r="AQ558" i="1" s="1"/>
  <c r="AP559" i="1"/>
  <c r="AQ559" i="1" s="1"/>
  <c r="AP560" i="1"/>
  <c r="AQ560" i="1" s="1"/>
  <c r="AP561" i="1"/>
  <c r="AQ561" i="1" s="1"/>
  <c r="AP562" i="1"/>
  <c r="AQ562" i="1" s="1"/>
  <c r="AP563" i="1"/>
  <c r="AQ563" i="1" s="1"/>
  <c r="AV113" i="2"/>
  <c r="AV114" i="2"/>
  <c r="AV115" i="2"/>
  <c r="AV116" i="2"/>
  <c r="AV117" i="2"/>
  <c r="AV118" i="2"/>
  <c r="AV119" i="2"/>
  <c r="AV120" i="2"/>
  <c r="AV121" i="2"/>
  <c r="AV5" i="2"/>
  <c r="AV6" i="2"/>
  <c r="AV7" i="2"/>
  <c r="AV8" i="2"/>
  <c r="AV9" i="2"/>
  <c r="AV10" i="2"/>
  <c r="AV12" i="2"/>
  <c r="AV13" i="2"/>
  <c r="AV14" i="2"/>
  <c r="AV365" i="2"/>
  <c r="AV366" i="2"/>
  <c r="AV367" i="2"/>
  <c r="AV368" i="2"/>
  <c r="AV369" i="2"/>
  <c r="AV470" i="2"/>
  <c r="AV471" i="2"/>
  <c r="AV472" i="2"/>
  <c r="AV473" i="2"/>
  <c r="AV474" i="2"/>
  <c r="AV475" i="2"/>
  <c r="AV476" i="2"/>
  <c r="AV477" i="2"/>
  <c r="AV478" i="2"/>
  <c r="AV479" i="2"/>
  <c r="AV480" i="2"/>
  <c r="AV481" i="2"/>
  <c r="AV482" i="2"/>
  <c r="AV483" i="2"/>
  <c r="AV484" i="2"/>
  <c r="AV485" i="2"/>
  <c r="AV486" i="2"/>
  <c r="AV487" i="2"/>
  <c r="AV488" i="2"/>
  <c r="AV489" i="2"/>
  <c r="AV490" i="2"/>
  <c r="AV491" i="2"/>
  <c r="AV492" i="2"/>
  <c r="AV493" i="2"/>
  <c r="AV494" i="2"/>
  <c r="AV495" i="2"/>
  <c r="AV496" i="2"/>
  <c r="AV497" i="2"/>
  <c r="AV498" i="2"/>
  <c r="AV499" i="2"/>
  <c r="AV500" i="2"/>
  <c r="AV501" i="2"/>
  <c r="AV502" i="2"/>
  <c r="AV503" i="2"/>
  <c r="AV504" i="2"/>
  <c r="AV573" i="2"/>
  <c r="AV574" i="2"/>
  <c r="AV575" i="2"/>
  <c r="AV576" i="2"/>
  <c r="AV577" i="2"/>
  <c r="AV578" i="2"/>
  <c r="AV579" i="2"/>
  <c r="AV580" i="2"/>
  <c r="AV581" i="2"/>
  <c r="AV582" i="2"/>
  <c r="AV583" i="2"/>
  <c r="AV584" i="2"/>
  <c r="AV585" i="2"/>
  <c r="AV586" i="2"/>
  <c r="AV587" i="2"/>
  <c r="AV588" i="2"/>
  <c r="AV589" i="2"/>
  <c r="AV590" i="2"/>
  <c r="AV591" i="2"/>
  <c r="AV592" i="2"/>
  <c r="AV593" i="2"/>
  <c r="AV594" i="2"/>
  <c r="AV595" i="2"/>
  <c r="AV596" i="2"/>
  <c r="AV597" i="2"/>
  <c r="AV598" i="2"/>
  <c r="AV599" i="2"/>
  <c r="AV600" i="2"/>
  <c r="AV601" i="2"/>
  <c r="AV602" i="2"/>
  <c r="AV603" i="2"/>
  <c r="AV604" i="2"/>
  <c r="AV605" i="2"/>
  <c r="AV606" i="2"/>
  <c r="AV607" i="2"/>
  <c r="AV608" i="2"/>
  <c r="AV609" i="2"/>
  <c r="AV610" i="2"/>
  <c r="AV611" i="2"/>
  <c r="AV612" i="2"/>
  <c r="AV613" i="2"/>
  <c r="AV614" i="2"/>
  <c r="AV615" i="2"/>
  <c r="AV616" i="2"/>
  <c r="AV617" i="2"/>
  <c r="AV618" i="2"/>
  <c r="AV619" i="2"/>
  <c r="AV620" i="2"/>
  <c r="AV621" i="2"/>
  <c r="AV622" i="2"/>
  <c r="AV623" i="2"/>
  <c r="AV624" i="2"/>
  <c r="AV625" i="2"/>
  <c r="AV626" i="2"/>
  <c r="AV627" i="2"/>
  <c r="AV628" i="2"/>
  <c r="AV629" i="2"/>
  <c r="AV630" i="2"/>
  <c r="AV631" i="2"/>
  <c r="AV632" i="2"/>
  <c r="AV633" i="2"/>
  <c r="AV634" i="2"/>
  <c r="AV635" i="2"/>
  <c r="AV636" i="2"/>
  <c r="AV637" i="2"/>
  <c r="AV638" i="2"/>
  <c r="AV639" i="2"/>
  <c r="AV640" i="2"/>
  <c r="AV641" i="2"/>
  <c r="AV642" i="2"/>
  <c r="AV643" i="2"/>
  <c r="AV644" i="2"/>
  <c r="AV645" i="2"/>
  <c r="AV646" i="2"/>
  <c r="AV647" i="2"/>
  <c r="AV648" i="2"/>
  <c r="AV649" i="2"/>
  <c r="AV650" i="2"/>
  <c r="AV651" i="2"/>
  <c r="AV652" i="2"/>
  <c r="AV653" i="2"/>
  <c r="AV654" i="2"/>
  <c r="AV655" i="2"/>
  <c r="AV656" i="2"/>
  <c r="AV657" i="2"/>
  <c r="AV658" i="2"/>
  <c r="AV659" i="2"/>
  <c r="AV660" i="2"/>
  <c r="AV661" i="2"/>
  <c r="AV662" i="2"/>
  <c r="AV663" i="2"/>
  <c r="AV664" i="2"/>
  <c r="AV665" i="2"/>
  <c r="AV666" i="2"/>
  <c r="AV667" i="2"/>
  <c r="AV668" i="2"/>
  <c r="AV669" i="2"/>
  <c r="AV670" i="2"/>
  <c r="AV671" i="2"/>
  <c r="AV672" i="2"/>
  <c r="AV673" i="2"/>
  <c r="AV674" i="2"/>
  <c r="AV675" i="2"/>
  <c r="AV676" i="2"/>
  <c r="AV677" i="2"/>
  <c r="AV678" i="2"/>
  <c r="AV679" i="2"/>
  <c r="AV680" i="2"/>
  <c r="AV681" i="2"/>
  <c r="AV682" i="2"/>
  <c r="AV683" i="2"/>
  <c r="AV684" i="2"/>
  <c r="AV685" i="2"/>
  <c r="AV686" i="2"/>
  <c r="AV687" i="2"/>
  <c r="AV688" i="2"/>
  <c r="AV689" i="2"/>
  <c r="AV690" i="2"/>
  <c r="AV691" i="2"/>
  <c r="AV692" i="2"/>
  <c r="AV693" i="2"/>
  <c r="AV694" i="2"/>
  <c r="AV695" i="2"/>
  <c r="AV696" i="2"/>
  <c r="AV697" i="2"/>
  <c r="AV698" i="2"/>
  <c r="AV699" i="2"/>
  <c r="AV700" i="2"/>
  <c r="AV701" i="2"/>
  <c r="AV702" i="2"/>
  <c r="AV703" i="2"/>
  <c r="AV704" i="2"/>
  <c r="AV705" i="2"/>
  <c r="AV706" i="2"/>
  <c r="AV707" i="2"/>
  <c r="AV708" i="2"/>
  <c r="AV709" i="2"/>
  <c r="AV710" i="2"/>
  <c r="AV711" i="2"/>
  <c r="AV712" i="2"/>
  <c r="AV713" i="2"/>
  <c r="AV714" i="2"/>
  <c r="AV715" i="2"/>
  <c r="AV716" i="2"/>
  <c r="AV717" i="2"/>
  <c r="AV281" i="2" l="1"/>
  <c r="AV279" i="2"/>
  <c r="AV278" i="2"/>
  <c r="AV267" i="2"/>
  <c r="AV271" i="2"/>
  <c r="AV270" i="2"/>
  <c r="AV269" i="2"/>
  <c r="AV268" i="2"/>
  <c r="AV265" i="2"/>
  <c r="AV264" i="2"/>
  <c r="AV263" i="2"/>
  <c r="AV262" i="2"/>
  <c r="AV261" i="2"/>
  <c r="AV260" i="2"/>
  <c r="AV259" i="2"/>
  <c r="AV258" i="2"/>
  <c r="AV257" i="2"/>
  <c r="AV256" i="2"/>
  <c r="AV255" i="2"/>
  <c r="AV254" i="2"/>
  <c r="AV239" i="2"/>
  <c r="AV238" i="2"/>
  <c r="AV237" i="2"/>
  <c r="AV236" i="2"/>
  <c r="O93" i="2"/>
  <c r="AV176" i="2"/>
  <c r="O84" i="2"/>
  <c r="AV67" i="2"/>
  <c r="AV66" i="2"/>
  <c r="AV65" i="2"/>
  <c r="AV106" i="2"/>
  <c r="AV112" i="2"/>
  <c r="AV111" i="2"/>
  <c r="O89" i="2"/>
  <c r="AV109" i="2"/>
  <c r="AV108" i="2"/>
  <c r="AV107" i="2"/>
  <c r="AV88" i="2"/>
  <c r="AV99" i="2"/>
  <c r="AV87" i="2"/>
  <c r="AV100" i="2"/>
  <c r="AV64" i="2"/>
  <c r="AV98" i="2"/>
  <c r="AV86" i="2"/>
  <c r="O98" i="2"/>
  <c r="AV97" i="2"/>
  <c r="AV85" i="2"/>
  <c r="AV95" i="2"/>
  <c r="AV96" i="2"/>
  <c r="AV94" i="2"/>
  <c r="AV89" i="2"/>
  <c r="AV93" i="2"/>
  <c r="AV101" i="2"/>
  <c r="AV92" i="2"/>
  <c r="AV103" i="2"/>
  <c r="AV91" i="2"/>
  <c r="AV84" i="2"/>
  <c r="AV102" i="2"/>
  <c r="AV90" i="2"/>
  <c r="AV46" i="2"/>
  <c r="AV44" i="2"/>
  <c r="AV43" i="2"/>
  <c r="AV54" i="2"/>
  <c r="AV42" i="2"/>
  <c r="AV53" i="2"/>
  <c r="AV45" i="2"/>
  <c r="AV51" i="2"/>
  <c r="AV50" i="2"/>
  <c r="AV49" i="2"/>
  <c r="AV48" i="2"/>
  <c r="AV47" i="2"/>
  <c r="AQ50" i="1"/>
  <c r="AR50" i="1" s="1"/>
  <c r="AQ48" i="1"/>
  <c r="AR48" i="1" s="1"/>
  <c r="AQ47" i="1"/>
  <c r="AR47" i="1" s="1"/>
  <c r="AQ49" i="1"/>
  <c r="AR49" i="1" s="1"/>
  <c r="AQ46" i="1"/>
  <c r="AR46" i="1" s="1"/>
  <c r="AQ45" i="1"/>
  <c r="AR45" i="1" s="1"/>
  <c r="AQ44" i="1"/>
  <c r="AR44" i="1" s="1"/>
  <c r="AQ14" i="1"/>
  <c r="AQ7" i="1"/>
  <c r="AQ6" i="1"/>
  <c r="AR4" i="1"/>
  <c r="AR3" i="1"/>
  <c r="BB3" i="1"/>
  <c r="BB4" i="1"/>
  <c r="BB5" i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75" i="1"/>
  <c r="BB76" i="1"/>
  <c r="BB77" i="1"/>
  <c r="BB78" i="1"/>
  <c r="BB79" i="1"/>
  <c r="BB80" i="1"/>
  <c r="BB81" i="1"/>
  <c r="BB82" i="1"/>
  <c r="BB83" i="1"/>
  <c r="BB84" i="1"/>
  <c r="BB85" i="1"/>
  <c r="BB86" i="1"/>
  <c r="BB87" i="1"/>
  <c r="BB88" i="1"/>
  <c r="BB89" i="1"/>
  <c r="BB90" i="1"/>
  <c r="BB91" i="1"/>
  <c r="BB92" i="1"/>
  <c r="BB93" i="1"/>
  <c r="BB94" i="1"/>
  <c r="BB95" i="1"/>
  <c r="BB96" i="1"/>
  <c r="BB97" i="1"/>
  <c r="BB98" i="1"/>
  <c r="BB99" i="1"/>
  <c r="BB100" i="1"/>
  <c r="BB101" i="1"/>
  <c r="BB102" i="1"/>
  <c r="BB103" i="1"/>
  <c r="BB104" i="1"/>
  <c r="BB105" i="1"/>
  <c r="BB106" i="1"/>
  <c r="BB107" i="1"/>
  <c r="BB108" i="1"/>
  <c r="BB109" i="1"/>
  <c r="BB110" i="1"/>
  <c r="BB111" i="1"/>
  <c r="BB112" i="1"/>
  <c r="BB113" i="1"/>
  <c r="BB114" i="1"/>
  <c r="BB115" i="1"/>
  <c r="BB116" i="1"/>
  <c r="BB117" i="1"/>
  <c r="BB118" i="1"/>
  <c r="BB119" i="1"/>
  <c r="BB120" i="1"/>
  <c r="BB121" i="1"/>
  <c r="BB122" i="1"/>
  <c r="BB123" i="1"/>
  <c r="BB124" i="1"/>
  <c r="BB125" i="1"/>
  <c r="BB126" i="1"/>
  <c r="BB127" i="1"/>
  <c r="BB128" i="1"/>
  <c r="BB129" i="1"/>
  <c r="BB130" i="1"/>
  <c r="BB131" i="1"/>
  <c r="BB132" i="1"/>
  <c r="BB133" i="1"/>
  <c r="BB134" i="1"/>
  <c r="BB135" i="1"/>
  <c r="BB136" i="1"/>
  <c r="BB137" i="1"/>
  <c r="BB138" i="1"/>
  <c r="BB139" i="1"/>
  <c r="BB140" i="1"/>
  <c r="BB141" i="1"/>
  <c r="BB142" i="1"/>
  <c r="BB143" i="1"/>
  <c r="BB144" i="1"/>
  <c r="BB145" i="1"/>
  <c r="BB146" i="1"/>
  <c r="BB147" i="1"/>
  <c r="BB148" i="1"/>
  <c r="BB149" i="1"/>
  <c r="BB150" i="1"/>
  <c r="BB151" i="1"/>
  <c r="BB152" i="1"/>
  <c r="BB153" i="1"/>
  <c r="BB154" i="1"/>
  <c r="BB155" i="1"/>
  <c r="BB156" i="1"/>
  <c r="BB157" i="1"/>
  <c r="BB158" i="1"/>
  <c r="BB159" i="1"/>
  <c r="BB160" i="1"/>
  <c r="BB161" i="1"/>
  <c r="BB162" i="1"/>
  <c r="BB163" i="1"/>
  <c r="BB164" i="1"/>
  <c r="BB165" i="1"/>
  <c r="BB166" i="1"/>
  <c r="BB167" i="1"/>
  <c r="BB168" i="1"/>
  <c r="BB169" i="1"/>
  <c r="BB170" i="1"/>
  <c r="BB171" i="1"/>
  <c r="BB172" i="1"/>
  <c r="BB173" i="1"/>
  <c r="BB176" i="1"/>
  <c r="BB177" i="1"/>
  <c r="BB178" i="1"/>
  <c r="BB180" i="1"/>
  <c r="BB181" i="1"/>
  <c r="BB182" i="1"/>
  <c r="BB183" i="1"/>
  <c r="BB184" i="1"/>
  <c r="BB185" i="1"/>
  <c r="BB186" i="1"/>
  <c r="BB187" i="1"/>
  <c r="BB188" i="1"/>
  <c r="BB189" i="1"/>
  <c r="BB190" i="1"/>
  <c r="BB191" i="1"/>
  <c r="BB192" i="1"/>
  <c r="BB193" i="1"/>
  <c r="BB194" i="1"/>
  <c r="BB195" i="1"/>
  <c r="BB196" i="1"/>
  <c r="BB197" i="1"/>
  <c r="BB198" i="1"/>
  <c r="BB199" i="1"/>
  <c r="BB200" i="1"/>
  <c r="BB201" i="1"/>
  <c r="BB202" i="1"/>
  <c r="BB203" i="1"/>
  <c r="BB204" i="1"/>
  <c r="BB205" i="1"/>
  <c r="BB206" i="1"/>
  <c r="BB207" i="1"/>
  <c r="BB208" i="1"/>
  <c r="BB209" i="1"/>
  <c r="BB210" i="1"/>
  <c r="BB211" i="1"/>
  <c r="BB212" i="1"/>
  <c r="BB213" i="1"/>
  <c r="BB214" i="1"/>
  <c r="BB215" i="1"/>
  <c r="BB216" i="1"/>
  <c r="BB217" i="1"/>
  <c r="BB218" i="1"/>
  <c r="BB219" i="1"/>
  <c r="BB220" i="1"/>
  <c r="BB221" i="1"/>
  <c r="BB222" i="1"/>
  <c r="BB223" i="1"/>
  <c r="BB224" i="1"/>
  <c r="BB225" i="1"/>
  <c r="BB226" i="1"/>
  <c r="BB227" i="1"/>
  <c r="BB228" i="1"/>
  <c r="BB229" i="1"/>
  <c r="BB230" i="1"/>
  <c r="BB231" i="1"/>
  <c r="BB232" i="1"/>
  <c r="BB233" i="1"/>
  <c r="BB234" i="1"/>
  <c r="BB235" i="1"/>
  <c r="BB236" i="1"/>
  <c r="BB237" i="1"/>
  <c r="BB238" i="1"/>
  <c r="BB239" i="1"/>
  <c r="BB240" i="1"/>
  <c r="BB241" i="1"/>
  <c r="BB242" i="1"/>
  <c r="BB243" i="1"/>
  <c r="BB244" i="1"/>
  <c r="BB245" i="1"/>
  <c r="BB246" i="1"/>
  <c r="BB247" i="1"/>
  <c r="BB248" i="1"/>
  <c r="BB249" i="1"/>
  <c r="BB250" i="1"/>
  <c r="BB251" i="1"/>
  <c r="BB252" i="1"/>
  <c r="BB253" i="1"/>
  <c r="BB254" i="1"/>
  <c r="BB255" i="1"/>
  <c r="BB256" i="1"/>
  <c r="BB257" i="1"/>
  <c r="BB258" i="1"/>
  <c r="BB259" i="1"/>
  <c r="BB260" i="1"/>
  <c r="BB261" i="1"/>
  <c r="BB262" i="1"/>
  <c r="BB263" i="1"/>
  <c r="BB264" i="1"/>
  <c r="BB265" i="1"/>
  <c r="BB266" i="1"/>
  <c r="BB267" i="1"/>
  <c r="BB268" i="1"/>
  <c r="BB269" i="1"/>
  <c r="BB270" i="1"/>
  <c r="BB271" i="1"/>
  <c r="BB272" i="1"/>
  <c r="BB273" i="1"/>
  <c r="BB274" i="1"/>
  <c r="BB275" i="1"/>
  <c r="BB276" i="1"/>
  <c r="BB277" i="1"/>
  <c r="BB278" i="1"/>
  <c r="BB279" i="1"/>
  <c r="BB280" i="1"/>
  <c r="BB281" i="1"/>
  <c r="BB282" i="1"/>
  <c r="BB283" i="1"/>
  <c r="BB284" i="1"/>
  <c r="BB285" i="1"/>
  <c r="BB286" i="1"/>
  <c r="BB287" i="1"/>
  <c r="BB288" i="1"/>
  <c r="BB289" i="1"/>
  <c r="BB290" i="1"/>
  <c r="BB291" i="1"/>
  <c r="BB292" i="1"/>
  <c r="BB293" i="1"/>
  <c r="BB294" i="1"/>
  <c r="BB295" i="1"/>
  <c r="BB296" i="1"/>
  <c r="BB297" i="1"/>
  <c r="BB298" i="1"/>
  <c r="BB299" i="1"/>
  <c r="BB300" i="1"/>
  <c r="BB301" i="1"/>
  <c r="BB302" i="1"/>
  <c r="BB303" i="1"/>
  <c r="BB304" i="1"/>
  <c r="BB305" i="1"/>
  <c r="BB306" i="1"/>
  <c r="BB307" i="1"/>
  <c r="BB308" i="1"/>
  <c r="BB309" i="1"/>
  <c r="BB310" i="1"/>
  <c r="BB311" i="1"/>
  <c r="BB312" i="1"/>
  <c r="BB313" i="1"/>
  <c r="BB314" i="1"/>
  <c r="BB315" i="1"/>
  <c r="BB316" i="1"/>
  <c r="BB317" i="1"/>
  <c r="BB318" i="1"/>
  <c r="BB319" i="1"/>
  <c r="BB320" i="1"/>
  <c r="BB321" i="1"/>
  <c r="BB322" i="1"/>
  <c r="BB323" i="1"/>
  <c r="BB324" i="1"/>
  <c r="BB325" i="1"/>
  <c r="BB326" i="1"/>
  <c r="BB327" i="1"/>
  <c r="BB328" i="1"/>
  <c r="BB329" i="1"/>
  <c r="BB330" i="1"/>
  <c r="BB331" i="1"/>
  <c r="BB332" i="1"/>
  <c r="BB333" i="1"/>
  <c r="BB334" i="1"/>
  <c r="BB335" i="1"/>
  <c r="BB336" i="1"/>
  <c r="BB337" i="1"/>
  <c r="BB338" i="1"/>
  <c r="BB339" i="1"/>
  <c r="BB340" i="1"/>
  <c r="BB341" i="1"/>
  <c r="BB342" i="1"/>
  <c r="BB343" i="1"/>
  <c r="BB344" i="1"/>
  <c r="BB345" i="1"/>
  <c r="BB346" i="1"/>
  <c r="BB347" i="1"/>
  <c r="BB348" i="1"/>
  <c r="BB349" i="1"/>
  <c r="BB350" i="1"/>
  <c r="BB351" i="1"/>
  <c r="BB352" i="1"/>
  <c r="BB353" i="1"/>
  <c r="BB354" i="1"/>
  <c r="BB355" i="1"/>
  <c r="BB356" i="1"/>
  <c r="BB357" i="1"/>
  <c r="BB358" i="1"/>
  <c r="BB359" i="1"/>
  <c r="BB360" i="1"/>
  <c r="BB361" i="1"/>
  <c r="BB362" i="1"/>
  <c r="BB363" i="1"/>
  <c r="BB364" i="1"/>
  <c r="BB365" i="1"/>
  <c r="BB366" i="1"/>
  <c r="BB367" i="1"/>
  <c r="BB368" i="1"/>
  <c r="BB369" i="1"/>
  <c r="BB370" i="1"/>
  <c r="BB371" i="1"/>
  <c r="BB372" i="1"/>
  <c r="BB373" i="1"/>
  <c r="BB374" i="1"/>
  <c r="BB375" i="1"/>
  <c r="BB376" i="1"/>
  <c r="BB377" i="1"/>
  <c r="BB378" i="1"/>
  <c r="BB379" i="1"/>
  <c r="BB380" i="1"/>
  <c r="BB381" i="1"/>
  <c r="BB382" i="1"/>
  <c r="BB383" i="1"/>
  <c r="BB384" i="1"/>
  <c r="BB385" i="1"/>
  <c r="BB386" i="1"/>
  <c r="BB387" i="1"/>
  <c r="BB388" i="1"/>
  <c r="BB389" i="1"/>
  <c r="BB390" i="1"/>
  <c r="BB391" i="1"/>
  <c r="BB392" i="1"/>
  <c r="BB393" i="1"/>
  <c r="BB394" i="1"/>
  <c r="BB395" i="1"/>
  <c r="BB396" i="1"/>
  <c r="BB397" i="1"/>
  <c r="BB398" i="1"/>
  <c r="BB399" i="1"/>
  <c r="BB400" i="1"/>
  <c r="BB401" i="1"/>
  <c r="BB402" i="1"/>
  <c r="BB403" i="1"/>
  <c r="BB404" i="1"/>
  <c r="BB405" i="1"/>
  <c r="BB406" i="1"/>
  <c r="BB407" i="1"/>
  <c r="BB408" i="1"/>
  <c r="BB409" i="1"/>
  <c r="BB410" i="1"/>
  <c r="BB411" i="1"/>
  <c r="BB412" i="1"/>
  <c r="BB413" i="1"/>
  <c r="BB414" i="1"/>
  <c r="BB415" i="1"/>
  <c r="BB416" i="1"/>
  <c r="BB417" i="1"/>
  <c r="BB418" i="1"/>
  <c r="BB419" i="1"/>
  <c r="BB420" i="1"/>
  <c r="BB421" i="1"/>
  <c r="BB422" i="1"/>
  <c r="BB423" i="1"/>
  <c r="BB424" i="1"/>
  <c r="BB425" i="1"/>
  <c r="BB426" i="1"/>
  <c r="BB427" i="1"/>
  <c r="BB428" i="1"/>
  <c r="BB429" i="1"/>
  <c r="BB430" i="1"/>
  <c r="BB431" i="1"/>
  <c r="BB432" i="1"/>
  <c r="BB433" i="1"/>
  <c r="BB434" i="1"/>
  <c r="BB435" i="1"/>
  <c r="BB436" i="1"/>
  <c r="BB437" i="1"/>
  <c r="BB438" i="1"/>
  <c r="BB439" i="1"/>
  <c r="BB440" i="1"/>
  <c r="BB441" i="1"/>
  <c r="BB442" i="1"/>
  <c r="BB443" i="1"/>
  <c r="BB444" i="1"/>
  <c r="BB445" i="1"/>
  <c r="BB446" i="1"/>
  <c r="BB447" i="1"/>
  <c r="BB448" i="1"/>
  <c r="BB449" i="1"/>
  <c r="BB450" i="1"/>
  <c r="BB451" i="1"/>
  <c r="BB452" i="1"/>
  <c r="BB453" i="1"/>
  <c r="BB454" i="1"/>
  <c r="BB455" i="1"/>
  <c r="BB456" i="1"/>
  <c r="BB457" i="1"/>
  <c r="BB458" i="1"/>
  <c r="BB459" i="1"/>
  <c r="BB460" i="1"/>
  <c r="BB461" i="1"/>
  <c r="BB462" i="1"/>
  <c r="BB463" i="1"/>
  <c r="BB464" i="1"/>
  <c r="BB465" i="1"/>
  <c r="BB466" i="1"/>
  <c r="BB471" i="1"/>
  <c r="BB472" i="1"/>
  <c r="BB473" i="1"/>
  <c r="BB474" i="1"/>
  <c r="BB475" i="1"/>
  <c r="BB476" i="1"/>
  <c r="BB477" i="1"/>
  <c r="BB478" i="1"/>
  <c r="BB479" i="1"/>
  <c r="BB480" i="1"/>
  <c r="BB481" i="1"/>
  <c r="BB482" i="1"/>
  <c r="BB483" i="1"/>
  <c r="BB484" i="1"/>
  <c r="BB485" i="1"/>
  <c r="BB486" i="1"/>
  <c r="BB487" i="1"/>
  <c r="BB488" i="1"/>
  <c r="BB489" i="1"/>
  <c r="BB490" i="1"/>
  <c r="BB491" i="1"/>
  <c r="BB492" i="1"/>
  <c r="BB493" i="1"/>
  <c r="BB494" i="1"/>
  <c r="BB495" i="1"/>
  <c r="BB496" i="1"/>
  <c r="BB497" i="1"/>
  <c r="BB498" i="1"/>
  <c r="BB499" i="1"/>
  <c r="BB500" i="1"/>
  <c r="BB501" i="1"/>
  <c r="BB502" i="1"/>
  <c r="BB503" i="1"/>
  <c r="BB504" i="1"/>
  <c r="BB505" i="1"/>
  <c r="BB506" i="1"/>
  <c r="BB507" i="1"/>
  <c r="BB508" i="1"/>
  <c r="BB509" i="1"/>
  <c r="BB510" i="1"/>
  <c r="BB511" i="1"/>
  <c r="BB512" i="1"/>
  <c r="BB513" i="1"/>
  <c r="BB514" i="1"/>
  <c r="BB515" i="1"/>
  <c r="BB516" i="1"/>
  <c r="BB517" i="1"/>
  <c r="BB518" i="1"/>
  <c r="BB519" i="1"/>
  <c r="BB520" i="1"/>
  <c r="BB521" i="1"/>
  <c r="BB522" i="1"/>
  <c r="BB523" i="1"/>
  <c r="BB524" i="1"/>
  <c r="BB525" i="1"/>
  <c r="BB526" i="1"/>
  <c r="BB527" i="1"/>
  <c r="BB528" i="1"/>
  <c r="BB529" i="1"/>
  <c r="BB530" i="1"/>
  <c r="BB531" i="1"/>
  <c r="BB532" i="1"/>
  <c r="BB533" i="1"/>
  <c r="BB534" i="1"/>
  <c r="BB535" i="1"/>
  <c r="BB536" i="1"/>
  <c r="BB537" i="1"/>
  <c r="BB538" i="1"/>
  <c r="BB539" i="1"/>
  <c r="BB540" i="1"/>
  <c r="BB541" i="1"/>
  <c r="BB542" i="1"/>
  <c r="BB543" i="1"/>
  <c r="BB544" i="1"/>
  <c r="BB545" i="1"/>
  <c r="BB546" i="1"/>
  <c r="BB547" i="1"/>
  <c r="BB548" i="1"/>
  <c r="BB549" i="1"/>
  <c r="BB550" i="1"/>
  <c r="BB551" i="1"/>
  <c r="BB552" i="1"/>
  <c r="BB553" i="1"/>
  <c r="BB554" i="1"/>
  <c r="BB555" i="1"/>
  <c r="BB556" i="1"/>
  <c r="BB557" i="1"/>
  <c r="BB558" i="1"/>
  <c r="BB559" i="1"/>
  <c r="BB560" i="1"/>
  <c r="BB561" i="1"/>
  <c r="BB562" i="1"/>
  <c r="BB563" i="1"/>
  <c r="AV361" i="2" l="1"/>
  <c r="AV356" i="2"/>
  <c r="AV362" i="2"/>
  <c r="AV355" i="2"/>
  <c r="AV357" i="2"/>
  <c r="AV363" i="2"/>
  <c r="AV358" i="2"/>
  <c r="AV364" i="2"/>
  <c r="AV359" i="2"/>
  <c r="AV353" i="2"/>
  <c r="AV360" i="2"/>
  <c r="AV354" i="2"/>
  <c r="AV17" i="2"/>
  <c r="AV23" i="2"/>
  <c r="AV25" i="2"/>
  <c r="AV15" i="2"/>
  <c r="AV29" i="2"/>
  <c r="AV24" i="2"/>
  <c r="AV26" i="2"/>
  <c r="AV27" i="2"/>
  <c r="AV16" i="2"/>
  <c r="AV21" i="2"/>
  <c r="AV28" i="2"/>
  <c r="AV18" i="2"/>
  <c r="AV19" i="2"/>
  <c r="AV20" i="2"/>
  <c r="AV22" i="2"/>
  <c r="M5" i="1" l="1"/>
  <c r="M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81" i="1"/>
  <c r="M80" i="1"/>
  <c r="M79" i="1"/>
  <c r="M78" i="1"/>
  <c r="M175" i="1"/>
  <c r="M176" i="1"/>
  <c r="M177" i="1"/>
  <c r="M178" i="1"/>
  <c r="M179" i="1"/>
  <c r="M180" i="1"/>
  <c r="M181" i="1"/>
  <c r="M174" i="1"/>
  <c r="M200" i="1"/>
  <c r="M201" i="1"/>
  <c r="M202" i="1"/>
  <c r="M203" i="1"/>
  <c r="M204" i="1"/>
  <c r="M205" i="1"/>
  <c r="M199" i="1"/>
  <c r="M557" i="1"/>
  <c r="M558" i="1"/>
  <c r="M559" i="1"/>
  <c r="M560" i="1"/>
  <c r="M561" i="1"/>
  <c r="M562" i="1"/>
  <c r="M563" i="1"/>
  <c r="M556" i="1"/>
  <c r="AB563" i="1" l="1"/>
  <c r="AF563" i="1" s="1"/>
  <c r="AB562" i="1"/>
  <c r="AF562" i="1" s="1"/>
  <c r="AB561" i="1"/>
  <c r="AF561" i="1" s="1"/>
  <c r="AB560" i="1"/>
  <c r="AF560" i="1" s="1"/>
  <c r="AB559" i="1"/>
  <c r="AF559" i="1" s="1"/>
  <c r="AB558" i="1"/>
  <c r="AF558" i="1" s="1"/>
  <c r="AB557" i="1"/>
  <c r="AF557" i="1" s="1"/>
  <c r="AB556" i="1"/>
  <c r="AF556" i="1" s="1"/>
  <c r="BN475" i="1"/>
  <c r="AJ475" i="1"/>
  <c r="BN474" i="1"/>
  <c r="AJ474" i="1"/>
  <c r="BN473" i="1"/>
  <c r="AJ473" i="1"/>
  <c r="AF473" i="1"/>
  <c r="BN472" i="1"/>
  <c r="AJ472" i="1"/>
  <c r="AF472" i="1"/>
  <c r="BN471" i="1"/>
  <c r="AJ471" i="1"/>
  <c r="AF471" i="1"/>
  <c r="AY470" i="1"/>
  <c r="BB470" i="1" s="1"/>
  <c r="AY469" i="1"/>
  <c r="BB469" i="1" s="1"/>
  <c r="AY468" i="1"/>
  <c r="BB468" i="1" s="1"/>
  <c r="AY467" i="1"/>
  <c r="BB467" i="1" s="1"/>
  <c r="AM466" i="1"/>
  <c r="AP466" i="1" s="1"/>
  <c r="AQ466" i="1" s="1"/>
  <c r="AM465" i="1"/>
  <c r="AP465" i="1" s="1"/>
  <c r="AQ465" i="1" s="1"/>
  <c r="AM464" i="1"/>
  <c r="AP464" i="1" s="1"/>
  <c r="AQ464" i="1" s="1"/>
  <c r="AM463" i="1"/>
  <c r="AP463" i="1" s="1"/>
  <c r="AQ463" i="1" s="1"/>
  <c r="AM462" i="1"/>
  <c r="AP462" i="1" s="1"/>
  <c r="AQ462" i="1" s="1"/>
  <c r="AM461" i="1"/>
  <c r="AP461" i="1" s="1"/>
  <c r="AQ461" i="1" s="1"/>
  <c r="AM460" i="1"/>
  <c r="AP460" i="1" s="1"/>
  <c r="AQ460" i="1" s="1"/>
  <c r="AM459" i="1"/>
  <c r="AP459" i="1" s="1"/>
  <c r="AQ459" i="1" s="1"/>
  <c r="BN458" i="1"/>
  <c r="AF458" i="1"/>
  <c r="BN457" i="1"/>
  <c r="AF457" i="1"/>
  <c r="BN456" i="1"/>
  <c r="AF456" i="1"/>
  <c r="BN455" i="1"/>
  <c r="AF455" i="1"/>
  <c r="BN454" i="1"/>
  <c r="AF454" i="1"/>
  <c r="BN453" i="1"/>
  <c r="AF453" i="1"/>
  <c r="BN452" i="1"/>
  <c r="AF452" i="1"/>
  <c r="BN451" i="1"/>
  <c r="AF451" i="1"/>
  <c r="BN450" i="1"/>
  <c r="AF450" i="1"/>
  <c r="BN449" i="1"/>
  <c r="AF449" i="1"/>
  <c r="BN448" i="1"/>
  <c r="AF448" i="1"/>
  <c r="BN447" i="1"/>
  <c r="AF447" i="1"/>
  <c r="BN446" i="1"/>
  <c r="AF446" i="1"/>
  <c r="BN445" i="1"/>
  <c r="AF445" i="1"/>
  <c r="BN444" i="1"/>
  <c r="AF444" i="1"/>
  <c r="BN443" i="1"/>
  <c r="AF443" i="1"/>
  <c r="BN442" i="1"/>
  <c r="AF442" i="1"/>
  <c r="BN441" i="1"/>
  <c r="AF441" i="1"/>
  <c r="BN440" i="1"/>
  <c r="AF440" i="1"/>
  <c r="BN439" i="1"/>
  <c r="AF439" i="1"/>
  <c r="AB438" i="1"/>
  <c r="AJ437" i="1"/>
  <c r="AF437" i="1"/>
  <c r="AJ436" i="1"/>
  <c r="AF436" i="1"/>
  <c r="AJ435" i="1"/>
  <c r="AF435" i="1"/>
  <c r="AJ434" i="1"/>
  <c r="AF434" i="1"/>
  <c r="AJ433" i="1"/>
  <c r="AF433" i="1"/>
  <c r="AJ432" i="1"/>
  <c r="AF432" i="1"/>
  <c r="AJ431" i="1"/>
  <c r="AF431" i="1"/>
  <c r="AJ430" i="1"/>
  <c r="AF430" i="1"/>
  <c r="AU429" i="1"/>
  <c r="AP429" i="1" s="1"/>
  <c r="AQ429" i="1" s="1"/>
  <c r="AU428" i="1"/>
  <c r="AP428" i="1" s="1"/>
  <c r="AQ428" i="1" s="1"/>
  <c r="AU427" i="1"/>
  <c r="AP427" i="1" s="1"/>
  <c r="AQ427" i="1" s="1"/>
  <c r="AU426" i="1"/>
  <c r="AP426" i="1" s="1"/>
  <c r="AQ426" i="1" s="1"/>
  <c r="AU425" i="1"/>
  <c r="AP425" i="1" s="1"/>
  <c r="AQ425" i="1" s="1"/>
  <c r="AU424" i="1"/>
  <c r="AP424" i="1" s="1"/>
  <c r="AQ424" i="1" s="1"/>
  <c r="AU423" i="1"/>
  <c r="AP423" i="1" s="1"/>
  <c r="AQ423" i="1" s="1"/>
  <c r="AU422" i="1"/>
  <c r="AP422" i="1" s="1"/>
  <c r="AQ422" i="1" s="1"/>
  <c r="AU421" i="1"/>
  <c r="AP421" i="1" s="1"/>
  <c r="AQ421" i="1" s="1"/>
  <c r="AU420" i="1"/>
  <c r="AP420" i="1" s="1"/>
  <c r="AQ420" i="1" s="1"/>
  <c r="AU419" i="1"/>
  <c r="AP419" i="1" s="1"/>
  <c r="AQ419" i="1" s="1"/>
  <c r="AU418" i="1"/>
  <c r="AP418" i="1" s="1"/>
  <c r="AQ418" i="1" s="1"/>
  <c r="BH417" i="1"/>
  <c r="AB417" i="1"/>
  <c r="AF417" i="1" s="1"/>
  <c r="BH416" i="1"/>
  <c r="AB416" i="1"/>
  <c r="AF416" i="1" s="1"/>
  <c r="BH415" i="1"/>
  <c r="AB415" i="1"/>
  <c r="AF415" i="1" s="1"/>
  <c r="BH414" i="1"/>
  <c r="AB414" i="1"/>
  <c r="AF414" i="1" s="1"/>
  <c r="BH413" i="1"/>
  <c r="AB413" i="1"/>
  <c r="AF413" i="1" s="1"/>
  <c r="AB412" i="1"/>
  <c r="AF412" i="1" s="1"/>
  <c r="BH411" i="1"/>
  <c r="AB411" i="1"/>
  <c r="AF411" i="1" s="1"/>
  <c r="BH410" i="1"/>
  <c r="AB410" i="1"/>
  <c r="AF410" i="1" s="1"/>
  <c r="BH409" i="1"/>
  <c r="AB409" i="1"/>
  <c r="AF409" i="1" s="1"/>
  <c r="BH408" i="1"/>
  <c r="AB408" i="1"/>
  <c r="AF408" i="1" s="1"/>
  <c r="BH407" i="1"/>
  <c r="AB407" i="1"/>
  <c r="AF407" i="1" s="1"/>
  <c r="BH406" i="1"/>
  <c r="AB406" i="1"/>
  <c r="AF406" i="1" s="1"/>
  <c r="AB405" i="1"/>
  <c r="AF405" i="1" s="1"/>
  <c r="BH404" i="1"/>
  <c r="AB404" i="1"/>
  <c r="AF404" i="1" s="1"/>
  <c r="BH403" i="1"/>
  <c r="AB403" i="1"/>
  <c r="AF403" i="1" s="1"/>
  <c r="BH402" i="1"/>
  <c r="AB402" i="1"/>
  <c r="AF402" i="1" s="1"/>
  <c r="AX383" i="1"/>
  <c r="AF383" i="1"/>
  <c r="AX382" i="1"/>
  <c r="AF382" i="1"/>
  <c r="AX381" i="1"/>
  <c r="AF381" i="1"/>
  <c r="AX380" i="1"/>
  <c r="AF380" i="1"/>
  <c r="AX379" i="1"/>
  <c r="AF379" i="1"/>
  <c r="AX378" i="1"/>
  <c r="AF378" i="1"/>
  <c r="AX377" i="1"/>
  <c r="AF377" i="1"/>
  <c r="AX376" i="1"/>
  <c r="AF376" i="1"/>
  <c r="AX375" i="1"/>
  <c r="AF375" i="1"/>
  <c r="AX374" i="1"/>
  <c r="AF374" i="1"/>
  <c r="AX373" i="1"/>
  <c r="AF373" i="1"/>
  <c r="AX372" i="1"/>
  <c r="AF372" i="1"/>
  <c r="AX371" i="1"/>
  <c r="AF371" i="1"/>
  <c r="AX370" i="1"/>
  <c r="AF370" i="1"/>
  <c r="AX369" i="1"/>
  <c r="AF369" i="1"/>
  <c r="AX368" i="1"/>
  <c r="AF368" i="1"/>
  <c r="AX367" i="1"/>
  <c r="AF367" i="1"/>
  <c r="AX366" i="1"/>
  <c r="AF366" i="1"/>
  <c r="AX365" i="1"/>
  <c r="AF365" i="1"/>
  <c r="AX364" i="1"/>
  <c r="AF364" i="1"/>
  <c r="AX363" i="1"/>
  <c r="AF363" i="1"/>
  <c r="AX362" i="1"/>
  <c r="AF362" i="1"/>
  <c r="AX361" i="1"/>
  <c r="AF361" i="1"/>
  <c r="AX360" i="1"/>
  <c r="AF360" i="1"/>
  <c r="AX359" i="1"/>
  <c r="AF359" i="1"/>
  <c r="AX358" i="1"/>
  <c r="AF358" i="1"/>
  <c r="AX357" i="1"/>
  <c r="AF357" i="1"/>
  <c r="AX356" i="1"/>
  <c r="AF356" i="1"/>
  <c r="AX355" i="1"/>
  <c r="AF355" i="1"/>
  <c r="AX354" i="1"/>
  <c r="AF354" i="1"/>
  <c r="AX353" i="1"/>
  <c r="AF353" i="1"/>
  <c r="AX352" i="1"/>
  <c r="AF352" i="1"/>
  <c r="AX351" i="1"/>
  <c r="AF351" i="1"/>
  <c r="AX350" i="1"/>
  <c r="AF350" i="1"/>
  <c r="AX349" i="1"/>
  <c r="AF349" i="1"/>
  <c r="AX348" i="1"/>
  <c r="AF348" i="1"/>
  <c r="AX347" i="1"/>
  <c r="AF347" i="1"/>
  <c r="AX346" i="1"/>
  <c r="AF346" i="1"/>
  <c r="AX345" i="1"/>
  <c r="AF345" i="1"/>
  <c r="AX344" i="1"/>
  <c r="AF344" i="1"/>
  <c r="AX343" i="1"/>
  <c r="AF343" i="1"/>
  <c r="AX342" i="1"/>
  <c r="AF342" i="1"/>
  <c r="AX341" i="1"/>
  <c r="AF341" i="1"/>
  <c r="AX340" i="1"/>
  <c r="AF340" i="1"/>
  <c r="AX339" i="1"/>
  <c r="AF339" i="1"/>
  <c r="AX338" i="1"/>
  <c r="AF338" i="1"/>
  <c r="AX337" i="1"/>
  <c r="AF337" i="1"/>
  <c r="AX336" i="1"/>
  <c r="AF336" i="1"/>
  <c r="AX335" i="1"/>
  <c r="AF335" i="1"/>
  <c r="AX334" i="1"/>
  <c r="AF334" i="1"/>
  <c r="AX333" i="1"/>
  <c r="AF333" i="1"/>
  <c r="AX332" i="1"/>
  <c r="AF332" i="1"/>
  <c r="AX331" i="1"/>
  <c r="AF331" i="1"/>
  <c r="AX330" i="1"/>
  <c r="AF330" i="1"/>
  <c r="AX329" i="1"/>
  <c r="AF329" i="1"/>
  <c r="AX328" i="1"/>
  <c r="AF328" i="1"/>
  <c r="AX327" i="1"/>
  <c r="AF327" i="1"/>
  <c r="AX326" i="1"/>
  <c r="AF326" i="1"/>
  <c r="AX325" i="1"/>
  <c r="AF325" i="1"/>
  <c r="AX324" i="1"/>
  <c r="AF324" i="1"/>
  <c r="AX323" i="1"/>
  <c r="AF323" i="1"/>
  <c r="BN322" i="1"/>
  <c r="AX322" i="1"/>
  <c r="AF322" i="1"/>
  <c r="AX321" i="1"/>
  <c r="AF321" i="1"/>
  <c r="AX320" i="1"/>
  <c r="AF320" i="1"/>
  <c r="AX319" i="1"/>
  <c r="AF319" i="1"/>
  <c r="AX318" i="1"/>
  <c r="AF318" i="1"/>
  <c r="AX317" i="1"/>
  <c r="AF317" i="1"/>
  <c r="AX316" i="1"/>
  <c r="AF316" i="1"/>
  <c r="AX315" i="1"/>
  <c r="AF315" i="1"/>
  <c r="AX314" i="1"/>
  <c r="AF314" i="1"/>
  <c r="AX313" i="1"/>
  <c r="AF313" i="1"/>
  <c r="AX312" i="1"/>
  <c r="AF312" i="1"/>
  <c r="AX311" i="1"/>
  <c r="AF311" i="1"/>
  <c r="AX310" i="1"/>
  <c r="AF310" i="1"/>
  <c r="AX309" i="1"/>
  <c r="AF309" i="1"/>
  <c r="AX308" i="1"/>
  <c r="AF308" i="1"/>
  <c r="AX307" i="1"/>
  <c r="AF307" i="1"/>
  <c r="AX306" i="1"/>
  <c r="AF306" i="1"/>
  <c r="AX305" i="1"/>
  <c r="AF305" i="1"/>
  <c r="AX304" i="1"/>
  <c r="AF304" i="1"/>
  <c r="AX303" i="1"/>
  <c r="AF303" i="1"/>
  <c r="AX302" i="1"/>
  <c r="AF302" i="1"/>
  <c r="AX301" i="1"/>
  <c r="AF301" i="1"/>
  <c r="AX300" i="1"/>
  <c r="AF300" i="1"/>
  <c r="AX299" i="1"/>
  <c r="AF299" i="1"/>
  <c r="AX298" i="1"/>
  <c r="AF298" i="1"/>
  <c r="AX297" i="1"/>
  <c r="AF297" i="1"/>
  <c r="AX296" i="1"/>
  <c r="AF296" i="1"/>
  <c r="AX295" i="1"/>
  <c r="AF295" i="1"/>
  <c r="AX294" i="1"/>
  <c r="AF294" i="1"/>
  <c r="AX293" i="1"/>
  <c r="AF293" i="1"/>
  <c r="AX292" i="1"/>
  <c r="AF292" i="1"/>
  <c r="AX291" i="1"/>
  <c r="AF291" i="1"/>
  <c r="AX290" i="1"/>
  <c r="AF290" i="1"/>
  <c r="AX289" i="1"/>
  <c r="AF289" i="1"/>
  <c r="AX288" i="1"/>
  <c r="AF288" i="1"/>
  <c r="AX287" i="1"/>
  <c r="AF287" i="1"/>
  <c r="AX286" i="1"/>
  <c r="AF286" i="1"/>
  <c r="AX285" i="1"/>
  <c r="AF285" i="1"/>
  <c r="AX284" i="1"/>
  <c r="AF284" i="1"/>
  <c r="AX283" i="1"/>
  <c r="AF283" i="1"/>
  <c r="AX282" i="1"/>
  <c r="AF282" i="1"/>
  <c r="AX281" i="1"/>
  <c r="AF281" i="1"/>
  <c r="AX280" i="1"/>
  <c r="AF280" i="1"/>
  <c r="AX279" i="1"/>
  <c r="AF279" i="1"/>
  <c r="BH231" i="1"/>
  <c r="AI231" i="1"/>
  <c r="AB231" i="1"/>
  <c r="AF231" i="1" s="1"/>
  <c r="AI230" i="1"/>
  <c r="AB230" i="1"/>
  <c r="AF230" i="1" s="1"/>
  <c r="AI229" i="1"/>
  <c r="AB229" i="1"/>
  <c r="AF229" i="1" s="1"/>
  <c r="BH228" i="1"/>
  <c r="AI228" i="1"/>
  <c r="AB228" i="1"/>
  <c r="AF228" i="1" s="1"/>
  <c r="AI227" i="1"/>
  <c r="AB227" i="1"/>
  <c r="AF227" i="1" s="1"/>
  <c r="AI226" i="1"/>
  <c r="AB226" i="1"/>
  <c r="AF226" i="1" s="1"/>
  <c r="AI225" i="1"/>
  <c r="AB225" i="1"/>
  <c r="AF225" i="1" s="1"/>
  <c r="AI224" i="1"/>
  <c r="AB224" i="1"/>
  <c r="AF224" i="1" s="1"/>
  <c r="AI223" i="1"/>
  <c r="AB223" i="1"/>
  <c r="AF223" i="1" s="1"/>
  <c r="BH222" i="1"/>
  <c r="AI222" i="1"/>
  <c r="AB222" i="1"/>
  <c r="AF222" i="1" s="1"/>
  <c r="AI221" i="1"/>
  <c r="AB221" i="1"/>
  <c r="AF221" i="1" s="1"/>
  <c r="AI220" i="1"/>
  <c r="AB220" i="1"/>
  <c r="AF220" i="1" s="1"/>
  <c r="AI219" i="1"/>
  <c r="AB219" i="1"/>
  <c r="AF219" i="1" s="1"/>
  <c r="AI218" i="1"/>
  <c r="AB218" i="1"/>
  <c r="AF218" i="1" s="1"/>
  <c r="AI217" i="1"/>
  <c r="AB217" i="1"/>
  <c r="AF217" i="1" s="1"/>
  <c r="AJ216" i="1"/>
  <c r="AJ215" i="1"/>
  <c r="BH213" i="1"/>
  <c r="AJ213" i="1"/>
  <c r="BH212" i="1"/>
  <c r="AJ212" i="1"/>
  <c r="BH211" i="1"/>
  <c r="AJ211" i="1"/>
  <c r="BH210" i="1"/>
  <c r="AJ210" i="1"/>
  <c r="BH209" i="1"/>
  <c r="AJ209" i="1"/>
  <c r="BH208" i="1"/>
  <c r="AJ208" i="1"/>
  <c r="BH207" i="1"/>
  <c r="AJ207" i="1"/>
  <c r="BH206" i="1"/>
  <c r="AJ206" i="1"/>
  <c r="BK205" i="1"/>
  <c r="BN205" i="1" s="1"/>
  <c r="AJ205" i="1"/>
  <c r="BK204" i="1"/>
  <c r="BN204" i="1" s="1"/>
  <c r="AJ204" i="1"/>
  <c r="BK203" i="1"/>
  <c r="BN203" i="1" s="1"/>
  <c r="AJ203" i="1"/>
  <c r="BK202" i="1"/>
  <c r="BN202" i="1" s="1"/>
  <c r="AJ202" i="1"/>
  <c r="BK201" i="1"/>
  <c r="BN201" i="1" s="1"/>
  <c r="AJ201" i="1"/>
  <c r="BK200" i="1"/>
  <c r="BN200" i="1" s="1"/>
  <c r="AJ200" i="1"/>
  <c r="AB200" i="1"/>
  <c r="AF200" i="1" s="1"/>
  <c r="BK199" i="1"/>
  <c r="BN199" i="1" s="1"/>
  <c r="AJ199" i="1"/>
  <c r="AB199" i="1"/>
  <c r="AF199" i="1" s="1"/>
  <c r="AJ181" i="1"/>
  <c r="AJ180" i="1"/>
  <c r="AY179" i="1"/>
  <c r="BB179" i="1" s="1"/>
  <c r="AJ179" i="1"/>
  <c r="AJ178" i="1"/>
  <c r="AJ177" i="1"/>
  <c r="AJ176" i="1"/>
  <c r="AY175" i="1"/>
  <c r="BB175" i="1" s="1"/>
  <c r="AJ175" i="1"/>
  <c r="AY174" i="1"/>
  <c r="BB174" i="1" s="1"/>
  <c r="AJ174" i="1"/>
  <c r="BH172" i="1"/>
  <c r="BH171" i="1"/>
  <c r="BH170" i="1"/>
  <c r="BH169" i="1"/>
  <c r="BH168" i="1"/>
  <c r="BH167" i="1"/>
  <c r="BH165" i="1"/>
  <c r="BH164" i="1"/>
  <c r="BH163" i="1"/>
  <c r="BH160" i="1"/>
  <c r="BH157" i="1"/>
  <c r="BH156" i="1"/>
  <c r="AO114" i="1"/>
  <c r="AO113" i="1"/>
  <c r="AO112" i="1"/>
  <c r="AO111" i="1"/>
  <c r="AO110" i="1"/>
  <c r="AO109" i="1"/>
  <c r="AO108" i="1"/>
  <c r="AO107" i="1"/>
  <c r="AO106" i="1"/>
  <c r="AO105" i="1"/>
  <c r="AF104" i="1"/>
  <c r="AF103" i="1"/>
  <c r="AF102" i="1"/>
  <c r="AF101" i="1"/>
  <c r="AF100" i="1"/>
  <c r="AF99" i="1"/>
  <c r="AF98" i="1"/>
  <c r="AF97" i="1"/>
  <c r="AF96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AF83" i="1"/>
  <c r="AF82" i="1"/>
  <c r="BH80" i="1"/>
  <c r="BH79" i="1"/>
  <c r="BH78" i="1"/>
  <c r="AJ77" i="1"/>
  <c r="AJ76" i="1"/>
  <c r="BA75" i="1"/>
  <c r="AJ75" i="1"/>
  <c r="AJ74" i="1"/>
  <c r="AJ73" i="1"/>
  <c r="AJ72" i="1"/>
  <c r="AF71" i="1"/>
  <c r="AF70" i="1"/>
  <c r="AF69" i="1"/>
  <c r="AF68" i="1"/>
  <c r="AF67" i="1"/>
  <c r="AF66" i="1"/>
  <c r="BH65" i="1"/>
  <c r="AJ65" i="1"/>
  <c r="AJ64" i="1"/>
  <c r="AJ63" i="1"/>
  <c r="AJ62" i="1"/>
  <c r="BH61" i="1"/>
  <c r="AJ61" i="1"/>
  <c r="AJ60" i="1"/>
  <c r="AJ59" i="1"/>
  <c r="AJ58" i="1"/>
  <c r="AJ57" i="1"/>
  <c r="AJ56" i="1"/>
  <c r="AJ55" i="1"/>
  <c r="AJ54" i="1"/>
  <c r="AJ53" i="1"/>
  <c r="BH52" i="1"/>
  <c r="AJ52" i="1"/>
  <c r="BH51" i="1"/>
  <c r="AJ51" i="1"/>
  <c r="BH50" i="1"/>
  <c r="AJ50" i="1"/>
  <c r="AJ49" i="1"/>
  <c r="AJ48" i="1"/>
  <c r="AJ47" i="1"/>
  <c r="AJ46" i="1"/>
  <c r="AJ45" i="1"/>
  <c r="AJ44" i="1"/>
  <c r="BH41" i="1"/>
  <c r="BH40" i="1"/>
  <c r="BH39" i="1"/>
  <c r="BH38" i="1"/>
  <c r="BH37" i="1"/>
  <c r="BH36" i="1"/>
  <c r="BH34" i="1"/>
  <c r="BH33" i="1"/>
  <c r="BH32" i="1"/>
  <c r="BH31" i="1"/>
  <c r="BH30" i="1"/>
  <c r="BH29" i="1"/>
  <c r="BH28" i="1"/>
  <c r="BH27" i="1"/>
  <c r="BH26" i="1"/>
  <c r="BH25" i="1"/>
  <c r="BH24" i="1"/>
  <c r="BH23" i="1"/>
  <c r="BH22" i="1"/>
  <c r="AJ21" i="1"/>
  <c r="AF21" i="1"/>
  <c r="AJ20" i="1"/>
  <c r="AF20" i="1"/>
  <c r="AJ19" i="1"/>
  <c r="AF19" i="1"/>
  <c r="AJ18" i="1"/>
  <c r="AF18" i="1"/>
  <c r="AJ17" i="1"/>
  <c r="AF17" i="1"/>
  <c r="AJ16" i="1"/>
  <c r="AF16" i="1"/>
  <c r="AJ15" i="1"/>
  <c r="AF15" i="1"/>
  <c r="AU13" i="1"/>
  <c r="AU12" i="1"/>
  <c r="AU11" i="1"/>
  <c r="AU10" i="1"/>
  <c r="AU9" i="1"/>
  <c r="AU8" i="1"/>
  <c r="BH7" i="1"/>
  <c r="AJ7" i="1"/>
  <c r="BH6" i="1"/>
  <c r="AJ6" i="1"/>
  <c r="AL781" i="2"/>
  <c r="AL782" i="2"/>
  <c r="AL783" i="2"/>
  <c r="AL784" i="2"/>
  <c r="AL785" i="2"/>
  <c r="AL786" i="2"/>
  <c r="AL787" i="2"/>
  <c r="AL788" i="2"/>
  <c r="AL780" i="2"/>
  <c r="AL777" i="2"/>
  <c r="AL778" i="2"/>
  <c r="AL779" i="2"/>
  <c r="AL776" i="2"/>
  <c r="AL730" i="2"/>
  <c r="AL731" i="2"/>
  <c r="AL729" i="2"/>
  <c r="AL253" i="2"/>
  <c r="AL254" i="2"/>
  <c r="AL255" i="2"/>
  <c r="AL256" i="2"/>
  <c r="AL257" i="2"/>
  <c r="AL258" i="2"/>
  <c r="AL259" i="2"/>
  <c r="AL260" i="2"/>
  <c r="AL261" i="2"/>
  <c r="AL262" i="2"/>
  <c r="AL263" i="2"/>
  <c r="AL264" i="2"/>
  <c r="AL265" i="2"/>
  <c r="AL266" i="2"/>
  <c r="AL267" i="2"/>
  <c r="AL268" i="2"/>
  <c r="AL269" i="2"/>
  <c r="AL270" i="2"/>
  <c r="AL271" i="2"/>
  <c r="AL272" i="2"/>
  <c r="AL273" i="2"/>
  <c r="AL274" i="2"/>
  <c r="AL275" i="2"/>
  <c r="AL276" i="2"/>
  <c r="AL252" i="2"/>
  <c r="AL178" i="2"/>
  <c r="AL179" i="2"/>
  <c r="AL180" i="2"/>
  <c r="AL181" i="2"/>
  <c r="AL177" i="2"/>
  <c r="AL113" i="2"/>
  <c r="AL114" i="2"/>
  <c r="AL115" i="2"/>
  <c r="AL116" i="2"/>
  <c r="AL117" i="2"/>
  <c r="AL118" i="2"/>
  <c r="AL119" i="2"/>
  <c r="AL120" i="2"/>
  <c r="AL121" i="2"/>
  <c r="AL110" i="2"/>
  <c r="AL111" i="2"/>
  <c r="AL112" i="2"/>
  <c r="AL109" i="2"/>
  <c r="AL85" i="2"/>
  <c r="AL86" i="2"/>
  <c r="AL87" i="2"/>
  <c r="AL88" i="2"/>
  <c r="AL89" i="2"/>
  <c r="AL90" i="2"/>
  <c r="AL91" i="2"/>
  <c r="AL92" i="2"/>
  <c r="AL93" i="2"/>
  <c r="AL94" i="2"/>
  <c r="AL95" i="2"/>
  <c r="AL96" i="2"/>
  <c r="AL97" i="2"/>
  <c r="AL98" i="2"/>
  <c r="AL99" i="2"/>
  <c r="AL100" i="2"/>
  <c r="AL101" i="2"/>
  <c r="AL102" i="2"/>
  <c r="AL103" i="2"/>
  <c r="AL104" i="2"/>
  <c r="AL105" i="2"/>
  <c r="AL106" i="2"/>
  <c r="AL107" i="2"/>
  <c r="AL108" i="2"/>
  <c r="AL84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26" i="2"/>
  <c r="AL18" i="2"/>
  <c r="AL12" i="2"/>
  <c r="AL13" i="2"/>
  <c r="AL14" i="2"/>
  <c r="AL15" i="2"/>
  <c r="AL16" i="2"/>
  <c r="AL17" i="2"/>
  <c r="AP13" i="1" l="1"/>
  <c r="AP11" i="1"/>
  <c r="AP12" i="1"/>
  <c r="AP8" i="1"/>
  <c r="AP9" i="1"/>
  <c r="AP10" i="1"/>
  <c r="BD326" i="2"/>
  <c r="BD325" i="2"/>
  <c r="BD324" i="2"/>
  <c r="BD323" i="2"/>
  <c r="BD322" i="2"/>
  <c r="BD321" i="2"/>
  <c r="BD320" i="2"/>
  <c r="BD319" i="2"/>
  <c r="BD318" i="2"/>
  <c r="BD317" i="2"/>
  <c r="BD316" i="2"/>
  <c r="BD315" i="2"/>
  <c r="BD314" i="2"/>
  <c r="BD313" i="2"/>
  <c r="BD312" i="2"/>
  <c r="BD311" i="2"/>
  <c r="BD310" i="2"/>
  <c r="BD309" i="2"/>
  <c r="BD308" i="2"/>
  <c r="BD307" i="2"/>
  <c r="BD306" i="2"/>
  <c r="BD305" i="2"/>
  <c r="BD304" i="2"/>
  <c r="BD303" i="2"/>
  <c r="BD302" i="2"/>
  <c r="BD301" i="2"/>
  <c r="BD300" i="2"/>
  <c r="BD299" i="2"/>
  <c r="BD298" i="2"/>
  <c r="BD297" i="2"/>
  <c r="BD296" i="2"/>
  <c r="BD295" i="2"/>
  <c r="BD294" i="2"/>
  <c r="BD293" i="2"/>
  <c r="BD292" i="2"/>
  <c r="BD291" i="2"/>
  <c r="BD290" i="2"/>
  <c r="BD289" i="2"/>
  <c r="BD288" i="2"/>
  <c r="BD287" i="2"/>
  <c r="BD286" i="2"/>
  <c r="BD285" i="2"/>
  <c r="BD284" i="2"/>
  <c r="BD283" i="2"/>
  <c r="BD282" i="2"/>
  <c r="BD175" i="2"/>
  <c r="BD174" i="2"/>
  <c r="BD173" i="2"/>
  <c r="BD172" i="2"/>
  <c r="BD171" i="2"/>
  <c r="BD166" i="2"/>
  <c r="BD165" i="2"/>
  <c r="BD164" i="2"/>
  <c r="BD163" i="2"/>
  <c r="BD162" i="2"/>
  <c r="BD157" i="2"/>
  <c r="BD156" i="2"/>
  <c r="BD155" i="2"/>
  <c r="BD154" i="2"/>
  <c r="BD153" i="2"/>
  <c r="BD148" i="2"/>
  <c r="BD147" i="2"/>
  <c r="BD146" i="2"/>
  <c r="BD145" i="2"/>
  <c r="BD144" i="2"/>
  <c r="BD139" i="2"/>
  <c r="BD138" i="2"/>
  <c r="BD137" i="2"/>
  <c r="BD136" i="2"/>
  <c r="BD135" i="2"/>
  <c r="BD130" i="2"/>
  <c r="BD129" i="2"/>
  <c r="BD128" i="2"/>
  <c r="BD127" i="2"/>
  <c r="BD126" i="2"/>
  <c r="BC108" i="2"/>
  <c r="BC107" i="2"/>
  <c r="BC106" i="2"/>
  <c r="BD83" i="2"/>
  <c r="BD82" i="2"/>
  <c r="BD76" i="2"/>
  <c r="BD74" i="2"/>
  <c r="BD73" i="2"/>
  <c r="BD72" i="2"/>
  <c r="BD70" i="2"/>
  <c r="BD68" i="2"/>
  <c r="BD57" i="2"/>
  <c r="BD56" i="2"/>
  <c r="BD55" i="2"/>
  <c r="BD41" i="2"/>
  <c r="BD40" i="2"/>
  <c r="BD39" i="2"/>
  <c r="BD38" i="2"/>
  <c r="BD37" i="2"/>
  <c r="BD36" i="2"/>
  <c r="BD35" i="2"/>
  <c r="BD34" i="2"/>
  <c r="AQ11" i="1" l="1"/>
  <c r="AQ13" i="1"/>
  <c r="AQ12" i="1"/>
  <c r="AQ10" i="1"/>
  <c r="AQ9" i="1"/>
  <c r="AQ8" i="1"/>
  <c r="AH235" i="2"/>
  <c r="AH234" i="2"/>
  <c r="AH233" i="2"/>
  <c r="AH280" i="2"/>
  <c r="AE280" i="2"/>
  <c r="AD280" i="2"/>
  <c r="AC280" i="2"/>
  <c r="AB280" i="2"/>
  <c r="T280" i="2"/>
  <c r="S280" i="2"/>
  <c r="R280" i="2"/>
  <c r="N280" i="2"/>
  <c r="L280" i="2"/>
  <c r="K280" i="2"/>
  <c r="L279" i="2"/>
  <c r="N279" i="2"/>
  <c r="K279" i="2"/>
  <c r="T279" i="2"/>
  <c r="S279" i="2"/>
  <c r="R279" i="2"/>
  <c r="AE279" i="2"/>
  <c r="AD279" i="2"/>
  <c r="AC279" i="2"/>
  <c r="AB279" i="2"/>
  <c r="AH279" i="2"/>
  <c r="AH278" i="2"/>
  <c r="AE278" i="2"/>
  <c r="AD278" i="2"/>
  <c r="AC278" i="2"/>
  <c r="AB278" i="2"/>
  <c r="T278" i="2"/>
  <c r="S278" i="2"/>
  <c r="R278" i="2"/>
  <c r="N278" i="2"/>
  <c r="L278" i="2"/>
  <c r="K278" i="2"/>
  <c r="AH276" i="2"/>
  <c r="AF276" i="2"/>
  <c r="AE276" i="2"/>
  <c r="AD276" i="2"/>
  <c r="AC276" i="2"/>
  <c r="AB276" i="2"/>
  <c r="AH275" i="2"/>
  <c r="AF275" i="2"/>
  <c r="AE275" i="2"/>
  <c r="AD275" i="2"/>
  <c r="AC275" i="2"/>
  <c r="AB275" i="2"/>
  <c r="AH274" i="2"/>
  <c r="AF274" i="2"/>
  <c r="AE274" i="2"/>
  <c r="AD274" i="2"/>
  <c r="AC274" i="2"/>
  <c r="AB274" i="2"/>
  <c r="AH273" i="2"/>
  <c r="AF273" i="2"/>
  <c r="AE273" i="2"/>
  <c r="AD273" i="2"/>
  <c r="AC273" i="2"/>
  <c r="AB273" i="2"/>
  <c r="T276" i="2"/>
  <c r="S276" i="2"/>
  <c r="R276" i="2"/>
  <c r="T275" i="2"/>
  <c r="S275" i="2"/>
  <c r="R275" i="2"/>
  <c r="T274" i="2"/>
  <c r="S274" i="2"/>
  <c r="R274" i="2"/>
  <c r="T273" i="2"/>
  <c r="S273" i="2"/>
  <c r="R273" i="2"/>
  <c r="N276" i="2"/>
  <c r="M276" i="2"/>
  <c r="L276" i="2"/>
  <c r="K276" i="2"/>
  <c r="J276" i="2"/>
  <c r="I276" i="2"/>
  <c r="N275" i="2"/>
  <c r="M275" i="2"/>
  <c r="L275" i="2"/>
  <c r="K275" i="2"/>
  <c r="J275" i="2"/>
  <c r="I275" i="2"/>
  <c r="N274" i="2"/>
  <c r="M274" i="2"/>
  <c r="L274" i="2"/>
  <c r="K274" i="2"/>
  <c r="J274" i="2"/>
  <c r="I274" i="2"/>
  <c r="N273" i="2"/>
  <c r="M273" i="2"/>
  <c r="L273" i="2"/>
  <c r="K273" i="2"/>
  <c r="J273" i="2"/>
  <c r="I273" i="2"/>
  <c r="AH255" i="2"/>
  <c r="AF255" i="2"/>
  <c r="AE255" i="2"/>
  <c r="AD255" i="2"/>
  <c r="AC255" i="2"/>
  <c r="AB255" i="2"/>
  <c r="T255" i="2"/>
  <c r="S255" i="2"/>
  <c r="R255" i="2"/>
  <c r="N255" i="2"/>
  <c r="N254" i="2"/>
  <c r="T254" i="2"/>
  <c r="S254" i="2"/>
  <c r="R254" i="2"/>
  <c r="AF254" i="2"/>
  <c r="AE254" i="2"/>
  <c r="AD254" i="2"/>
  <c r="AC254" i="2"/>
  <c r="AB254" i="2"/>
  <c r="AH254" i="2"/>
  <c r="AH253" i="2"/>
  <c r="AF253" i="2"/>
  <c r="AE253" i="2"/>
  <c r="AD253" i="2"/>
  <c r="AC253" i="2"/>
  <c r="AB253" i="2"/>
  <c r="T253" i="2"/>
  <c r="S253" i="2"/>
  <c r="R253" i="2"/>
  <c r="N253" i="2"/>
  <c r="AC235" i="2"/>
  <c r="AD235" i="2"/>
  <c r="AE235" i="2"/>
  <c r="AF235" i="2"/>
  <c r="AB235" i="2"/>
  <c r="AC234" i="2"/>
  <c r="AD234" i="2"/>
  <c r="AE234" i="2"/>
  <c r="AF234" i="2"/>
  <c r="AB234" i="2"/>
  <c r="AC233" i="2"/>
  <c r="AD233" i="2"/>
  <c r="AE233" i="2"/>
  <c r="AF233" i="2"/>
  <c r="AB233" i="2"/>
  <c r="AH102" i="2"/>
  <c r="AF102" i="2"/>
  <c r="AE102" i="2"/>
  <c r="AD102" i="2"/>
  <c r="AC102" i="2"/>
  <c r="AB102" i="2"/>
  <c r="Q102" i="2"/>
  <c r="P102" i="2"/>
  <c r="G102" i="2" s="1"/>
  <c r="N102" i="2"/>
  <c r="M102" i="2"/>
  <c r="K102" i="2"/>
  <c r="AH101" i="2"/>
  <c r="AF101" i="2"/>
  <c r="AE101" i="2"/>
  <c r="AD101" i="2"/>
  <c r="AC101" i="2"/>
  <c r="AB101" i="2"/>
  <c r="Q101" i="2"/>
  <c r="P101" i="2"/>
  <c r="G101" i="2" s="1"/>
  <c r="N101" i="2"/>
  <c r="M101" i="2"/>
  <c r="K101" i="2"/>
  <c r="AH100" i="2"/>
  <c r="AF100" i="2"/>
  <c r="AE100" i="2"/>
  <c r="AD100" i="2"/>
  <c r="AC100" i="2"/>
  <c r="AB100" i="2"/>
  <c r="Q100" i="2"/>
  <c r="P100" i="2"/>
  <c r="G100" i="2" s="1"/>
  <c r="N100" i="2"/>
  <c r="M100" i="2"/>
  <c r="K100" i="2"/>
  <c r="AH97" i="2"/>
  <c r="AF97" i="2"/>
  <c r="AE97" i="2"/>
  <c r="AD97" i="2"/>
  <c r="AC97" i="2"/>
  <c r="AB97" i="2"/>
  <c r="Q97" i="2"/>
  <c r="P97" i="2"/>
  <c r="G97" i="2" s="1"/>
  <c r="N97" i="2"/>
  <c r="M97" i="2"/>
  <c r="K97" i="2"/>
  <c r="AH96" i="2"/>
  <c r="AF96" i="2"/>
  <c r="AE96" i="2"/>
  <c r="AD96" i="2"/>
  <c r="AC96" i="2"/>
  <c r="AB96" i="2"/>
  <c r="Q96" i="2"/>
  <c r="P96" i="2"/>
  <c r="G96" i="2" s="1"/>
  <c r="N96" i="2"/>
  <c r="M96" i="2"/>
  <c r="K96" i="2"/>
  <c r="AH95" i="2"/>
  <c r="AF95" i="2"/>
  <c r="AE95" i="2"/>
  <c r="AD95" i="2"/>
  <c r="AC95" i="2"/>
  <c r="AB95" i="2"/>
  <c r="Q95" i="2"/>
  <c r="P95" i="2"/>
  <c r="G95" i="2" s="1"/>
  <c r="N95" i="2"/>
  <c r="M95" i="2"/>
  <c r="K95" i="2"/>
  <c r="AH92" i="2"/>
  <c r="AF92" i="2"/>
  <c r="AE92" i="2"/>
  <c r="AD92" i="2"/>
  <c r="AC92" i="2"/>
  <c r="AB92" i="2"/>
  <c r="Q92" i="2"/>
  <c r="P92" i="2"/>
  <c r="G92" i="2" s="1"/>
  <c r="N92" i="2"/>
  <c r="M92" i="2"/>
  <c r="K92" i="2"/>
  <c r="AH91" i="2"/>
  <c r="AF91" i="2"/>
  <c r="AE91" i="2"/>
  <c r="AD91" i="2"/>
  <c r="AC91" i="2"/>
  <c r="AB91" i="2"/>
  <c r="Q91" i="2"/>
  <c r="P91" i="2"/>
  <c r="G91" i="2" s="1"/>
  <c r="N91" i="2"/>
  <c r="M91" i="2"/>
  <c r="K91" i="2"/>
  <c r="AH90" i="2"/>
  <c r="AF90" i="2"/>
  <c r="AE90" i="2"/>
  <c r="AD90" i="2"/>
  <c r="AC90" i="2"/>
  <c r="AB90" i="2"/>
  <c r="Q90" i="2"/>
  <c r="P90" i="2"/>
  <c r="G90" i="2" s="1"/>
  <c r="N90" i="2"/>
  <c r="M90" i="2"/>
  <c r="K90" i="2"/>
  <c r="AH87" i="2"/>
  <c r="AF87" i="2"/>
  <c r="AE87" i="2"/>
  <c r="AD87" i="2"/>
  <c r="AC87" i="2"/>
  <c r="AB87" i="2"/>
  <c r="Q87" i="2"/>
  <c r="P87" i="2"/>
  <c r="G87" i="2" s="1"/>
  <c r="N87" i="2"/>
  <c r="M87" i="2"/>
  <c r="K87" i="2"/>
  <c r="AH86" i="2"/>
  <c r="AF86" i="2"/>
  <c r="AE86" i="2"/>
  <c r="AD86" i="2"/>
  <c r="AC86" i="2"/>
  <c r="AB86" i="2"/>
  <c r="Q86" i="2"/>
  <c r="P86" i="2"/>
  <c r="G86" i="2" s="1"/>
  <c r="N86" i="2"/>
  <c r="M86" i="2"/>
  <c r="K86" i="2"/>
  <c r="AH85" i="2"/>
  <c r="AF85" i="2"/>
  <c r="AE85" i="2"/>
  <c r="AD85" i="2"/>
  <c r="AC85" i="2"/>
  <c r="AB85" i="2"/>
  <c r="Q85" i="2"/>
  <c r="P85" i="2"/>
  <c r="G85" i="2" s="1"/>
  <c r="N85" i="2"/>
  <c r="M85" i="2"/>
  <c r="K85" i="2"/>
  <c r="AH83" i="2"/>
  <c r="AE83" i="2"/>
  <c r="AD83" i="2"/>
  <c r="AC83" i="2"/>
  <c r="AB83" i="2"/>
  <c r="T83" i="2"/>
  <c r="S83" i="2"/>
  <c r="R83" i="2"/>
  <c r="N83" i="2"/>
  <c r="M83" i="2"/>
  <c r="K83" i="2"/>
  <c r="I83" i="2"/>
  <c r="AH82" i="2"/>
  <c r="AE82" i="2"/>
  <c r="AD82" i="2"/>
  <c r="AC82" i="2"/>
  <c r="AB82" i="2"/>
  <c r="T82" i="2"/>
  <c r="S82" i="2"/>
  <c r="R82" i="2"/>
  <c r="N82" i="2"/>
  <c r="M82" i="2"/>
  <c r="K82" i="2"/>
  <c r="I82" i="2"/>
  <c r="AH81" i="2"/>
  <c r="AE81" i="2"/>
  <c r="AD81" i="2"/>
  <c r="AC81" i="2"/>
  <c r="AB81" i="2"/>
  <c r="T81" i="2"/>
  <c r="S81" i="2"/>
  <c r="R81" i="2"/>
  <c r="N81" i="2"/>
  <c r="M81" i="2"/>
  <c r="K81" i="2"/>
  <c r="I81" i="2"/>
  <c r="AH80" i="2"/>
  <c r="AE80" i="2"/>
  <c r="AD80" i="2"/>
  <c r="AC80" i="2"/>
  <c r="AB80" i="2"/>
  <c r="T80" i="2"/>
  <c r="S80" i="2"/>
  <c r="R80" i="2"/>
  <c r="N80" i="2"/>
  <c r="M80" i="2"/>
  <c r="K80" i="2"/>
  <c r="I80" i="2"/>
  <c r="I79" i="2"/>
  <c r="K79" i="2"/>
  <c r="M79" i="2"/>
  <c r="N79" i="2"/>
  <c r="R79" i="2"/>
  <c r="S79" i="2"/>
  <c r="T79" i="2"/>
  <c r="AB79" i="2"/>
  <c r="AC79" i="2"/>
  <c r="AD79" i="2"/>
  <c r="AE79" i="2"/>
  <c r="AH79" i="2"/>
  <c r="T77" i="2"/>
  <c r="AH78" i="2"/>
  <c r="AE78" i="2"/>
  <c r="AD78" i="2"/>
  <c r="AC78" i="2"/>
  <c r="AB78" i="2"/>
  <c r="T78" i="2"/>
  <c r="S78" i="2"/>
  <c r="R78" i="2"/>
  <c r="N78" i="2"/>
  <c r="M78" i="2"/>
  <c r="K78" i="2"/>
  <c r="I78" i="2"/>
  <c r="AB77" i="2"/>
  <c r="AC77" i="2"/>
  <c r="AD77" i="2"/>
  <c r="AE77" i="2"/>
  <c r="AH77" i="2"/>
  <c r="S77" i="2"/>
  <c r="R77" i="2"/>
  <c r="N77" i="2"/>
  <c r="M77" i="2"/>
  <c r="K77" i="2"/>
  <c r="I77" i="2"/>
  <c r="AH76" i="2"/>
  <c r="AE76" i="2"/>
  <c r="AD76" i="2"/>
  <c r="AC76" i="2"/>
  <c r="AB76" i="2"/>
  <c r="T76" i="2"/>
  <c r="S76" i="2"/>
  <c r="R76" i="2"/>
  <c r="N76" i="2"/>
  <c r="M76" i="2"/>
  <c r="K76" i="2"/>
  <c r="I76" i="2"/>
  <c r="AH75" i="2"/>
  <c r="AE75" i="2"/>
  <c r="AD75" i="2"/>
  <c r="AI75" i="2"/>
  <c r="AC75" i="2"/>
  <c r="AB75" i="2"/>
  <c r="T75" i="2"/>
  <c r="S75" i="2"/>
  <c r="R75" i="2"/>
  <c r="N75" i="2"/>
  <c r="M75" i="2"/>
  <c r="K75" i="2"/>
  <c r="I75" i="2"/>
  <c r="AE74" i="2"/>
  <c r="AH74" i="2"/>
  <c r="AD74" i="2"/>
  <c r="AC74" i="2"/>
  <c r="AB74" i="2"/>
  <c r="T74" i="2"/>
  <c r="S74" i="2"/>
  <c r="R74" i="2"/>
  <c r="N74" i="2"/>
  <c r="M74" i="2"/>
  <c r="K74" i="2"/>
  <c r="I74" i="2"/>
  <c r="AH73" i="2"/>
  <c r="AE73" i="2"/>
  <c r="AD73" i="2"/>
  <c r="AC73" i="2"/>
  <c r="AB73" i="2"/>
  <c r="T73" i="2"/>
  <c r="S73" i="2"/>
  <c r="R73" i="2"/>
  <c r="N73" i="2"/>
  <c r="M73" i="2"/>
  <c r="K73" i="2"/>
  <c r="I73" i="2"/>
  <c r="I72" i="2"/>
  <c r="K72" i="2"/>
  <c r="M72" i="2"/>
  <c r="N72" i="2"/>
  <c r="R72" i="2"/>
  <c r="S72" i="2"/>
  <c r="T72" i="2"/>
  <c r="AB72" i="2"/>
  <c r="AC72" i="2"/>
  <c r="AD72" i="2"/>
  <c r="AE72" i="2"/>
  <c r="AH72" i="2"/>
  <c r="AO557" i="1"/>
  <c r="AO558" i="1"/>
  <c r="AO559" i="1"/>
  <c r="AO560" i="1"/>
  <c r="AO561" i="1"/>
  <c r="AO562" i="1"/>
  <c r="AO563" i="1"/>
  <c r="AO556" i="1"/>
  <c r="AO468" i="1"/>
  <c r="AO469" i="1"/>
  <c r="AO470" i="1"/>
  <c r="AO467" i="1"/>
  <c r="AR460" i="1"/>
  <c r="AR461" i="1"/>
  <c r="AR462" i="1"/>
  <c r="AR463" i="1"/>
  <c r="AR464" i="1"/>
  <c r="AR465" i="1"/>
  <c r="AR466" i="1"/>
  <c r="AR459" i="1"/>
  <c r="AR438" i="1"/>
  <c r="AR485" i="1"/>
  <c r="AR486" i="1"/>
  <c r="AR487" i="1"/>
  <c r="AR484" i="1"/>
  <c r="AR472" i="1"/>
  <c r="AR473" i="1"/>
  <c r="AR471" i="1"/>
  <c r="AR431" i="1"/>
  <c r="AR432" i="1"/>
  <c r="AR433" i="1"/>
  <c r="AR434" i="1"/>
  <c r="AR435" i="1"/>
  <c r="AR436" i="1"/>
  <c r="AR437" i="1"/>
  <c r="AR430" i="1"/>
  <c r="AR403" i="1"/>
  <c r="AR404" i="1"/>
  <c r="AR405" i="1"/>
  <c r="AR406" i="1"/>
  <c r="AR407" i="1"/>
  <c r="AR408" i="1"/>
  <c r="AR409" i="1"/>
  <c r="AR410" i="1"/>
  <c r="AR411" i="1"/>
  <c r="AR412" i="1"/>
  <c r="AR413" i="1"/>
  <c r="AR414" i="1"/>
  <c r="AR415" i="1"/>
  <c r="AR416" i="1"/>
  <c r="AR417" i="1"/>
  <c r="AR402" i="1"/>
  <c r="AR385" i="1"/>
  <c r="AR386" i="1"/>
  <c r="AR387" i="1"/>
  <c r="AR388" i="1"/>
  <c r="AR389" i="1"/>
  <c r="AR390" i="1"/>
  <c r="AR391" i="1"/>
  <c r="AR392" i="1"/>
  <c r="AR393" i="1"/>
  <c r="AR394" i="1"/>
  <c r="AR395" i="1"/>
  <c r="AR396" i="1"/>
  <c r="AR397" i="1"/>
  <c r="AR398" i="1"/>
  <c r="AR399" i="1"/>
  <c r="AR400" i="1"/>
  <c r="AR401" i="1"/>
  <c r="AR384" i="1"/>
  <c r="AR7" i="1"/>
  <c r="AR6" i="1"/>
  <c r="AR165" i="1"/>
  <c r="AR166" i="1"/>
  <c r="AR167" i="1"/>
  <c r="AR168" i="1"/>
  <c r="AR169" i="1"/>
  <c r="AR170" i="1"/>
  <c r="AR171" i="1"/>
  <c r="AR172" i="1"/>
  <c r="AR164" i="1"/>
  <c r="N498" i="2"/>
  <c r="M498" i="2"/>
  <c r="L498" i="2"/>
  <c r="K498" i="2"/>
  <c r="N497" i="2"/>
  <c r="M497" i="2"/>
  <c r="L497" i="2"/>
  <c r="K497" i="2"/>
  <c r="N495" i="2"/>
  <c r="M495" i="2"/>
  <c r="L495" i="2"/>
  <c r="K495" i="2"/>
  <c r="K496" i="2"/>
  <c r="L496" i="2"/>
  <c r="M496" i="2"/>
  <c r="N496" i="2"/>
  <c r="N494" i="2"/>
  <c r="M494" i="2"/>
  <c r="L494" i="2"/>
  <c r="K494" i="2"/>
  <c r="N501" i="2"/>
  <c r="M501" i="2"/>
  <c r="L501" i="2"/>
  <c r="K501" i="2"/>
  <c r="N499" i="2"/>
  <c r="M499" i="2"/>
  <c r="L499" i="2"/>
  <c r="K499" i="2"/>
  <c r="N504" i="2"/>
  <c r="M504" i="2"/>
  <c r="L504" i="2"/>
  <c r="K504" i="2"/>
  <c r="N503" i="2"/>
  <c r="M503" i="2"/>
  <c r="L503" i="2"/>
  <c r="K503" i="2"/>
  <c r="N502" i="2"/>
  <c r="M502" i="2"/>
  <c r="L502" i="2"/>
  <c r="K502" i="2"/>
  <c r="N500" i="2"/>
  <c r="M500" i="2"/>
  <c r="L500" i="2"/>
  <c r="K500" i="2"/>
  <c r="N493" i="2"/>
  <c r="M493" i="2"/>
  <c r="L493" i="2"/>
  <c r="K493" i="2"/>
  <c r="N492" i="2"/>
  <c r="M492" i="2"/>
  <c r="L492" i="2"/>
  <c r="K492" i="2"/>
  <c r="N491" i="2"/>
  <c r="M491" i="2"/>
  <c r="L491" i="2"/>
  <c r="K491" i="2"/>
  <c r="N490" i="2"/>
  <c r="M490" i="2"/>
  <c r="L490" i="2"/>
  <c r="K490" i="2"/>
  <c r="N489" i="2"/>
  <c r="M489" i="2"/>
  <c r="L489" i="2"/>
  <c r="K489" i="2"/>
  <c r="M486" i="2"/>
  <c r="M487" i="2"/>
  <c r="M488" i="2"/>
  <c r="M485" i="2"/>
  <c r="N486" i="2"/>
  <c r="N487" i="2"/>
  <c r="N488" i="2"/>
  <c r="L486" i="2"/>
  <c r="L487" i="2"/>
  <c r="L488" i="2"/>
  <c r="K486" i="2"/>
  <c r="K487" i="2"/>
  <c r="K488" i="2"/>
  <c r="N485" i="2"/>
  <c r="L485" i="2"/>
  <c r="K485" i="2"/>
  <c r="BA371" i="2"/>
  <c r="BA372" i="2"/>
  <c r="BA373" i="2"/>
  <c r="BA374" i="2"/>
  <c r="BA375" i="2"/>
  <c r="BA376" i="2"/>
  <c r="BA377" i="2"/>
  <c r="BA378" i="2"/>
  <c r="BA379" i="2"/>
  <c r="BA370" i="2"/>
  <c r="BA110" i="2"/>
  <c r="BA111" i="2"/>
  <c r="BA112" i="2"/>
  <c r="BA109" i="2"/>
  <c r="AW542" i="1"/>
  <c r="AW543" i="1"/>
  <c r="AW544" i="1"/>
  <c r="AW545" i="1"/>
  <c r="AW546" i="1"/>
  <c r="AW547" i="1"/>
  <c r="AW548" i="1"/>
  <c r="AW549" i="1"/>
  <c r="AW550" i="1"/>
  <c r="AW551" i="1"/>
  <c r="AW552" i="1"/>
  <c r="AW553" i="1"/>
  <c r="AW554" i="1"/>
  <c r="AW555" i="1"/>
  <c r="AW541" i="1"/>
  <c r="BE234" i="1"/>
  <c r="BE235" i="1"/>
  <c r="BE236" i="1"/>
  <c r="BE237" i="1"/>
  <c r="BE238" i="1"/>
  <c r="BE239" i="1"/>
  <c r="BE240" i="1"/>
  <c r="BE241" i="1"/>
  <c r="BE242" i="1"/>
  <c r="BE243" i="1"/>
  <c r="BE244" i="1"/>
  <c r="BE245" i="1"/>
  <c r="BE246" i="1"/>
  <c r="BE247" i="1"/>
  <c r="BE248" i="1"/>
  <c r="BE249" i="1"/>
  <c r="BE250" i="1"/>
  <c r="BE251" i="1"/>
  <c r="BE252" i="1"/>
  <c r="BE253" i="1"/>
  <c r="BE233" i="1"/>
  <c r="AD731" i="2"/>
  <c r="AD730" i="2"/>
  <c r="AD729" i="2"/>
  <c r="AD203" i="2"/>
  <c r="AD204" i="2"/>
  <c r="AD205" i="2"/>
  <c r="AD206" i="2"/>
  <c r="AD207" i="2"/>
  <c r="AD208" i="2"/>
  <c r="AD209" i="2"/>
  <c r="AD210" i="2"/>
  <c r="AD211" i="2"/>
  <c r="AD212" i="2"/>
  <c r="AD213" i="2"/>
  <c r="AD214" i="2"/>
  <c r="AD215" i="2"/>
  <c r="AD216" i="2"/>
  <c r="AD217" i="2"/>
  <c r="AD218" i="2"/>
  <c r="AD219" i="2"/>
  <c r="AD220" i="2"/>
  <c r="AD221" i="2"/>
  <c r="AD222" i="2"/>
  <c r="AD223" i="2"/>
  <c r="AD224" i="2"/>
  <c r="AD225" i="2"/>
  <c r="AD226" i="2"/>
  <c r="AD227" i="2"/>
  <c r="AD228" i="2"/>
  <c r="AD229" i="2"/>
  <c r="AD230" i="2"/>
  <c r="AD231" i="2"/>
  <c r="AD202" i="2"/>
  <c r="AD31" i="2"/>
  <c r="AD32" i="2"/>
  <c r="AD33" i="2"/>
  <c r="AD34" i="2"/>
  <c r="AD35" i="2"/>
  <c r="AD36" i="2"/>
  <c r="AD37" i="2"/>
  <c r="AD38" i="2"/>
  <c r="AD39" i="2"/>
  <c r="AD40" i="2"/>
  <c r="AD41" i="2"/>
  <c r="AD30" i="2"/>
  <c r="AW731" i="2"/>
  <c r="AW730" i="2"/>
  <c r="AW729" i="2"/>
  <c r="AM456" i="2"/>
  <c r="AM455" i="2"/>
  <c r="AM454" i="2"/>
  <c r="AM453" i="2"/>
  <c r="AM452" i="2"/>
  <c r="AM451" i="2"/>
  <c r="AM450" i="2"/>
  <c r="AM449" i="2"/>
  <c r="AM448" i="2"/>
  <c r="AM447" i="2"/>
  <c r="AM446" i="2"/>
  <c r="AM445" i="2"/>
  <c r="AM444" i="2"/>
  <c r="AM443" i="2"/>
  <c r="AM442" i="2"/>
  <c r="AM441" i="2"/>
  <c r="AM440" i="2"/>
  <c r="AM439" i="2"/>
  <c r="AM438" i="2"/>
  <c r="AM437" i="2"/>
  <c r="AM436" i="2"/>
  <c r="AM435" i="2"/>
  <c r="AM434" i="2"/>
  <c r="AM433" i="2"/>
  <c r="AM432" i="2"/>
  <c r="AM431" i="2"/>
  <c r="AM430" i="2"/>
  <c r="AM429" i="2"/>
  <c r="AK231" i="2"/>
  <c r="AK230" i="2"/>
  <c r="AK229" i="2"/>
  <c r="AK228" i="2"/>
  <c r="AK227" i="2"/>
  <c r="AK226" i="2"/>
  <c r="AK225" i="2"/>
  <c r="AK224" i="2"/>
  <c r="AK223" i="2"/>
  <c r="AK222" i="2"/>
  <c r="AK221" i="2"/>
  <c r="AK220" i="2"/>
  <c r="AK219" i="2"/>
  <c r="AK218" i="2"/>
  <c r="AK216" i="2"/>
  <c r="AK215" i="2"/>
  <c r="AK214" i="2"/>
  <c r="AK213" i="2"/>
  <c r="AK212" i="2"/>
  <c r="AK211" i="2"/>
  <c r="AK210" i="2"/>
  <c r="AK209" i="2"/>
  <c r="AK208" i="2"/>
  <c r="AK207" i="2"/>
  <c r="AK206" i="2"/>
  <c r="AK205" i="2"/>
  <c r="AK204" i="2"/>
  <c r="AK203" i="2"/>
  <c r="AK217" i="2"/>
  <c r="AK202" i="2"/>
  <c r="AL55" i="2"/>
  <c r="AL56" i="2"/>
  <c r="AL57" i="2"/>
  <c r="AL58" i="2"/>
  <c r="AL59" i="2"/>
  <c r="AL60" i="2"/>
  <c r="AL176" i="2"/>
  <c r="AV77" i="1"/>
  <c r="AV76" i="1"/>
  <c r="BA76" i="1" s="1"/>
  <c r="AV74" i="1"/>
  <c r="BA74" i="1" s="1"/>
  <c r="AV73" i="1"/>
  <c r="BA73" i="1" s="1"/>
  <c r="AV72" i="1"/>
  <c r="BA72" i="1" s="1"/>
  <c r="F72" i="2" l="1"/>
  <c r="F92" i="2"/>
  <c r="F73" i="2"/>
  <c r="O73" i="2" s="1"/>
  <c r="F74" i="2"/>
  <c r="O74" i="2" s="1"/>
  <c r="F75" i="2"/>
  <c r="F78" i="2"/>
  <c r="F79" i="2"/>
  <c r="F91" i="2"/>
  <c r="F83" i="2"/>
  <c r="O83" i="2" s="1"/>
  <c r="F90" i="2"/>
  <c r="O90" i="2" s="1"/>
  <c r="F95" i="2"/>
  <c r="O95" i="2" s="1"/>
  <c r="F87" i="2"/>
  <c r="F86" i="2"/>
  <c r="F101" i="2"/>
  <c r="F96" i="2"/>
  <c r="F100" i="2"/>
  <c r="O279" i="2"/>
  <c r="O495" i="2"/>
  <c r="O490" i="2"/>
  <c r="O493" i="2"/>
  <c r="O501" i="2"/>
  <c r="O503" i="2"/>
  <c r="O280" i="2"/>
  <c r="O278" i="2"/>
  <c r="O488" i="2"/>
  <c r="O489" i="2"/>
  <c r="O492" i="2"/>
  <c r="O502" i="2"/>
  <c r="O499" i="2"/>
  <c r="O496" i="2"/>
  <c r="O485" i="2"/>
  <c r="O491" i="2"/>
  <c r="O500" i="2"/>
  <c r="O504" i="2"/>
  <c r="O494" i="2"/>
  <c r="F274" i="2"/>
  <c r="F276" i="2"/>
  <c r="F273" i="2"/>
  <c r="F275" i="2"/>
  <c r="O498" i="2"/>
  <c r="F76" i="2"/>
  <c r="F77" i="2"/>
  <c r="F80" i="2"/>
  <c r="F81" i="2"/>
  <c r="F82" i="2"/>
  <c r="F97" i="2"/>
  <c r="F85" i="2"/>
  <c r="F102" i="2"/>
  <c r="O497" i="2"/>
  <c r="O487" i="2"/>
  <c r="O486" i="2"/>
  <c r="BA77" i="1"/>
  <c r="BH77" i="1"/>
  <c r="O275" i="2" l="1"/>
  <c r="O273" i="2"/>
  <c r="O276" i="2"/>
  <c r="O274" i="2"/>
  <c r="O96" i="2"/>
  <c r="O75" i="2"/>
  <c r="O101" i="2"/>
  <c r="O79" i="2"/>
  <c r="O91" i="2"/>
  <c r="O72" i="2"/>
  <c r="O92" i="2"/>
  <c r="O86" i="2"/>
  <c r="O78" i="2"/>
  <c r="O97" i="2"/>
  <c r="O82" i="2"/>
  <c r="O81" i="2"/>
  <c r="O80" i="2"/>
  <c r="O87" i="2"/>
  <c r="O77" i="2"/>
  <c r="O76" i="2"/>
  <c r="O102" i="2"/>
  <c r="O85" i="2"/>
  <c r="O100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9867EB1-2CF1-4AAB-9211-6FA5F2AF9C30}" keepAlive="1" name="Query - Table001 (Page 3)" description="Connection to the 'Table001 (Page 3)' query in the workbook." type="5" refreshedVersion="0" background="1" saveData="1">
    <dbPr connection="Provider=Microsoft.Mashup.OleDb.1;Data Source=$Workbook$;Location=&quot;Table001 (Page 3)&quot;;Extended Properties=&quot;&quot;" command="SELECT * FROM [Table001 (Page 3)]"/>
  </connection>
  <connection id="2" xr16:uid="{C4CBD361-8B84-4AA1-BA2F-C044DEE9774F}" keepAlive="1" name="Query - Table002 (Page 2)" description="Connection to the 'Table002 (Page 2)' query in the workbook." type="5" refreshedVersion="8" background="1" saveData="1">
    <dbPr connection="Provider=Microsoft.Mashup.OleDb.1;Data Source=$Workbook$;Location=&quot;Table002 (Page 2)&quot;;Extended Properties=&quot;&quot;" command="SELECT * FROM [Table002 (Page 2)]"/>
  </connection>
  <connection id="3" xr16:uid="{7010D555-D9CA-44F9-9FC9-0BA7E4BAA608}" keepAlive="1" name="Query - Table003 (Page 3)" description="Connection to the 'Table003 (Page 3)' query in the workbook." type="5" refreshedVersion="0" background="1" saveData="1">
    <dbPr connection="Provider=Microsoft.Mashup.OleDb.1;Data Source=$Workbook$;Location=&quot;Table003 (Page 3)&quot;;Extended Properties=&quot;&quot;" command="SELECT * FROM [Table003 (Page 3)]"/>
  </connection>
  <connection id="4" xr16:uid="{A29EBD2A-3B2E-43B8-BBCF-D6D1DCA69DCB}" keepAlive="1" name="Query - Table009 (Page 7)" description="Connection to the 'Table009 (Page 7)' query in the workbook." type="5" refreshedVersion="0" background="1" saveData="1">
    <dbPr connection="Provider=Microsoft.Mashup.OleDb.1;Data Source=$Workbook$;Location=&quot;Table009 (Page 7)&quot;;Extended Properties=&quot;&quot;" command="SELECT * FROM [Table009 (Page 7)]"/>
  </connection>
  <connection id="5" xr16:uid="{EC47286C-7BF0-42E3-9EED-59E86C1F30BE}" keepAlive="1" name="Query - Table009 (Page 8)" description="Connection to the 'Table009 (Page 8)' query in the workbook." type="5" refreshedVersion="0" background="1" saveData="1">
    <dbPr connection="Provider=Microsoft.Mashup.OleDb.1;Data Source=$Workbook$;Location=&quot;Table009 (Page 8)&quot;;Extended Properties=&quot;&quot;" command="SELECT * FROM [Table009 (Page 8)]"/>
  </connection>
  <connection id="6" xr16:uid="{9E9C30B2-7B18-4645-BCB4-F74F91669009}" keepAlive="1" name="Query - Table010 (Page 8)" description="Connection to the 'Table010 (Page 8)' query in the workbook." type="5" refreshedVersion="0" background="1" saveData="1">
    <dbPr connection="Provider=Microsoft.Mashup.OleDb.1;Data Source=$Workbook$;Location=&quot;Table010 (Page 8)&quot;;Extended Properties=&quot;&quot;" command="SELECT * FROM [Table010 (Page 8)]"/>
  </connection>
  <connection id="7" xr16:uid="{0FE055B6-34AC-4E01-A488-06BDA2FBC44C}" keepAlive="1" name="Query - Table029 (Page 22)" description="Connection to the 'Table029 (Page 22)' query in the workbook." type="5" refreshedVersion="8" background="1" saveData="1">
    <dbPr connection="Provider=Microsoft.Mashup.OleDb.1;Data Source=$Workbook$;Location=&quot;Table029 (Page 22)&quot;;Extended Properties=&quot;&quot;" command="SELECT * FROM [Table029 (Page 22)]"/>
  </connection>
  <connection id="8" xr16:uid="{98953D80-82E1-4ECB-B6A5-AB38B6031537}" keepAlive="1" name="Query - Table030 (Page 23)" description="Connection to the 'Table030 (Page 23)' query in the workbook." type="5" refreshedVersion="0" background="1" saveData="1">
    <dbPr connection="Provider=Microsoft.Mashup.OleDb.1;Data Source=$Workbook$;Location=&quot;Table030 (Page 23)&quot;;Extended Properties=&quot;&quot;" command="SELECT * FROM [Table030 (Page 23)]"/>
  </connection>
  <connection id="9" xr16:uid="{83B16495-1630-476C-92C8-B84CB1398247}" keepAlive="1" name="Query - Table047 (Page 34)" description="Connection to the 'Table047 (Page 34)' query in the workbook." type="5" refreshedVersion="0" background="1" saveData="1">
    <dbPr connection="Provider=Microsoft.Mashup.OleDb.1;Data Source=$Workbook$;Location=&quot;Table047 (Page 34)&quot;;Extended Properties=&quot;&quot;" command="SELECT * FROM [Table047 (Page 34)]"/>
  </connection>
</connections>
</file>

<file path=xl/sharedStrings.xml><?xml version="1.0" encoding="utf-8"?>
<sst xmlns="http://schemas.openxmlformats.org/spreadsheetml/2006/main" count="6535" uniqueCount="507">
  <si>
    <t>Biomass</t>
  </si>
  <si>
    <t>Biocrude</t>
  </si>
  <si>
    <t>Solids</t>
  </si>
  <si>
    <t>Species</t>
  </si>
  <si>
    <t>Reference</t>
  </si>
  <si>
    <t>Carbs wt%</t>
  </si>
  <si>
    <t>Protein wt%</t>
  </si>
  <si>
    <t>Lipids wt%</t>
  </si>
  <si>
    <t>Ash wt%</t>
  </si>
  <si>
    <t>C%</t>
  </si>
  <si>
    <t>H%</t>
  </si>
  <si>
    <t>O%</t>
  </si>
  <si>
    <t>N%</t>
  </si>
  <si>
    <t>S%</t>
  </si>
  <si>
    <t>Solid content (w/w) %</t>
  </si>
  <si>
    <t>Pressure MPa</t>
  </si>
  <si>
    <t>Reactor</t>
  </si>
  <si>
    <t>Solids wt%</t>
  </si>
  <si>
    <t>Biocrude wt%</t>
  </si>
  <si>
    <t>Aquous wt%</t>
  </si>
  <si>
    <t>Gas wt%</t>
  </si>
  <si>
    <t>C% B</t>
  </si>
  <si>
    <t>H% B</t>
  </si>
  <si>
    <t>O% B</t>
  </si>
  <si>
    <t>N% B</t>
  </si>
  <si>
    <t>S% B</t>
  </si>
  <si>
    <t>HHV Bio</t>
  </si>
  <si>
    <t>C% S</t>
  </si>
  <si>
    <t>H% S</t>
  </si>
  <si>
    <t>O% S</t>
  </si>
  <si>
    <t>N% S</t>
  </si>
  <si>
    <t>S% S</t>
  </si>
  <si>
    <t>HHV S</t>
  </si>
  <si>
    <t>Fixed C</t>
  </si>
  <si>
    <t>https://www.sciencedirect.com/science/article/pii/S0960852411008686</t>
  </si>
  <si>
    <t>Spirulina algae</t>
  </si>
  <si>
    <t>Swine manure </t>
  </si>
  <si>
    <t>Neutral detergent fiber</t>
  </si>
  <si>
    <t>digested sludge</t>
  </si>
  <si>
    <t>Lignin wt%</t>
  </si>
  <si>
    <t>Acid detergent fiber</t>
  </si>
  <si>
    <t>HHV Biomass</t>
  </si>
  <si>
    <t>https://www.sciencedirect.com/science/article/pii/S0960852415016430</t>
  </si>
  <si>
    <t> Arthrospira platensis</t>
  </si>
  <si>
    <t>Tetraselmis sp</t>
  </si>
  <si>
    <t>10-12</t>
  </si>
  <si>
    <t>https://www.sciencedirect.com/science/article/pii/S2211926415300539</t>
  </si>
  <si>
    <t>Nannochloropsis gaditana </t>
  </si>
  <si>
    <t> Scenedesmus almeriensis</t>
  </si>
  <si>
    <t>C% Aq</t>
  </si>
  <si>
    <t>H% Aq</t>
  </si>
  <si>
    <t>O% Aq</t>
  </si>
  <si>
    <t>N% Aq</t>
  </si>
  <si>
    <t>S% Aq</t>
  </si>
  <si>
    <t>HHV Aq</t>
  </si>
  <si>
    <t>Aq</t>
  </si>
  <si>
    <t>https://www.sciencedirect.com/science/article/pii/S0960852413019238</t>
  </si>
  <si>
    <t>Ulva ohnoi</t>
  </si>
  <si>
    <t>Chaetomorpha linum</t>
  </si>
  <si>
    <t>Cladophora vagabunda</t>
  </si>
  <si>
    <t>Oedogonium sp.</t>
  </si>
  <si>
    <t>262  1 min, 210 2 min, 325 min</t>
  </si>
  <si>
    <t>263  1 min, 210 2 min, 325 min</t>
  </si>
  <si>
    <t>264  1 min, 210 2 min, 325 min</t>
  </si>
  <si>
    <t>265  1 min, 210 2 min, 325 min</t>
  </si>
  <si>
    <t>266  1 min, 210 2 min, 325 min</t>
  </si>
  <si>
    <t>267  1 min, 210 2 min, 325 min</t>
  </si>
  <si>
    <t>AFDW Biocrude</t>
  </si>
  <si>
    <t>TOC mg/L</t>
  </si>
  <si>
    <t>TN mg /L</t>
  </si>
  <si>
    <t>10 12</t>
  </si>
  <si>
    <t>https://www.sciencedirect.com/science/article/pii/S0306261915014075</t>
  </si>
  <si>
    <t>aspen wood </t>
  </si>
  <si>
    <t>Cellulose wt%</t>
  </si>
  <si>
    <t>Hemicellulose wt%</t>
  </si>
  <si>
    <t>Extractives</t>
  </si>
  <si>
    <t>Flow rate kg/h</t>
  </si>
  <si>
    <t>Scenedesmus</t>
  </si>
  <si>
    <t>https://www.sciencedirect.com/science/article/pii/S0960852412000144</t>
  </si>
  <si>
    <t>Spirulina </t>
  </si>
  <si>
    <t>defatted Scenedesmus</t>
  </si>
  <si>
    <t>14 - 17</t>
  </si>
  <si>
    <t>Volatile Matter</t>
  </si>
  <si>
    <t>C% aq</t>
  </si>
  <si>
    <t>H% aq</t>
  </si>
  <si>
    <t>O% aq</t>
  </si>
  <si>
    <t>N% aq</t>
  </si>
  <si>
    <t>S% aq</t>
  </si>
  <si>
    <t>HHV aq</t>
  </si>
  <si>
    <t>Aq + Gas wt%</t>
  </si>
  <si>
    <t>Ash Bio</t>
  </si>
  <si>
    <t>https://pubs.acs.org/doi/10.1021/ef100203u</t>
  </si>
  <si>
    <t>Nannochloropsissp.</t>
  </si>
  <si>
    <t>Gas</t>
  </si>
  <si>
    <t>C% Gas</t>
  </si>
  <si>
    <t>H% Gas</t>
  </si>
  <si>
    <t>O% Gas</t>
  </si>
  <si>
    <t>N% Gas</t>
  </si>
  <si>
    <t>S% Gas</t>
  </si>
  <si>
    <t>HHV Gas</t>
  </si>
  <si>
    <t>Litsea cubeba seed</t>
  </si>
  <si>
    <t>https://www.sciencedirect.com/science/article/pii/S096085241301540X</t>
  </si>
  <si>
    <t>Light Biocrude wt%</t>
  </si>
  <si>
    <t>Heavy Biocrude wt%</t>
  </si>
  <si>
    <t>Light Biocrude</t>
  </si>
  <si>
    <t>C% LB</t>
  </si>
  <si>
    <t>H% LB</t>
  </si>
  <si>
    <t>O% LB</t>
  </si>
  <si>
    <t>N% LB</t>
  </si>
  <si>
    <t>S% LB</t>
  </si>
  <si>
    <t>HHV LB</t>
  </si>
  <si>
    <t>Heavy Biocrude</t>
  </si>
  <si>
    <t>C% HB</t>
  </si>
  <si>
    <t>H% HB</t>
  </si>
  <si>
    <t>O% HB</t>
  </si>
  <si>
    <t>N% HB</t>
  </si>
  <si>
    <t>S% HB</t>
  </si>
  <si>
    <t>HHV HB</t>
  </si>
  <si>
    <t>Nannochloropsis sp</t>
  </si>
  <si>
    <t>https://www.sciencedirect.com/science/article/pii/S0961953412003236</t>
  </si>
  <si>
    <t>Water-soluble</t>
  </si>
  <si>
    <t>Volatiles</t>
  </si>
  <si>
    <t>Energy Recovery</t>
  </si>
  <si>
    <t>Garbage</t>
  </si>
  <si>
    <t>https://www.sciencedirect.com/science/article/pii/0961953495000172</t>
  </si>
  <si>
    <t>Holocellulose</t>
  </si>
  <si>
    <t>Loss</t>
  </si>
  <si>
    <t>Ash S</t>
  </si>
  <si>
    <t>Energy Recovery S</t>
  </si>
  <si>
    <t>Cladophora coelothrix</t>
  </si>
  <si>
    <t>Derbesia tenuissima</t>
  </si>
  <si>
    <t>https://www.sciencedirect.com/science/article/pii/S0960852410010096</t>
  </si>
  <si>
    <t>Chlorella vulgaris</t>
  </si>
  <si>
    <t>Nannochloropsis occulta</t>
  </si>
  <si>
    <t>Porphyridium cruentum</t>
  </si>
  <si>
    <t>Moisture</t>
  </si>
  <si>
    <t>Albumin</t>
  </si>
  <si>
    <t>Soya protein</t>
  </si>
  <si>
    <t>Asparagine</t>
  </si>
  <si>
    <t>Glutamine</t>
  </si>
  <si>
    <t>Glucose</t>
  </si>
  <si>
    <t>Starch</t>
  </si>
  <si>
    <t>Sunflower oil</t>
  </si>
  <si>
    <t>Solids (g)</t>
  </si>
  <si>
    <t>Water mL</t>
  </si>
  <si>
    <t>Author</t>
  </si>
  <si>
    <t>Vardon</t>
  </si>
  <si>
    <t>Lavanya</t>
  </si>
  <si>
    <t>Barreiro</t>
  </si>
  <si>
    <t>Neveux</t>
  </si>
  <si>
    <t>Brown</t>
  </si>
  <si>
    <t>Valdez</t>
  </si>
  <si>
    <t>Biller</t>
  </si>
  <si>
    <t>Year</t>
  </si>
  <si>
    <t>Minowa</t>
  </si>
  <si>
    <t>Chen</t>
  </si>
  <si>
    <t>Wang</t>
  </si>
  <si>
    <t>Xu</t>
  </si>
  <si>
    <t>Yang</t>
  </si>
  <si>
    <t xml:space="preserve">Perderson </t>
  </si>
  <si>
    <t>https://www.sciencedirect.com/science/article/pii/S0016236116304653</t>
  </si>
  <si>
    <t>Huang</t>
  </si>
  <si>
    <t>Cyanobacteria sp. </t>
  </si>
  <si>
    <t>Bacillariophyta sp.</t>
  </si>
  <si>
    <t>Sugar kelp</t>
  </si>
  <si>
    <t>Bach</t>
  </si>
  <si>
    <t>https://www.sciencedirect.com/science/article/pii/S0016236114008667</t>
  </si>
  <si>
    <t>Anastasakis</t>
  </si>
  <si>
    <t>L. digitata</t>
  </si>
  <si>
    <t>L. hyperborea</t>
  </si>
  <si>
    <t>L. saccharina</t>
  </si>
  <si>
    <t>A. esculenta</t>
  </si>
  <si>
    <t>Mosture S</t>
  </si>
  <si>
    <t>https://www.sciencedirect.com/science/article/pii/001623619580001X</t>
  </si>
  <si>
    <t>Dunaliella tertiolecta</t>
  </si>
  <si>
    <t>https://www.sciencedirect.com/science/article/pii/S0960852412020020</t>
  </si>
  <si>
    <t>Toor</t>
  </si>
  <si>
    <t>Nannochloropsis salina</t>
  </si>
  <si>
    <t>Spirulina platensis</t>
  </si>
  <si>
    <t>Soy protein</t>
  </si>
  <si>
    <t>Rapeseed oil</t>
  </si>
  <si>
    <t>Corn flour</t>
  </si>
  <si>
    <t>https://www.sciencedirect.com/science/article/pii/S0960852416300906</t>
  </si>
  <si>
    <t>Wagner</t>
  </si>
  <si>
    <t>Enteromopha prolifera</t>
  </si>
  <si>
    <t>https://www.sciencedirect.com/science/article/pii/S0196890414007286</t>
  </si>
  <si>
    <t>https://www.sciencedirect.com/science/article/pii/S0960852414014412</t>
  </si>
  <si>
    <t>Eboibi</t>
  </si>
  <si>
    <t>Spirulina sp. </t>
  </si>
  <si>
    <t>Tetraselmis sp.</t>
  </si>
  <si>
    <t>Taihu lake Cyanophyta</t>
  </si>
  <si>
    <t>https://www.sciencedirect.com/science/article/pii/S2211926415300102</t>
  </si>
  <si>
    <t>Guo</t>
  </si>
  <si>
    <t>P%</t>
  </si>
  <si>
    <t>Time to reach temp min</t>
  </si>
  <si>
    <t>Solids Biomass</t>
  </si>
  <si>
    <r>
      <t xml:space="preserve">Biocrude </t>
    </r>
    <r>
      <rPr>
        <sz val="11"/>
        <color theme="1"/>
        <rFont val="Calibri"/>
        <family val="2"/>
        <scheme val="minor"/>
      </rPr>
      <t>Biomass</t>
    </r>
  </si>
  <si>
    <t>Aquous Biomass</t>
  </si>
  <si>
    <t>Light biocrude Biomass</t>
  </si>
  <si>
    <t>Heavy Biocrude Biomass</t>
  </si>
  <si>
    <t>oil mill wastewater</t>
  </si>
  <si>
    <t>Hadhoum</t>
  </si>
  <si>
    <t>https://www.sciencedirect.com/science/article/pii/S0960852416308719</t>
  </si>
  <si>
    <t>https://www.sciencedirect.com/science/article/pii/S0960852416305545</t>
  </si>
  <si>
    <t>Hietala</t>
  </si>
  <si>
    <t>Nannochloropsis sp.</t>
  </si>
  <si>
    <t>Nannochloropsis gaditana</t>
  </si>
  <si>
    <t>Chlorella sp.</t>
  </si>
  <si>
    <t>https://www.sciencedirect.com/science/article/pii/S0306261915015172</t>
  </si>
  <si>
    <t>Reddy</t>
  </si>
  <si>
    <t>Nannochloropsis</t>
  </si>
  <si>
    <t>Pavlova </t>
  </si>
  <si>
    <t>Isochrysis </t>
  </si>
  <si>
    <t>https://www.sciencedirect.com/science/article/pii/S2211926415300345</t>
  </si>
  <si>
    <t xml:space="preserve">Shakya </t>
  </si>
  <si>
    <t>Microcystis</t>
  </si>
  <si>
    <t>Tian</t>
  </si>
  <si>
    <t>https://www.sciencedirect.com/science/article/pii/S0960852414015259</t>
  </si>
  <si>
    <t>Angelica sinensis</t>
  </si>
  <si>
    <t>https://www.sciencedirect.com/science/article/pii/S0360319922021371</t>
  </si>
  <si>
    <t>Guan</t>
  </si>
  <si>
    <t>brewery trub</t>
  </si>
  <si>
    <t>winery rose lees</t>
  </si>
  <si>
    <t>primary sludge</t>
  </si>
  <si>
    <t>return activated sludge</t>
  </si>
  <si>
    <t>Adedeji</t>
  </si>
  <si>
    <t>https://www.sciencedirect.com/science/article/pii/S0016236122016039</t>
  </si>
  <si>
    <t>BT+PS 75/25</t>
  </si>
  <si>
    <t>BT+PS 50/50</t>
  </si>
  <si>
    <t>BT+PS 25/75</t>
  </si>
  <si>
    <t>BT+RAS 75/25</t>
  </si>
  <si>
    <t>BT+RAS 50/50</t>
  </si>
  <si>
    <t>BT+RAS 25/75</t>
  </si>
  <si>
    <t>RL+PS 75/25</t>
  </si>
  <si>
    <t>RL+PS 50/50</t>
  </si>
  <si>
    <t>RL+PS 25/75</t>
  </si>
  <si>
    <t>RL+RAS 75/25</t>
  </si>
  <si>
    <t>RL+RAS 50/50</t>
  </si>
  <si>
    <t>RL+RAS 25/75</t>
  </si>
  <si>
    <t>186.37.</t>
  </si>
  <si>
    <t>TP mg/L</t>
  </si>
  <si>
    <t>Zhang</t>
  </si>
  <si>
    <t>Manure</t>
  </si>
  <si>
    <t>Wheat straw</t>
  </si>
  <si>
    <t>Passos</t>
  </si>
  <si>
    <t>https://www.sciencedirect.com/science/article/pii/S2213343722010545</t>
  </si>
  <si>
    <t>Wheat straw + 0.25 Manure</t>
  </si>
  <si>
    <t>Wheat straw + 0.5 Manure</t>
  </si>
  <si>
    <t>Wheat straw + 0.75 Manure</t>
  </si>
  <si>
    <t>https://www.sciencedirect.com/science/article/pii/S0165237022001322</t>
  </si>
  <si>
    <t>Hao</t>
  </si>
  <si>
    <t>Municipal Sludge</t>
  </si>
  <si>
    <t>Liu</t>
  </si>
  <si>
    <t>https://www.sciencedirect.com/science/article/pii/S2211926422001308</t>
  </si>
  <si>
    <t>https://www.sciencedirect.com/science/article/abs/pii/S0926669019307058</t>
  </si>
  <si>
    <t>Wu</t>
  </si>
  <si>
    <t>eucalyptus sawdust</t>
  </si>
  <si>
    <t>Holding Time (min)</t>
  </si>
  <si>
    <t>corn straw</t>
  </si>
  <si>
    <t>Total time (min)</t>
  </si>
  <si>
    <t>https://www.sciencedirect.com/science/article/pii/S0016236119323397?via%3Dihub</t>
  </si>
  <si>
    <t>peanut straw</t>
  </si>
  <si>
    <t>soybean straw</t>
  </si>
  <si>
    <t>rice straw</t>
  </si>
  <si>
    <t>https://www.sciencedirect.com/science/article/pii/S0016236122004604</t>
  </si>
  <si>
    <t>Moazezi</t>
  </si>
  <si>
    <t>https://www.sciencedirect.com/science/article/pii/S0165237022000845</t>
  </si>
  <si>
    <t>Enteromorpha clathrata</t>
  </si>
  <si>
    <t>EN/CN 3:1</t>
  </si>
  <si>
    <t>EN/CN 2:1</t>
  </si>
  <si>
    <t>EN/CN 1:1</t>
  </si>
  <si>
    <t>EN/CN 1:2</t>
  </si>
  <si>
    <t>EN/CN 1:3</t>
  </si>
  <si>
    <t>Loss %</t>
  </si>
  <si>
    <t>https://www.sciencedirect.com/science/article/pii/S0960852422003601</t>
  </si>
  <si>
    <t>Harisankar</t>
  </si>
  <si>
    <t xml:space="preserve">rice straw-milli-Q </t>
  </si>
  <si>
    <t>rice straw-Tap</t>
  </si>
  <si>
    <t>rice straw-Seawater</t>
  </si>
  <si>
    <t>rice straw-Recycled</t>
  </si>
  <si>
    <t>rice straw-Industry</t>
  </si>
  <si>
    <t>https://pubs.acs.org/doi/10.1021/acssuschemeng.9b06873</t>
  </si>
  <si>
    <t>Gollakota</t>
  </si>
  <si>
    <t>starch</t>
  </si>
  <si>
    <t>cellulose</t>
  </si>
  <si>
    <t>amylopectin</t>
  </si>
  <si>
    <t>amylose</t>
  </si>
  <si>
    <t>pectin</t>
  </si>
  <si>
    <t>chitin</t>
  </si>
  <si>
    <t>https://pubs.acs.org/doi/10.1021/acssuschemeng.9b06874</t>
  </si>
  <si>
    <t>https://pubs.acs.org/doi/10.1021/acssuschemeng.9b06875</t>
  </si>
  <si>
    <t>https://pubs.acs.org/doi/10.1021/acssuschemeng.9b06876</t>
  </si>
  <si>
    <t>https://pubs.acs.org/doi/10.1021/acssuschemeng.9b06877</t>
  </si>
  <si>
    <t>https://pubs.acs.org/doi/10.1021/acssuschemeng.9b06878</t>
  </si>
  <si>
    <t>https://www.sciencedirect.com/science/article/pii/S0016236122014892</t>
  </si>
  <si>
    <t>Dong</t>
  </si>
  <si>
    <t>municipal sewage sludge</t>
  </si>
  <si>
    <t>https://www.sciencedirect.com/science/article/pii/S0196890422005155</t>
  </si>
  <si>
    <t>Jahromi</t>
  </si>
  <si>
    <t>https://www.sciencedirect.com/science/article/pii/S0960852422004291</t>
  </si>
  <si>
    <t>Ding</t>
  </si>
  <si>
    <t>Potato starch</t>
  </si>
  <si>
    <t>quaternary mixture</t>
  </si>
  <si>
    <t>Ash% S</t>
  </si>
  <si>
    <t>Galdieria sulphuraria</t>
  </si>
  <si>
    <t>https://www.sciencedirect.com/science/article/pii/S0921344921002536</t>
  </si>
  <si>
    <t>Dandamudi</t>
  </si>
  <si>
    <t>gravity harvested microalgae</t>
  </si>
  <si>
    <t>chitosan harvested microalgae</t>
  </si>
  <si>
    <t>https://www.sciencedirect.com/science/article/pii/S0016236122007657</t>
  </si>
  <si>
    <t>Islam</t>
  </si>
  <si>
    <t>https://www.sciencedirect.com/science/article/pii/S0048969720367474</t>
  </si>
  <si>
    <t>Hong</t>
  </si>
  <si>
    <t>penicillin fermentation residue</t>
  </si>
  <si>
    <t>https://www.sciencedirect.com/science/article/pii/S1385894721028096</t>
  </si>
  <si>
    <t>Sewage sludge</t>
  </si>
  <si>
    <t>Radiata pine wood saw dust</t>
  </si>
  <si>
    <t>Obeid</t>
  </si>
  <si>
    <t>Cyanidioschyzon merolae</t>
  </si>
  <si>
    <t>https://www.sciencedirect.com/science/article/pii/S0921344921001713</t>
  </si>
  <si>
    <t>Algae-Swine manure 80-20</t>
  </si>
  <si>
    <t>Algae-Swine manure 50-50</t>
  </si>
  <si>
    <t>Algae-Swine manure 20-80</t>
  </si>
  <si>
    <t>Carpio</t>
  </si>
  <si>
    <t>wastewater algal biomass Untreated</t>
  </si>
  <si>
    <t>corn stover</t>
  </si>
  <si>
    <t>https://www.sciencedirect.com/science/article/pii/S0960852421009718</t>
  </si>
  <si>
    <t>cow manure</t>
  </si>
  <si>
    <t>corn stover-cow manure 1:1</t>
  </si>
  <si>
    <t>corn stover-cow manure 2:1</t>
  </si>
  <si>
    <t>corn stover-cow manure 1:2</t>
  </si>
  <si>
    <t>https://www.sciencedirect.com/science/article/pii/S0165237021000620</t>
  </si>
  <si>
    <t>corn cob</t>
  </si>
  <si>
    <t>cattle manure</t>
  </si>
  <si>
    <t>He</t>
  </si>
  <si>
    <t>cattle manure-corn cob 1-1</t>
  </si>
  <si>
    <t>Faecal sludge</t>
  </si>
  <si>
    <t>peat</t>
  </si>
  <si>
    <t>Hossain</t>
  </si>
  <si>
    <t>https://www.sciencedirect.com/science/article/pii/S0959652622000178</t>
  </si>
  <si>
    <t>peat-Faecal sludge 75-25</t>
  </si>
  <si>
    <t>peat-Faecal sludge 50-50</t>
  </si>
  <si>
    <t>peat-Faecal sludge 25-75</t>
  </si>
  <si>
    <t>https://www.sciencedirect.com/science/article/pii/S0306261919319993</t>
  </si>
  <si>
    <t>sewage sludge</t>
  </si>
  <si>
    <t>Qain</t>
  </si>
  <si>
    <t>https://www.sciencedirect.com/science/article/pii/S096014811930655X</t>
  </si>
  <si>
    <t>fresh lemon-peel</t>
  </si>
  <si>
    <t>sewage sludge</t>
  </si>
  <si>
    <t>https://www.sciencedirect.com/science/article/pii/S0959652620349398</t>
  </si>
  <si>
    <t>Fan</t>
  </si>
  <si>
    <t>Lipids Extracted Sewage Sludge</t>
  </si>
  <si>
    <t>antibiotic wastes</t>
  </si>
  <si>
    <t>Zhuang</t>
  </si>
  <si>
    <t>https://www.sciencedirect.com/science/article/pii/S1743967118301788</t>
  </si>
  <si>
    <t>https://pubs.acs.org/doi/10.1021/ef401506u</t>
  </si>
  <si>
    <t>P. putida</t>
  </si>
  <si>
    <t>B. subtilis</t>
  </si>
  <si>
    <t>S. cerevisiae</t>
  </si>
  <si>
    <t>E. coli TB</t>
  </si>
  <si>
    <t>E. coli MM</t>
  </si>
  <si>
    <t>https://pubs.acs.org/doi/10.1021/acssuschemeng.6b01857</t>
  </si>
  <si>
    <t>Sheehan</t>
  </si>
  <si>
    <t>Soy protein isolate</t>
  </si>
  <si>
    <t>https://pubs.acs.org/doi/10.1021/acs.energyfuels.9b03209</t>
  </si>
  <si>
    <t>https://pubs.acs.org/doi/10.1021/acssuschemeng.7b02854</t>
  </si>
  <si>
    <t>bovine serum albumin</t>
  </si>
  <si>
    <t>https://pubs.acs.org/doi/10.1021/acsestengg.0c00115</t>
  </si>
  <si>
    <t>Motavaf</t>
  </si>
  <si>
    <t>Food Waste</t>
  </si>
  <si>
    <t>https://pubs.acs.org/doi/10.1021/ef301925d</t>
  </si>
  <si>
    <t>Faeth</t>
  </si>
  <si>
    <t>Nan-1</t>
  </si>
  <si>
    <t>Nan-2</t>
  </si>
  <si>
    <t>Chl-1</t>
  </si>
  <si>
    <t>https://www.sciencedirect.com/science/article/pii/S0306261918316738?via%3Dihub</t>
  </si>
  <si>
    <t>Chl-2</t>
  </si>
  <si>
    <t>Spi-1</t>
  </si>
  <si>
    <t>Mix-m</t>
  </si>
  <si>
    <t>https://www.sciencedirect.com/science/article/pii/S0360544220306575</t>
  </si>
  <si>
    <t>Lignin</t>
  </si>
  <si>
    <t>Spirulina platensis-Lignin 1.25:1</t>
  </si>
  <si>
    <t>Spirulina platensis-Lignin 2:1</t>
  </si>
  <si>
    <t>Spirulina platensis-Lignin 0.5:1</t>
  </si>
  <si>
    <t>Grinded real waste</t>
  </si>
  <si>
    <t>Butcher waste 1</t>
  </si>
  <si>
    <t>https://www.sciencedirect.com/science/article/pii/S0956053X19305411</t>
  </si>
  <si>
    <t>https://www.sciencedirect.com/science/article/pii/S0956053X19305412</t>
  </si>
  <si>
    <t>https://www.sciencedirect.com/science/article/pii/S0956053X19305413</t>
  </si>
  <si>
    <t>Leon</t>
  </si>
  <si>
    <t>PAP + Fat</t>
  </si>
  <si>
    <t>https://www.sciencedirect.com/science/article/pii/S1385894720303880</t>
  </si>
  <si>
    <t>oleic acid</t>
  </si>
  <si>
    <t>glucose</t>
  </si>
  <si>
    <t>alanine</t>
  </si>
  <si>
    <t>guaiacol</t>
  </si>
  <si>
    <t>https://www.sciencedirect.com/science/article/pii/S0306261918315903#b0040</t>
  </si>
  <si>
    <t>Mix</t>
  </si>
  <si>
    <t>https://www.sciencedirect.com/science/article/pii/S0960852419304353?via%3Dihub</t>
  </si>
  <si>
    <t>Aierzhati</t>
  </si>
  <si>
    <t>food waste mixture</t>
  </si>
  <si>
    <t>salad dressing</t>
  </si>
  <si>
    <t>cream cheese</t>
  </si>
  <si>
    <t>beef </t>
  </si>
  <si>
    <t>chicken </t>
  </si>
  <si>
    <t>hamburger bun </t>
  </si>
  <si>
    <t>vegetable </t>
  </si>
  <si>
    <t>fruit peels</t>
  </si>
  <si>
    <t>Scenedesmus obliquus</t>
  </si>
  <si>
    <t>Phaeodactylum tricornutum</t>
  </si>
  <si>
    <t>Scenedesmus almeriensis</t>
  </si>
  <si>
    <t>Tetraselmis suecica</t>
  </si>
  <si>
    <t>Porphyridium purpureum</t>
  </si>
  <si>
    <t>https://www.sciencedirect.com/science/article/pii/S0960852413011917?via%3Dihub</t>
  </si>
  <si>
    <t>Derbesia</t>
  </si>
  <si>
    <t>Ulva</t>
  </si>
  <si>
    <t>Oedogonium</t>
  </si>
  <si>
    <t>https://www.sciencedirect.com/science/article/pii/S2211926414000708?via%3Dihub</t>
  </si>
  <si>
    <t>AuP</t>
  </si>
  <si>
    <t>ArP</t>
  </si>
  <si>
    <t>SL</t>
  </si>
  <si>
    <t>NO</t>
  </si>
  <si>
    <t>UP</t>
  </si>
  <si>
    <t>SJ</t>
  </si>
  <si>
    <t>ZM</t>
  </si>
  <si>
    <t>GEH</t>
  </si>
  <si>
    <t>https://www.sciencedirect.com/science/article/pii/S0360544218308648</t>
  </si>
  <si>
    <t>Duan</t>
  </si>
  <si>
    <t>https://pubs.acs.org/doi/10.1021/ef201373m</t>
  </si>
  <si>
    <t>Jena</t>
  </si>
  <si>
    <t>S. platensis</t>
  </si>
  <si>
    <t>https://www.sciencedirect.com/science/article/pii/S1359511317315854?via%3Dihub</t>
  </si>
  <si>
    <t>Spirulina</t>
  </si>
  <si>
    <t>https://www.sciencedirect.com/science/article/pii/S0306261915008491?via%3Dihub</t>
  </si>
  <si>
    <t>Yoo</t>
  </si>
  <si>
    <t>N. oceanica</t>
  </si>
  <si>
    <t>Golenkinia sp</t>
  </si>
  <si>
    <t>https://www.sciencedirect.com/science/article/pii/S0360544218312568?via%3Dihub</t>
  </si>
  <si>
    <t>sewage treatment</t>
  </si>
  <si>
    <t>https://www.sciencedirect.com/science/article/pii/S0960148117311424?via%3Dihub</t>
  </si>
  <si>
    <t>Couto</t>
  </si>
  <si>
    <t>P. guilliermondii</t>
  </si>
  <si>
    <t>https://www.sciencedirect.com/science/article/pii/S0959652619312260?via%3Dihub</t>
  </si>
  <si>
    <t>Chopra</t>
  </si>
  <si>
    <t>https://www.sciencedirect.com/science/article/pii/S0196890419313184?via%3Dihub</t>
  </si>
  <si>
    <t>Mishra</t>
  </si>
  <si>
    <t>Monoraphidium sp. KMC4</t>
  </si>
  <si>
    <t>https://link.springer.com/article/10.1134/S0018151X18060263</t>
  </si>
  <si>
    <t>Vlaskin</t>
  </si>
  <si>
    <t>Arthrospira platensis</t>
  </si>
  <si>
    <t>https://link.springer.com/article/10.1007/s13762-019-02364-w</t>
  </si>
  <si>
    <t>Das</t>
  </si>
  <si>
    <t>Chlorocystis sp. Outdoor</t>
  </si>
  <si>
    <t>Picochlorum sp. Outdoor</t>
  </si>
  <si>
    <t>https://www.sciencedirect.com/science/article/pii/S0960852417300937?via%3Dihub</t>
  </si>
  <si>
    <t>Grigoras</t>
  </si>
  <si>
    <t>genus Salix</t>
  </si>
  <si>
    <t>https://www.sciencedirect.com/science/article/pii/S0960852420313055?via%3Dihub</t>
  </si>
  <si>
    <t>Duckweed </t>
  </si>
  <si>
    <t>Heating rate C/min</t>
  </si>
  <si>
    <t>Cooling Rate C/min</t>
  </si>
  <si>
    <t>https://www.sciencedirect.com/science/article/pii/S0016236115006572?via%3Dihub</t>
  </si>
  <si>
    <t>Chlorella</t>
  </si>
  <si>
    <t>https://www.sciencedirect.com/science/article/pii/S0961953418303179?via%3Dihub</t>
  </si>
  <si>
    <t>Kirchneriella sp.</t>
  </si>
  <si>
    <t>https://www.sciencedirect.com/science/article/pii/S2211926418307756?via%3Dihub</t>
  </si>
  <si>
    <t>Han</t>
  </si>
  <si>
    <t>https://www.sciencedirect.com/science/article/pii/S1385894721008573</t>
  </si>
  <si>
    <t>Seshasayee</t>
  </si>
  <si>
    <t>Cellulose</t>
  </si>
  <si>
    <t>Soy Protein</t>
  </si>
  <si>
    <t>Stearic Acid</t>
  </si>
  <si>
    <t>Mixture</t>
  </si>
  <si>
    <t>https://www.sciencedirect.com/science/article/pii/S0960148119301648</t>
  </si>
  <si>
    <t>chlorella</t>
  </si>
  <si>
    <t>sewage sludge-Algae 3:1</t>
  </si>
  <si>
    <t>sewage sludge-Algae 1:1</t>
  </si>
  <si>
    <t>sewage sludge-Algae 1:3</t>
  </si>
  <si>
    <t>https://www.sciencedirect.com/science/article/pii/S0048969719356724</t>
  </si>
  <si>
    <t>Sargassum sp.</t>
  </si>
  <si>
    <t>ER HB</t>
  </si>
  <si>
    <t>ER LB</t>
  </si>
  <si>
    <t>https://www.sciencedirect.com/science/article/pii/S1385894716310506</t>
  </si>
  <si>
    <t>Vo</t>
  </si>
  <si>
    <t>Aurantiochytrium sp. KRS101</t>
  </si>
  <si>
    <t>https://www.sciencedirect.com/science/article/pii/S0960852414005082</t>
  </si>
  <si>
    <t>C. protothecoides</t>
  </si>
  <si>
    <t>Scenedesmus sp.</t>
  </si>
  <si>
    <t>https://www.sciencedirect.com/science/article/pii/S0960852417308544</t>
  </si>
  <si>
    <t>https://www.sciencedirect.com/science/article/pii/S2211926415300333</t>
  </si>
  <si>
    <t>b</t>
  </si>
  <si>
    <t>b_cool</t>
  </si>
  <si>
    <t>0</t>
  </si>
  <si>
    <t>Gas + Loss</t>
  </si>
  <si>
    <t>T-5</t>
  </si>
  <si>
    <t>Heating time</t>
  </si>
  <si>
    <t>H/C% B</t>
  </si>
  <si>
    <t>https://www.sciencedirect.com/science/article/abs/pii/S2589014X21000566?via%3Dihub</t>
  </si>
  <si>
    <t>Processed</t>
  </si>
  <si>
    <t>Sum wt%</t>
  </si>
  <si>
    <t>Other Carbs wt%</t>
  </si>
  <si>
    <t>Temperature (C)</t>
  </si>
  <si>
    <t>Starch wt%</t>
  </si>
  <si>
    <t>DCM</t>
  </si>
  <si>
    <t>DCM/Hexane</t>
  </si>
  <si>
    <t>Solvent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</si>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</sst>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rgb="FF2E2E2E"/>
      <name val="Georgia"/>
      <family val="1"/>
    </font>
    <font>
      <b/>
      <i/>
      <sz val="11"/>
      <color rgb="FF2E2E2E"/>
      <name val="Georgia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rgb="FFEBEBEB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1"/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1" applyAlignment="1">
      <alignment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2" fontId="0" fillId="0" borderId="0" xfId="0" applyNumberFormat="1"/>
    <xf numFmtId="2" fontId="0" fillId="0" borderId="3" xfId="0" applyNumberFormat="1" applyBorder="1"/>
    <xf numFmtId="164" fontId="0" fillId="0" borderId="0" xfId="0" applyNumberFormat="1"/>
    <xf numFmtId="49" fontId="0" fillId="0" borderId="0" xfId="0" applyNumberFormat="1"/>
    <xf numFmtId="2" fontId="0" fillId="0" borderId="2" xfId="0" applyNumberFormat="1" applyBorder="1"/>
  </cellXfs>
  <cellStyles count="2">
    <cellStyle name="Hyperlink" xfId="1" builtinId="8"/>
    <cellStyle name="Normal" xfId="0" builtinId="0"/>
  </cellStyles>
  <dxfs count="180"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2" formatCode="0.0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2" formatCode="0.00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3874B57-E13E-496F-93CD-7D2FB9B76954}" name="Table2" displayName="Table2" ref="A2:DB563" totalsRowShown="0">
  <autoFilter ref="A2:DB563" xr:uid="{C3874B57-E13E-496F-93CD-7D2FB9B76954}"/>
  <tableColumns count="106">
    <tableColumn id="2" xr3:uid="{29D6E97B-7F99-4E2A-9351-7577C9A5DE52}" name="Reference"/>
    <tableColumn id="82" xr3:uid="{A14B363A-C271-4202-B6D8-D3BB9BF983DE}" name="Author"/>
    <tableColumn id="83" xr3:uid="{1539B94D-39AE-4EBB-ACC5-2992821871AF}" name="Year"/>
    <tableColumn id="1" xr3:uid="{637A9591-0E3D-407F-8300-71D71FCCA8C6}" name="Species" dataDxfId="179"/>
    <tableColumn id="17" xr3:uid="{12B7E9F8-EBC6-4CF7-A0F8-3B46A8A6927E}" name="Processed" dataDxfId="178"/>
    <tableColumn id="3" xr3:uid="{CB311459-FA83-4127-9D36-204D62D0BD02}" name="Carbs wt%" dataDxfId="177"/>
    <tableColumn id="87" xr3:uid="{F36C5976-3FC3-47C6-A274-7B2939D0C136}" name="Cellulose wt%" dataDxfId="176"/>
    <tableColumn id="95" xr3:uid="{27713749-1414-4978-AF0D-5834A3D311B0}" name="Hemicellulose wt%" dataDxfId="175"/>
    <tableColumn id="4" xr3:uid="{8F8187A3-709E-4966-A695-804C9A1E4AAB}" name="Protein wt%" dataDxfId="174"/>
    <tableColumn id="5" xr3:uid="{478012F2-389C-4283-891D-167A3B824CE8}" name="Lipids wt%" dataDxfId="173"/>
    <tableColumn id="96" xr3:uid="{EB988255-1993-44AB-96D7-6295E54C3E72}" name="Lignin wt%" dataDxfId="172"/>
    <tableColumn id="105" xr3:uid="{D45F1B02-F8DE-4A56-97F9-772D7C109224}" name="Sum wt%" dataDxfId="171">
      <calculatedColumnFormula>IF(Table2[[#This Row],[Lipids wt%]]+Table2[[#This Row],[Protein wt%]]+Table2[[#This Row],[Carbs wt%]] =0,"",SUM(Table2[[#This Row],[Lipids wt%]],Table2[[#This Row],[Protein wt%]],Table2[[#This Row],[Carbs wt%]]))</calculatedColumnFormula>
    </tableColumn>
    <tableColumn id="6" xr3:uid="{02B9CD94-E945-461D-BD76-05217B4A2420}" name="Ash wt%" dataDxfId="170"/>
    <tableColumn id="97" xr3:uid="{FBD742F2-3D14-4092-98E4-C77FD4A7F0E4}" name="Holocellulose" dataDxfId="169"/>
    <tableColumn id="98" xr3:uid="{7D8950BA-064D-4443-9557-6F36E009747A}" name="Extractives"/>
    <tableColumn id="81" xr3:uid="{D8386833-340D-4A43-832D-01593DCE37EF}" name="Moisture"/>
    <tableColumn id="77" xr3:uid="{45CBDC61-EBFE-485D-9D7F-35672A9678B8}" name="Fixed C"/>
    <tableColumn id="36" xr3:uid="{C2543835-1F39-4A32-B67D-86D4CE1B1448}" name="Volatile Matter"/>
    <tableColumn id="88" xr3:uid="{22E5D5D5-8050-4814-AC24-1F21EC6B627C}" name="Neutral detergent fiber"/>
    <tableColumn id="89" xr3:uid="{A40CE576-B6A8-4C48-977C-38F35637363C}" name="Acid detergent fiber"/>
    <tableColumn id="56" xr3:uid="{DCBF8473-44C3-46C6-93A4-F0BE66854241}" name="Solids Biomass"/>
    <tableColumn id="57" xr3:uid="{66EBE67B-A82C-4713-BE67-B0C1FC235490}" name="Biocrude Biomass"/>
    <tableColumn id="58" xr3:uid="{96E4D78E-09B5-4AA7-8E49-8FFF1F5BF3F3}" name="Aquous Biomass"/>
    <tableColumn id="59" xr3:uid="{2131C3CF-DC67-449D-B453-931A1769256D}" name="Light biocrude Biomass"/>
    <tableColumn id="60" xr3:uid="{DA4533A7-C2CA-4F08-8486-F023A3987C81}" name="Heavy Biocrude Biomass"/>
    <tableColumn id="7" xr3:uid="{D2750DA9-220D-43AF-A122-8CFD7FF204FE}" name="C%" dataDxfId="168"/>
    <tableColumn id="8" xr3:uid="{7C7A4A73-19E7-4AD3-AF8E-35FBD82BB038}" name="H%" dataDxfId="167"/>
    <tableColumn id="9" xr3:uid="{8D830AC0-E6F6-48B3-A8A9-811B9B8B5E75}" name="O%" dataDxfId="166"/>
    <tableColumn id="10" xr3:uid="{E251F765-DCF5-4E46-9A4E-75C6AF394AD6}" name="N%" dataDxfId="165"/>
    <tableColumn id="11" xr3:uid="{EEA73DEC-B387-4C6C-8BDD-0AEE309622CD}" name="S%" dataDxfId="164"/>
    <tableColumn id="84" xr3:uid="{4DA19A40-309B-45CA-9122-F7D81C97B587}" name="P%" dataDxfId="163"/>
    <tableColumn id="12" xr3:uid="{1A3827C7-B882-4DDE-A7A5-1D279D4A1A7F}" name="HHV Biomass" dataDxfId="162"/>
    <tableColumn id="18" xr3:uid="{8D080E96-49DA-454E-91C2-9FAFB4A1ACB1}" name="Reactor" dataDxfId="161"/>
    <tableColumn id="80" xr3:uid="{B76DDC9E-80F2-4275-A4B2-D6797B8397EF}" name="Solids (g)" dataDxfId="160"/>
    <tableColumn id="79" xr3:uid="{57DF1375-DBB9-4852-959E-6B1299621A4C}" name="Water mL" dataDxfId="159"/>
    <tableColumn id="15" xr3:uid="{C123439D-EDBD-4EE4-BF27-A40F1EF81B84}" name="Solid content (w/w) %" dataDxfId="158"/>
    <tableColumn id="16" xr3:uid="{1F320649-0736-43BD-AEDC-CE5A4D99C049}" name="Pressure MPa"/>
    <tableColumn id="23" xr3:uid="{8183128E-C55D-4769-8D84-70F7D3253E4D}" name="Heating rate C/min"/>
    <tableColumn id="37" xr3:uid="{439D2831-C557-48F5-9E43-4C3B6F9029B7}" name="b" dataDxfId="157"/>
    <tableColumn id="85" xr3:uid="{03B7B8F7-70B9-4402-ADE3-1300BE811183}" name="Time to reach temp min"/>
    <tableColumn id="13" xr3:uid="{6CB4FB7B-CE59-4442-8C4F-7703A68F53F8}" name="Holding Time (min)" dataDxfId="156"/>
    <tableColumn id="101" xr3:uid="{980776FC-0ECA-458B-B95C-BE4B9A09C2FE}" name="T-5" dataDxfId="155">
      <calculatedColumnFormula>LN(25/Table2[[#This Row],[Temperature (C)]]/(1-SQRT((Table2[[#This Row],[Temperature (C)]]-5)/Table2[[#This Row],[Temperature (C)]])))/Table2[[#This Row],[b]]</calculatedColumnFormula>
    </tableColumn>
    <tableColumn id="102" xr3:uid="{3A3C75DE-7691-42B6-BC07-7603EE999A94}" name="Heating time" dataDxfId="154">
      <calculatedColumnFormula>IF(Table2[[#This Row],[b]]&lt;&gt;"",Table2[[#This Row],[T-5]], 0)</calculatedColumnFormula>
    </tableColumn>
    <tableColumn id="92" xr3:uid="{D6A2A41A-AD81-488A-A2BD-11325A7ECD46}" name="Total time (min)"/>
    <tableColumn id="90" xr3:uid="{48F4B19B-15EA-4107-9E85-F635DF02F27E}" name="Flow rate kg/h"/>
    <tableColumn id="106" xr3:uid="{A1713F78-EB1A-46F6-939D-16B0C485C284}" name="Solvent"/>
    <tableColumn id="14" xr3:uid="{351DC182-DDB8-48DD-B028-EDF72555B00A}" name="Temperature (C)"/>
    <tableColumn id="19" xr3:uid="{EB9D853E-8203-4A2D-BAC8-1465BB8A24F0}" name="Solids wt%" dataDxfId="153"/>
    <tableColumn id="20" xr3:uid="{402FC0D5-58AB-4D68-BA9F-07305325DE54}" name="Biocrude wt%" dataDxfId="152"/>
    <tableColumn id="21" xr3:uid="{1E8EDC40-F788-46BE-B7DE-C3C35B60DA6D}" name="Aquous wt%" dataDxfId="151"/>
    <tableColumn id="22" xr3:uid="{E77C8683-D4BB-4F89-A4FC-6932CD4F07FD}" name="Gas wt%" dataDxfId="150"/>
    <tableColumn id="104" xr3:uid="{7A7D85AA-4C68-47DF-95DC-B4AFE6666B69}" name="Loss" dataDxfId="149"/>
    <tableColumn id="47" xr3:uid="{E9376F96-12FB-499A-BE3F-00D00E6E07C5}" name="Aq + Gas wt%" dataDxfId="148"/>
    <tableColumn id="99" xr3:uid="{6C3EA4AF-0A8B-415F-BA0B-BF0845C022D5}" name="Gas + Loss" dataDxfId="147">
      <calculatedColumnFormula>IF(OR(Table2[[#This Row],[Gas wt%]]&lt;&gt;"",Table2[[#This Row],[Loss]]&lt;&gt;""),Table2[[#This Row],[Gas wt%]]+Table2[[#This Row],[Loss]],"")</calculatedColumnFormula>
    </tableColumn>
    <tableColumn id="48" xr3:uid="{DDCE3E4A-EE54-481F-8CAD-84E16DFE6C76}" name="AFDW Biocrude" dataDxfId="146"/>
    <tableColumn id="61" xr3:uid="{C20D2AC5-61A0-449D-8E54-46C59B81FEE0}" name="Light Biocrude wt%" dataDxfId="145"/>
    <tableColumn id="62" xr3:uid="{D294C63D-D64E-4472-966C-2762C721C952}" name="Heavy Biocrude wt%" dataDxfId="144"/>
    <tableColumn id="63" xr3:uid="{FF027090-1107-44FF-8539-B31ECAA5CA17}" name="Water-soluble" dataDxfId="143"/>
    <tableColumn id="64" xr3:uid="{9D4674E7-5FF4-417C-B2C8-50A2A4233B51}" name="Volatiles" dataDxfId="142"/>
    <tableColumn id="93" xr3:uid="{5C35AD84-1DC3-403E-BDEC-FD4ED72220D0}" name="Loss %" dataDxfId="141"/>
    <tableColumn id="24" xr3:uid="{E189C78A-5B54-4968-8331-5F0115614B67}" name="C% B" dataDxfId="140"/>
    <tableColumn id="25" xr3:uid="{72324B40-E573-4E43-8C12-ECDE45C90DF2}" name="H% B" dataDxfId="139"/>
    <tableColumn id="26" xr3:uid="{9E2BE0F6-F51D-4D4A-B59B-A488FD8CC3DA}" name="O% B" dataDxfId="138"/>
    <tableColumn id="27" xr3:uid="{6F41EF18-08F1-441C-8BB3-A3E5ED742E22}" name="N% B" dataDxfId="137"/>
    <tableColumn id="28" xr3:uid="{D6107089-70CF-4011-9915-9D085044AEF0}" name="S% B" dataDxfId="136"/>
    <tableColumn id="29" xr3:uid="{8E71A158-E369-4691-83CE-3F9F419EC285}" name="HHV Bio" dataDxfId="135"/>
    <tableColumn id="76" xr3:uid="{151A8513-1F36-4B65-97F8-3E5F4D9A7C2C}" name="Energy Recovery" dataDxfId="134"/>
    <tableColumn id="86" xr3:uid="{AD7AD195-0846-4D5F-917F-5C05A4DF1CD2}" name="Ash Bio" dataDxfId="133"/>
    <tableColumn id="103" xr3:uid="{ABDEF0D5-91F0-4ADD-BCAD-30659F48D6FB}" name="H/C% B" dataDxfId="132">
      <calculatedColumnFormula>Table2[[#This Row],[H% B]]/Table2[[#This Row],[C% B]]*100</calculatedColumnFormula>
    </tableColumn>
    <tableColumn id="71" xr3:uid="{6E22BE6E-3C13-46C1-9639-0875C94E5E03}" name="C% LB" dataDxfId="131"/>
    <tableColumn id="70" xr3:uid="{4FC189D8-2668-465E-A77E-9E7AB8A5A960}" name="H% LB" dataDxfId="130"/>
    <tableColumn id="69" xr3:uid="{F40A12D2-64F5-4CE8-8CC3-7D76B82D797C}" name="O% LB" dataDxfId="129"/>
    <tableColumn id="68" xr3:uid="{1F648FCB-C2B8-477A-AD37-A5E1FAB960D3}" name="N% LB" dataDxfId="128"/>
    <tableColumn id="67" xr3:uid="{6B15F8BE-CB38-4D3D-9ED4-83626F88C1C5}" name="S% LB" dataDxfId="127"/>
    <tableColumn id="66" xr3:uid="{A5333190-5FC5-48FC-B5CA-6B8D15E16F94}" name="HHV LB" dataDxfId="126"/>
    <tableColumn id="94" xr3:uid="{3BF4CCC6-8504-422A-93CA-203F378C941C}" name="ER LB" dataDxfId="125"/>
    <tableColumn id="65" xr3:uid="{4F6D7910-BB69-42E6-A228-DE6B970A15D8}" name="C% HB" dataDxfId="124"/>
    <tableColumn id="72" xr3:uid="{05049148-50EC-4E3F-9F8D-2128CF5D2393}" name="H% HB" dataDxfId="123"/>
    <tableColumn id="73" xr3:uid="{2477042D-ED99-4BAA-89A1-5A2805FB9F40}" name="O% HB" dataDxfId="122"/>
    <tableColumn id="74" xr3:uid="{DA191720-8CEB-4FC0-B3D9-F9DE712B5E2D}" name="N% HB" dataDxfId="121"/>
    <tableColumn id="75" xr3:uid="{93EB7CB7-4D36-4C09-8FD2-8F5A5FE7BB19}" name="S% HB" dataDxfId="120"/>
    <tableColumn id="78" xr3:uid="{C953A267-6626-4047-BDA6-6B6801920155}" name="HHV HB" dataDxfId="119"/>
    <tableColumn id="91" xr3:uid="{FF16F88F-EE60-406B-B6FB-26E13A0024E2}" name="ER HB" dataDxfId="118"/>
    <tableColumn id="30" xr3:uid="{CBFB8FCF-E595-4997-A1A9-89DBEA219ED8}" name="C% S" dataDxfId="117"/>
    <tableColumn id="31" xr3:uid="{B52BBBB4-5FCE-49F2-8E51-22021470D258}" name="H% S" dataDxfId="116"/>
    <tableColumn id="32" xr3:uid="{87F0A79C-E08F-4668-B648-C2163D352541}" name="O% S" dataDxfId="115"/>
    <tableColumn id="33" xr3:uid="{B4AB1DEA-7BCF-4B6F-9F25-B8F49A853E92}" name="N% S" dataDxfId="114"/>
    <tableColumn id="34" xr3:uid="{8E185691-C460-4E03-9C9C-3759077CA732}" name="S% S" dataDxfId="113"/>
    <tableColumn id="35" xr3:uid="{B91118C7-432A-41EF-86FC-914A6143E63F}" name="HHV S" dataDxfId="112"/>
    <tableColumn id="39" xr3:uid="{DE7B3162-0A04-4836-AEB3-AC68EF2412A4}" name="Ash% S" dataDxfId="111"/>
    <tableColumn id="41" xr3:uid="{28B86081-D851-4EA2-B274-25CE9D7A2EB1}" name="C% Aq" dataDxfId="110"/>
    <tableColumn id="42" xr3:uid="{F353947D-DDE1-402A-8578-AA7992FBBC36}" name="H% Aq" dataDxfId="109"/>
    <tableColumn id="43" xr3:uid="{B0395D48-486A-4E11-AF09-5627F1FFC5E4}" name="O% Aq" dataDxfId="108"/>
    <tableColumn id="44" xr3:uid="{8C40F0F8-F1F0-42D7-892F-9410664DDCB5}" name="N% Aq" dataDxfId="107"/>
    <tableColumn id="45" xr3:uid="{E7322687-6F0A-4A6F-ACFD-C2BC8960EE14}" name="S% Aq" dataDxfId="106"/>
    <tableColumn id="49" xr3:uid="{D98F727A-E957-4866-A567-2BEB24D90422}" name="HHV Aq" dataDxfId="105"/>
    <tableColumn id="50" xr3:uid="{0C0702E0-43D3-4D46-9E6D-2AC2D743915F}" name="TOC mg/L" dataDxfId="104"/>
    <tableColumn id="46" xr3:uid="{7E17B91E-DC08-4C47-8E6E-5FC320FD6410}" name="TN mg /L" dataDxfId="103"/>
    <tableColumn id="40" xr3:uid="{513D8474-C321-40CC-BC86-52424A3F1130}" name="TP mg/L" dataDxfId="102"/>
    <tableColumn id="38" xr3:uid="{09A51710-FB49-41DC-AE4E-407A6ACF74FF}" name="C% Gas" dataDxfId="101"/>
    <tableColumn id="51" xr3:uid="{7F6ECE83-B11C-454C-9CB9-17771551B212}" name="H% Gas" dataDxfId="100"/>
    <tableColumn id="52" xr3:uid="{C23594FC-BF92-4C98-B252-E3541F32A725}" name="O% Gas" dataDxfId="99"/>
    <tableColumn id="53" xr3:uid="{A072A9BD-7888-4504-BC0F-4F97889EB240}" name="N% Gas" dataDxfId="98"/>
    <tableColumn id="54" xr3:uid="{ADD44448-E337-4FB1-86B2-F6DC9BEF246C}" name="S% Gas" dataDxfId="97"/>
    <tableColumn id="55" xr3:uid="{E484978F-CD8C-40DC-B6B7-B260A616AC63}" name="HHV Gas" dataDxfId="96"/>
    <tableColumn id="100" xr3:uid="{8FE370CF-5FBC-425C-8EA4-360CA82E5D95}" name="0" dataDxfId="9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586ABBA-330E-4256-99EB-86DF9D419F16}" name="Table26" displayName="Table26" ref="A2:CV796" totalsRowShown="0">
  <autoFilter ref="A2:CV796" xr:uid="{E586ABBA-330E-4256-99EB-86DF9D419F16}"/>
  <tableColumns count="100">
    <tableColumn id="2" xr3:uid="{A5130514-C183-4FC4-823A-593385867A87}" name="Reference"/>
    <tableColumn id="80" xr3:uid="{F9AC26DE-BCCD-4248-BE72-80981B7B41B9}" name="Author"/>
    <tableColumn id="79" xr3:uid="{E0BC85BA-8A94-4518-BE3F-232E786A7D0B}" name="Year"/>
    <tableColumn id="1" xr3:uid="{40E5727F-263D-4244-8366-0967BBE4BFD6}" name="Species"/>
    <tableColumn id="17" xr3:uid="{0E4C3E03-C9FF-454C-8974-8DE4F48E1268}" name="Processed"/>
    <tableColumn id="3" xr3:uid="{D0E140AE-4B8C-4690-A7A1-963E8E889063}" name="Carbs wt%" dataDxfId="94">
      <calculatedColumnFormula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calculatedColumnFormula>
    </tableColumn>
    <tableColumn id="98" xr3:uid="{6BA019A7-4A42-4D82-A104-0467A1DD7729}" name="Other Carbs wt%" dataDxfId="93"/>
    <tableColumn id="99" xr3:uid="{FBF277B8-0FAE-420D-A199-5345FD81A988}" name="Starch wt%" dataDxfId="92"/>
    <tableColumn id="42" xr3:uid="{5888176A-415B-4033-AEEE-B5C9DC37AF4D}" name="Cellulose wt%" dataDxfId="91"/>
    <tableColumn id="43" xr3:uid="{26BE7EC5-D351-40F9-A3CC-0B2DAC3E9BBE}" name="Hemicellulose wt%" dataDxfId="90"/>
    <tableColumn id="4" xr3:uid="{B162D8E1-317C-4B3F-AE0D-95904DDC3717}" name="Protein wt%" dataDxfId="89"/>
    <tableColumn id="5" xr3:uid="{062F6009-90AE-4E8F-B7A5-6E0DD68EE219}" name="Lipids wt%" dataDxfId="88"/>
    <tableColumn id="40" xr3:uid="{E70E08D4-F7F8-4462-A793-F97AD07D87A9}" name="Lignin wt%" dataDxfId="87"/>
    <tableColumn id="6" xr3:uid="{9E70297B-76AD-4E24-BA86-266993993B6C}" name="Ash wt%" dataDxfId="86"/>
    <tableColumn id="97" xr3:uid="{938EECD5-8EE3-4742-8FDB-0E0CBABB368A}" name="Sum wt%" dataDxfId="85">
      <calculatedColumnFormula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calculatedColumnFormula>
    </tableColumn>
    <tableColumn id="70" xr3:uid="{5FD16574-4EF5-4D08-81AD-0DE26D3A4B1B}" name="Holocellulose" dataDxfId="84"/>
    <tableColumn id="44" xr3:uid="{188399BC-2EF7-4D13-B4BA-8DE47661F1A7}" name="Extractives" dataDxfId="83"/>
    <tableColumn id="76" xr3:uid="{82E3556C-2C0F-4773-B7E6-5AA8149EA552}" name="Moisture" dataDxfId="82"/>
    <tableColumn id="36" xr3:uid="{FD475768-8592-42B2-BE17-D22362FFD420}" name="Fixed C" dataDxfId="81"/>
    <tableColumn id="48" xr3:uid="{CFB50CD9-7786-4759-B136-78FACE8BDCF8}" name="Volatile Matter" dataDxfId="80"/>
    <tableColumn id="39" xr3:uid="{643319A0-5336-4F19-9CF3-E6545DABCA47}" name="Neutral detergent fiber" dataDxfId="79"/>
    <tableColumn id="41" xr3:uid="{5D69F2FE-ED48-4E48-89B0-2C3985EFF320}" name="Acid detergent fiber" dataDxfId="78"/>
    <tableColumn id="85" xr3:uid="{B9397E24-6F58-4E1B-9FD9-C1F38DC88250}" name="Solids Biomass" dataDxfId="77"/>
    <tableColumn id="84" xr3:uid="{0E453491-57BE-4701-BC30-4F592D676B15}" name="Biocrude Biomass" dataDxfId="76"/>
    <tableColumn id="37" xr3:uid="{99DA45AF-9C52-44F7-8EFA-CE7FAD20FF9F}" name="Aquous Biomass" dataDxfId="75"/>
    <tableColumn id="89" xr3:uid="{57B026B2-60CE-4B22-A061-22796F119F45}" name="Light biocrude Biomass" dataDxfId="74"/>
    <tableColumn id="90" xr3:uid="{938943FF-9E10-4654-AEFB-5FFB79EE2044}" name="Heavy Biocrude Biomass" dataDxfId="73"/>
    <tableColumn id="7" xr3:uid="{2B5A6C92-7641-4C0D-AA37-4C6EEAD92F1E}" name="C%" dataDxfId="72"/>
    <tableColumn id="8" xr3:uid="{4C245D20-24BF-4C27-9474-164F25157B55}" name="H%" dataDxfId="71"/>
    <tableColumn id="9" xr3:uid="{E67EE284-AFD4-4C81-85DC-FC67EC467410}" name="O%" dataDxfId="70"/>
    <tableColumn id="10" xr3:uid="{523E8790-06B1-4030-9CA4-EC6839A3142C}" name="N%" dataDxfId="69"/>
    <tableColumn id="11" xr3:uid="{3FE436C4-C81C-43DA-95F8-E347364545A4}" name="S%" dataDxfId="68"/>
    <tableColumn id="91" xr3:uid="{2BCF1AC5-E176-4D5D-BD49-F23EFCB970D3}" name="P%" dataDxfId="67"/>
    <tableColumn id="12" xr3:uid="{06AE988A-FB7B-40A5-8954-AF365D0F0B26}" name="HHV Biomass" dataDxfId="66"/>
    <tableColumn id="18" xr3:uid="{EE8C3E38-8BFB-4033-89E9-BE7B7B169038}" name="Reactor" dataDxfId="65"/>
    <tableColumn id="78" xr3:uid="{91EE49E5-F73F-47C3-BE29-7FBA02A3AFF1}" name="Solids (g)" dataDxfId="64"/>
    <tableColumn id="77" xr3:uid="{A4B326F9-1409-4E21-B990-65CF1CF74A02}" name="Water mL" dataDxfId="63"/>
    <tableColumn id="15" xr3:uid="{709C16A1-CE70-423B-86F1-C8A5D37295E3}" name="Solid content (w/w) %" dataDxfId="62"/>
    <tableColumn id="23" xr3:uid="{2D008386-863B-4518-848B-2F3F8B7D5B10}" name="Heating rate C/min" dataDxfId="61"/>
    <tableColumn id="86" xr3:uid="{8EA9F007-C6FF-4152-87CD-310AFF40BC6A}" name="Cooling Rate C/min" dataDxfId="60"/>
    <tableColumn id="82" xr3:uid="{7AC1EDC5-E31C-42AD-8E89-9D565E91DEE1}" name="Time to reach temp min" dataDxfId="59"/>
    <tableColumn id="87" xr3:uid="{541EB21F-62CA-4279-BD76-A80B25BDC54E}" name="b" dataDxfId="58"/>
    <tableColumn id="88" xr3:uid="{33646C5A-3FC9-4F2E-8DBA-D09580B73C03}" name="b_cool" dataDxfId="57"/>
    <tableColumn id="16" xr3:uid="{33E8C41F-52B1-4548-B46E-B5B10728E465}" name="Pressure MPa" dataDxfId="56"/>
    <tableColumn id="13" xr3:uid="{548D33FD-9477-43E2-A0DD-6CA86F247DFF}" name="Holding Time (min)" dataDxfId="55"/>
    <tableColumn id="94" xr3:uid="{7225EE29-2EE0-4728-A356-8EF909FBB154}" name="T-5" dataDxfId="54">
      <calculatedColumnFormula>LN(25/Table26[[#This Row],[Temperature (C)]]/(1-SQRT((Table26[[#This Row],[Temperature (C)]]-5)/Table26[[#This Row],[Temperature (C)]])))/Table26[[#This Row],[b]]</calculatedColumnFormula>
    </tableColumn>
    <tableColumn id="95" xr3:uid="{B5F22C06-D1B8-4F4E-8017-80BF46E34437}" name="Heating time" dataDxfId="53">
      <calculatedColumnFormula>IF(Table26[[#This Row],[b]]&lt;&gt;"",Table26[[#This Row],[T-5]], 0)</calculatedColumnFormula>
    </tableColumn>
    <tableColumn id="83" xr3:uid="{88761FA7-7386-42F7-B6DE-3F2021B144C1}" name="Total time (min)" dataDxfId="52"/>
    <tableColumn id="14" xr3:uid="{9EACE2B4-1517-4B99-8D3A-C9AB7DBEC729}" name="Temperature (C)" dataDxfId="51"/>
    <tableColumn id="45" xr3:uid="{6B7768DC-579F-4BB3-914E-3E06BE896E2E}" name="Flow rate kg/h" dataDxfId="50"/>
    <tableColumn id="100" xr3:uid="{A4F83ED7-FBEE-4AEB-BB09-3EB9D844A607}" name="Solvent" dataDxfId="49"/>
    <tableColumn id="19" xr3:uid="{431AD2F3-F03A-4FFB-A05E-29D95F930829}" name="Solids wt%" dataDxfId="48"/>
    <tableColumn id="20" xr3:uid="{63088BF8-D9C5-4A3F-8C8C-1A8EA5FDE052}" name="Biocrude wt%" dataDxfId="47"/>
    <tableColumn id="21" xr3:uid="{51D292CD-6B12-401B-A393-23E803557F45}" name="Aquous wt%" dataDxfId="46"/>
    <tableColumn id="22" xr3:uid="{A2D9D797-1E8B-4131-B93E-E586F86DEC41}" name="Gas wt%" dataDxfId="45"/>
    <tableColumn id="71" xr3:uid="{A654392D-740F-4D67-BEBD-E1E363DD0B86}" name="Loss" dataDxfId="44"/>
    <tableColumn id="93" xr3:uid="{08C6EDF4-F51D-4285-984E-A064F226F434}" name="Gas + Loss" dataDxfId="43"/>
    <tableColumn id="57" xr3:uid="{AE89B23A-73A1-4561-8992-9F937FECACF0}" name="Light Biocrude wt%" dataDxfId="42"/>
    <tableColumn id="38" xr3:uid="{58533726-487C-4BD8-B6A3-587755EE28B0}" name="Heavy Biocrude wt%" dataDxfId="41"/>
    <tableColumn id="55" xr3:uid="{E038C649-B917-4A57-885B-D613EA004545}" name="Aq + Gas wt%" dataDxfId="40"/>
    <tableColumn id="24" xr3:uid="{37123941-CCEB-48CD-BDDC-D660074187BD}" name="C% B" dataDxfId="39"/>
    <tableColumn id="25" xr3:uid="{20FC9679-F2B2-49C5-8C0F-E64A79CBEAB9}" name="H% B" dataDxfId="38"/>
    <tableColumn id="26" xr3:uid="{E45C9270-C0BE-42FC-A642-4315D6233B51}" name="O% B" dataDxfId="37"/>
    <tableColumn id="27" xr3:uid="{78CC9AFF-CE3E-4EA7-A4C2-B6040E671958}" name="N% B" dataDxfId="36"/>
    <tableColumn id="28" xr3:uid="{39EF7C27-6846-4701-9EE7-5A60E2D9088A}" name="S% B" dataDxfId="35"/>
    <tableColumn id="29" xr3:uid="{A51114ED-8FFE-447E-B9EA-BCB5F0C3001E}" name="HHV Bio" dataDxfId="34"/>
    <tableColumn id="56" xr3:uid="{7DA72333-A40E-4622-9CA0-E33E49BBF1D5}" name="Ash Bio" dataDxfId="33"/>
    <tableColumn id="73" xr3:uid="{8FFEAF8B-8785-454B-A779-4EEF5D574D67}" name="Energy Recovery" dataDxfId="32"/>
    <tableColumn id="96" xr3:uid="{E0C801E4-44D2-4897-BBDF-0B335AB18114}" name="H/C% B" dataDxfId="31"/>
    <tableColumn id="62" xr3:uid="{5C576665-BFCA-4BD5-A5F0-E90E6002A2CA}" name="C% LB" dataDxfId="30"/>
    <tableColumn id="61" xr3:uid="{1D76769A-0DCE-4CD9-8A9F-E642BC505CBE}" name="H% LB" dataDxfId="29"/>
    <tableColumn id="60" xr3:uid="{A4D041D8-F77E-40AF-85AB-9D09D7978134}" name="O% LB" dataDxfId="28"/>
    <tableColumn id="59" xr3:uid="{AFA5140C-ACBA-4C0C-8161-35D121629AE1}" name="N% LB" dataDxfId="27"/>
    <tableColumn id="58" xr3:uid="{A3EFC758-90BD-4F4F-9DE8-ABDE447C213C}" name="S% LB" dataDxfId="26"/>
    <tableColumn id="63" xr3:uid="{6DB7B7E9-66DC-4F26-B0F7-FB92844427CE}" name="HHV LB" dataDxfId="25"/>
    <tableColumn id="69" xr3:uid="{39BE4FAA-0552-4E41-B61B-8C3976657AAC}" name="C% HB" dataDxfId="24"/>
    <tableColumn id="68" xr3:uid="{EF995F4E-D3C6-4E7E-8EA0-2FDAE0CF5337}" name="H% HB" dataDxfId="23"/>
    <tableColumn id="67" xr3:uid="{B925B8BE-7239-4FCA-8BDC-01643A5C086D}" name="O% HB" dataDxfId="22"/>
    <tableColumn id="66" xr3:uid="{8BAC5438-82CA-45F6-8CD8-DC950752A9E9}" name="N% HB" dataDxfId="21"/>
    <tableColumn id="65" xr3:uid="{5C56BFD6-6DA9-4A02-8CBC-BA16791724A1}" name="S% HB" dataDxfId="20"/>
    <tableColumn id="64" xr3:uid="{AD9ABD7D-3163-4D1F-87EF-D1B062A3E2E3}" name="HHV HB" dataDxfId="19"/>
    <tableColumn id="30" xr3:uid="{A9D7F069-6742-47FE-8DBA-764B42DD41C5}" name="C% S" dataDxfId="18"/>
    <tableColumn id="31" xr3:uid="{9BD76038-731F-4B3D-AE77-E97704175735}" name="H% S" dataDxfId="17"/>
    <tableColumn id="32" xr3:uid="{A7824F58-A4C9-4E6A-9E53-0A2AA88CA395}" name="O% S" dataDxfId="16"/>
    <tableColumn id="33" xr3:uid="{72EA3B80-D5F6-4159-A194-30DE88D0184E}" name="N% S" dataDxfId="15"/>
    <tableColumn id="34" xr3:uid="{23FCC4C5-8CFA-4655-B781-C3441270B87B}" name="S% S" dataDxfId="14"/>
    <tableColumn id="35" xr3:uid="{D1DFBE7F-81EA-4D18-8D63-F636387807E3}" name="HHV S" dataDxfId="13"/>
    <tableColumn id="72" xr3:uid="{BD36C6FF-38EF-4687-8176-26B2D10E94EE}" name="Ash S" dataDxfId="12"/>
    <tableColumn id="75" xr3:uid="{74D11050-7995-4421-A1DB-AEF468788B3E}" name="Energy Recovery S" dataDxfId="11"/>
    <tableColumn id="74" xr3:uid="{12B5AEC6-F230-41D6-8BFE-D950A835371D}" name="Mosture S" dataDxfId="10"/>
    <tableColumn id="46" xr3:uid="{D1713C12-3EA3-4B1B-872D-08B30672D169}" name="TOC mg/L" dataDxfId="9"/>
    <tableColumn id="47" xr3:uid="{EDE0526D-1161-4DF0-9249-41913CEF9A6F}" name="TN mg /L" dataDxfId="8"/>
    <tableColumn id="81" xr3:uid="{590D07F1-53CA-4369-B443-FE8A354DD559}" name="TP mg/L" dataDxfId="7"/>
    <tableColumn id="49" xr3:uid="{2ED8EFE5-ACE4-4B0C-A54E-B0E59BEEFED7}" name="C% aq" dataDxfId="6"/>
    <tableColumn id="50" xr3:uid="{7AEDAA6B-A943-4104-BA1B-2F0E582A2BC5}" name="H% aq" dataDxfId="5"/>
    <tableColumn id="51" xr3:uid="{5DAA2856-FA58-48CC-9BD5-B84377F2662B}" name="O% aq" dataDxfId="4"/>
    <tableColumn id="52" xr3:uid="{0B3EA602-CC51-4751-A808-7C826F5C5A5A}" name="N% aq" dataDxfId="3"/>
    <tableColumn id="53" xr3:uid="{FEE852DD-94C8-4026-BB4C-443D8F007D12}" name="S% aq" dataDxfId="2"/>
    <tableColumn id="54" xr3:uid="{B624578A-EF88-42FB-A3D3-399F93F0D0FA}" name="HHV aq" dataDxfId="1"/>
    <tableColumn id="92" xr3:uid="{A625EF12-2F4D-44AE-829B-56064AF02A3D}" name="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ubs.acs.org/doi/10.1021/ef301925d" TargetMode="External"/><Relationship Id="rId13" Type="http://schemas.openxmlformats.org/officeDocument/2006/relationships/hyperlink" Target="https://www.sciencedirect.com/science/article/pii/S0360544220306575" TargetMode="External"/><Relationship Id="rId3" Type="http://schemas.openxmlformats.org/officeDocument/2006/relationships/hyperlink" Target="https://www.sciencedirect.com/science/article/pii/S2211926415300539" TargetMode="External"/><Relationship Id="rId7" Type="http://schemas.openxmlformats.org/officeDocument/2006/relationships/hyperlink" Target="https://www.sciencedirect.com/science/article/pii/S0960852410010096" TargetMode="External"/><Relationship Id="rId12" Type="http://schemas.openxmlformats.org/officeDocument/2006/relationships/hyperlink" Target="https://www.sciencedirect.com/science/article/pii/S0921344921001713" TargetMode="External"/><Relationship Id="rId2" Type="http://schemas.openxmlformats.org/officeDocument/2006/relationships/hyperlink" Target="https://www.sciencedirect.com/science/article/pii/S0960852415016430" TargetMode="External"/><Relationship Id="rId1" Type="http://schemas.openxmlformats.org/officeDocument/2006/relationships/hyperlink" Target="https://www.sciencedirect.com/science/article/pii/S0960852411008686" TargetMode="External"/><Relationship Id="rId6" Type="http://schemas.openxmlformats.org/officeDocument/2006/relationships/hyperlink" Target="https://www.sciencedirect.com/science/article/pii/S0961953412003236" TargetMode="External"/><Relationship Id="rId11" Type="http://schemas.openxmlformats.org/officeDocument/2006/relationships/hyperlink" Target="https://www.sciencedirect.com/science/article/pii/S0960852413019238" TargetMode="External"/><Relationship Id="rId5" Type="http://schemas.openxmlformats.org/officeDocument/2006/relationships/hyperlink" Target="https://www.sciencedirect.com/science/article/pii/S0960852412000144" TargetMode="External"/><Relationship Id="rId15" Type="http://schemas.openxmlformats.org/officeDocument/2006/relationships/table" Target="../tables/table1.xml"/><Relationship Id="rId10" Type="http://schemas.openxmlformats.org/officeDocument/2006/relationships/hyperlink" Target="https://www.sciencedirect.com/science/article/pii/S0961953418303179?via%3Dihub" TargetMode="External"/><Relationship Id="rId4" Type="http://schemas.openxmlformats.org/officeDocument/2006/relationships/hyperlink" Target="https://www.sciencedirect.com/science/article/pii/S0960852413019238" TargetMode="External"/><Relationship Id="rId9" Type="http://schemas.openxmlformats.org/officeDocument/2006/relationships/hyperlink" Target="https://www.sciencedirect.com/science/article/pii/S0306261918316738?via%3Dihub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ciencedirect.com/science/article/pii/S0960852416308719" TargetMode="External"/><Relationship Id="rId13" Type="http://schemas.openxmlformats.org/officeDocument/2006/relationships/hyperlink" Target="https://pubs.acs.org/doi/10.1021/acssuschemeng.6b01857" TargetMode="External"/><Relationship Id="rId18" Type="http://schemas.openxmlformats.org/officeDocument/2006/relationships/hyperlink" Target="https://www.sciencedirect.com/science/article/pii/0961953495000172" TargetMode="External"/><Relationship Id="rId3" Type="http://schemas.openxmlformats.org/officeDocument/2006/relationships/hyperlink" Target="https://www.sciencedirect.com/science/article/pii/S0960852412000144" TargetMode="External"/><Relationship Id="rId7" Type="http://schemas.openxmlformats.org/officeDocument/2006/relationships/hyperlink" Target="https://www.sciencedirect.com/science/article/pii/S0960852410010096" TargetMode="External"/><Relationship Id="rId12" Type="http://schemas.openxmlformats.org/officeDocument/2006/relationships/hyperlink" Target="https://www.sciencedirect.com/science/article/pii/S0306261919319993" TargetMode="External"/><Relationship Id="rId17" Type="http://schemas.openxmlformats.org/officeDocument/2006/relationships/hyperlink" Target="https://www.sciencedirect.com/science/article/pii/S0960852412000144" TargetMode="External"/><Relationship Id="rId2" Type="http://schemas.openxmlformats.org/officeDocument/2006/relationships/hyperlink" Target="https://www.sciencedirect.com/science/article/pii/S0306261915014075" TargetMode="External"/><Relationship Id="rId16" Type="http://schemas.openxmlformats.org/officeDocument/2006/relationships/hyperlink" Target="https://www.sciencedirect.com/science/article/pii/S0306261915014075" TargetMode="External"/><Relationship Id="rId20" Type="http://schemas.openxmlformats.org/officeDocument/2006/relationships/table" Target="../tables/table2.xml"/><Relationship Id="rId1" Type="http://schemas.openxmlformats.org/officeDocument/2006/relationships/hyperlink" Target="https://www.sciencedirect.com/science/article/pii/S0960852411008686" TargetMode="External"/><Relationship Id="rId6" Type="http://schemas.openxmlformats.org/officeDocument/2006/relationships/hyperlink" Target="https://www.sciencedirect.com/science/article/pii/S0960852410010096" TargetMode="External"/><Relationship Id="rId11" Type="http://schemas.openxmlformats.org/officeDocument/2006/relationships/hyperlink" Target="https://www.sciencedirect.com/science/article/pii/S0959652622000178" TargetMode="External"/><Relationship Id="rId5" Type="http://schemas.openxmlformats.org/officeDocument/2006/relationships/hyperlink" Target="https://www.sciencedirect.com/science/article/pii/S096014811930655X" TargetMode="External"/><Relationship Id="rId15" Type="http://schemas.openxmlformats.org/officeDocument/2006/relationships/hyperlink" Target="https://www.sciencedirect.com/science/article/pii/S0960852419304353?via%3Dihub" TargetMode="External"/><Relationship Id="rId10" Type="http://schemas.openxmlformats.org/officeDocument/2006/relationships/hyperlink" Target="https://www.sciencedirect.com/science/article/pii/S0960852416300906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https://www.sciencedirect.com/science/article/pii/S096085241301540X" TargetMode="External"/><Relationship Id="rId9" Type="http://schemas.openxmlformats.org/officeDocument/2006/relationships/hyperlink" Target="https://www.sciencedirect.com/science/article/pii/S0960852421009718" TargetMode="External"/><Relationship Id="rId14" Type="http://schemas.openxmlformats.org/officeDocument/2006/relationships/hyperlink" Target="https://www.sciencedirect.com/science/article/pii/S03605442203065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2DF96-302B-499B-AB3F-3D4F0BA18400}">
  <dimension ref="A1:DL563"/>
  <sheetViews>
    <sheetView topLeftCell="AQ549" zoomScale="145" zoomScaleNormal="145" workbookViewId="0">
      <selection activeCell="AS567" sqref="AS567"/>
    </sheetView>
  </sheetViews>
  <sheetFormatPr defaultRowHeight="15" x14ac:dyDescent="0.25"/>
  <cols>
    <col min="1" max="1" width="15" customWidth="1"/>
    <col min="2" max="2" width="9.42578125" bestFit="1" customWidth="1"/>
    <col min="3" max="3" width="7.140625" bestFit="1" customWidth="1"/>
    <col min="4" max="5" width="17.42578125" customWidth="1"/>
    <col min="6" max="6" width="12.42578125" bestFit="1" customWidth="1"/>
    <col min="7" max="8" width="12.42578125" customWidth="1"/>
    <col min="9" max="9" width="14.140625" bestFit="1" customWidth="1"/>
    <col min="10" max="10" width="12.7109375" bestFit="1" customWidth="1"/>
    <col min="11" max="12" width="12.7109375" customWidth="1"/>
    <col min="18" max="18" width="14.85546875" bestFit="1" customWidth="1"/>
    <col min="19" max="19" width="16" bestFit="1" customWidth="1"/>
    <col min="20" max="20" width="24.42578125" bestFit="1" customWidth="1"/>
    <col min="21" max="21" width="21.42578125" bestFit="1" customWidth="1"/>
    <col min="22" max="22" width="10.85546875" bestFit="1" customWidth="1"/>
    <col min="23" max="23" width="11.42578125" bestFit="1" customWidth="1"/>
    <col min="24" max="24" width="10" bestFit="1" customWidth="1"/>
    <col min="25" max="25" width="16" bestFit="1" customWidth="1"/>
    <col min="26" max="26" width="17.140625" bestFit="1" customWidth="1"/>
    <col min="28" max="28" width="15.5703125" bestFit="1" customWidth="1"/>
    <col min="29" max="29" width="12.42578125" customWidth="1"/>
    <col min="30" max="30" width="11.28515625" bestFit="1" customWidth="1"/>
    <col min="32" max="32" width="12.5703125" bestFit="1" customWidth="1"/>
    <col min="33" max="33" width="10" bestFit="1" customWidth="1"/>
    <col min="34" max="34" width="14.42578125" bestFit="1" customWidth="1"/>
    <col min="35" max="35" width="15.5703125" bestFit="1" customWidth="1"/>
    <col min="36" max="36" width="23.140625" bestFit="1" customWidth="1"/>
    <col min="38" max="38" width="15.5703125" bestFit="1" customWidth="1"/>
    <col min="39" max="39" width="14.42578125" bestFit="1" customWidth="1"/>
    <col min="40" max="40" width="14.42578125" customWidth="1"/>
    <col min="42" max="42" width="12.85546875" bestFit="1" customWidth="1"/>
    <col min="45" max="45" width="15.28515625" customWidth="1"/>
    <col min="46" max="46" width="15.5703125" bestFit="1" customWidth="1"/>
    <col min="53" max="53" width="8.5703125" customWidth="1"/>
    <col min="54" max="55" width="10" customWidth="1"/>
    <col min="56" max="56" width="16.28515625" bestFit="1" customWidth="1"/>
    <col min="57" max="57" width="13.5703125" customWidth="1"/>
    <col min="58" max="58" width="12.5703125" bestFit="1" customWidth="1"/>
    <col min="59" max="59" width="8.85546875" bestFit="1" customWidth="1"/>
    <col min="60" max="60" width="7.7109375" bestFit="1" customWidth="1"/>
    <col min="66" max="67" width="11.42578125" customWidth="1"/>
    <col min="68" max="69" width="14.5703125" customWidth="1"/>
    <col min="71" max="71" width="12.85546875" bestFit="1" customWidth="1"/>
    <col min="72" max="72" width="15.5703125" bestFit="1" customWidth="1"/>
    <col min="73" max="73" width="14.28515625" bestFit="1" customWidth="1"/>
    <col min="74" max="74" width="12" bestFit="1" customWidth="1"/>
    <col min="75" max="75" width="12" customWidth="1"/>
    <col min="76" max="76" width="12" bestFit="1" customWidth="1"/>
    <col min="77" max="77" width="17.28515625" bestFit="1" customWidth="1"/>
    <col min="78" max="78" width="17" bestFit="1" customWidth="1"/>
    <col min="79" max="79" width="17.140625" bestFit="1" customWidth="1"/>
    <col min="80" max="80" width="16.28515625" bestFit="1" customWidth="1"/>
    <col min="81" max="81" width="12" bestFit="1" customWidth="1"/>
    <col min="82" max="82" width="12" customWidth="1"/>
    <col min="83" max="83" width="7.5703125" bestFit="1" customWidth="1"/>
    <col min="84" max="84" width="7.7109375" bestFit="1" customWidth="1"/>
    <col min="85" max="86" width="7.85546875" bestFit="1" customWidth="1"/>
    <col min="87" max="87" width="7.42578125" bestFit="1" customWidth="1"/>
    <col min="88" max="88" width="12" bestFit="1" customWidth="1"/>
    <col min="89" max="89" width="18" bestFit="1" customWidth="1"/>
    <col min="90" max="90" width="18" customWidth="1"/>
    <col min="91" max="91" width="12" bestFit="1" customWidth="1"/>
    <col min="92" max="92" width="8.5703125" bestFit="1" customWidth="1"/>
    <col min="93" max="95" width="12" bestFit="1" customWidth="1"/>
    <col min="96" max="96" width="12" customWidth="1"/>
    <col min="97" max="97" width="9.5703125" bestFit="1" customWidth="1"/>
    <col min="98" max="98" width="12" bestFit="1" customWidth="1"/>
    <col min="99" max="99" width="9" bestFit="1" customWidth="1"/>
    <col min="100" max="101" width="12" bestFit="1" customWidth="1"/>
    <col min="102" max="102" width="8.7109375" bestFit="1" customWidth="1"/>
    <col min="103" max="103" width="12" bestFit="1" customWidth="1"/>
    <col min="104" max="104" width="7.42578125" bestFit="1" customWidth="1"/>
    <col min="105" max="105" width="7.5703125" bestFit="1" customWidth="1"/>
    <col min="106" max="107" width="7.7109375" bestFit="1" customWidth="1"/>
    <col min="108" max="108" width="7.28515625" bestFit="1" customWidth="1"/>
    <col min="109" max="109" width="8.5703125" bestFit="1" customWidth="1"/>
    <col min="110" max="110" width="8.85546875" bestFit="1" customWidth="1"/>
    <col min="111" max="111" width="9" bestFit="1" customWidth="1"/>
    <col min="114" max="114" width="8.7109375" bestFit="1" customWidth="1"/>
    <col min="115" max="115" width="10" bestFit="1" customWidth="1"/>
    <col min="116" max="116" width="11.7109375" bestFit="1" customWidth="1"/>
    <col min="117" max="117" width="11" bestFit="1" customWidth="1"/>
    <col min="118" max="118" width="9.7109375" bestFit="1" customWidth="1"/>
    <col min="119" max="119" width="9.85546875" bestFit="1" customWidth="1"/>
    <col min="120" max="121" width="10" bestFit="1" customWidth="1"/>
    <col min="122" max="122" width="9.5703125" bestFit="1" customWidth="1"/>
    <col min="123" max="123" width="10.85546875" bestFit="1" customWidth="1"/>
  </cols>
  <sheetData>
    <row r="1" spans="1:106" x14ac:dyDescent="0.25">
      <c r="F1" t="s">
        <v>0</v>
      </c>
      <c r="BG1" t="s">
        <v>1</v>
      </c>
      <c r="BR1" t="s">
        <v>104</v>
      </c>
      <c r="BW1" t="s">
        <v>111</v>
      </c>
      <c r="CD1" t="s">
        <v>2</v>
      </c>
      <c r="CK1" t="s">
        <v>55</v>
      </c>
      <c r="CT1" t="s">
        <v>93</v>
      </c>
    </row>
    <row r="2" spans="1:106" x14ac:dyDescent="0.25">
      <c r="A2" t="s">
        <v>4</v>
      </c>
      <c r="B2" t="s">
        <v>145</v>
      </c>
      <c r="C2" t="s">
        <v>153</v>
      </c>
      <c r="D2" t="s">
        <v>3</v>
      </c>
      <c r="E2" t="s">
        <v>498</v>
      </c>
      <c r="F2" t="s">
        <v>5</v>
      </c>
      <c r="G2" t="s">
        <v>73</v>
      </c>
      <c r="H2" t="s">
        <v>74</v>
      </c>
      <c r="I2" t="s">
        <v>6</v>
      </c>
      <c r="J2" t="s">
        <v>7</v>
      </c>
      <c r="K2" t="s">
        <v>39</v>
      </c>
      <c r="L2" t="s">
        <v>499</v>
      </c>
      <c r="M2" t="s">
        <v>8</v>
      </c>
      <c r="N2" t="s">
        <v>125</v>
      </c>
      <c r="O2" t="s">
        <v>75</v>
      </c>
      <c r="P2" t="s">
        <v>135</v>
      </c>
      <c r="Q2" t="s">
        <v>33</v>
      </c>
      <c r="R2" t="s">
        <v>82</v>
      </c>
      <c r="S2" t="s">
        <v>37</v>
      </c>
      <c r="T2" t="s">
        <v>40</v>
      </c>
      <c r="U2" t="s">
        <v>195</v>
      </c>
      <c r="V2" t="s">
        <v>196</v>
      </c>
      <c r="W2" t="s">
        <v>197</v>
      </c>
      <c r="X2" t="s">
        <v>198</v>
      </c>
      <c r="Y2" t="s">
        <v>199</v>
      </c>
      <c r="Z2" t="s">
        <v>9</v>
      </c>
      <c r="AA2" t="s">
        <v>10</v>
      </c>
      <c r="AB2" t="s">
        <v>11</v>
      </c>
      <c r="AC2" t="s">
        <v>12</v>
      </c>
      <c r="AD2" t="s">
        <v>13</v>
      </c>
      <c r="AE2" t="s">
        <v>193</v>
      </c>
      <c r="AF2" t="s">
        <v>41</v>
      </c>
      <c r="AG2" t="s">
        <v>16</v>
      </c>
      <c r="AH2" t="s">
        <v>143</v>
      </c>
      <c r="AI2" t="s">
        <v>144</v>
      </c>
      <c r="AJ2" t="s">
        <v>14</v>
      </c>
      <c r="AK2" t="s">
        <v>15</v>
      </c>
      <c r="AL2" t="s">
        <v>459</v>
      </c>
      <c r="AM2" t="s">
        <v>490</v>
      </c>
      <c r="AN2" t="s">
        <v>194</v>
      </c>
      <c r="AO2" t="s">
        <v>257</v>
      </c>
      <c r="AP2" t="s">
        <v>494</v>
      </c>
      <c r="AQ2" t="s">
        <v>495</v>
      </c>
      <c r="AR2" t="s">
        <v>259</v>
      </c>
      <c r="AS2" t="s">
        <v>76</v>
      </c>
      <c r="AT2" t="s">
        <v>505</v>
      </c>
      <c r="AU2" t="s">
        <v>501</v>
      </c>
      <c r="AV2" t="s">
        <v>17</v>
      </c>
      <c r="AW2" s="13" t="s">
        <v>18</v>
      </c>
      <c r="AX2" t="s">
        <v>19</v>
      </c>
      <c r="AY2" t="s">
        <v>20</v>
      </c>
      <c r="AZ2" t="s">
        <v>126</v>
      </c>
      <c r="BA2" t="s">
        <v>89</v>
      </c>
      <c r="BB2" t="s">
        <v>493</v>
      </c>
      <c r="BC2" t="s">
        <v>67</v>
      </c>
      <c r="BD2" t="s">
        <v>102</v>
      </c>
      <c r="BE2" t="s">
        <v>103</v>
      </c>
      <c r="BF2" t="s">
        <v>120</v>
      </c>
      <c r="BG2" t="s">
        <v>121</v>
      </c>
      <c r="BH2" t="s">
        <v>273</v>
      </c>
      <c r="BI2" t="s">
        <v>21</v>
      </c>
      <c r="BJ2" t="s">
        <v>22</v>
      </c>
      <c r="BK2" t="s">
        <v>23</v>
      </c>
      <c r="BL2" t="s">
        <v>24</v>
      </c>
      <c r="BM2" t="s">
        <v>25</v>
      </c>
      <c r="BN2" t="s">
        <v>26</v>
      </c>
      <c r="BO2" t="s">
        <v>122</v>
      </c>
      <c r="BP2" t="s">
        <v>90</v>
      </c>
      <c r="BQ2" t="s">
        <v>496</v>
      </c>
      <c r="BR2" t="s">
        <v>105</v>
      </c>
      <c r="BS2" t="s">
        <v>106</v>
      </c>
      <c r="BT2" t="s">
        <v>107</v>
      </c>
      <c r="BU2" t="s">
        <v>108</v>
      </c>
      <c r="BV2" t="s">
        <v>109</v>
      </c>
      <c r="BW2" t="s">
        <v>110</v>
      </c>
      <c r="BX2" t="s">
        <v>481</v>
      </c>
      <c r="BY2" t="s">
        <v>112</v>
      </c>
      <c r="BZ2" t="s">
        <v>113</v>
      </c>
      <c r="CA2" t="s">
        <v>114</v>
      </c>
      <c r="CB2" t="s">
        <v>115</v>
      </c>
      <c r="CC2" t="s">
        <v>116</v>
      </c>
      <c r="CD2" t="s">
        <v>117</v>
      </c>
      <c r="CE2" t="s">
        <v>480</v>
      </c>
      <c r="CF2" t="s">
        <v>27</v>
      </c>
      <c r="CG2" t="s">
        <v>28</v>
      </c>
      <c r="CH2" t="s">
        <v>29</v>
      </c>
      <c r="CI2" t="s">
        <v>30</v>
      </c>
      <c r="CJ2" t="s">
        <v>31</v>
      </c>
      <c r="CK2" t="s">
        <v>32</v>
      </c>
      <c r="CL2" t="s">
        <v>303</v>
      </c>
      <c r="CM2" t="s">
        <v>49</v>
      </c>
      <c r="CN2" t="s">
        <v>50</v>
      </c>
      <c r="CO2" t="s">
        <v>51</v>
      </c>
      <c r="CP2" t="s">
        <v>52</v>
      </c>
      <c r="CQ2" t="s">
        <v>53</v>
      </c>
      <c r="CR2" t="s">
        <v>54</v>
      </c>
      <c r="CS2" t="s">
        <v>68</v>
      </c>
      <c r="CT2" t="s">
        <v>69</v>
      </c>
      <c r="CU2" t="s">
        <v>240</v>
      </c>
      <c r="CV2" t="s">
        <v>94</v>
      </c>
      <c r="CW2" t="s">
        <v>95</v>
      </c>
      <c r="CX2" t="s">
        <v>96</v>
      </c>
      <c r="CY2" t="s">
        <v>97</v>
      </c>
      <c r="CZ2" t="s">
        <v>98</v>
      </c>
      <c r="DA2" t="s">
        <v>99</v>
      </c>
      <c r="DB2" t="s">
        <v>492</v>
      </c>
    </row>
    <row r="3" spans="1:106" x14ac:dyDescent="0.25">
      <c r="A3" t="s">
        <v>34</v>
      </c>
      <c r="B3" t="s">
        <v>146</v>
      </c>
      <c r="C3">
        <v>2011</v>
      </c>
      <c r="D3" s="16" t="s">
        <v>35</v>
      </c>
      <c r="E3">
        <v>0</v>
      </c>
      <c r="F3" s="15">
        <v>21</v>
      </c>
      <c r="G3" s="15"/>
      <c r="H3" s="15"/>
      <c r="I3" s="15">
        <v>64</v>
      </c>
      <c r="J3" s="15">
        <v>5</v>
      </c>
      <c r="K3" s="15"/>
      <c r="L3" s="15">
        <f>IF(Table2[[#This Row],[Lipids wt%]]+Table2[[#This Row],[Protein wt%]]+Table2[[#This Row],[Carbs wt%]] =0,"",SUM(Table2[[#This Row],[Lipids wt%]],Table2[[#This Row],[Protein wt%]],Table2[[#This Row],[Carbs wt%]]))</f>
        <v>90</v>
      </c>
      <c r="M3" s="15">
        <v>10</v>
      </c>
      <c r="S3">
        <v>2</v>
      </c>
      <c r="T3">
        <v>1</v>
      </c>
      <c r="Z3" s="15"/>
      <c r="AA3" s="15"/>
      <c r="AB3" s="15"/>
      <c r="AC3" s="15"/>
      <c r="AD3" s="15"/>
      <c r="AE3" s="15"/>
      <c r="AF3" s="15"/>
      <c r="AG3" s="15">
        <v>2</v>
      </c>
      <c r="AH3" s="15"/>
      <c r="AI3" s="15"/>
      <c r="AJ3" s="15">
        <v>20</v>
      </c>
      <c r="AK3" t="s">
        <v>45</v>
      </c>
      <c r="AM3" s="13"/>
      <c r="AO3" s="15">
        <v>30</v>
      </c>
      <c r="AP3" s="15" t="e">
        <f>LN(25/Table2[[#This Row],[Temperature (C)]]/(1-SQRT((Table2[[#This Row],[Temperature (C)]]-5)/Table2[[#This Row],[Temperature (C)]])))/Table2[[#This Row],[b]]</f>
        <v>#DIV/0!</v>
      </c>
      <c r="AQ3" s="15">
        <f>IF(Table2[[#This Row],[b]]&lt;&gt;"",Table2[[#This Row],[T-5]], 0)</f>
        <v>0</v>
      </c>
      <c r="AR3">
        <f>Table2[[#This Row],[Heating time]]+Table2[[#This Row],[Holding Time (min)]]</f>
        <v>30</v>
      </c>
      <c r="AT3" t="s">
        <v>503</v>
      </c>
      <c r="AU3">
        <v>300</v>
      </c>
      <c r="AV3" s="15"/>
      <c r="AW3" s="15">
        <v>32.6</v>
      </c>
      <c r="AX3" s="15"/>
      <c r="AY3" s="15"/>
      <c r="AZ3" s="15"/>
      <c r="BA3" s="15"/>
      <c r="BB3" s="15" t="str">
        <f>IF(OR(Table2[[#This Row],[Gas wt%]]&lt;&gt;"",Table2[[#This Row],[Loss]]&lt;&gt;""),Table2[[#This Row],[Gas wt%]]+Table2[[#This Row],[Loss]],"")</f>
        <v/>
      </c>
      <c r="BC3" s="15"/>
      <c r="BD3" s="15"/>
      <c r="BE3" s="15"/>
      <c r="BF3" s="15"/>
      <c r="BG3" s="15"/>
      <c r="BH3" s="15"/>
      <c r="BI3" s="15">
        <v>68.900000000000006</v>
      </c>
      <c r="BJ3" s="15">
        <v>8.9</v>
      </c>
      <c r="BK3" s="15">
        <v>6.5</v>
      </c>
      <c r="BL3" s="15">
        <v>14.9</v>
      </c>
      <c r="BM3" s="15">
        <v>0.86</v>
      </c>
      <c r="BN3" s="15">
        <v>33.200000000000003</v>
      </c>
      <c r="BO3" s="15"/>
      <c r="BP3" s="15"/>
      <c r="BQ3" s="15">
        <f>Table2[[#This Row],[H% B]]/Table2[[#This Row],[C% B]]*100</f>
        <v>12.917271407837443</v>
      </c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>
        <v>0</v>
      </c>
    </row>
    <row r="4" spans="1:106" x14ac:dyDescent="0.25">
      <c r="A4" t="s">
        <v>42</v>
      </c>
      <c r="B4" t="s">
        <v>147</v>
      </c>
      <c r="C4">
        <v>2016</v>
      </c>
      <c r="D4" s="16" t="s">
        <v>43</v>
      </c>
      <c r="E4">
        <v>0</v>
      </c>
      <c r="F4" s="15">
        <v>14.57</v>
      </c>
      <c r="G4" s="15"/>
      <c r="H4" s="15"/>
      <c r="I4" s="15">
        <v>62.2</v>
      </c>
      <c r="J4" s="15">
        <v>11.21</v>
      </c>
      <c r="K4" s="15"/>
      <c r="L4" s="15">
        <f>IF(Table2[[#This Row],[Lipids wt%]]+Table2[[#This Row],[Protein wt%]]+Table2[[#This Row],[Carbs wt%]] =0,"",SUM(Table2[[#This Row],[Lipids wt%]],Table2[[#This Row],[Protein wt%]],Table2[[#This Row],[Carbs wt%]]))</f>
        <v>87.97999999999999</v>
      </c>
      <c r="M4" s="15">
        <f>100-Table2[[#This Row],[Lipids wt%]]-Table2[[#This Row],[Protein wt%]]-Table2[[#This Row],[Carbs wt%]]</f>
        <v>12.019999999999989</v>
      </c>
      <c r="Z4" s="15"/>
      <c r="AA4" s="15"/>
      <c r="AB4" s="15"/>
      <c r="AC4" s="15"/>
      <c r="AD4" s="15"/>
      <c r="AE4" s="15"/>
      <c r="AF4" s="15"/>
      <c r="AG4" s="15">
        <v>1</v>
      </c>
      <c r="AH4" s="15"/>
      <c r="AI4" s="15"/>
      <c r="AJ4" s="15">
        <v>20</v>
      </c>
      <c r="AK4">
        <v>18</v>
      </c>
      <c r="AM4" s="13"/>
      <c r="AO4" s="15">
        <v>30</v>
      </c>
      <c r="AP4" s="15" t="e">
        <f>LN(25/Table2[[#This Row],[Temperature (C)]]/(1-SQRT((Table2[[#This Row],[Temperature (C)]]-5)/Table2[[#This Row],[Temperature (C)]])))/Table2[[#This Row],[b]]</f>
        <v>#DIV/0!</v>
      </c>
      <c r="AQ4" s="15">
        <f>IF(Table2[[#This Row],[b]]&lt;&gt;"",Table2[[#This Row],[T-5]], 0)</f>
        <v>0</v>
      </c>
      <c r="AR4">
        <f>Table2[[#This Row],[Heating time]]+Table2[[#This Row],[Holding Time (min)]]</f>
        <v>30</v>
      </c>
      <c r="AT4" t="s">
        <v>503</v>
      </c>
      <c r="AU4">
        <v>350</v>
      </c>
      <c r="AV4" s="15"/>
      <c r="AW4" s="15">
        <v>35</v>
      </c>
      <c r="AX4" s="15"/>
      <c r="AY4" s="15"/>
      <c r="AZ4" s="15"/>
      <c r="BA4" s="15"/>
      <c r="BB4" s="15" t="str">
        <f>IF(OR(Table2[[#This Row],[Gas wt%]]&lt;&gt;"",Table2[[#This Row],[Loss]]&lt;&gt;""),Table2[[#This Row],[Gas wt%]]+Table2[[#This Row],[Loss]],"")</f>
        <v/>
      </c>
      <c r="BC4" s="15"/>
      <c r="BD4" s="15"/>
      <c r="BE4" s="15"/>
      <c r="BF4" s="15"/>
      <c r="BG4" s="15"/>
      <c r="BH4" s="15"/>
      <c r="BI4" s="15">
        <v>74.5</v>
      </c>
      <c r="BJ4" s="15">
        <v>10.199999999999999</v>
      </c>
      <c r="BK4" s="15">
        <v>7.5</v>
      </c>
      <c r="BL4" s="15">
        <v>6.8</v>
      </c>
      <c r="BM4" s="15">
        <v>1</v>
      </c>
      <c r="BN4" s="15">
        <v>38.65</v>
      </c>
      <c r="BO4" s="15"/>
      <c r="BP4" s="15"/>
      <c r="BQ4" s="15">
        <f>Table2[[#This Row],[H% B]]/Table2[[#This Row],[C% B]]*100</f>
        <v>13.691275167785232</v>
      </c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>
        <v>0</v>
      </c>
    </row>
    <row r="5" spans="1:106" x14ac:dyDescent="0.25">
      <c r="A5" t="s">
        <v>42</v>
      </c>
      <c r="B5" t="s">
        <v>147</v>
      </c>
      <c r="C5">
        <v>2016</v>
      </c>
      <c r="D5" s="16" t="s">
        <v>44</v>
      </c>
      <c r="E5">
        <v>0</v>
      </c>
      <c r="F5" s="15">
        <v>22</v>
      </c>
      <c r="G5" s="15"/>
      <c r="H5" s="15"/>
      <c r="I5" s="15">
        <v>58</v>
      </c>
      <c r="J5" s="15">
        <v>14</v>
      </c>
      <c r="K5" s="15"/>
      <c r="L5" s="15">
        <f>IF(Table2[[#This Row],[Lipids wt%]]+Table2[[#This Row],[Protein wt%]]+Table2[[#This Row],[Carbs wt%]] =0,"",SUM(Table2[[#This Row],[Lipids wt%]],Table2[[#This Row],[Protein wt%]],Table2[[#This Row],[Carbs wt%]]))</f>
        <v>94</v>
      </c>
      <c r="M5" s="15">
        <f>100-Table2[[#This Row],[Lipids wt%]]-Table2[[#This Row],[Protein wt%]]-Table2[[#This Row],[Carbs wt%]]</f>
        <v>6</v>
      </c>
      <c r="Z5" s="15"/>
      <c r="AA5" s="15"/>
      <c r="AB5" s="15"/>
      <c r="AC5" s="15"/>
      <c r="AD5" s="15"/>
      <c r="AE5" s="15"/>
      <c r="AF5" s="15"/>
      <c r="AG5" s="15">
        <v>1</v>
      </c>
      <c r="AH5" s="15"/>
      <c r="AI5" s="15"/>
      <c r="AJ5" s="15">
        <v>20</v>
      </c>
      <c r="AK5">
        <v>18</v>
      </c>
      <c r="AM5" s="13"/>
      <c r="AO5" s="15">
        <v>30</v>
      </c>
      <c r="AP5" s="15" t="e">
        <f>LN(25/Table2[[#This Row],[Temperature (C)]]/(1-SQRT((Table2[[#This Row],[Temperature (C)]]-5)/Table2[[#This Row],[Temperature (C)]])))/Table2[[#This Row],[b]]</f>
        <v>#DIV/0!</v>
      </c>
      <c r="AQ5" s="15">
        <f>IF(Table2[[#This Row],[b]]&lt;&gt;"",Table2[[#This Row],[T-5]], 0)</f>
        <v>0</v>
      </c>
      <c r="AR5">
        <f>Table2[[#This Row],[Heating time]]+Table2[[#This Row],[Holding Time (min)]]</f>
        <v>30</v>
      </c>
      <c r="AT5" t="s">
        <v>503</v>
      </c>
      <c r="AU5">
        <v>350</v>
      </c>
      <c r="AV5" s="15"/>
      <c r="AW5" s="15">
        <v>40</v>
      </c>
      <c r="AX5" s="15"/>
      <c r="AY5" s="15"/>
      <c r="AZ5" s="15"/>
      <c r="BA5" s="15"/>
      <c r="BB5" s="15" t="str">
        <f>IF(OR(Table2[[#This Row],[Gas wt%]]&lt;&gt;"",Table2[[#This Row],[Loss]]&lt;&gt;""),Table2[[#This Row],[Gas wt%]]+Table2[[#This Row],[Loss]],"")</f>
        <v/>
      </c>
      <c r="BC5" s="15"/>
      <c r="BD5" s="15"/>
      <c r="BE5" s="15"/>
      <c r="BF5" s="15"/>
      <c r="BG5" s="15"/>
      <c r="BH5" s="15"/>
      <c r="BI5" s="15">
        <v>71.400000000000006</v>
      </c>
      <c r="BJ5" s="15">
        <v>9.5</v>
      </c>
      <c r="BK5" s="15">
        <v>12.3</v>
      </c>
      <c r="BL5" s="15">
        <v>2.7</v>
      </c>
      <c r="BM5" s="15">
        <v>1.1000000000000001</v>
      </c>
      <c r="BN5" s="15">
        <v>35.58</v>
      </c>
      <c r="BO5" s="15"/>
      <c r="BP5" s="15"/>
      <c r="BQ5" s="15">
        <f>Table2[[#This Row],[H% B]]/Table2[[#This Row],[C% B]]*100</f>
        <v>13.305322128851541</v>
      </c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>
        <v>0</v>
      </c>
    </row>
    <row r="6" spans="1:106" x14ac:dyDescent="0.25">
      <c r="A6" t="s">
        <v>46</v>
      </c>
      <c r="B6" t="s">
        <v>148</v>
      </c>
      <c r="C6">
        <v>2015</v>
      </c>
      <c r="D6" s="16" t="s">
        <v>47</v>
      </c>
      <c r="E6">
        <v>0</v>
      </c>
      <c r="F6" s="15">
        <v>42</v>
      </c>
      <c r="G6" s="15"/>
      <c r="H6" s="15"/>
      <c r="I6" s="15">
        <v>32.200000000000003</v>
      </c>
      <c r="J6" s="15">
        <v>13.4</v>
      </c>
      <c r="K6" s="15"/>
      <c r="L6" s="15">
        <f>IF(Table2[[#This Row],[Lipids wt%]]+Table2[[#This Row],[Protein wt%]]+Table2[[#This Row],[Carbs wt%]] =0,"",SUM(Table2[[#This Row],[Lipids wt%]],Table2[[#This Row],[Protein wt%]],Table2[[#This Row],[Carbs wt%]]))</f>
        <v>87.6</v>
      </c>
      <c r="M6" s="15">
        <v>12.4</v>
      </c>
      <c r="Z6" s="15">
        <v>47.6</v>
      </c>
      <c r="AA6" s="15">
        <v>7.5</v>
      </c>
      <c r="AB6" s="15">
        <v>25.1</v>
      </c>
      <c r="AC6" s="15">
        <v>6.9</v>
      </c>
      <c r="AD6" s="15">
        <v>0.5</v>
      </c>
      <c r="AE6" s="15"/>
      <c r="AF6" s="15">
        <v>23.1</v>
      </c>
      <c r="AG6" s="15">
        <v>0.01</v>
      </c>
      <c r="AH6" s="15">
        <v>1</v>
      </c>
      <c r="AI6" s="15">
        <v>10</v>
      </c>
      <c r="AJ6" s="15">
        <f>Table2[[#This Row],[Solids (g)]]/(Table2[[#This Row],[Solids (g)]]+Table2[[#This Row],[Water mL]])*100</f>
        <v>9.0909090909090917</v>
      </c>
      <c r="AL6">
        <v>18</v>
      </c>
      <c r="AM6" s="13">
        <v>0.15058099999999999</v>
      </c>
      <c r="AO6" s="15">
        <v>15</v>
      </c>
      <c r="AP6" s="15">
        <f>LN(25/Table2[[#This Row],[Temperature (C)]]/(1-SQRT((Table2[[#This Row],[Temperature (C)]]-5)/Table2[[#This Row],[Temperature (C)]])))/Table2[[#This Row],[b]]</f>
        <v>15.267493099957827</v>
      </c>
      <c r="AQ6" s="15">
        <f>IF(Table2[[#This Row],[b]]&lt;&gt;"",Table2[[#This Row],[T-5]], 0)</f>
        <v>15.267493099957827</v>
      </c>
      <c r="AR6">
        <f>Table2[[#This Row],[Temperature (C)]]/Table2[[#This Row],[Heating rate C/min]]+Table2[[#This Row],[Holding Time (min)]]</f>
        <v>34.444444444444443</v>
      </c>
      <c r="AT6" t="s">
        <v>503</v>
      </c>
      <c r="AU6">
        <v>350</v>
      </c>
      <c r="AV6" s="15">
        <v>1</v>
      </c>
      <c r="AW6" s="15">
        <v>60</v>
      </c>
      <c r="AX6" s="15">
        <v>26.8</v>
      </c>
      <c r="AY6" s="15">
        <v>6.1</v>
      </c>
      <c r="AZ6" s="15"/>
      <c r="BA6" s="15"/>
      <c r="BB6" s="15">
        <f>IF(OR(Table2[[#This Row],[Gas wt%]]&lt;&gt;"",Table2[[#This Row],[Loss]]&lt;&gt;""),Table2[[#This Row],[Gas wt%]]+Table2[[#This Row],[Loss]],"")</f>
        <v>6.1</v>
      </c>
      <c r="BC6" s="15"/>
      <c r="BD6" s="15"/>
      <c r="BE6" s="15"/>
      <c r="BF6" s="15"/>
      <c r="BG6" s="15"/>
      <c r="BH6" s="15">
        <f>100-SUM(Table2[[#This Row],[Solids wt%]:[Gas wt%]])</f>
        <v>6.1000000000000085</v>
      </c>
      <c r="BI6" s="15">
        <v>74.8</v>
      </c>
      <c r="BJ6" s="15">
        <v>9.9</v>
      </c>
      <c r="BK6" s="15">
        <v>9.5</v>
      </c>
      <c r="BL6" s="15">
        <v>5.3</v>
      </c>
      <c r="BM6" s="15">
        <v>0.5</v>
      </c>
      <c r="BN6" s="15">
        <v>37.1</v>
      </c>
      <c r="BO6" s="15"/>
      <c r="BP6" s="15"/>
      <c r="BQ6" s="15">
        <f>Table2[[#This Row],[H% B]]/Table2[[#This Row],[C% B]]*100</f>
        <v>13.23529411764706</v>
      </c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>
        <v>0</v>
      </c>
    </row>
    <row r="7" spans="1:106" x14ac:dyDescent="0.25">
      <c r="A7" t="s">
        <v>46</v>
      </c>
      <c r="B7" t="s">
        <v>148</v>
      </c>
      <c r="C7">
        <v>2015</v>
      </c>
      <c r="D7" s="16" t="s">
        <v>48</v>
      </c>
      <c r="E7">
        <v>0</v>
      </c>
      <c r="F7" s="15">
        <v>36.9</v>
      </c>
      <c r="G7" s="15"/>
      <c r="H7" s="15"/>
      <c r="I7" s="15">
        <v>30</v>
      </c>
      <c r="J7" s="15">
        <v>13.1</v>
      </c>
      <c r="K7" s="15"/>
      <c r="L7" s="15">
        <f>IF(Table2[[#This Row],[Lipids wt%]]+Table2[[#This Row],[Protein wt%]]+Table2[[#This Row],[Carbs wt%]] =0,"",SUM(Table2[[#This Row],[Lipids wt%]],Table2[[#This Row],[Protein wt%]],Table2[[#This Row],[Carbs wt%]]))</f>
        <v>80</v>
      </c>
      <c r="M7" s="15">
        <v>20</v>
      </c>
      <c r="Z7" s="15">
        <v>38</v>
      </c>
      <c r="AA7" s="15">
        <v>5.6</v>
      </c>
      <c r="AB7" s="15">
        <v>30.4</v>
      </c>
      <c r="AC7" s="15">
        <v>5.5</v>
      </c>
      <c r="AD7" s="15">
        <v>0.5</v>
      </c>
      <c r="AE7" s="15"/>
      <c r="AF7" s="15">
        <v>16.8</v>
      </c>
      <c r="AG7" s="15">
        <v>0.01</v>
      </c>
      <c r="AH7" s="15">
        <v>1</v>
      </c>
      <c r="AI7" s="15">
        <v>10</v>
      </c>
      <c r="AJ7" s="15">
        <f>Table2[[#This Row],[Solids (g)]]/(Table2[[#This Row],[Solids (g)]]+Table2[[#This Row],[Water mL]])*100</f>
        <v>9.0909090909090917</v>
      </c>
      <c r="AL7">
        <v>18</v>
      </c>
      <c r="AM7" s="13">
        <v>0.15058099999999999</v>
      </c>
      <c r="AO7" s="15">
        <v>15</v>
      </c>
      <c r="AP7" s="15">
        <f>LN(25/Table2[[#This Row],[Temperature (C)]]/(1-SQRT((Table2[[#This Row],[Temperature (C)]]-5)/Table2[[#This Row],[Temperature (C)]])))/Table2[[#This Row],[b]]</f>
        <v>15.267493099957827</v>
      </c>
      <c r="AQ7" s="15">
        <f>IF(Table2[[#This Row],[b]]&lt;&gt;"",Table2[[#This Row],[T-5]], 0)</f>
        <v>15.267493099957827</v>
      </c>
      <c r="AR7">
        <f>Table2[[#This Row],[Temperature (C)]]/Table2[[#This Row],[Heating rate C/min]]+Table2[[#This Row],[Holding Time (min)]]</f>
        <v>34.444444444444443</v>
      </c>
      <c r="AT7" t="s">
        <v>503</v>
      </c>
      <c r="AU7">
        <v>350</v>
      </c>
      <c r="AV7" s="15">
        <v>3.8</v>
      </c>
      <c r="AW7" s="15">
        <v>57.7</v>
      </c>
      <c r="AX7" s="15">
        <v>18.7</v>
      </c>
      <c r="AY7" s="15">
        <v>11.9</v>
      </c>
      <c r="AZ7" s="15"/>
      <c r="BA7" s="15"/>
      <c r="BB7" s="15">
        <f>IF(OR(Table2[[#This Row],[Gas wt%]]&lt;&gt;"",Table2[[#This Row],[Loss]]&lt;&gt;""),Table2[[#This Row],[Gas wt%]]+Table2[[#This Row],[Loss]],"")</f>
        <v>11.9</v>
      </c>
      <c r="BC7" s="15"/>
      <c r="BD7" s="15"/>
      <c r="BE7" s="15"/>
      <c r="BF7" s="15"/>
      <c r="BG7" s="15"/>
      <c r="BH7" s="15">
        <f>100-SUM(Table2[[#This Row],[Solids wt%]:[Gas wt%]])</f>
        <v>7.8999999999999915</v>
      </c>
      <c r="BI7" s="15">
        <v>71.599999999999994</v>
      </c>
      <c r="BJ7" s="15">
        <v>8.8000000000000007</v>
      </c>
      <c r="BK7" s="15">
        <v>12.4</v>
      </c>
      <c r="BL7" s="15">
        <v>6.5</v>
      </c>
      <c r="BM7" s="15">
        <v>0.8</v>
      </c>
      <c r="BN7" s="15">
        <v>34.4</v>
      </c>
      <c r="BO7" s="15"/>
      <c r="BP7" s="15"/>
      <c r="BQ7" s="15">
        <f>Table2[[#This Row],[H% B]]/Table2[[#This Row],[C% B]]*100</f>
        <v>12.290502793296092</v>
      </c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>
        <v>0</v>
      </c>
    </row>
    <row r="8" spans="1:106" x14ac:dyDescent="0.25">
      <c r="A8" t="s">
        <v>56</v>
      </c>
      <c r="B8" t="s">
        <v>149</v>
      </c>
      <c r="C8">
        <v>2014</v>
      </c>
      <c r="D8" s="16" t="s">
        <v>130</v>
      </c>
      <c r="E8">
        <v>0</v>
      </c>
      <c r="F8" s="15">
        <v>28.739316239316238</v>
      </c>
      <c r="G8" s="15"/>
      <c r="H8" s="15"/>
      <c r="I8" s="15">
        <v>23.076923076923077</v>
      </c>
      <c r="J8" s="15">
        <v>11.111111111111112</v>
      </c>
      <c r="K8" s="15"/>
      <c r="L8" s="15">
        <f>IF(Table2[[#This Row],[Lipids wt%]]+Table2[[#This Row],[Protein wt%]]+Table2[[#This Row],[Carbs wt%]] =0,"",SUM(Table2[[#This Row],[Lipids wt%]],Table2[[#This Row],[Protein wt%]],Table2[[#This Row],[Carbs wt%]]))</f>
        <v>62.927350427350426</v>
      </c>
      <c r="M8" s="15">
        <v>34.700000000000003</v>
      </c>
      <c r="P8">
        <v>6.4000000000000057</v>
      </c>
      <c r="Z8" s="15">
        <v>29.2</v>
      </c>
      <c r="AA8" s="15">
        <v>4.8</v>
      </c>
      <c r="AB8" s="15">
        <v>27.4</v>
      </c>
      <c r="AC8" s="15">
        <v>4.5</v>
      </c>
      <c r="AD8" s="15">
        <v>2.8</v>
      </c>
      <c r="AE8" s="15"/>
      <c r="AF8" s="15">
        <v>12.4</v>
      </c>
      <c r="AG8" s="15">
        <v>0.02</v>
      </c>
      <c r="AH8" s="15"/>
      <c r="AI8" s="15"/>
      <c r="AJ8" s="15">
        <v>6.6</v>
      </c>
      <c r="AK8" t="s">
        <v>81</v>
      </c>
      <c r="AL8" t="s">
        <v>61</v>
      </c>
      <c r="AM8" s="13">
        <v>1.153</v>
      </c>
      <c r="AO8" s="15">
        <v>8</v>
      </c>
      <c r="AP8" s="15">
        <f>LN(25/Table2[[#This Row],[Temperature (C)]]/(1-SQRT((Table2[[#This Row],[Temperature (C)]]-5)/Table2[[#This Row],[Temperature (C)]])))/Table2[[#This Row],[b]]</f>
        <v>1.9937886507336215</v>
      </c>
      <c r="AQ8" s="15">
        <f>IF(Table2[[#This Row],[b]]&lt;&gt;"",Table2[[#This Row],[T-5]], 0)</f>
        <v>1.9937886507336215</v>
      </c>
      <c r="AR8">
        <v>10</v>
      </c>
      <c r="AT8" t="s">
        <v>503</v>
      </c>
      <c r="AU8">
        <f t="shared" ref="AU8:AU13" si="0">(330+341)/2</f>
        <v>335.5</v>
      </c>
      <c r="AV8" s="15">
        <v>8.1</v>
      </c>
      <c r="AW8" s="15">
        <v>19.7</v>
      </c>
      <c r="AX8" s="15"/>
      <c r="AY8" s="15"/>
      <c r="AZ8" s="15"/>
      <c r="BA8" s="15">
        <v>72.2</v>
      </c>
      <c r="BB8" s="15" t="str">
        <f>IF(OR(Table2[[#This Row],[Gas wt%]]&lt;&gt;"",Table2[[#This Row],[Loss]]&lt;&gt;""),Table2[[#This Row],[Gas wt%]]+Table2[[#This Row],[Loss]],"")</f>
        <v/>
      </c>
      <c r="BC8" s="15">
        <v>33.4</v>
      </c>
      <c r="BD8" s="15"/>
      <c r="BE8" s="15"/>
      <c r="BF8" s="15"/>
      <c r="BG8" s="15"/>
      <c r="BH8" s="15"/>
      <c r="BI8" s="15">
        <v>73</v>
      </c>
      <c r="BJ8" s="15">
        <v>7.5</v>
      </c>
      <c r="BK8" s="15">
        <v>10.6</v>
      </c>
      <c r="BL8" s="15">
        <v>6.5</v>
      </c>
      <c r="BM8" s="15">
        <v>0.7</v>
      </c>
      <c r="BN8" s="15">
        <v>33.200000000000003</v>
      </c>
      <c r="BO8" s="15"/>
      <c r="BP8" s="15"/>
      <c r="BQ8" s="15">
        <f>Table2[[#This Row],[H% B]]/Table2[[#This Row],[C% B]]*100</f>
        <v>10.273972602739725</v>
      </c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>
        <v>19.899999999999999</v>
      </c>
      <c r="CG8" s="15">
        <v>3</v>
      </c>
      <c r="CH8" s="15">
        <v>22.1</v>
      </c>
      <c r="CI8" s="15">
        <v>1.3</v>
      </c>
      <c r="CJ8" s="15">
        <v>9.3000000000000007</v>
      </c>
      <c r="CK8" s="15">
        <v>9.1</v>
      </c>
      <c r="CL8" s="15"/>
      <c r="CM8" s="15"/>
      <c r="CN8" s="15"/>
      <c r="CO8" s="15"/>
      <c r="CP8" s="15"/>
      <c r="CQ8" s="15"/>
      <c r="CR8" s="15"/>
      <c r="CS8" s="15">
        <v>7064</v>
      </c>
      <c r="CT8" s="15">
        <v>2093</v>
      </c>
      <c r="CU8" s="15"/>
      <c r="CV8" s="15"/>
      <c r="CW8" s="15"/>
      <c r="CX8" s="15"/>
      <c r="CY8" s="15"/>
      <c r="CZ8" s="15"/>
      <c r="DA8" s="15"/>
      <c r="DB8" s="15">
        <v>0</v>
      </c>
    </row>
    <row r="9" spans="1:106" x14ac:dyDescent="0.25">
      <c r="A9" t="s">
        <v>56</v>
      </c>
      <c r="B9" t="s">
        <v>149</v>
      </c>
      <c r="C9">
        <v>2014</v>
      </c>
      <c r="D9" s="16" t="s">
        <v>57</v>
      </c>
      <c r="E9">
        <v>0</v>
      </c>
      <c r="F9" s="15">
        <v>47.306034482758612</v>
      </c>
      <c r="G9" s="15"/>
      <c r="H9" s="15"/>
      <c r="I9" s="15">
        <v>17.56465517241379</v>
      </c>
      <c r="J9" s="15">
        <v>2.047413793103448</v>
      </c>
      <c r="K9" s="15"/>
      <c r="L9" s="15">
        <f>IF(Table2[[#This Row],[Lipids wt%]]+Table2[[#This Row],[Protein wt%]]+Table2[[#This Row],[Carbs wt%]] =0,"",SUM(Table2[[#This Row],[Lipids wt%]],Table2[[#This Row],[Protein wt%]],Table2[[#This Row],[Carbs wt%]]))</f>
        <v>66.918103448275843</v>
      </c>
      <c r="M9" s="15">
        <v>30.7</v>
      </c>
      <c r="P9">
        <v>7.1999999999999886</v>
      </c>
      <c r="Z9" s="15">
        <v>27.7</v>
      </c>
      <c r="AA9" s="15">
        <v>5.5</v>
      </c>
      <c r="AB9" s="15">
        <v>41.1</v>
      </c>
      <c r="AC9" s="15">
        <v>3.5</v>
      </c>
      <c r="AD9" s="15">
        <v>5</v>
      </c>
      <c r="AE9" s="15"/>
      <c r="AF9" s="15">
        <v>11.7</v>
      </c>
      <c r="AG9" s="15">
        <v>0.02</v>
      </c>
      <c r="AH9" s="15"/>
      <c r="AI9" s="15"/>
      <c r="AJ9" s="15">
        <v>6.6</v>
      </c>
      <c r="AK9" t="s">
        <v>81</v>
      </c>
      <c r="AL9" t="s">
        <v>62</v>
      </c>
      <c r="AM9" s="13">
        <v>1.153</v>
      </c>
      <c r="AO9" s="15">
        <v>8</v>
      </c>
      <c r="AP9" s="15">
        <f>LN(25/Table2[[#This Row],[Temperature (C)]]/(1-SQRT((Table2[[#This Row],[Temperature (C)]]-5)/Table2[[#This Row],[Temperature (C)]])))/Table2[[#This Row],[b]]</f>
        <v>1.9937886507336215</v>
      </c>
      <c r="AQ9" s="15">
        <f>IF(Table2[[#This Row],[b]]&lt;&gt;"",Table2[[#This Row],[T-5]], 0)</f>
        <v>1.9937886507336215</v>
      </c>
      <c r="AR9">
        <v>10</v>
      </c>
      <c r="AT9" t="s">
        <v>503</v>
      </c>
      <c r="AU9">
        <f t="shared" si="0"/>
        <v>335.5</v>
      </c>
      <c r="AV9" s="15">
        <v>12.1</v>
      </c>
      <c r="AW9" s="15">
        <v>18.7</v>
      </c>
      <c r="AX9" s="15"/>
      <c r="AY9" s="15"/>
      <c r="AZ9" s="15"/>
      <c r="BA9" s="15">
        <v>69.2</v>
      </c>
      <c r="BB9" s="15" t="str">
        <f>IF(OR(Table2[[#This Row],[Gas wt%]]&lt;&gt;"",Table2[[#This Row],[Loss]]&lt;&gt;""),Table2[[#This Row],[Gas wt%]]+Table2[[#This Row],[Loss]],"")</f>
        <v/>
      </c>
      <c r="BC9" s="15">
        <v>30.1</v>
      </c>
      <c r="BD9" s="15"/>
      <c r="BE9" s="15"/>
      <c r="BF9" s="15"/>
      <c r="BG9" s="15"/>
      <c r="BH9" s="15"/>
      <c r="BI9" s="15">
        <v>72.599999999999994</v>
      </c>
      <c r="BJ9" s="15">
        <v>8.1999999999999993</v>
      </c>
      <c r="BK9" s="15">
        <v>11</v>
      </c>
      <c r="BL9" s="15">
        <v>5.8</v>
      </c>
      <c r="BM9" s="15">
        <v>0.4</v>
      </c>
      <c r="BN9" s="15">
        <v>33.799999999999997</v>
      </c>
      <c r="BO9" s="15"/>
      <c r="BP9" s="15"/>
      <c r="BQ9" s="15">
        <f>Table2[[#This Row],[H% B]]/Table2[[#This Row],[C% B]]*100</f>
        <v>11.294765840220386</v>
      </c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>
        <v>9.6</v>
      </c>
      <c r="CG9" s="15">
        <v>2.2999999999999998</v>
      </c>
      <c r="CH9" s="15">
        <v>35.1</v>
      </c>
      <c r="CI9" s="15">
        <v>0.9</v>
      </c>
      <c r="CJ9" s="15">
        <v>16.3</v>
      </c>
      <c r="CK9" s="15">
        <v>4</v>
      </c>
      <c r="CL9" s="15"/>
      <c r="CM9" s="15"/>
      <c r="CN9" s="15"/>
      <c r="CO9" s="15"/>
      <c r="CP9" s="15"/>
      <c r="CQ9" s="15"/>
      <c r="CR9" s="15"/>
      <c r="CS9" s="15">
        <v>4629</v>
      </c>
      <c r="CT9" s="15">
        <v>1629</v>
      </c>
      <c r="CU9" s="15"/>
      <c r="CV9" s="15"/>
      <c r="CW9" s="15"/>
      <c r="CX9" s="15"/>
      <c r="CY9" s="15"/>
      <c r="CZ9" s="15"/>
      <c r="DA9" s="15"/>
      <c r="DB9" s="15">
        <v>0</v>
      </c>
    </row>
    <row r="10" spans="1:106" x14ac:dyDescent="0.25">
      <c r="A10" t="s">
        <v>56</v>
      </c>
      <c r="B10" t="s">
        <v>149</v>
      </c>
      <c r="C10">
        <v>2014</v>
      </c>
      <c r="D10" s="16" t="s">
        <v>58</v>
      </c>
      <c r="E10">
        <v>0</v>
      </c>
      <c r="F10" s="15">
        <v>46.259220231822965</v>
      </c>
      <c r="G10" s="15"/>
      <c r="H10" s="15"/>
      <c r="I10" s="15">
        <v>11.696522655426765</v>
      </c>
      <c r="J10" s="15">
        <v>3.4773445732349839</v>
      </c>
      <c r="K10" s="15"/>
      <c r="L10" s="15">
        <f>IF(Table2[[#This Row],[Lipids wt%]]+Table2[[#This Row],[Protein wt%]]+Table2[[#This Row],[Carbs wt%]] =0,"",SUM(Table2[[#This Row],[Lipids wt%]],Table2[[#This Row],[Protein wt%]],Table2[[#This Row],[Carbs wt%]]))</f>
        <v>61.433087460484714</v>
      </c>
      <c r="M10" s="15">
        <v>36.6</v>
      </c>
      <c r="P10">
        <v>5.0999999999999943</v>
      </c>
      <c r="Z10" s="15">
        <v>26.5</v>
      </c>
      <c r="AA10" s="15">
        <v>4.0999999999999996</v>
      </c>
      <c r="AB10" s="15">
        <v>31</v>
      </c>
      <c r="AC10" s="15">
        <v>3.4</v>
      </c>
      <c r="AD10" s="15">
        <v>2.1</v>
      </c>
      <c r="AE10" s="15"/>
      <c r="AF10" s="15">
        <v>10.3</v>
      </c>
      <c r="AG10" s="15">
        <v>0.02</v>
      </c>
      <c r="AH10" s="15"/>
      <c r="AI10" s="15"/>
      <c r="AJ10" s="15">
        <v>6.6</v>
      </c>
      <c r="AK10" t="s">
        <v>81</v>
      </c>
      <c r="AL10" t="s">
        <v>63</v>
      </c>
      <c r="AM10" s="13">
        <v>1.153</v>
      </c>
      <c r="AO10" s="15">
        <v>8</v>
      </c>
      <c r="AP10" s="15">
        <f>LN(25/Table2[[#This Row],[Temperature (C)]]/(1-SQRT((Table2[[#This Row],[Temperature (C)]]-5)/Table2[[#This Row],[Temperature (C)]])))/Table2[[#This Row],[b]]</f>
        <v>1.9937886507336215</v>
      </c>
      <c r="AQ10" s="15">
        <f>IF(Table2[[#This Row],[b]]&lt;&gt;"",Table2[[#This Row],[T-5]], 0)</f>
        <v>1.9937886507336215</v>
      </c>
      <c r="AR10">
        <v>10</v>
      </c>
      <c r="AT10" t="s">
        <v>503</v>
      </c>
      <c r="AU10">
        <f t="shared" si="0"/>
        <v>335.5</v>
      </c>
      <c r="AV10" s="15">
        <v>8.4</v>
      </c>
      <c r="AW10" s="15">
        <v>9.6999999999999993</v>
      </c>
      <c r="AX10" s="15"/>
      <c r="AY10" s="15"/>
      <c r="AZ10" s="15"/>
      <c r="BA10" s="15">
        <v>82</v>
      </c>
      <c r="BB10" s="15" t="str">
        <f>IF(OR(Table2[[#This Row],[Gas wt%]]&lt;&gt;"",Table2[[#This Row],[Loss]]&lt;&gt;""),Table2[[#This Row],[Gas wt%]]+Table2[[#This Row],[Loss]],"")</f>
        <v/>
      </c>
      <c r="BC10" s="15">
        <v>16.600000000000001</v>
      </c>
      <c r="BD10" s="15"/>
      <c r="BE10" s="15"/>
      <c r="BF10" s="15"/>
      <c r="BG10" s="15"/>
      <c r="BH10" s="15"/>
      <c r="BI10" s="15">
        <v>70.900000000000006</v>
      </c>
      <c r="BJ10" s="15">
        <v>7.7</v>
      </c>
      <c r="BK10" s="15">
        <v>11.4</v>
      </c>
      <c r="BL10" s="15">
        <v>6.8</v>
      </c>
      <c r="BM10" s="15">
        <v>0.1</v>
      </c>
      <c r="BN10" s="15">
        <v>32.5</v>
      </c>
      <c r="BO10" s="15"/>
      <c r="BP10" s="15"/>
      <c r="BQ10" s="15">
        <f>Table2[[#This Row],[H% B]]/Table2[[#This Row],[C% B]]*100</f>
        <v>10.860366713681241</v>
      </c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>
        <v>48.1</v>
      </c>
      <c r="CG10" s="15">
        <v>5.3</v>
      </c>
      <c r="CH10" s="15">
        <v>25.5</v>
      </c>
      <c r="CI10" s="15">
        <v>2.7</v>
      </c>
      <c r="CJ10" s="15">
        <v>0.8</v>
      </c>
      <c r="CK10" s="15">
        <v>20.5</v>
      </c>
      <c r="CL10" s="15"/>
      <c r="CM10" s="15"/>
      <c r="CN10" s="15"/>
      <c r="CO10" s="15"/>
      <c r="CP10" s="15"/>
      <c r="CQ10" s="15"/>
      <c r="CR10" s="15"/>
      <c r="CS10" s="15">
        <v>3357</v>
      </c>
      <c r="CT10" s="15">
        <v>993</v>
      </c>
      <c r="CU10" s="15"/>
      <c r="CV10" s="15"/>
      <c r="CW10" s="15"/>
      <c r="CX10" s="15"/>
      <c r="CY10" s="15"/>
      <c r="CZ10" s="15"/>
      <c r="DA10" s="15"/>
      <c r="DB10" s="15">
        <v>0</v>
      </c>
    </row>
    <row r="11" spans="1:106" x14ac:dyDescent="0.25">
      <c r="A11" s="1" t="s">
        <v>56</v>
      </c>
      <c r="B11" t="s">
        <v>149</v>
      </c>
      <c r="C11">
        <v>2014</v>
      </c>
      <c r="D11" s="16" t="s">
        <v>129</v>
      </c>
      <c r="E11">
        <v>0</v>
      </c>
      <c r="F11" s="15">
        <v>48.660235798499457</v>
      </c>
      <c r="G11" s="15"/>
      <c r="H11" s="15"/>
      <c r="I11" s="15">
        <v>19.078242229367628</v>
      </c>
      <c r="J11" s="15">
        <v>4.9303322615219711</v>
      </c>
      <c r="K11" s="15"/>
      <c r="L11" s="15">
        <f>IF(Table2[[#This Row],[Lipids wt%]]+Table2[[#This Row],[Protein wt%]]+Table2[[#This Row],[Carbs wt%]] =0,"",SUM(Table2[[#This Row],[Lipids wt%]],Table2[[#This Row],[Protein wt%]],Table2[[#This Row],[Carbs wt%]]))</f>
        <v>72.668810289389057</v>
      </c>
      <c r="M11" s="15">
        <v>25.5</v>
      </c>
      <c r="P11">
        <v>6.6999999999999886</v>
      </c>
      <c r="Z11" s="15">
        <v>30.9</v>
      </c>
      <c r="AA11" s="15">
        <v>5</v>
      </c>
      <c r="AB11" s="15">
        <v>34.9</v>
      </c>
      <c r="AC11" s="15">
        <v>5.2</v>
      </c>
      <c r="AD11" s="15">
        <v>2.2999999999999998</v>
      </c>
      <c r="AE11" s="15"/>
      <c r="AF11" s="15">
        <v>12.7</v>
      </c>
      <c r="AG11" s="15">
        <v>0.02</v>
      </c>
      <c r="AH11" s="15"/>
      <c r="AI11" s="15"/>
      <c r="AJ11" s="15">
        <v>6.6</v>
      </c>
      <c r="AK11" t="s">
        <v>81</v>
      </c>
      <c r="AL11" t="s">
        <v>64</v>
      </c>
      <c r="AM11" s="13">
        <v>1.153</v>
      </c>
      <c r="AO11" s="15">
        <v>8</v>
      </c>
      <c r="AP11" s="15">
        <f>LN(25/Table2[[#This Row],[Temperature (C)]]/(1-SQRT((Table2[[#This Row],[Temperature (C)]]-5)/Table2[[#This Row],[Temperature (C)]])))/Table2[[#This Row],[b]]</f>
        <v>1.9937886507336215</v>
      </c>
      <c r="AQ11" s="15">
        <f>IF(Table2[[#This Row],[b]]&lt;&gt;"",Table2[[#This Row],[T-5]], 0)</f>
        <v>1.9937886507336215</v>
      </c>
      <c r="AR11">
        <v>10</v>
      </c>
      <c r="AT11" t="s">
        <v>503</v>
      </c>
      <c r="AU11">
        <f t="shared" si="0"/>
        <v>335.5</v>
      </c>
      <c r="AV11" s="15">
        <v>10.4</v>
      </c>
      <c r="AW11" s="15">
        <v>13.5</v>
      </c>
      <c r="AX11" s="15"/>
      <c r="AY11" s="15"/>
      <c r="AZ11" s="15"/>
      <c r="BA11" s="15">
        <v>76.099999999999994</v>
      </c>
      <c r="BB11" s="15" t="str">
        <f>IF(OR(Table2[[#This Row],[Gas wt%]]&lt;&gt;"",Table2[[#This Row],[Loss]]&lt;&gt;""),Table2[[#This Row],[Gas wt%]]+Table2[[#This Row],[Loss]],"")</f>
        <v/>
      </c>
      <c r="BC11" s="15">
        <v>20</v>
      </c>
      <c r="BD11" s="15"/>
      <c r="BE11" s="15"/>
      <c r="BF11" s="15"/>
      <c r="BG11" s="15"/>
      <c r="BH11" s="15"/>
      <c r="BI11" s="15">
        <v>71.599999999999994</v>
      </c>
      <c r="BJ11" s="15">
        <v>8</v>
      </c>
      <c r="BK11" s="15">
        <v>10.6</v>
      </c>
      <c r="BL11" s="15">
        <v>7.1</v>
      </c>
      <c r="BM11" s="15">
        <v>0.9</v>
      </c>
      <c r="BN11" s="15">
        <v>33.299999999999997</v>
      </c>
      <c r="BO11" s="15"/>
      <c r="BP11" s="15"/>
      <c r="BQ11" s="15">
        <f>Table2[[#This Row],[H% B]]/Table2[[#This Row],[C% B]]*100</f>
        <v>11.173184357541901</v>
      </c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>
        <v>44.2</v>
      </c>
      <c r="CG11" s="15">
        <v>4.0999999999999996</v>
      </c>
      <c r="CH11" s="15">
        <v>20.100000000000001</v>
      </c>
      <c r="CI11" s="15">
        <v>3.7</v>
      </c>
      <c r="CJ11" s="15">
        <v>1.7</v>
      </c>
      <c r="CK11" s="15">
        <v>18.3</v>
      </c>
      <c r="CL11" s="15"/>
      <c r="CM11" s="15"/>
      <c r="CN11" s="15"/>
      <c r="CO11" s="15"/>
      <c r="CP11" s="15"/>
      <c r="CQ11" s="15"/>
      <c r="CR11" s="15"/>
      <c r="CS11" s="15">
        <v>4950</v>
      </c>
      <c r="CT11" s="15">
        <v>2371</v>
      </c>
      <c r="CU11" s="15"/>
      <c r="CV11" s="15"/>
      <c r="CW11" s="15"/>
      <c r="CX11" s="15"/>
      <c r="CY11" s="15"/>
      <c r="CZ11" s="15"/>
      <c r="DA11" s="15"/>
      <c r="DB11" s="15">
        <v>0</v>
      </c>
    </row>
    <row r="12" spans="1:106" x14ac:dyDescent="0.25">
      <c r="A12" t="s">
        <v>56</v>
      </c>
      <c r="B12" t="s">
        <v>149</v>
      </c>
      <c r="C12">
        <v>2014</v>
      </c>
      <c r="D12" s="16" t="s">
        <v>60</v>
      </c>
      <c r="E12">
        <v>0</v>
      </c>
      <c r="F12" s="15">
        <v>43.850267379679138</v>
      </c>
      <c r="G12" s="15"/>
      <c r="H12" s="15"/>
      <c r="I12" s="15">
        <v>24.064171122994651</v>
      </c>
      <c r="J12" s="15">
        <v>10.053475935828876</v>
      </c>
      <c r="K12" s="15"/>
      <c r="L12" s="15">
        <f>IF(Table2[[#This Row],[Lipids wt%]]+Table2[[#This Row],[Protein wt%]]+Table2[[#This Row],[Carbs wt%]] =0,"",SUM(Table2[[#This Row],[Lipids wt%]],Table2[[#This Row],[Protein wt%]],Table2[[#This Row],[Carbs wt%]]))</f>
        <v>77.967914438502675</v>
      </c>
      <c r="M12" s="15">
        <v>20.6</v>
      </c>
      <c r="P12">
        <v>6.5</v>
      </c>
      <c r="Z12" s="15">
        <v>36.6</v>
      </c>
      <c r="AA12" s="15">
        <v>5.7</v>
      </c>
      <c r="AB12" s="15">
        <v>30.9</v>
      </c>
      <c r="AC12" s="15">
        <v>4.8</v>
      </c>
      <c r="AD12" s="15">
        <v>0.4</v>
      </c>
      <c r="AE12" s="15"/>
      <c r="AF12" s="15">
        <v>15.8</v>
      </c>
      <c r="AG12" s="15">
        <v>0.02</v>
      </c>
      <c r="AH12" s="15"/>
      <c r="AI12" s="15"/>
      <c r="AJ12" s="15">
        <v>6.6</v>
      </c>
      <c r="AK12" t="s">
        <v>81</v>
      </c>
      <c r="AL12" t="s">
        <v>65</v>
      </c>
      <c r="AM12" s="13">
        <v>1.153</v>
      </c>
      <c r="AO12" s="15">
        <v>8</v>
      </c>
      <c r="AP12" s="15">
        <f>LN(25/Table2[[#This Row],[Temperature (C)]]/(1-SQRT((Table2[[#This Row],[Temperature (C)]]-5)/Table2[[#This Row],[Temperature (C)]])))/Table2[[#This Row],[b]]</f>
        <v>1.9937886507336215</v>
      </c>
      <c r="AQ12" s="15">
        <f>IF(Table2[[#This Row],[b]]&lt;&gt;"",Table2[[#This Row],[T-5]], 0)</f>
        <v>1.9937886507336215</v>
      </c>
      <c r="AR12">
        <v>10</v>
      </c>
      <c r="AT12" t="s">
        <v>503</v>
      </c>
      <c r="AU12">
        <f t="shared" si="0"/>
        <v>335.5</v>
      </c>
      <c r="AV12" s="15">
        <v>10.199999999999999</v>
      </c>
      <c r="AW12" s="15">
        <v>26.2</v>
      </c>
      <c r="AX12" s="15"/>
      <c r="AY12" s="15"/>
      <c r="AZ12" s="15"/>
      <c r="BA12" s="15">
        <v>63.6</v>
      </c>
      <c r="BB12" s="15" t="str">
        <f>IF(OR(Table2[[#This Row],[Gas wt%]]&lt;&gt;"",Table2[[#This Row],[Loss]]&lt;&gt;""),Table2[[#This Row],[Gas wt%]]+Table2[[#This Row],[Loss]],"")</f>
        <v/>
      </c>
      <c r="BC12" s="15">
        <v>35.6</v>
      </c>
      <c r="BD12" s="15"/>
      <c r="BE12" s="15"/>
      <c r="BF12" s="15"/>
      <c r="BG12" s="15"/>
      <c r="BH12" s="15"/>
      <c r="BI12" s="15">
        <v>72.099999999999994</v>
      </c>
      <c r="BJ12" s="15">
        <v>8.1</v>
      </c>
      <c r="BK12" s="15">
        <v>10.4</v>
      </c>
      <c r="BL12" s="15">
        <v>6.3</v>
      </c>
      <c r="BM12" s="15">
        <v>0.8</v>
      </c>
      <c r="BN12" s="15">
        <v>33.700000000000003</v>
      </c>
      <c r="BO12" s="15"/>
      <c r="BP12" s="15"/>
      <c r="BQ12" s="15">
        <f>Table2[[#This Row],[H% B]]/Table2[[#This Row],[C% B]]*100</f>
        <v>11.234396671289876</v>
      </c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>
        <v>12.2</v>
      </c>
      <c r="CG12" s="15">
        <v>1.4</v>
      </c>
      <c r="CH12" s="15">
        <v>6.6</v>
      </c>
      <c r="CI12" s="15">
        <v>1.2</v>
      </c>
      <c r="CJ12" s="15"/>
      <c r="CK12" s="15">
        <v>5.2</v>
      </c>
      <c r="CL12" s="15"/>
      <c r="CM12" s="15"/>
      <c r="CN12" s="15"/>
      <c r="CO12" s="15"/>
      <c r="CP12" s="15"/>
      <c r="CQ12" s="15"/>
      <c r="CR12" s="15"/>
      <c r="CS12" s="15">
        <v>10643</v>
      </c>
      <c r="CT12" s="15">
        <v>1857</v>
      </c>
      <c r="CU12" s="15"/>
      <c r="CV12" s="15"/>
      <c r="CW12" s="15"/>
      <c r="CX12" s="15"/>
      <c r="CY12" s="15"/>
      <c r="CZ12" s="15"/>
      <c r="DA12" s="15"/>
      <c r="DB12" s="15">
        <v>0</v>
      </c>
    </row>
    <row r="13" spans="1:106" x14ac:dyDescent="0.25">
      <c r="A13" t="s">
        <v>56</v>
      </c>
      <c r="B13" t="s">
        <v>149</v>
      </c>
      <c r="C13">
        <v>2014</v>
      </c>
      <c r="D13" s="16" t="s">
        <v>59</v>
      </c>
      <c r="E13">
        <v>0</v>
      </c>
      <c r="F13" s="15">
        <v>47.083775185577935</v>
      </c>
      <c r="G13" s="15"/>
      <c r="H13" s="15"/>
      <c r="I13" s="15">
        <v>28.419936373276773</v>
      </c>
      <c r="J13" s="15">
        <v>5.6203605514316006</v>
      </c>
      <c r="K13" s="15"/>
      <c r="L13" s="15">
        <f>IF(Table2[[#This Row],[Lipids wt%]]+Table2[[#This Row],[Protein wt%]]+Table2[[#This Row],[Carbs wt%]] =0,"",SUM(Table2[[#This Row],[Lipids wt%]],Table2[[#This Row],[Protein wt%]],Table2[[#This Row],[Carbs wt%]]))</f>
        <v>81.124072110286306</v>
      </c>
      <c r="M13" s="15">
        <v>17.8</v>
      </c>
      <c r="P13">
        <v>5.6999999999999886</v>
      </c>
      <c r="Z13" s="15">
        <v>37.5</v>
      </c>
      <c r="AA13" s="15">
        <v>5.9</v>
      </c>
      <c r="AB13" s="15">
        <v>32.9</v>
      </c>
      <c r="AC13" s="15">
        <v>6.5</v>
      </c>
      <c r="AD13" s="15">
        <v>1.8</v>
      </c>
      <c r="AE13" s="15"/>
      <c r="AF13" s="15">
        <v>16.399999999999999</v>
      </c>
      <c r="AG13" s="15">
        <v>0.02</v>
      </c>
      <c r="AH13" s="15"/>
      <c r="AI13" s="15"/>
      <c r="AJ13" s="15">
        <v>6.6</v>
      </c>
      <c r="AK13" t="s">
        <v>81</v>
      </c>
      <c r="AL13" t="s">
        <v>66</v>
      </c>
      <c r="AM13" s="13">
        <v>1.153</v>
      </c>
      <c r="AO13" s="15">
        <v>8</v>
      </c>
      <c r="AP13" s="15">
        <f>LN(25/Table2[[#This Row],[Temperature (C)]]/(1-SQRT((Table2[[#This Row],[Temperature (C)]]-5)/Table2[[#This Row],[Temperature (C)]])))/Table2[[#This Row],[b]]</f>
        <v>1.9937886507336215</v>
      </c>
      <c r="AQ13" s="15">
        <f>IF(Table2[[#This Row],[b]]&lt;&gt;"",Table2[[#This Row],[T-5]], 0)</f>
        <v>1.9937886507336215</v>
      </c>
      <c r="AR13">
        <v>10</v>
      </c>
      <c r="AT13" t="s">
        <v>503</v>
      </c>
      <c r="AU13">
        <f t="shared" si="0"/>
        <v>335.5</v>
      </c>
      <c r="AV13" s="15">
        <v>18.7</v>
      </c>
      <c r="AW13" s="15">
        <v>19.7</v>
      </c>
      <c r="AX13" s="15"/>
      <c r="AY13" s="15"/>
      <c r="AZ13" s="15"/>
      <c r="BA13" s="15">
        <v>61.7</v>
      </c>
      <c r="BB13" s="15" t="str">
        <f>IF(OR(Table2[[#This Row],[Gas wt%]]&lt;&gt;"",Table2[[#This Row],[Loss]]&lt;&gt;""),Table2[[#This Row],[Gas wt%]]+Table2[[#This Row],[Loss]],"")</f>
        <v/>
      </c>
      <c r="BC13" s="15">
        <v>25.7</v>
      </c>
      <c r="BD13" s="15"/>
      <c r="BE13" s="15"/>
      <c r="BF13" s="15"/>
      <c r="BG13" s="15"/>
      <c r="BH13" s="15"/>
      <c r="BI13" s="15">
        <v>71.099999999999994</v>
      </c>
      <c r="BJ13" s="15">
        <v>8.3000000000000007</v>
      </c>
      <c r="BK13" s="15">
        <v>10.6</v>
      </c>
      <c r="BL13" s="15">
        <v>6.8</v>
      </c>
      <c r="BM13" s="15">
        <v>1.3</v>
      </c>
      <c r="BN13" s="15">
        <v>33.5</v>
      </c>
      <c r="BO13" s="15"/>
      <c r="BP13" s="15"/>
      <c r="BQ13" s="15">
        <f>Table2[[#This Row],[H% B]]/Table2[[#This Row],[C% B]]*100</f>
        <v>11.673699015471168</v>
      </c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>
        <v>36.1</v>
      </c>
      <c r="CG13" s="15">
        <v>3.9</v>
      </c>
      <c r="CH13" s="15">
        <v>20.6</v>
      </c>
      <c r="CI13" s="15">
        <v>2.6</v>
      </c>
      <c r="CJ13" s="15">
        <v>0.3</v>
      </c>
      <c r="CK13" s="15">
        <v>15.1</v>
      </c>
      <c r="CL13" s="15"/>
      <c r="CM13" s="15"/>
      <c r="CN13" s="15"/>
      <c r="CO13" s="15"/>
      <c r="CP13" s="15"/>
      <c r="CQ13" s="15"/>
      <c r="CR13" s="15"/>
      <c r="CS13" s="15">
        <v>5319</v>
      </c>
      <c r="CT13" s="15">
        <v>2373</v>
      </c>
      <c r="CU13" s="15"/>
      <c r="CV13" s="15"/>
      <c r="CW13" s="15"/>
      <c r="CX13" s="15"/>
      <c r="CY13" s="15"/>
      <c r="CZ13" s="15"/>
      <c r="DA13" s="15"/>
      <c r="DB13" s="15">
        <v>0</v>
      </c>
    </row>
    <row r="14" spans="1:106" x14ac:dyDescent="0.25">
      <c r="A14" t="s">
        <v>78</v>
      </c>
      <c r="B14" t="s">
        <v>146</v>
      </c>
      <c r="C14">
        <v>2012</v>
      </c>
      <c r="D14" s="16" t="s">
        <v>79</v>
      </c>
      <c r="E14">
        <v>0</v>
      </c>
      <c r="F14" s="15">
        <v>20</v>
      </c>
      <c r="G14" s="15"/>
      <c r="H14" s="15"/>
      <c r="I14" s="15">
        <v>64</v>
      </c>
      <c r="J14" s="15">
        <v>5</v>
      </c>
      <c r="K14" s="15"/>
      <c r="L14" s="15">
        <f>IF(Table2[[#This Row],[Lipids wt%]]+Table2[[#This Row],[Protein wt%]]+Table2[[#This Row],[Carbs wt%]] =0,"",SUM(Table2[[#This Row],[Lipids wt%]],Table2[[#This Row],[Protein wt%]],Table2[[#This Row],[Carbs wt%]]))</f>
        <v>89</v>
      </c>
      <c r="M14" s="15">
        <v>11</v>
      </c>
      <c r="S14">
        <v>2</v>
      </c>
      <c r="T14">
        <v>1</v>
      </c>
      <c r="Z14" s="15">
        <v>45.2</v>
      </c>
      <c r="AA14" s="15">
        <v>6.4</v>
      </c>
      <c r="AB14" s="15">
        <v>37.799999999999997</v>
      </c>
      <c r="AC14" s="15">
        <v>9.8000000000000007</v>
      </c>
      <c r="AD14" s="15">
        <v>0.8</v>
      </c>
      <c r="AE14" s="15"/>
      <c r="AF14" s="15">
        <v>17.7</v>
      </c>
      <c r="AG14" s="15">
        <v>0.5</v>
      </c>
      <c r="AH14" s="15"/>
      <c r="AI14" s="15"/>
      <c r="AJ14" s="15">
        <v>20</v>
      </c>
      <c r="AK14" t="s">
        <v>70</v>
      </c>
      <c r="AL14">
        <v>50</v>
      </c>
      <c r="AM14" s="13">
        <v>0.235323</v>
      </c>
      <c r="AO14" s="15">
        <v>30</v>
      </c>
      <c r="AP14" s="15">
        <f>LN(25/Table2[[#This Row],[Temperature (C)]]/(1-SQRT((Table2[[#This Row],[Temperature (C)]]-5)/Table2[[#This Row],[Temperature (C)]])))/Table2[[#This Row],[b]]</f>
        <v>9.7669677033897315</v>
      </c>
      <c r="AQ14" s="15">
        <f>IF(Table2[[#This Row],[b]]&lt;&gt;"",Table2[[#This Row],[T-5]], 0)</f>
        <v>9.7669677033897315</v>
      </c>
      <c r="AT14" t="s">
        <v>503</v>
      </c>
      <c r="AU14">
        <v>300</v>
      </c>
      <c r="AV14" s="15">
        <v>11</v>
      </c>
      <c r="AW14" s="15">
        <v>31</v>
      </c>
      <c r="AX14" s="15">
        <v>23</v>
      </c>
      <c r="AY14" s="15">
        <v>35</v>
      </c>
      <c r="AZ14" s="15"/>
      <c r="BA14" s="15"/>
      <c r="BB14" s="15">
        <f>IF(OR(Table2[[#This Row],[Gas wt%]]&lt;&gt;"",Table2[[#This Row],[Loss]]&lt;&gt;""),Table2[[#This Row],[Gas wt%]]+Table2[[#This Row],[Loss]],"")</f>
        <v>35</v>
      </c>
      <c r="BC14" s="15"/>
      <c r="BD14" s="15"/>
      <c r="BE14" s="15"/>
      <c r="BF14" s="15"/>
      <c r="BG14" s="15"/>
      <c r="BH14" s="15"/>
      <c r="BI14" s="15">
        <v>72.2</v>
      </c>
      <c r="BJ14" s="15">
        <v>9.1</v>
      </c>
      <c r="BK14" s="15">
        <v>9.1999999999999993</v>
      </c>
      <c r="BL14" s="15">
        <v>8.1</v>
      </c>
      <c r="BM14" s="15">
        <v>1.41</v>
      </c>
      <c r="BN14" s="15">
        <v>35.799999999999997</v>
      </c>
      <c r="BO14" s="15"/>
      <c r="BP14" s="15"/>
      <c r="BQ14" s="15">
        <f>Table2[[#This Row],[H% B]]/Table2[[#This Row],[C% B]]*100</f>
        <v>12.603878116343489</v>
      </c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>
        <v>0</v>
      </c>
    </row>
    <row r="15" spans="1:106" x14ac:dyDescent="0.25">
      <c r="A15" t="s">
        <v>91</v>
      </c>
      <c r="B15" t="s">
        <v>150</v>
      </c>
      <c r="C15">
        <v>2010</v>
      </c>
      <c r="D15" s="16" t="s">
        <v>92</v>
      </c>
      <c r="E15">
        <v>0</v>
      </c>
      <c r="F15" s="15">
        <v>12</v>
      </c>
      <c r="G15" s="15"/>
      <c r="H15" s="15"/>
      <c r="I15" s="15">
        <v>52</v>
      </c>
      <c r="J15" s="15">
        <v>28</v>
      </c>
      <c r="K15" s="15"/>
      <c r="L15" s="15">
        <f>IF(Table2[[#This Row],[Lipids wt%]]+Table2[[#This Row],[Protein wt%]]+Table2[[#This Row],[Carbs wt%]] =0,"",SUM(Table2[[#This Row],[Lipids wt%]],Table2[[#This Row],[Protein wt%]],Table2[[#This Row],[Carbs wt%]]))</f>
        <v>92</v>
      </c>
      <c r="M15" s="15">
        <f>100-Table2[[#This Row],[Lipids wt%]]-Table2[[#This Row],[Protein wt%]]-Table2[[#This Row],[Carbs wt%]]</f>
        <v>8</v>
      </c>
      <c r="Z15" s="15">
        <v>43.3</v>
      </c>
      <c r="AA15" s="15">
        <v>6</v>
      </c>
      <c r="AB15" s="15">
        <v>25.1</v>
      </c>
      <c r="AC15" s="15">
        <v>6.4</v>
      </c>
      <c r="AD15" s="15">
        <v>0.5</v>
      </c>
      <c r="AE15" s="15"/>
      <c r="AF15" s="15">
        <f>(33.5*Table2[[#This Row],[C%]]+142.3*Table2[[#This Row],[H%]]-15.4*Table2[[#This Row],[O%]]-14.5*Table2[[#This Row],[N%]])/100</f>
        <v>18.2501</v>
      </c>
      <c r="AG15" s="15">
        <v>3.5000000000000003E-2</v>
      </c>
      <c r="AH15" s="15">
        <v>4.2699999999999996</v>
      </c>
      <c r="AI15" s="15">
        <v>15</v>
      </c>
      <c r="AJ15" s="15">
        <f>Table2[[#This Row],[Solids (g)]]/(Table2[[#This Row],[Solids (g)]]+Table2[[#This Row],[Water mL]])*100</f>
        <v>22.158796056045666</v>
      </c>
      <c r="AM15" s="13"/>
      <c r="AO15" s="15">
        <v>60</v>
      </c>
      <c r="AP15" s="15" t="e">
        <f>LN(25/Table2[[#This Row],[Temperature (C)]]/(1-SQRT((Table2[[#This Row],[Temperature (C)]]-5)/Table2[[#This Row],[Temperature (C)]])))/Table2[[#This Row],[b]]</f>
        <v>#DIV/0!</v>
      </c>
      <c r="AQ15" s="15">
        <f>IF(Table2[[#This Row],[b]]&lt;&gt;"",Table2[[#This Row],[T-5]], 0)</f>
        <v>0</v>
      </c>
      <c r="AT15" t="s">
        <v>503</v>
      </c>
      <c r="AU15">
        <v>200</v>
      </c>
      <c r="AV15" s="15"/>
      <c r="AW15" s="15">
        <v>27</v>
      </c>
      <c r="AX15" s="15"/>
      <c r="AY15" s="15"/>
      <c r="AZ15" s="15"/>
      <c r="BA15" s="15"/>
      <c r="BB15" s="15" t="str">
        <f>IF(OR(Table2[[#This Row],[Gas wt%]]&lt;&gt;"",Table2[[#This Row],[Loss]]&lt;&gt;""),Table2[[#This Row],[Gas wt%]]+Table2[[#This Row],[Loss]],"")</f>
        <v/>
      </c>
      <c r="BC15" s="15"/>
      <c r="BD15" s="15"/>
      <c r="BE15" s="15"/>
      <c r="BF15" s="15"/>
      <c r="BG15" s="15"/>
      <c r="BH15" s="15"/>
      <c r="BI15" s="15">
        <v>74.599999999999994</v>
      </c>
      <c r="BJ15" s="15">
        <v>10.8</v>
      </c>
      <c r="BK15" s="15">
        <v>11.8</v>
      </c>
      <c r="BL15" s="15">
        <v>2.4</v>
      </c>
      <c r="BM15" s="15">
        <v>0.44</v>
      </c>
      <c r="BN15" s="15">
        <v>39</v>
      </c>
      <c r="BO15" s="15"/>
      <c r="BP15" s="15"/>
      <c r="BQ15" s="15">
        <f>Table2[[#This Row],[H% B]]/Table2[[#This Row],[C% B]]*100</f>
        <v>14.47721179624665</v>
      </c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>
        <v>0.23</v>
      </c>
      <c r="CW15" s="15">
        <v>1E-3</v>
      </c>
      <c r="CX15" s="15">
        <v>1.1000000000000001</v>
      </c>
      <c r="CY15" s="15"/>
      <c r="CZ15" s="15"/>
      <c r="DA15" s="15">
        <v>0.03</v>
      </c>
      <c r="DB15" s="15">
        <v>0</v>
      </c>
    </row>
    <row r="16" spans="1:106" x14ac:dyDescent="0.25">
      <c r="A16" t="s">
        <v>91</v>
      </c>
      <c r="B16" t="s">
        <v>150</v>
      </c>
      <c r="C16">
        <v>2010</v>
      </c>
      <c r="D16" s="16" t="s">
        <v>92</v>
      </c>
      <c r="E16">
        <v>0</v>
      </c>
      <c r="F16" s="15">
        <v>12</v>
      </c>
      <c r="G16" s="15"/>
      <c r="H16" s="15"/>
      <c r="I16" s="15">
        <v>52</v>
      </c>
      <c r="J16" s="15">
        <v>28</v>
      </c>
      <c r="K16" s="15"/>
      <c r="L16" s="15">
        <f>IF(Table2[[#This Row],[Lipids wt%]]+Table2[[#This Row],[Protein wt%]]+Table2[[#This Row],[Carbs wt%]] =0,"",SUM(Table2[[#This Row],[Lipids wt%]],Table2[[#This Row],[Protein wt%]],Table2[[#This Row],[Carbs wt%]]))</f>
        <v>92</v>
      </c>
      <c r="M16" s="15">
        <f>100-Table2[[#This Row],[Lipids wt%]]-Table2[[#This Row],[Protein wt%]]-Table2[[#This Row],[Carbs wt%]]</f>
        <v>8</v>
      </c>
      <c r="Z16" s="15">
        <v>43.3</v>
      </c>
      <c r="AA16" s="15">
        <v>6</v>
      </c>
      <c r="AB16" s="15">
        <v>25.1</v>
      </c>
      <c r="AC16" s="15">
        <v>6.4</v>
      </c>
      <c r="AD16" s="15">
        <v>0.5</v>
      </c>
      <c r="AE16" s="15"/>
      <c r="AF16" s="15">
        <f>(33.5*Table2[[#This Row],[C%]]+142.3*Table2[[#This Row],[H%]]-15.4*Table2[[#This Row],[O%]]-14.5*Table2[[#This Row],[N%]])/100</f>
        <v>18.2501</v>
      </c>
      <c r="AG16" s="15">
        <v>3.5000000000000003E-2</v>
      </c>
      <c r="AH16" s="15">
        <v>4.2699999999999996</v>
      </c>
      <c r="AI16" s="15">
        <v>15</v>
      </c>
      <c r="AJ16" s="15">
        <f>Table2[[#This Row],[Solids (g)]]/(Table2[[#This Row],[Solids (g)]]+Table2[[#This Row],[Water mL]])*100</f>
        <v>22.158796056045666</v>
      </c>
      <c r="AM16" s="13"/>
      <c r="AO16" s="15">
        <v>60</v>
      </c>
      <c r="AP16" s="15" t="e">
        <f>LN(25/Table2[[#This Row],[Temperature (C)]]/(1-SQRT((Table2[[#This Row],[Temperature (C)]]-5)/Table2[[#This Row],[Temperature (C)]])))/Table2[[#This Row],[b]]</f>
        <v>#DIV/0!</v>
      </c>
      <c r="AQ16" s="15">
        <f>IF(Table2[[#This Row],[b]]&lt;&gt;"",Table2[[#This Row],[T-5]], 0)</f>
        <v>0</v>
      </c>
      <c r="AT16" t="s">
        <v>503</v>
      </c>
      <c r="AU16">
        <v>250</v>
      </c>
      <c r="AV16" s="15"/>
      <c r="AW16" s="15">
        <v>38</v>
      </c>
      <c r="AX16" s="15"/>
      <c r="AY16" s="15"/>
      <c r="AZ16" s="15"/>
      <c r="BA16" s="15"/>
      <c r="BB16" s="15" t="str">
        <f>IF(OR(Table2[[#This Row],[Gas wt%]]&lt;&gt;"",Table2[[#This Row],[Loss]]&lt;&gt;""),Table2[[#This Row],[Gas wt%]]+Table2[[#This Row],[Loss]],"")</f>
        <v/>
      </c>
      <c r="BC16" s="15"/>
      <c r="BD16" s="15"/>
      <c r="BE16" s="15"/>
      <c r="BF16" s="15"/>
      <c r="BG16" s="15"/>
      <c r="BH16" s="15"/>
      <c r="BI16" s="15">
        <v>75</v>
      </c>
      <c r="BJ16" s="15">
        <v>10.199999999999999</v>
      </c>
      <c r="BK16" s="15">
        <v>10.3</v>
      </c>
      <c r="BL16" s="15">
        <v>4.0999999999999996</v>
      </c>
      <c r="BM16" s="15">
        <v>0.55000000000000004</v>
      </c>
      <c r="BN16" s="15">
        <v>38</v>
      </c>
      <c r="BO16" s="15"/>
      <c r="BP16" s="15"/>
      <c r="BQ16" s="15">
        <f>Table2[[#This Row],[H% B]]/Table2[[#This Row],[C% B]]*100</f>
        <v>13.599999999999998</v>
      </c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>
        <v>1.3</v>
      </c>
      <c r="CW16" s="15">
        <v>1.4999999999999999E-2</v>
      </c>
      <c r="CX16" s="15">
        <v>5.7</v>
      </c>
      <c r="CY16" s="15"/>
      <c r="CZ16" s="15"/>
      <c r="DA16" s="15">
        <v>0.1</v>
      </c>
      <c r="DB16" s="15">
        <v>0</v>
      </c>
    </row>
    <row r="17" spans="1:106" x14ac:dyDescent="0.25">
      <c r="A17" t="s">
        <v>91</v>
      </c>
      <c r="B17" t="s">
        <v>150</v>
      </c>
      <c r="C17">
        <v>2010</v>
      </c>
      <c r="D17" s="16" t="s">
        <v>92</v>
      </c>
      <c r="E17">
        <v>0</v>
      </c>
      <c r="F17" s="15">
        <v>12</v>
      </c>
      <c r="G17" s="15"/>
      <c r="H17" s="15"/>
      <c r="I17" s="15">
        <v>52</v>
      </c>
      <c r="J17" s="15">
        <v>28</v>
      </c>
      <c r="K17" s="15"/>
      <c r="L17" s="15">
        <f>IF(Table2[[#This Row],[Lipids wt%]]+Table2[[#This Row],[Protein wt%]]+Table2[[#This Row],[Carbs wt%]] =0,"",SUM(Table2[[#This Row],[Lipids wt%]],Table2[[#This Row],[Protein wt%]],Table2[[#This Row],[Carbs wt%]]))</f>
        <v>92</v>
      </c>
      <c r="M17" s="15">
        <f>100-Table2[[#This Row],[Lipids wt%]]-Table2[[#This Row],[Protein wt%]]-Table2[[#This Row],[Carbs wt%]]</f>
        <v>8</v>
      </c>
      <c r="Z17" s="15">
        <v>43.3</v>
      </c>
      <c r="AA17" s="15">
        <v>6</v>
      </c>
      <c r="AB17" s="15">
        <v>25.1</v>
      </c>
      <c r="AC17" s="15">
        <v>6.4</v>
      </c>
      <c r="AD17" s="15">
        <v>0.5</v>
      </c>
      <c r="AE17" s="15"/>
      <c r="AF17" s="15">
        <f>(33.5*Table2[[#This Row],[C%]]+142.3*Table2[[#This Row],[H%]]-15.4*Table2[[#This Row],[O%]]-14.5*Table2[[#This Row],[N%]])/100</f>
        <v>18.2501</v>
      </c>
      <c r="AG17" s="15">
        <v>3.5000000000000003E-2</v>
      </c>
      <c r="AH17" s="15">
        <v>4.2699999999999996</v>
      </c>
      <c r="AI17" s="15">
        <v>15</v>
      </c>
      <c r="AJ17" s="15">
        <f>Table2[[#This Row],[Solids (g)]]/(Table2[[#This Row],[Solids (g)]]+Table2[[#This Row],[Water mL]])*100</f>
        <v>22.158796056045666</v>
      </c>
      <c r="AM17" s="13"/>
      <c r="AO17" s="15">
        <v>60</v>
      </c>
      <c r="AP17" s="15" t="e">
        <f>LN(25/Table2[[#This Row],[Temperature (C)]]/(1-SQRT((Table2[[#This Row],[Temperature (C)]]-5)/Table2[[#This Row],[Temperature (C)]])))/Table2[[#This Row],[b]]</f>
        <v>#DIV/0!</v>
      </c>
      <c r="AQ17" s="15">
        <f>IF(Table2[[#This Row],[b]]&lt;&gt;"",Table2[[#This Row],[T-5]], 0)</f>
        <v>0</v>
      </c>
      <c r="AT17" t="s">
        <v>503</v>
      </c>
      <c r="AU17">
        <v>300</v>
      </c>
      <c r="AV17" s="15"/>
      <c r="AW17" s="15">
        <v>32</v>
      </c>
      <c r="AX17" s="15"/>
      <c r="AY17" s="15"/>
      <c r="AZ17" s="15"/>
      <c r="BA17" s="15"/>
      <c r="BB17" s="15" t="str">
        <f>IF(OR(Table2[[#This Row],[Gas wt%]]&lt;&gt;"",Table2[[#This Row],[Loss]]&lt;&gt;""),Table2[[#This Row],[Gas wt%]]+Table2[[#This Row],[Loss]],"")</f>
        <v/>
      </c>
      <c r="BC17" s="15"/>
      <c r="BD17" s="15"/>
      <c r="BE17" s="15"/>
      <c r="BF17" s="15"/>
      <c r="BG17" s="15"/>
      <c r="BH17" s="15"/>
      <c r="BI17" s="15">
        <v>75.2</v>
      </c>
      <c r="BJ17" s="15">
        <v>10.3</v>
      </c>
      <c r="BK17" s="15">
        <v>9.8000000000000007</v>
      </c>
      <c r="BL17" s="15">
        <v>4.3</v>
      </c>
      <c r="BM17" s="15">
        <v>0.79</v>
      </c>
      <c r="BN17" s="15">
        <v>38</v>
      </c>
      <c r="BO17" s="15"/>
      <c r="BP17" s="15"/>
      <c r="BQ17" s="15">
        <f>Table2[[#This Row],[H% B]]/Table2[[#This Row],[C% B]]*100</f>
        <v>13.696808510638297</v>
      </c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>
        <v>2.5</v>
      </c>
      <c r="CW17" s="15">
        <v>0.32</v>
      </c>
      <c r="CX17" s="15">
        <v>10.9</v>
      </c>
      <c r="CY17" s="15"/>
      <c r="CZ17" s="15"/>
      <c r="DA17" s="15">
        <v>1.1000000000000001</v>
      </c>
      <c r="DB17" s="15">
        <v>0</v>
      </c>
    </row>
    <row r="18" spans="1:106" x14ac:dyDescent="0.25">
      <c r="A18" t="s">
        <v>91</v>
      </c>
      <c r="B18" t="s">
        <v>150</v>
      </c>
      <c r="C18">
        <v>2010</v>
      </c>
      <c r="D18" s="16" t="s">
        <v>92</v>
      </c>
      <c r="E18">
        <v>0</v>
      </c>
      <c r="F18" s="15">
        <v>12</v>
      </c>
      <c r="G18" s="15"/>
      <c r="H18" s="15"/>
      <c r="I18" s="15">
        <v>52</v>
      </c>
      <c r="J18" s="15">
        <v>28</v>
      </c>
      <c r="K18" s="15"/>
      <c r="L18" s="15">
        <f>IF(Table2[[#This Row],[Lipids wt%]]+Table2[[#This Row],[Protein wt%]]+Table2[[#This Row],[Carbs wt%]] =0,"",SUM(Table2[[#This Row],[Lipids wt%]],Table2[[#This Row],[Protein wt%]],Table2[[#This Row],[Carbs wt%]]))</f>
        <v>92</v>
      </c>
      <c r="M18" s="15">
        <f>100-Table2[[#This Row],[Lipids wt%]]-Table2[[#This Row],[Protein wt%]]-Table2[[#This Row],[Carbs wt%]]</f>
        <v>8</v>
      </c>
      <c r="Z18" s="15">
        <v>43.3</v>
      </c>
      <c r="AA18" s="15">
        <v>6</v>
      </c>
      <c r="AB18" s="15">
        <v>25.1</v>
      </c>
      <c r="AC18" s="15">
        <v>6.4</v>
      </c>
      <c r="AD18" s="15">
        <v>0.5</v>
      </c>
      <c r="AE18" s="15"/>
      <c r="AF18" s="15">
        <f>(33.5*Table2[[#This Row],[C%]]+142.3*Table2[[#This Row],[H%]]-15.4*Table2[[#This Row],[O%]]-14.5*Table2[[#This Row],[N%]])/100</f>
        <v>18.2501</v>
      </c>
      <c r="AG18" s="15">
        <v>3.5000000000000003E-2</v>
      </c>
      <c r="AH18" s="15">
        <v>4.2699999999999996</v>
      </c>
      <c r="AI18" s="15">
        <v>15</v>
      </c>
      <c r="AJ18" s="15">
        <f>Table2[[#This Row],[Solids (g)]]/(Table2[[#This Row],[Solids (g)]]+Table2[[#This Row],[Water mL]])*100</f>
        <v>22.158796056045666</v>
      </c>
      <c r="AM18" s="13"/>
      <c r="AO18" s="15">
        <v>60</v>
      </c>
      <c r="AP18" s="15" t="e">
        <f>LN(25/Table2[[#This Row],[Temperature (C)]]/(1-SQRT((Table2[[#This Row],[Temperature (C)]]-5)/Table2[[#This Row],[Temperature (C)]])))/Table2[[#This Row],[b]]</f>
        <v>#DIV/0!</v>
      </c>
      <c r="AQ18" s="15">
        <f>IF(Table2[[#This Row],[b]]&lt;&gt;"",Table2[[#This Row],[T-5]], 0)</f>
        <v>0</v>
      </c>
      <c r="AT18" t="s">
        <v>503</v>
      </c>
      <c r="AU18">
        <v>350</v>
      </c>
      <c r="AV18" s="15"/>
      <c r="AW18" s="15">
        <v>43</v>
      </c>
      <c r="AX18" s="15"/>
      <c r="AY18" s="15"/>
      <c r="AZ18" s="15"/>
      <c r="BA18" s="15"/>
      <c r="BB18" s="15" t="str">
        <f>IF(OR(Table2[[#This Row],[Gas wt%]]&lt;&gt;"",Table2[[#This Row],[Loss]]&lt;&gt;""),Table2[[#This Row],[Gas wt%]]+Table2[[#This Row],[Loss]],"")</f>
        <v/>
      </c>
      <c r="BC18" s="15"/>
      <c r="BD18" s="15"/>
      <c r="BE18" s="15"/>
      <c r="BF18" s="15"/>
      <c r="BG18" s="15"/>
      <c r="BH18" s="15"/>
      <c r="BI18" s="15">
        <v>76</v>
      </c>
      <c r="BJ18" s="15">
        <v>10.3</v>
      </c>
      <c r="BK18" s="15">
        <v>9</v>
      </c>
      <c r="BL18" s="15">
        <v>3.9</v>
      </c>
      <c r="BM18" s="15">
        <v>0.89</v>
      </c>
      <c r="BN18" s="15">
        <v>39</v>
      </c>
      <c r="BO18" s="15"/>
      <c r="BP18" s="15"/>
      <c r="BQ18" s="15">
        <f>Table2[[#This Row],[H% B]]/Table2[[#This Row],[C% B]]*100</f>
        <v>13.552631578947368</v>
      </c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>
        <v>3.5</v>
      </c>
      <c r="CW18" s="15">
        <v>2.2000000000000002</v>
      </c>
      <c r="CX18" s="15">
        <v>14.8</v>
      </c>
      <c r="CY18" s="15"/>
      <c r="CZ18" s="15"/>
      <c r="DA18" s="15">
        <v>4.2</v>
      </c>
      <c r="DB18" s="15">
        <v>0</v>
      </c>
    </row>
    <row r="19" spans="1:106" x14ac:dyDescent="0.25">
      <c r="A19" t="s">
        <v>91</v>
      </c>
      <c r="B19" t="s">
        <v>150</v>
      </c>
      <c r="C19">
        <v>2010</v>
      </c>
      <c r="D19" s="16" t="s">
        <v>92</v>
      </c>
      <c r="E19">
        <v>0</v>
      </c>
      <c r="F19" s="15">
        <v>12</v>
      </c>
      <c r="G19" s="15"/>
      <c r="H19" s="15"/>
      <c r="I19" s="15">
        <v>52</v>
      </c>
      <c r="J19" s="15">
        <v>28</v>
      </c>
      <c r="K19" s="15"/>
      <c r="L19" s="15">
        <f>IF(Table2[[#This Row],[Lipids wt%]]+Table2[[#This Row],[Protein wt%]]+Table2[[#This Row],[Carbs wt%]] =0,"",SUM(Table2[[#This Row],[Lipids wt%]],Table2[[#This Row],[Protein wt%]],Table2[[#This Row],[Carbs wt%]]))</f>
        <v>92</v>
      </c>
      <c r="M19" s="15">
        <f>100-Table2[[#This Row],[Lipids wt%]]-Table2[[#This Row],[Protein wt%]]-Table2[[#This Row],[Carbs wt%]]</f>
        <v>8</v>
      </c>
      <c r="Z19" s="15">
        <v>43.3</v>
      </c>
      <c r="AA19" s="15">
        <v>6</v>
      </c>
      <c r="AB19" s="15">
        <v>25.1</v>
      </c>
      <c r="AC19" s="15">
        <v>6.4</v>
      </c>
      <c r="AD19" s="15">
        <v>0.5</v>
      </c>
      <c r="AE19" s="15"/>
      <c r="AF19" s="15">
        <f>(33.5*Table2[[#This Row],[C%]]+142.3*Table2[[#This Row],[H%]]-15.4*Table2[[#This Row],[O%]]-14.5*Table2[[#This Row],[N%]])/100</f>
        <v>18.2501</v>
      </c>
      <c r="AG19" s="15">
        <v>3.5000000000000003E-2</v>
      </c>
      <c r="AH19" s="15">
        <v>4.2699999999999996</v>
      </c>
      <c r="AI19" s="15">
        <v>15</v>
      </c>
      <c r="AJ19" s="15">
        <f>Table2[[#This Row],[Solids (g)]]/(Table2[[#This Row],[Solids (g)]]+Table2[[#This Row],[Water mL]])*100</f>
        <v>22.158796056045666</v>
      </c>
      <c r="AM19" s="13"/>
      <c r="AO19" s="15">
        <v>60</v>
      </c>
      <c r="AP19" s="15" t="e">
        <f>LN(25/Table2[[#This Row],[Temperature (C)]]/(1-SQRT((Table2[[#This Row],[Temperature (C)]]-5)/Table2[[#This Row],[Temperature (C)]])))/Table2[[#This Row],[b]]</f>
        <v>#DIV/0!</v>
      </c>
      <c r="AQ19" s="15">
        <f>IF(Table2[[#This Row],[b]]&lt;&gt;"",Table2[[#This Row],[T-5]], 0)</f>
        <v>0</v>
      </c>
      <c r="AT19" t="s">
        <v>503</v>
      </c>
      <c r="AU19">
        <v>400</v>
      </c>
      <c r="AV19" s="15"/>
      <c r="AW19" s="15">
        <v>40</v>
      </c>
      <c r="AX19" s="15"/>
      <c r="AY19" s="15"/>
      <c r="AZ19" s="15"/>
      <c r="BA19" s="15"/>
      <c r="BB19" s="15" t="str">
        <f>IF(OR(Table2[[#This Row],[Gas wt%]]&lt;&gt;"",Table2[[#This Row],[Loss]]&lt;&gt;""),Table2[[#This Row],[Gas wt%]]+Table2[[#This Row],[Loss]],"")</f>
        <v/>
      </c>
      <c r="BC19" s="15"/>
      <c r="BD19" s="15"/>
      <c r="BE19" s="15"/>
      <c r="BF19" s="15"/>
      <c r="BG19" s="15"/>
      <c r="BH19" s="15"/>
      <c r="BI19" s="15">
        <v>76.7</v>
      </c>
      <c r="BJ19" s="15">
        <v>10.3</v>
      </c>
      <c r="BK19" s="15">
        <v>8.6999999999999993</v>
      </c>
      <c r="BL19" s="15">
        <v>3.6</v>
      </c>
      <c r="BM19" s="15">
        <v>0.91</v>
      </c>
      <c r="BN19" s="15">
        <v>39</v>
      </c>
      <c r="BO19" s="15"/>
      <c r="BP19" s="15"/>
      <c r="BQ19" s="15">
        <f>Table2[[#This Row],[H% B]]/Table2[[#This Row],[C% B]]*100</f>
        <v>13.428943937418513</v>
      </c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>
        <v>6.1</v>
      </c>
      <c r="CW19" s="15">
        <v>5.8</v>
      </c>
      <c r="CX19" s="15">
        <v>24.5</v>
      </c>
      <c r="CY19" s="15"/>
      <c r="CZ19" s="15"/>
      <c r="DA19" s="15">
        <v>6.4</v>
      </c>
      <c r="DB19" s="15">
        <v>0</v>
      </c>
    </row>
    <row r="20" spans="1:106" x14ac:dyDescent="0.25">
      <c r="A20" t="s">
        <v>91</v>
      </c>
      <c r="B20" t="s">
        <v>150</v>
      </c>
      <c r="C20">
        <v>2010</v>
      </c>
      <c r="D20" s="16" t="s">
        <v>92</v>
      </c>
      <c r="E20">
        <v>0</v>
      </c>
      <c r="F20" s="15">
        <v>12</v>
      </c>
      <c r="G20" s="15"/>
      <c r="H20" s="15"/>
      <c r="I20" s="15">
        <v>52</v>
      </c>
      <c r="J20" s="15">
        <v>28</v>
      </c>
      <c r="K20" s="15"/>
      <c r="L20" s="15">
        <f>IF(Table2[[#This Row],[Lipids wt%]]+Table2[[#This Row],[Protein wt%]]+Table2[[#This Row],[Carbs wt%]] =0,"",SUM(Table2[[#This Row],[Lipids wt%]],Table2[[#This Row],[Protein wt%]],Table2[[#This Row],[Carbs wt%]]))</f>
        <v>92</v>
      </c>
      <c r="M20" s="15">
        <f>100-Table2[[#This Row],[Lipids wt%]]-Table2[[#This Row],[Protein wt%]]-Table2[[#This Row],[Carbs wt%]]</f>
        <v>8</v>
      </c>
      <c r="Z20" s="15">
        <v>43.3</v>
      </c>
      <c r="AA20" s="15">
        <v>6</v>
      </c>
      <c r="AB20" s="15">
        <v>25.1</v>
      </c>
      <c r="AC20" s="15">
        <v>6.4</v>
      </c>
      <c r="AD20" s="15">
        <v>0.5</v>
      </c>
      <c r="AE20" s="15"/>
      <c r="AF20" s="15">
        <f>(33.5*Table2[[#This Row],[C%]]+142.3*Table2[[#This Row],[H%]]-15.4*Table2[[#This Row],[O%]]-14.5*Table2[[#This Row],[N%]])/100</f>
        <v>18.2501</v>
      </c>
      <c r="AG20" s="15">
        <v>3.5000000000000003E-2</v>
      </c>
      <c r="AH20" s="15">
        <v>4.2699999999999996</v>
      </c>
      <c r="AI20" s="15">
        <v>15</v>
      </c>
      <c r="AJ20" s="15">
        <f>Table2[[#This Row],[Solids (g)]]/(Table2[[#This Row],[Solids (g)]]+Table2[[#This Row],[Water mL]])*100</f>
        <v>22.158796056045666</v>
      </c>
      <c r="AM20" s="13"/>
      <c r="AO20" s="15">
        <v>60</v>
      </c>
      <c r="AP20" s="15" t="e">
        <f>LN(25/Table2[[#This Row],[Temperature (C)]]/(1-SQRT((Table2[[#This Row],[Temperature (C)]]-5)/Table2[[#This Row],[Temperature (C)]])))/Table2[[#This Row],[b]]</f>
        <v>#DIV/0!</v>
      </c>
      <c r="AQ20" s="15">
        <f>IF(Table2[[#This Row],[b]]&lt;&gt;"",Table2[[#This Row],[T-5]], 0)</f>
        <v>0</v>
      </c>
      <c r="AT20" t="s">
        <v>503</v>
      </c>
      <c r="AU20">
        <v>450</v>
      </c>
      <c r="AV20" s="15"/>
      <c r="AW20" s="15">
        <v>38</v>
      </c>
      <c r="AX20" s="15"/>
      <c r="AY20" s="15"/>
      <c r="AZ20" s="15"/>
      <c r="BA20" s="15"/>
      <c r="BB20" s="15" t="str">
        <f>IF(OR(Table2[[#This Row],[Gas wt%]]&lt;&gt;"",Table2[[#This Row],[Loss]]&lt;&gt;""),Table2[[#This Row],[Gas wt%]]+Table2[[#This Row],[Loss]],"")</f>
        <v/>
      </c>
      <c r="BC20" s="15"/>
      <c r="BD20" s="15"/>
      <c r="BE20" s="15"/>
      <c r="BF20" s="15"/>
      <c r="BG20" s="15"/>
      <c r="BH20" s="15"/>
      <c r="BI20" s="15">
        <v>76.8</v>
      </c>
      <c r="BJ20" s="15">
        <v>10.199999999999999</v>
      </c>
      <c r="BK20" s="15">
        <v>7.7</v>
      </c>
      <c r="BL20" s="15">
        <v>4.3</v>
      </c>
      <c r="BM20" s="15">
        <v>1</v>
      </c>
      <c r="BN20" s="15">
        <v>39</v>
      </c>
      <c r="BO20" s="15"/>
      <c r="BP20" s="15"/>
      <c r="BQ20" s="15">
        <f>Table2[[#This Row],[H% B]]/Table2[[#This Row],[C% B]]*100</f>
        <v>13.28125</v>
      </c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>
        <v>8.6</v>
      </c>
      <c r="CW20" s="15">
        <v>8.9</v>
      </c>
      <c r="CX20" s="15">
        <v>31</v>
      </c>
      <c r="CY20" s="15"/>
      <c r="CZ20" s="15"/>
      <c r="DA20" s="15">
        <v>8.1999999999999993</v>
      </c>
      <c r="DB20" s="15">
        <v>0</v>
      </c>
    </row>
    <row r="21" spans="1:106" x14ac:dyDescent="0.25">
      <c r="A21" t="s">
        <v>91</v>
      </c>
      <c r="B21" t="s">
        <v>150</v>
      </c>
      <c r="C21">
        <v>2010</v>
      </c>
      <c r="D21" s="16" t="s">
        <v>92</v>
      </c>
      <c r="E21">
        <v>0</v>
      </c>
      <c r="F21" s="15">
        <v>12</v>
      </c>
      <c r="G21" s="15"/>
      <c r="H21" s="15"/>
      <c r="I21" s="15">
        <v>52</v>
      </c>
      <c r="J21" s="15">
        <v>28</v>
      </c>
      <c r="K21" s="15"/>
      <c r="L21" s="15">
        <f>IF(Table2[[#This Row],[Lipids wt%]]+Table2[[#This Row],[Protein wt%]]+Table2[[#This Row],[Carbs wt%]] =0,"",SUM(Table2[[#This Row],[Lipids wt%]],Table2[[#This Row],[Protein wt%]],Table2[[#This Row],[Carbs wt%]]))</f>
        <v>92</v>
      </c>
      <c r="M21" s="15">
        <f>100-Table2[[#This Row],[Lipids wt%]]-Table2[[#This Row],[Protein wt%]]-Table2[[#This Row],[Carbs wt%]]</f>
        <v>8</v>
      </c>
      <c r="Z21" s="15">
        <v>43.3</v>
      </c>
      <c r="AA21" s="15">
        <v>6</v>
      </c>
      <c r="AB21" s="15">
        <v>25.1</v>
      </c>
      <c r="AC21" s="15">
        <v>6.4</v>
      </c>
      <c r="AD21" s="15">
        <v>0.5</v>
      </c>
      <c r="AE21" s="15"/>
      <c r="AF21" s="15">
        <f>(33.5*Table2[[#This Row],[C%]]+142.3*Table2[[#This Row],[H%]]-15.4*Table2[[#This Row],[O%]]-14.5*Table2[[#This Row],[N%]])/100</f>
        <v>18.2501</v>
      </c>
      <c r="AG21" s="15">
        <v>3.5000000000000003E-2</v>
      </c>
      <c r="AH21" s="15">
        <v>4.2699999999999996</v>
      </c>
      <c r="AI21" s="15">
        <v>15</v>
      </c>
      <c r="AJ21" s="15">
        <f>Table2[[#This Row],[Solids (g)]]/(Table2[[#This Row],[Solids (g)]]+Table2[[#This Row],[Water mL]])*100</f>
        <v>22.158796056045666</v>
      </c>
      <c r="AM21" s="13"/>
      <c r="AO21" s="15">
        <v>60</v>
      </c>
      <c r="AP21" s="15" t="e">
        <f>LN(25/Table2[[#This Row],[Temperature (C)]]/(1-SQRT((Table2[[#This Row],[Temperature (C)]]-5)/Table2[[#This Row],[Temperature (C)]])))/Table2[[#This Row],[b]]</f>
        <v>#DIV/0!</v>
      </c>
      <c r="AQ21" s="15">
        <f>IF(Table2[[#This Row],[b]]&lt;&gt;"",Table2[[#This Row],[T-5]], 0)</f>
        <v>0</v>
      </c>
      <c r="AT21" t="s">
        <v>503</v>
      </c>
      <c r="AU21">
        <v>500</v>
      </c>
      <c r="AV21" s="15"/>
      <c r="AW21" s="15">
        <v>16</v>
      </c>
      <c r="AX21" s="15"/>
      <c r="AY21" s="15"/>
      <c r="AZ21" s="15"/>
      <c r="BA21" s="15"/>
      <c r="BB21" s="15" t="str">
        <f>IF(OR(Table2[[#This Row],[Gas wt%]]&lt;&gt;"",Table2[[#This Row],[Loss]]&lt;&gt;""),Table2[[#This Row],[Gas wt%]]+Table2[[#This Row],[Loss]],"")</f>
        <v/>
      </c>
      <c r="BC21" s="15"/>
      <c r="BD21" s="15"/>
      <c r="BE21" s="15"/>
      <c r="BF21" s="15"/>
      <c r="BG21" s="15"/>
      <c r="BH21" s="15"/>
      <c r="BI21" s="15">
        <v>81.2</v>
      </c>
      <c r="BJ21" s="15">
        <v>7.1</v>
      </c>
      <c r="BK21" s="15">
        <v>5.3</v>
      </c>
      <c r="BL21" s="15">
        <v>4.4000000000000004</v>
      </c>
      <c r="BM21" s="15">
        <v>0.48</v>
      </c>
      <c r="BN21" s="15">
        <v>37</v>
      </c>
      <c r="BO21" s="15"/>
      <c r="BP21" s="15"/>
      <c r="BQ21" s="15">
        <f>Table2[[#This Row],[H% B]]/Table2[[#This Row],[C% B]]*100</f>
        <v>8.7438423645320196</v>
      </c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>
        <v>42.2</v>
      </c>
      <c r="CW21" s="15">
        <v>65.900000000000006</v>
      </c>
      <c r="CX21" s="15">
        <v>75.7</v>
      </c>
      <c r="CY21" s="15"/>
      <c r="CZ21" s="15"/>
      <c r="DA21" s="15">
        <v>21.1</v>
      </c>
      <c r="DB21" s="15">
        <v>0</v>
      </c>
    </row>
    <row r="22" spans="1:106" x14ac:dyDescent="0.25">
      <c r="A22" t="s">
        <v>119</v>
      </c>
      <c r="B22" t="s">
        <v>151</v>
      </c>
      <c r="C22">
        <v>2012</v>
      </c>
      <c r="D22" s="16" t="s">
        <v>118</v>
      </c>
      <c r="E22">
        <v>0</v>
      </c>
      <c r="F22" s="15">
        <v>20</v>
      </c>
      <c r="G22" s="15"/>
      <c r="H22" s="15"/>
      <c r="I22" s="15">
        <v>59</v>
      </c>
      <c r="J22" s="15">
        <v>14</v>
      </c>
      <c r="K22" s="15"/>
      <c r="L22" s="15">
        <f>IF(Table2[[#This Row],[Lipids wt%]]+Table2[[#This Row],[Protein wt%]]+Table2[[#This Row],[Carbs wt%]] =0,"",SUM(Table2[[#This Row],[Lipids wt%]],Table2[[#This Row],[Protein wt%]],Table2[[#This Row],[Carbs wt%]]))</f>
        <v>93</v>
      </c>
      <c r="M22" s="15">
        <f>100-Table2[[#This Row],[Lipids wt%]]-Table2[[#This Row],[Protein wt%]]-Table2[[#This Row],[Carbs wt%]]</f>
        <v>7</v>
      </c>
      <c r="U22">
        <v>68</v>
      </c>
      <c r="W22">
        <v>21</v>
      </c>
      <c r="X22">
        <v>6.5</v>
      </c>
      <c r="Y22">
        <v>2.7</v>
      </c>
      <c r="Z22" s="15"/>
      <c r="AA22" s="15"/>
      <c r="AB22" s="15"/>
      <c r="AC22" s="15"/>
      <c r="AD22" s="15"/>
      <c r="AE22" s="15"/>
      <c r="AF22" s="15"/>
      <c r="AG22" s="15">
        <v>4.1000000000000003E-3</v>
      </c>
      <c r="AH22" s="15"/>
      <c r="AI22" s="15"/>
      <c r="AJ22" s="15">
        <v>15</v>
      </c>
      <c r="AM22" s="13"/>
      <c r="AO22" s="15">
        <v>20</v>
      </c>
      <c r="AP22" s="15" t="e">
        <f>LN(25/Table2[[#This Row],[Temperature (C)]]/(1-SQRT((Table2[[#This Row],[Temperature (C)]]-5)/Table2[[#This Row],[Temperature (C)]])))/Table2[[#This Row],[b]]</f>
        <v>#DIV/0!</v>
      </c>
      <c r="AQ22" s="15">
        <f>IF(Table2[[#This Row],[b]]&lt;&gt;"",Table2[[#This Row],[T-5]], 0)</f>
        <v>0</v>
      </c>
      <c r="AT22" t="s">
        <v>503</v>
      </c>
      <c r="AU22">
        <v>250</v>
      </c>
      <c r="AV22" s="15">
        <v>20.411627881339999</v>
      </c>
      <c r="AW22" s="15">
        <v>33.665158371040697</v>
      </c>
      <c r="AX22" s="15">
        <v>41.674418604651102</v>
      </c>
      <c r="AY22" s="15"/>
      <c r="AZ22" s="15"/>
      <c r="BA22" s="15"/>
      <c r="BB22" s="15" t="str">
        <f>IF(OR(Table2[[#This Row],[Gas wt%]]&lt;&gt;"",Table2[[#This Row],[Loss]]&lt;&gt;""),Table2[[#This Row],[Gas wt%]]+Table2[[#This Row],[Loss]],"")</f>
        <v/>
      </c>
      <c r="BC22" s="15"/>
      <c r="BD22" s="15">
        <v>16.289592760180899</v>
      </c>
      <c r="BE22" s="15">
        <v>17.239819004524801</v>
      </c>
      <c r="BF22" s="15">
        <v>50.232558139534802</v>
      </c>
      <c r="BG22" s="15"/>
      <c r="BH22" s="15">
        <f>100-SUM(Table2[[#This Row],[Solids wt%]:[Gas wt%]])</f>
        <v>4.2487951429681914</v>
      </c>
      <c r="BI22" s="15"/>
      <c r="BJ22" s="15"/>
      <c r="BK22" s="15"/>
      <c r="BL22" s="15"/>
      <c r="BM22" s="15"/>
      <c r="BN22" s="15"/>
      <c r="BO22" s="15"/>
      <c r="BP22" s="15"/>
      <c r="BQ22" s="15"/>
      <c r="BR22" s="15">
        <v>75.091258405379406</v>
      </c>
      <c r="BS22" s="15"/>
      <c r="BT22" s="15">
        <v>10.8092485549132</v>
      </c>
      <c r="BU22" s="15">
        <v>2.4809478065962201</v>
      </c>
      <c r="BV22" s="15">
        <v>0.36087601885367598</v>
      </c>
      <c r="BW22" s="15"/>
      <c r="BX22" s="15"/>
      <c r="BY22" s="15">
        <v>66.817050420830398</v>
      </c>
      <c r="BZ22" s="15"/>
      <c r="CA22" s="15">
        <v>13.3304347826086</v>
      </c>
      <c r="CB22" s="15">
        <v>8.0398512128250292</v>
      </c>
      <c r="CC22" s="15"/>
      <c r="CD22" s="15">
        <v>0.81169640975198398</v>
      </c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>
        <v>0</v>
      </c>
    </row>
    <row r="23" spans="1:106" x14ac:dyDescent="0.25">
      <c r="A23" t="s">
        <v>119</v>
      </c>
      <c r="B23" t="s">
        <v>151</v>
      </c>
      <c r="C23">
        <v>2012</v>
      </c>
      <c r="D23" s="16" t="s">
        <v>118</v>
      </c>
      <c r="E23">
        <v>0</v>
      </c>
      <c r="F23" s="15">
        <v>20</v>
      </c>
      <c r="G23" s="15"/>
      <c r="H23" s="15"/>
      <c r="I23" s="15">
        <v>59</v>
      </c>
      <c r="J23" s="15">
        <v>14</v>
      </c>
      <c r="K23" s="15"/>
      <c r="L23" s="15">
        <f>IF(Table2[[#This Row],[Lipids wt%]]+Table2[[#This Row],[Protein wt%]]+Table2[[#This Row],[Carbs wt%]] =0,"",SUM(Table2[[#This Row],[Lipids wt%]],Table2[[#This Row],[Protein wt%]],Table2[[#This Row],[Carbs wt%]]))</f>
        <v>93</v>
      </c>
      <c r="M23" s="15">
        <f>100-Table2[[#This Row],[Lipids wt%]]-Table2[[#This Row],[Protein wt%]]-Table2[[#This Row],[Carbs wt%]]</f>
        <v>7</v>
      </c>
      <c r="U23">
        <v>68</v>
      </c>
      <c r="W23">
        <v>21</v>
      </c>
      <c r="X23">
        <v>6.5</v>
      </c>
      <c r="Y23">
        <v>2.7</v>
      </c>
      <c r="Z23" s="15"/>
      <c r="AA23" s="15"/>
      <c r="AB23" s="15"/>
      <c r="AC23" s="15"/>
      <c r="AD23" s="15"/>
      <c r="AE23" s="15"/>
      <c r="AF23" s="15"/>
      <c r="AG23" s="15">
        <v>4.1000000000000003E-3</v>
      </c>
      <c r="AH23" s="15"/>
      <c r="AI23" s="15"/>
      <c r="AJ23" s="15">
        <v>15</v>
      </c>
      <c r="AM23" s="13"/>
      <c r="AO23" s="15">
        <v>30</v>
      </c>
      <c r="AP23" s="15" t="e">
        <f>LN(25/Table2[[#This Row],[Temperature (C)]]/(1-SQRT((Table2[[#This Row],[Temperature (C)]]-5)/Table2[[#This Row],[Temperature (C)]])))/Table2[[#This Row],[b]]</f>
        <v>#DIV/0!</v>
      </c>
      <c r="AQ23" s="15">
        <f>IF(Table2[[#This Row],[b]]&lt;&gt;"",Table2[[#This Row],[T-5]], 0)</f>
        <v>0</v>
      </c>
      <c r="AT23" t="s">
        <v>503</v>
      </c>
      <c r="AU23">
        <v>250</v>
      </c>
      <c r="AV23" s="15">
        <v>11.695346863183801</v>
      </c>
      <c r="AW23" s="15">
        <v>33.9366515837104</v>
      </c>
      <c r="AX23" s="15">
        <v>50.139534883720899</v>
      </c>
      <c r="AY23" s="15">
        <v>0.752089136490251</v>
      </c>
      <c r="AZ23" s="15"/>
      <c r="BA23" s="15"/>
      <c r="BB23" s="15">
        <f>IF(OR(Table2[[#This Row],[Gas wt%]]&lt;&gt;"",Table2[[#This Row],[Loss]]&lt;&gt;""),Table2[[#This Row],[Gas wt%]]+Table2[[#This Row],[Loss]],"")</f>
        <v>0.752089136490251</v>
      </c>
      <c r="BC23" s="15"/>
      <c r="BD23" s="15">
        <v>16.4253393665158</v>
      </c>
      <c r="BE23" s="15">
        <v>18.054298642533901</v>
      </c>
      <c r="BF23" s="15">
        <v>52.744186046511601</v>
      </c>
      <c r="BG23" s="15">
        <v>1.1162790697674401</v>
      </c>
      <c r="BH23" s="15">
        <f>100-SUM(Table2[[#This Row],[Solids wt%]:[Gas wt%]])</f>
        <v>3.4763775328946451</v>
      </c>
      <c r="BI23" s="15"/>
      <c r="BJ23" s="15"/>
      <c r="BK23" s="15"/>
      <c r="BL23" s="15"/>
      <c r="BM23" s="15"/>
      <c r="BN23" s="15"/>
      <c r="BO23" s="15"/>
      <c r="BP23" s="15"/>
      <c r="BQ23" s="15"/>
      <c r="BR23" s="15">
        <v>73.291066282420701</v>
      </c>
      <c r="BS23" s="15"/>
      <c r="BT23" s="15">
        <v>12.1965317919075</v>
      </c>
      <c r="BU23" s="15">
        <v>3.0701248799231502</v>
      </c>
      <c r="BV23" s="15">
        <v>0.36119719104537201</v>
      </c>
      <c r="BW23" s="15"/>
      <c r="BX23" s="15"/>
      <c r="BY23" s="15">
        <v>67.098293031117805</v>
      </c>
      <c r="BZ23" s="15"/>
      <c r="CA23" s="15">
        <v>13.043478260869501</v>
      </c>
      <c r="CB23" s="15">
        <v>8.1811641024745398</v>
      </c>
      <c r="CC23" s="15"/>
      <c r="CD23" s="15">
        <v>0.89050094849996397</v>
      </c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>
        <v>0</v>
      </c>
    </row>
    <row r="24" spans="1:106" x14ac:dyDescent="0.25">
      <c r="A24" t="s">
        <v>119</v>
      </c>
      <c r="B24" t="s">
        <v>151</v>
      </c>
      <c r="C24">
        <v>2012</v>
      </c>
      <c r="D24" s="16" t="s">
        <v>118</v>
      </c>
      <c r="E24">
        <v>0</v>
      </c>
      <c r="F24" s="15">
        <v>20</v>
      </c>
      <c r="G24" s="15"/>
      <c r="H24" s="15"/>
      <c r="I24" s="15">
        <v>59</v>
      </c>
      <c r="J24" s="15">
        <v>14</v>
      </c>
      <c r="K24" s="15"/>
      <c r="L24" s="15">
        <f>IF(Table2[[#This Row],[Lipids wt%]]+Table2[[#This Row],[Protein wt%]]+Table2[[#This Row],[Carbs wt%]] =0,"",SUM(Table2[[#This Row],[Lipids wt%]],Table2[[#This Row],[Protein wt%]],Table2[[#This Row],[Carbs wt%]]))</f>
        <v>93</v>
      </c>
      <c r="M24" s="15">
        <f>100-Table2[[#This Row],[Lipids wt%]]-Table2[[#This Row],[Protein wt%]]-Table2[[#This Row],[Carbs wt%]]</f>
        <v>7</v>
      </c>
      <c r="U24">
        <v>68</v>
      </c>
      <c r="W24">
        <v>21</v>
      </c>
      <c r="X24">
        <v>6.5</v>
      </c>
      <c r="Y24">
        <v>2.7</v>
      </c>
      <c r="Z24" s="15"/>
      <c r="AA24" s="15"/>
      <c r="AB24" s="15"/>
      <c r="AC24" s="15"/>
      <c r="AD24" s="15"/>
      <c r="AE24" s="15"/>
      <c r="AF24" s="15"/>
      <c r="AG24" s="15">
        <v>4.1000000000000003E-3</v>
      </c>
      <c r="AH24" s="15"/>
      <c r="AI24" s="15"/>
      <c r="AJ24" s="15">
        <v>15</v>
      </c>
      <c r="AM24" s="13"/>
      <c r="AO24" s="15">
        <v>60</v>
      </c>
      <c r="AP24" s="15" t="e">
        <f>LN(25/Table2[[#This Row],[Temperature (C)]]/(1-SQRT((Table2[[#This Row],[Temperature (C)]]-5)/Table2[[#This Row],[Temperature (C)]])))/Table2[[#This Row],[b]]</f>
        <v>#DIV/0!</v>
      </c>
      <c r="AQ24" s="15">
        <f>IF(Table2[[#This Row],[b]]&lt;&gt;"",Table2[[#This Row],[T-5]], 0)</f>
        <v>0</v>
      </c>
      <c r="AT24" t="s">
        <v>503</v>
      </c>
      <c r="AU24">
        <v>250</v>
      </c>
      <c r="AV24" s="15">
        <v>7.7443144863470499</v>
      </c>
      <c r="AW24" s="15">
        <v>39.909502262443397</v>
      </c>
      <c r="AX24" s="15">
        <v>46.558139534883701</v>
      </c>
      <c r="AY24" s="15">
        <v>0.41782729805013402</v>
      </c>
      <c r="AZ24" s="15"/>
      <c r="BA24" s="15"/>
      <c r="BB24" s="15">
        <f>IF(OR(Table2[[#This Row],[Gas wt%]]&lt;&gt;"",Table2[[#This Row],[Loss]]&lt;&gt;""),Table2[[#This Row],[Gas wt%]]+Table2[[#This Row],[Loss]],"")</f>
        <v>0.41782729805013402</v>
      </c>
      <c r="BC24" s="15"/>
      <c r="BD24" s="15">
        <v>18.054298642533901</v>
      </c>
      <c r="BE24" s="15">
        <v>23.619909502262399</v>
      </c>
      <c r="BF24" s="15">
        <v>52.1860465116279</v>
      </c>
      <c r="BG24" s="15"/>
      <c r="BH24" s="15">
        <f>100-SUM(Table2[[#This Row],[Solids wt%]:[Gas wt%]])</f>
        <v>5.3702164182757315</v>
      </c>
      <c r="BI24" s="15"/>
      <c r="BJ24" s="15"/>
      <c r="BK24" s="15"/>
      <c r="BL24" s="15"/>
      <c r="BM24" s="15"/>
      <c r="BN24" s="15"/>
      <c r="BO24" s="15"/>
      <c r="BP24" s="15"/>
      <c r="BQ24" s="15"/>
      <c r="BR24" s="15">
        <v>74.893371757924996</v>
      </c>
      <c r="BS24" s="15"/>
      <c r="BT24" s="15">
        <v>9.9132947976878505</v>
      </c>
      <c r="BU24" s="15">
        <v>3.6416906820364998</v>
      </c>
      <c r="BV24" s="15">
        <v>0.36216070762046099</v>
      </c>
      <c r="BW24" s="15"/>
      <c r="BX24" s="15"/>
      <c r="BY24" s="15">
        <v>69.433573599348307</v>
      </c>
      <c r="BZ24" s="15"/>
      <c r="CA24" s="15">
        <v>10.173913043478199</v>
      </c>
      <c r="CB24" s="15">
        <v>8.0501196234916108</v>
      </c>
      <c r="CC24" s="15"/>
      <c r="CD24" s="15">
        <v>0.75483910630225504</v>
      </c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>
        <v>0</v>
      </c>
    </row>
    <row r="25" spans="1:106" x14ac:dyDescent="0.25">
      <c r="A25" t="s">
        <v>119</v>
      </c>
      <c r="B25" t="s">
        <v>151</v>
      </c>
      <c r="C25">
        <v>2012</v>
      </c>
      <c r="D25" s="16" t="s">
        <v>118</v>
      </c>
      <c r="E25">
        <v>0</v>
      </c>
      <c r="F25" s="15">
        <v>20</v>
      </c>
      <c r="G25" s="15"/>
      <c r="H25" s="15"/>
      <c r="I25" s="15">
        <v>59</v>
      </c>
      <c r="J25" s="15">
        <v>14</v>
      </c>
      <c r="K25" s="15"/>
      <c r="L25" s="15">
        <f>IF(Table2[[#This Row],[Lipids wt%]]+Table2[[#This Row],[Protein wt%]]+Table2[[#This Row],[Carbs wt%]] =0,"",SUM(Table2[[#This Row],[Lipids wt%]],Table2[[#This Row],[Protein wt%]],Table2[[#This Row],[Carbs wt%]]))</f>
        <v>93</v>
      </c>
      <c r="M25" s="15">
        <f>100-Table2[[#This Row],[Lipids wt%]]-Table2[[#This Row],[Protein wt%]]-Table2[[#This Row],[Carbs wt%]]</f>
        <v>7</v>
      </c>
      <c r="U25">
        <v>68</v>
      </c>
      <c r="W25">
        <v>21</v>
      </c>
      <c r="X25">
        <v>6.5</v>
      </c>
      <c r="Y25">
        <v>2.7</v>
      </c>
      <c r="Z25" s="15"/>
      <c r="AA25" s="15"/>
      <c r="AB25" s="15"/>
      <c r="AC25" s="15"/>
      <c r="AD25" s="15"/>
      <c r="AE25" s="15"/>
      <c r="AF25" s="15"/>
      <c r="AG25" s="15">
        <v>4.1000000000000003E-3</v>
      </c>
      <c r="AH25" s="15"/>
      <c r="AI25" s="15"/>
      <c r="AJ25" s="15">
        <v>15</v>
      </c>
      <c r="AM25" s="13"/>
      <c r="AO25" s="15">
        <v>90</v>
      </c>
      <c r="AP25" s="15" t="e">
        <f>LN(25/Table2[[#This Row],[Temperature (C)]]/(1-SQRT((Table2[[#This Row],[Temperature (C)]]-5)/Table2[[#This Row],[Temperature (C)]])))/Table2[[#This Row],[b]]</f>
        <v>#DIV/0!</v>
      </c>
      <c r="AQ25" s="15">
        <f>IF(Table2[[#This Row],[b]]&lt;&gt;"",Table2[[#This Row],[T-5]], 0)</f>
        <v>0</v>
      </c>
      <c r="AT25" t="s">
        <v>503</v>
      </c>
      <c r="AU25">
        <v>250</v>
      </c>
      <c r="AV25" s="15">
        <v>5.9481000518117604</v>
      </c>
      <c r="AW25" s="15">
        <v>33.122171945701297</v>
      </c>
      <c r="AX25" s="15">
        <v>58.279069767441797</v>
      </c>
      <c r="AY25" s="15">
        <v>0.58495821727018704</v>
      </c>
      <c r="AZ25" s="15"/>
      <c r="BA25" s="15"/>
      <c r="BB25" s="15">
        <f>IF(OR(Table2[[#This Row],[Gas wt%]]&lt;&gt;"",Table2[[#This Row],[Loss]]&lt;&gt;""),Table2[[#This Row],[Gas wt%]]+Table2[[#This Row],[Loss]],"")</f>
        <v>0.58495821727018704</v>
      </c>
      <c r="BC25" s="15"/>
      <c r="BD25" s="15">
        <v>12.760180995475</v>
      </c>
      <c r="BE25" s="15">
        <v>20.497737556560999</v>
      </c>
      <c r="BF25" s="15">
        <v>55.2558139534883</v>
      </c>
      <c r="BG25" s="15">
        <v>5.8604651162790402</v>
      </c>
      <c r="BH25" s="15">
        <f>100-SUM(Table2[[#This Row],[Solids wt%]:[Gas wt%]])</f>
        <v>2.065700017774958</v>
      </c>
      <c r="BI25" s="15"/>
      <c r="BJ25" s="15"/>
      <c r="BK25" s="15"/>
      <c r="BL25" s="15"/>
      <c r="BM25" s="15"/>
      <c r="BN25" s="15"/>
      <c r="BO25" s="15"/>
      <c r="BP25" s="15"/>
      <c r="BQ25" s="15"/>
      <c r="BR25" s="15">
        <v>74.611002933769498</v>
      </c>
      <c r="BS25" s="15"/>
      <c r="BT25" s="15">
        <v>9.5086705202312096</v>
      </c>
      <c r="BU25" s="15">
        <v>4.4293948126801101</v>
      </c>
      <c r="BV25" s="15">
        <v>0.55331892398635496</v>
      </c>
      <c r="BW25" s="15"/>
      <c r="BX25" s="15"/>
      <c r="BY25" s="15">
        <v>69.445239492376004</v>
      </c>
      <c r="BZ25" s="15"/>
      <c r="CA25" s="15">
        <v>10.078260869565201</v>
      </c>
      <c r="CB25" s="15">
        <v>8.2427745664739902</v>
      </c>
      <c r="CC25" s="15"/>
      <c r="CD25" s="15">
        <v>0.79361343356987202</v>
      </c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>
        <v>0</v>
      </c>
    </row>
    <row r="26" spans="1:106" x14ac:dyDescent="0.25">
      <c r="A26" t="s">
        <v>119</v>
      </c>
      <c r="B26" t="s">
        <v>151</v>
      </c>
      <c r="C26">
        <v>2012</v>
      </c>
      <c r="D26" s="16" t="s">
        <v>118</v>
      </c>
      <c r="E26">
        <v>0</v>
      </c>
      <c r="F26" s="15">
        <v>20</v>
      </c>
      <c r="G26" s="15"/>
      <c r="H26" s="15"/>
      <c r="I26" s="15">
        <v>59</v>
      </c>
      <c r="J26" s="15">
        <v>14</v>
      </c>
      <c r="K26" s="15"/>
      <c r="L26" s="15">
        <f>IF(Table2[[#This Row],[Lipids wt%]]+Table2[[#This Row],[Protein wt%]]+Table2[[#This Row],[Carbs wt%]] =0,"",SUM(Table2[[#This Row],[Lipids wt%]],Table2[[#This Row],[Protein wt%]],Table2[[#This Row],[Carbs wt%]]))</f>
        <v>93</v>
      </c>
      <c r="M26" s="15">
        <f>100-Table2[[#This Row],[Lipids wt%]]-Table2[[#This Row],[Protein wt%]]-Table2[[#This Row],[Carbs wt%]]</f>
        <v>7</v>
      </c>
      <c r="U26">
        <v>68</v>
      </c>
      <c r="W26">
        <v>21</v>
      </c>
      <c r="X26">
        <v>6.5</v>
      </c>
      <c r="Y26">
        <v>2.7</v>
      </c>
      <c r="Z26" s="15"/>
      <c r="AA26" s="15"/>
      <c r="AB26" s="15"/>
      <c r="AC26" s="15"/>
      <c r="AD26" s="15"/>
      <c r="AE26" s="15"/>
      <c r="AF26" s="15"/>
      <c r="AG26" s="15">
        <v>4.1000000000000003E-3</v>
      </c>
      <c r="AH26" s="15"/>
      <c r="AI26" s="15"/>
      <c r="AJ26" s="15">
        <v>15</v>
      </c>
      <c r="AM26" s="13"/>
      <c r="AO26" s="15">
        <v>10</v>
      </c>
      <c r="AP26" s="15" t="e">
        <f>LN(25/Table2[[#This Row],[Temperature (C)]]/(1-SQRT((Table2[[#This Row],[Temperature (C)]]-5)/Table2[[#This Row],[Temperature (C)]])))/Table2[[#This Row],[b]]</f>
        <v>#DIV/0!</v>
      </c>
      <c r="AQ26" s="15">
        <f>IF(Table2[[#This Row],[b]]&lt;&gt;"",Table2[[#This Row],[T-5]], 0)</f>
        <v>0</v>
      </c>
      <c r="AT26" t="s">
        <v>503</v>
      </c>
      <c r="AU26">
        <v>300</v>
      </c>
      <c r="AV26" s="15">
        <v>5.2490822704573699</v>
      </c>
      <c r="AW26" s="15">
        <v>49.954751131221698</v>
      </c>
      <c r="AX26" s="15">
        <v>39.0697674418604</v>
      </c>
      <c r="AY26" s="15">
        <v>1.1490250696378701</v>
      </c>
      <c r="AZ26" s="15"/>
      <c r="BA26" s="15"/>
      <c r="BB26" s="15">
        <f>IF(OR(Table2[[#This Row],[Gas wt%]]&lt;&gt;"",Table2[[#This Row],[Loss]]&lt;&gt;""),Table2[[#This Row],[Gas wt%]]+Table2[[#This Row],[Loss]],"")</f>
        <v>1.1490250696378701</v>
      </c>
      <c r="BC26" s="15"/>
      <c r="BD26" s="15">
        <v>20.769230769230699</v>
      </c>
      <c r="BE26" s="15">
        <v>28.778280542986401</v>
      </c>
      <c r="BF26" s="15">
        <v>51.0697674418604</v>
      </c>
      <c r="BG26" s="15">
        <v>1.3953488372093199</v>
      </c>
      <c r="BH26" s="15">
        <f>100-SUM(Table2[[#This Row],[Solids wt%]:[Gas wt%]])</f>
        <v>4.5773740868226582</v>
      </c>
      <c r="BI26" s="15"/>
      <c r="BJ26" s="15"/>
      <c r="BK26" s="15"/>
      <c r="BL26" s="15"/>
      <c r="BM26" s="15"/>
      <c r="BN26" s="15"/>
      <c r="BO26" s="15"/>
      <c r="BP26" s="15"/>
      <c r="BQ26" s="15"/>
      <c r="BR26" s="15">
        <v>74.332268868291905</v>
      </c>
      <c r="BS26" s="15"/>
      <c r="BT26" s="15">
        <v>10.231213872832299</v>
      </c>
      <c r="BU26" s="15">
        <v>3.90901852861507</v>
      </c>
      <c r="BV26" s="15">
        <v>0.52770327161619002</v>
      </c>
      <c r="BW26" s="15"/>
      <c r="BX26" s="15"/>
      <c r="BY26" s="15">
        <v>68.963364541640701</v>
      </c>
      <c r="BZ26" s="15"/>
      <c r="CA26" s="15">
        <v>11.417391304347801</v>
      </c>
      <c r="CB26" s="15">
        <v>7.8754169358922796</v>
      </c>
      <c r="CC26" s="15"/>
      <c r="CD26" s="15">
        <v>0.72416215836436404</v>
      </c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>
        <v>0</v>
      </c>
    </row>
    <row r="27" spans="1:106" x14ac:dyDescent="0.25">
      <c r="A27" t="s">
        <v>119</v>
      </c>
      <c r="B27" t="s">
        <v>151</v>
      </c>
      <c r="C27">
        <v>2012</v>
      </c>
      <c r="D27" s="16" t="s">
        <v>118</v>
      </c>
      <c r="E27">
        <v>0</v>
      </c>
      <c r="F27" s="15">
        <v>20</v>
      </c>
      <c r="G27" s="15"/>
      <c r="H27" s="15"/>
      <c r="I27" s="15">
        <v>59</v>
      </c>
      <c r="J27" s="15">
        <v>14</v>
      </c>
      <c r="K27" s="15"/>
      <c r="L27" s="15">
        <f>IF(Table2[[#This Row],[Lipids wt%]]+Table2[[#This Row],[Protein wt%]]+Table2[[#This Row],[Carbs wt%]] =0,"",SUM(Table2[[#This Row],[Lipids wt%]],Table2[[#This Row],[Protein wt%]],Table2[[#This Row],[Carbs wt%]]))</f>
        <v>93</v>
      </c>
      <c r="M27" s="15">
        <f>100-Table2[[#This Row],[Lipids wt%]]-Table2[[#This Row],[Protein wt%]]-Table2[[#This Row],[Carbs wt%]]</f>
        <v>7</v>
      </c>
      <c r="U27">
        <v>68</v>
      </c>
      <c r="W27">
        <v>21</v>
      </c>
      <c r="X27">
        <v>6.5</v>
      </c>
      <c r="Y27">
        <v>2.7</v>
      </c>
      <c r="Z27" s="15"/>
      <c r="AA27" s="15"/>
      <c r="AB27" s="15"/>
      <c r="AC27" s="15"/>
      <c r="AD27" s="15"/>
      <c r="AE27" s="15"/>
      <c r="AF27" s="15"/>
      <c r="AG27" s="15">
        <v>4.1000000000000003E-3</v>
      </c>
      <c r="AH27" s="15"/>
      <c r="AI27" s="15"/>
      <c r="AJ27" s="15">
        <v>15</v>
      </c>
      <c r="AM27" s="13"/>
      <c r="AO27" s="15">
        <v>20</v>
      </c>
      <c r="AP27" s="15" t="e">
        <f>LN(25/Table2[[#This Row],[Temperature (C)]]/(1-SQRT((Table2[[#This Row],[Temperature (C)]]-5)/Table2[[#This Row],[Temperature (C)]])))/Table2[[#This Row],[b]]</f>
        <v>#DIV/0!</v>
      </c>
      <c r="AQ27" s="15">
        <f>IF(Table2[[#This Row],[b]]&lt;&gt;"",Table2[[#This Row],[T-5]], 0)</f>
        <v>0</v>
      </c>
      <c r="AT27" t="s">
        <v>503</v>
      </c>
      <c r="AU27">
        <v>300</v>
      </c>
      <c r="AV27" s="15">
        <v>4.3775423588680704</v>
      </c>
      <c r="AW27" s="15">
        <v>50.226244343891402</v>
      </c>
      <c r="AX27" s="15">
        <v>39.720930232558104</v>
      </c>
      <c r="AY27" s="15">
        <v>1.0654596100278499</v>
      </c>
      <c r="AZ27" s="15"/>
      <c r="BA27" s="15"/>
      <c r="BB27" s="15">
        <f>IF(OR(Table2[[#This Row],[Gas wt%]]&lt;&gt;"",Table2[[#This Row],[Loss]]&lt;&gt;""),Table2[[#This Row],[Gas wt%]]+Table2[[#This Row],[Loss]],"")</f>
        <v>1.0654596100278499</v>
      </c>
      <c r="BC27" s="15"/>
      <c r="BD27" s="15">
        <v>21.176470588235201</v>
      </c>
      <c r="BE27" s="15">
        <v>28.9140271493212</v>
      </c>
      <c r="BF27" s="15">
        <v>48</v>
      </c>
      <c r="BG27" s="15">
        <v>1.1162790697674101</v>
      </c>
      <c r="BH27" s="15">
        <f>100-SUM(Table2[[#This Row],[Solids wt%]:[Gas wt%]])</f>
        <v>4.609823454654574</v>
      </c>
      <c r="BI27" s="15"/>
      <c r="BJ27" s="15"/>
      <c r="BK27" s="15"/>
      <c r="BL27" s="15"/>
      <c r="BM27" s="15"/>
      <c r="BN27" s="15"/>
      <c r="BO27" s="15"/>
      <c r="BP27" s="15"/>
      <c r="BQ27" s="15"/>
      <c r="BR27" s="15">
        <v>74.814549419736693</v>
      </c>
      <c r="BS27" s="15"/>
      <c r="BT27" s="15">
        <v>9.0173410404624192</v>
      </c>
      <c r="BU27" s="15">
        <v>4.5270573166826704</v>
      </c>
      <c r="BV27" s="15">
        <v>0.63177174205532804</v>
      </c>
      <c r="BW27" s="15"/>
      <c r="BX27" s="15"/>
      <c r="BY27" s="15">
        <v>66.886204993912997</v>
      </c>
      <c r="BZ27" s="15"/>
      <c r="CA27" s="15">
        <v>14.669565217391201</v>
      </c>
      <c r="CB27" s="15">
        <v>6.9762673977961303</v>
      </c>
      <c r="CC27" s="15"/>
      <c r="CD27" s="15">
        <v>0.60238530176350702</v>
      </c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>
        <v>0</v>
      </c>
    </row>
    <row r="28" spans="1:106" x14ac:dyDescent="0.25">
      <c r="A28" t="s">
        <v>119</v>
      </c>
      <c r="B28" t="s">
        <v>151</v>
      </c>
      <c r="C28">
        <v>2012</v>
      </c>
      <c r="D28" s="16" t="s">
        <v>118</v>
      </c>
      <c r="E28">
        <v>0</v>
      </c>
      <c r="F28" s="15">
        <v>20</v>
      </c>
      <c r="G28" s="15"/>
      <c r="H28" s="15"/>
      <c r="I28" s="15">
        <v>59</v>
      </c>
      <c r="J28" s="15">
        <v>14</v>
      </c>
      <c r="K28" s="15"/>
      <c r="L28" s="15">
        <f>IF(Table2[[#This Row],[Lipids wt%]]+Table2[[#This Row],[Protein wt%]]+Table2[[#This Row],[Carbs wt%]] =0,"",SUM(Table2[[#This Row],[Lipids wt%]],Table2[[#This Row],[Protein wt%]],Table2[[#This Row],[Carbs wt%]]))</f>
        <v>93</v>
      </c>
      <c r="M28" s="15">
        <f>100-Table2[[#This Row],[Lipids wt%]]-Table2[[#This Row],[Protein wt%]]-Table2[[#This Row],[Carbs wt%]]</f>
        <v>7</v>
      </c>
      <c r="U28">
        <v>68</v>
      </c>
      <c r="W28">
        <v>21</v>
      </c>
      <c r="X28">
        <v>6.5</v>
      </c>
      <c r="Y28">
        <v>2.7</v>
      </c>
      <c r="Z28" s="15"/>
      <c r="AA28" s="15"/>
      <c r="AB28" s="15"/>
      <c r="AC28" s="15"/>
      <c r="AD28" s="15"/>
      <c r="AE28" s="15"/>
      <c r="AF28" s="15"/>
      <c r="AG28" s="15">
        <v>4.1000000000000003E-3</v>
      </c>
      <c r="AH28" s="15"/>
      <c r="AI28" s="15"/>
      <c r="AJ28" s="15">
        <v>15</v>
      </c>
      <c r="AM28" s="13"/>
      <c r="AO28" s="15">
        <v>40</v>
      </c>
      <c r="AP28" s="15" t="e">
        <f>LN(25/Table2[[#This Row],[Temperature (C)]]/(1-SQRT((Table2[[#This Row],[Temperature (C)]]-5)/Table2[[#This Row],[Temperature (C)]])))/Table2[[#This Row],[b]]</f>
        <v>#DIV/0!</v>
      </c>
      <c r="AQ28" s="15">
        <f>IF(Table2[[#This Row],[b]]&lt;&gt;"",Table2[[#This Row],[T-5]], 0)</f>
        <v>0</v>
      </c>
      <c r="AT28" t="s">
        <v>503</v>
      </c>
      <c r="AU28">
        <v>300</v>
      </c>
      <c r="AV28" s="15">
        <v>2.7204480063496899</v>
      </c>
      <c r="AW28" s="15">
        <v>47.511312217194501</v>
      </c>
      <c r="AX28" s="15">
        <v>37.767441860465098</v>
      </c>
      <c r="AY28" s="15"/>
      <c r="AZ28" s="15"/>
      <c r="BA28" s="15"/>
      <c r="BB28" s="15" t="str">
        <f>IF(OR(Table2[[#This Row],[Gas wt%]]&lt;&gt;"",Table2[[#This Row],[Loss]]&lt;&gt;""),Table2[[#This Row],[Gas wt%]]+Table2[[#This Row],[Loss]],"")</f>
        <v/>
      </c>
      <c r="BC28" s="15"/>
      <c r="BD28" s="15">
        <v>21.312217194570099</v>
      </c>
      <c r="BE28" s="15">
        <v>26.0633484162896</v>
      </c>
      <c r="BF28" s="15">
        <v>38.232558139534802</v>
      </c>
      <c r="BG28" s="15">
        <v>1.1162790697674101</v>
      </c>
      <c r="BH28" s="15">
        <f>100-SUM(Table2[[#This Row],[Solids wt%]:[Gas wt%]])</f>
        <v>12.000797915990717</v>
      </c>
      <c r="BI28" s="15"/>
      <c r="BJ28" s="15"/>
      <c r="BK28" s="15"/>
      <c r="BL28" s="15"/>
      <c r="BM28" s="15"/>
      <c r="BN28" s="15"/>
      <c r="BO28" s="15"/>
      <c r="BP28" s="15"/>
      <c r="BQ28" s="15"/>
      <c r="BR28" s="15">
        <v>75.796349663784795</v>
      </c>
      <c r="BS28" s="15"/>
      <c r="BT28" s="15">
        <v>7.8901734104046204</v>
      </c>
      <c r="BU28" s="15">
        <v>4.66790421545464</v>
      </c>
      <c r="BV28" s="15">
        <v>0.60935913127262298</v>
      </c>
      <c r="BW28" s="15"/>
      <c r="BX28" s="15"/>
      <c r="BY28" s="15">
        <v>72.894139903134501</v>
      </c>
      <c r="BZ28" s="15"/>
      <c r="CA28" s="15">
        <v>7.6869565217391198</v>
      </c>
      <c r="CB28" s="15">
        <v>7.0276094511289999</v>
      </c>
      <c r="CC28" s="15"/>
      <c r="CD28" s="15">
        <v>0.57397421485280598</v>
      </c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>
        <v>0</v>
      </c>
    </row>
    <row r="29" spans="1:106" x14ac:dyDescent="0.25">
      <c r="A29" t="s">
        <v>119</v>
      </c>
      <c r="B29" t="s">
        <v>151</v>
      </c>
      <c r="C29">
        <v>2012</v>
      </c>
      <c r="D29" s="16" t="s">
        <v>118</v>
      </c>
      <c r="E29">
        <v>0</v>
      </c>
      <c r="F29" s="15">
        <v>20</v>
      </c>
      <c r="G29" s="15"/>
      <c r="H29" s="15"/>
      <c r="I29" s="15">
        <v>59</v>
      </c>
      <c r="J29" s="15">
        <v>14</v>
      </c>
      <c r="K29" s="15"/>
      <c r="L29" s="15">
        <f>IF(Table2[[#This Row],[Lipids wt%]]+Table2[[#This Row],[Protein wt%]]+Table2[[#This Row],[Carbs wt%]] =0,"",SUM(Table2[[#This Row],[Lipids wt%]],Table2[[#This Row],[Protein wt%]],Table2[[#This Row],[Carbs wt%]]))</f>
        <v>93</v>
      </c>
      <c r="M29" s="15">
        <f>100-Table2[[#This Row],[Lipids wt%]]-Table2[[#This Row],[Protein wt%]]-Table2[[#This Row],[Carbs wt%]]</f>
        <v>7</v>
      </c>
      <c r="U29">
        <v>68</v>
      </c>
      <c r="W29">
        <v>21</v>
      </c>
      <c r="X29">
        <v>6.5</v>
      </c>
      <c r="Y29">
        <v>2.7</v>
      </c>
      <c r="Z29" s="15"/>
      <c r="AA29" s="15"/>
      <c r="AB29" s="15"/>
      <c r="AC29" s="15"/>
      <c r="AD29" s="15"/>
      <c r="AE29" s="15"/>
      <c r="AF29" s="15"/>
      <c r="AG29" s="15">
        <v>4.1000000000000003E-3</v>
      </c>
      <c r="AH29" s="15"/>
      <c r="AI29" s="15"/>
      <c r="AJ29" s="15">
        <v>15</v>
      </c>
      <c r="AM29" s="13"/>
      <c r="AO29" s="15">
        <v>60</v>
      </c>
      <c r="AP29" s="15" t="e">
        <f>LN(25/Table2[[#This Row],[Temperature (C)]]/(1-SQRT((Table2[[#This Row],[Temperature (C)]]-5)/Table2[[#This Row],[Temperature (C)]])))/Table2[[#This Row],[b]]</f>
        <v>#DIV/0!</v>
      </c>
      <c r="AQ29" s="15">
        <f>IF(Table2[[#This Row],[b]]&lt;&gt;"",Table2[[#This Row],[T-5]], 0)</f>
        <v>0</v>
      </c>
      <c r="AT29" t="s">
        <v>503</v>
      </c>
      <c r="AU29">
        <v>300</v>
      </c>
      <c r="AV29" s="15">
        <v>2.5719577127864799</v>
      </c>
      <c r="AW29" s="15">
        <v>40.1809954751131</v>
      </c>
      <c r="AX29" s="15">
        <v>53.0697674418604</v>
      </c>
      <c r="AY29" s="15">
        <v>1.71309192200557</v>
      </c>
      <c r="AZ29" s="15"/>
      <c r="BA29" s="15"/>
      <c r="BB29" s="15">
        <f>IF(OR(Table2[[#This Row],[Gas wt%]]&lt;&gt;"",Table2[[#This Row],[Loss]]&lt;&gt;""),Table2[[#This Row],[Gas wt%]]+Table2[[#This Row],[Loss]],"")</f>
        <v>1.71309192200557</v>
      </c>
      <c r="BC29" s="15"/>
      <c r="BD29" s="15">
        <v>19.411764705882302</v>
      </c>
      <c r="BE29" s="15">
        <v>20.3619909502262</v>
      </c>
      <c r="BF29" s="15">
        <v>38.790697674418603</v>
      </c>
      <c r="BG29" s="15">
        <v>17.023255813953401</v>
      </c>
      <c r="BH29" s="15">
        <f>100-SUM(Table2[[#This Row],[Solids wt%]:[Gas wt%]])</f>
        <v>2.4641874482344548</v>
      </c>
      <c r="BI29" s="15"/>
      <c r="BJ29" s="15"/>
      <c r="BK29" s="15"/>
      <c r="BL29" s="15"/>
      <c r="BM29" s="15"/>
      <c r="BN29" s="15"/>
      <c r="BO29" s="15"/>
      <c r="BP29" s="15"/>
      <c r="BQ29" s="15"/>
      <c r="BR29" s="15">
        <v>76.017291066282397</v>
      </c>
      <c r="BS29" s="15"/>
      <c r="BT29" s="15">
        <v>8.2947976878612693</v>
      </c>
      <c r="BU29" s="15">
        <v>4.23251205095585</v>
      </c>
      <c r="BV29" s="15">
        <v>0.53507287136619697</v>
      </c>
      <c r="BW29" s="15"/>
      <c r="BX29" s="15"/>
      <c r="BY29" s="15">
        <v>73.109906375077699</v>
      </c>
      <c r="BZ29" s="15"/>
      <c r="CA29" s="15">
        <v>7.6869565217391198</v>
      </c>
      <c r="CB29" s="15">
        <v>6.3390671113982799</v>
      </c>
      <c r="CC29" s="15"/>
      <c r="CD29" s="15">
        <v>0.51355125412773095</v>
      </c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>
        <v>0</v>
      </c>
    </row>
    <row r="30" spans="1:106" x14ac:dyDescent="0.25">
      <c r="A30" t="s">
        <v>119</v>
      </c>
      <c r="B30" t="s">
        <v>151</v>
      </c>
      <c r="C30">
        <v>2012</v>
      </c>
      <c r="D30" s="16" t="s">
        <v>118</v>
      </c>
      <c r="E30">
        <v>0</v>
      </c>
      <c r="F30" s="15">
        <v>20</v>
      </c>
      <c r="G30" s="15"/>
      <c r="H30" s="15"/>
      <c r="I30" s="15">
        <v>59</v>
      </c>
      <c r="J30" s="15">
        <v>14</v>
      </c>
      <c r="K30" s="15"/>
      <c r="L30" s="15">
        <f>IF(Table2[[#This Row],[Lipids wt%]]+Table2[[#This Row],[Protein wt%]]+Table2[[#This Row],[Carbs wt%]] =0,"",SUM(Table2[[#This Row],[Lipids wt%]],Table2[[#This Row],[Protein wt%]],Table2[[#This Row],[Carbs wt%]]))</f>
        <v>93</v>
      </c>
      <c r="M30" s="15">
        <f>100-Table2[[#This Row],[Lipids wt%]]-Table2[[#This Row],[Protein wt%]]-Table2[[#This Row],[Carbs wt%]]</f>
        <v>7</v>
      </c>
      <c r="U30">
        <v>68</v>
      </c>
      <c r="W30">
        <v>21</v>
      </c>
      <c r="X30">
        <v>6.5</v>
      </c>
      <c r="Y30">
        <v>2.7</v>
      </c>
      <c r="Z30" s="15"/>
      <c r="AA30" s="15"/>
      <c r="AB30" s="15"/>
      <c r="AC30" s="15"/>
      <c r="AD30" s="15"/>
      <c r="AE30" s="15"/>
      <c r="AF30" s="15"/>
      <c r="AG30" s="15">
        <v>4.1000000000000003E-3</v>
      </c>
      <c r="AH30" s="15"/>
      <c r="AI30" s="15"/>
      <c r="AJ30" s="15">
        <v>15</v>
      </c>
      <c r="AM30" s="13"/>
      <c r="AO30" s="15">
        <v>90</v>
      </c>
      <c r="AP30" s="15" t="e">
        <f>LN(25/Table2[[#This Row],[Temperature (C)]]/(1-SQRT((Table2[[#This Row],[Temperature (C)]]-5)/Table2[[#This Row],[Temperature (C)]])))/Table2[[#This Row],[b]]</f>
        <v>#DIV/0!</v>
      </c>
      <c r="AQ30" s="15">
        <f>IF(Table2[[#This Row],[b]]&lt;&gt;"",Table2[[#This Row],[T-5]], 0)</f>
        <v>0</v>
      </c>
      <c r="AT30" t="s">
        <v>503</v>
      </c>
      <c r="AU30">
        <v>300</v>
      </c>
      <c r="AV30" s="15">
        <v>2.1980311531974399</v>
      </c>
      <c r="AW30" s="15">
        <v>39.909502262443397</v>
      </c>
      <c r="AX30" s="15">
        <v>52.093023255813897</v>
      </c>
      <c r="AY30" s="15">
        <v>3.30083565459609</v>
      </c>
      <c r="AZ30" s="15"/>
      <c r="BA30" s="15"/>
      <c r="BB30" s="15">
        <f>IF(OR(Table2[[#This Row],[Gas wt%]]&lt;&gt;"",Table2[[#This Row],[Loss]]&lt;&gt;""),Table2[[#This Row],[Gas wt%]]+Table2[[#This Row],[Loss]],"")</f>
        <v>3.30083565459609</v>
      </c>
      <c r="BC30" s="15"/>
      <c r="BD30" s="15">
        <v>19.8190045248868</v>
      </c>
      <c r="BE30" s="15">
        <v>19.954751131221698</v>
      </c>
      <c r="BF30" s="15">
        <v>40.1860465116279</v>
      </c>
      <c r="BG30" s="15">
        <v>14.790697674418601</v>
      </c>
      <c r="BH30" s="15">
        <f>100-SUM(Table2[[#This Row],[Solids wt%]:[Gas wt%]])</f>
        <v>2.4986076739491807</v>
      </c>
      <c r="BI30" s="15"/>
      <c r="BJ30" s="15"/>
      <c r="BK30" s="15"/>
      <c r="BL30" s="15"/>
      <c r="BM30" s="15"/>
      <c r="BN30" s="15"/>
      <c r="BO30" s="15"/>
      <c r="BP30" s="15"/>
      <c r="BQ30" s="15"/>
      <c r="BR30" s="15">
        <v>75.026040449671498</v>
      </c>
      <c r="BS30" s="15"/>
      <c r="BT30" s="15">
        <v>8.0924855491329399</v>
      </c>
      <c r="BU30" s="15">
        <v>5.3227665706051797</v>
      </c>
      <c r="BV30" s="15">
        <v>0.63689313646346002</v>
      </c>
      <c r="BW30" s="15"/>
      <c r="BX30" s="15"/>
      <c r="BY30" s="15">
        <v>71.595442244195496</v>
      </c>
      <c r="BZ30" s="15"/>
      <c r="CA30" s="15">
        <v>9.0260869565217305</v>
      </c>
      <c r="CB30" s="15">
        <v>7.2716064474442499</v>
      </c>
      <c r="CC30" s="15"/>
      <c r="CD30" s="15">
        <v>0.61047389868615098</v>
      </c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>
        <v>0</v>
      </c>
    </row>
    <row r="31" spans="1:106" x14ac:dyDescent="0.25">
      <c r="A31" t="s">
        <v>119</v>
      </c>
      <c r="B31" t="s">
        <v>151</v>
      </c>
      <c r="C31">
        <v>2012</v>
      </c>
      <c r="D31" s="16" t="s">
        <v>118</v>
      </c>
      <c r="E31">
        <v>0</v>
      </c>
      <c r="F31" s="15">
        <v>20</v>
      </c>
      <c r="G31" s="15"/>
      <c r="H31" s="15"/>
      <c r="I31" s="15">
        <v>59</v>
      </c>
      <c r="J31" s="15">
        <v>14</v>
      </c>
      <c r="K31" s="15"/>
      <c r="L31" s="15">
        <f>IF(Table2[[#This Row],[Lipids wt%]]+Table2[[#This Row],[Protein wt%]]+Table2[[#This Row],[Carbs wt%]] =0,"",SUM(Table2[[#This Row],[Lipids wt%]],Table2[[#This Row],[Protein wt%]],Table2[[#This Row],[Carbs wt%]]))</f>
        <v>93</v>
      </c>
      <c r="M31" s="15">
        <f>100-Table2[[#This Row],[Lipids wt%]]-Table2[[#This Row],[Protein wt%]]-Table2[[#This Row],[Carbs wt%]]</f>
        <v>7</v>
      </c>
      <c r="U31">
        <v>68</v>
      </c>
      <c r="W31">
        <v>21</v>
      </c>
      <c r="X31">
        <v>6.5</v>
      </c>
      <c r="Y31">
        <v>2.7</v>
      </c>
      <c r="Z31" s="15"/>
      <c r="AA31" s="15"/>
      <c r="AB31" s="15"/>
      <c r="AC31" s="15"/>
      <c r="AD31" s="15"/>
      <c r="AE31" s="15"/>
      <c r="AF31" s="15"/>
      <c r="AG31" s="15">
        <v>4.1000000000000003E-3</v>
      </c>
      <c r="AH31" s="15"/>
      <c r="AI31" s="15"/>
      <c r="AJ31" s="15">
        <v>15</v>
      </c>
      <c r="AM31" s="13"/>
      <c r="AO31" s="15">
        <v>10</v>
      </c>
      <c r="AP31" s="15" t="e">
        <f>LN(25/Table2[[#This Row],[Temperature (C)]]/(1-SQRT((Table2[[#This Row],[Temperature (C)]]-5)/Table2[[#This Row],[Temperature (C)]])))/Table2[[#This Row],[b]]</f>
        <v>#DIV/0!</v>
      </c>
      <c r="AQ31" s="15">
        <f>IF(Table2[[#This Row],[b]]&lt;&gt;"",Table2[[#This Row],[T-5]], 0)</f>
        <v>0</v>
      </c>
      <c r="AT31" t="s">
        <v>503</v>
      </c>
      <c r="AU31">
        <v>350</v>
      </c>
      <c r="AV31" s="15">
        <v>4.8178320637615304</v>
      </c>
      <c r="AW31" s="15">
        <v>41.809954751131201</v>
      </c>
      <c r="AX31" s="15">
        <v>46.883720930232499</v>
      </c>
      <c r="AY31" s="15">
        <v>2.75766016713091</v>
      </c>
      <c r="AZ31" s="15"/>
      <c r="BA31" s="15"/>
      <c r="BB31" s="15">
        <f>IF(OR(Table2[[#This Row],[Gas wt%]]&lt;&gt;"",Table2[[#This Row],[Loss]]&lt;&gt;""),Table2[[#This Row],[Gas wt%]]+Table2[[#This Row],[Loss]],"")</f>
        <v>2.75766016713091</v>
      </c>
      <c r="BC31" s="15"/>
      <c r="BD31" s="15">
        <v>17.647058823529399</v>
      </c>
      <c r="BE31" s="15">
        <v>24.027149321266901</v>
      </c>
      <c r="BF31" s="15">
        <v>31.5348837209302</v>
      </c>
      <c r="BG31" s="15">
        <v>16.744186046511601</v>
      </c>
      <c r="BH31" s="15">
        <f>100-SUM(Table2[[#This Row],[Solids wt%]:[Gas wt%]])</f>
        <v>3.7308320877438632</v>
      </c>
      <c r="BI31" s="15"/>
      <c r="BJ31" s="15"/>
      <c r="BK31" s="15"/>
      <c r="BL31" s="15"/>
      <c r="BM31" s="15"/>
      <c r="BN31" s="15"/>
      <c r="BO31" s="15"/>
      <c r="BP31" s="15"/>
      <c r="BQ31" s="15"/>
      <c r="BR31" s="15">
        <v>74.591634862528196</v>
      </c>
      <c r="BS31" s="15"/>
      <c r="BT31" s="15">
        <v>9.6531791907514393</v>
      </c>
      <c r="BU31" s="15">
        <v>4.3269725056468502</v>
      </c>
      <c r="BV31" s="15">
        <v>0.55652196557381295</v>
      </c>
      <c r="BW31" s="15"/>
      <c r="BX31" s="15"/>
      <c r="BY31" s="15">
        <v>69.067306597535406</v>
      </c>
      <c r="BZ31" s="15"/>
      <c r="CA31" s="15">
        <v>11.3217391304347</v>
      </c>
      <c r="CB31" s="15">
        <v>7.3668162687948602</v>
      </c>
      <c r="CC31" s="15"/>
      <c r="CD31" s="15">
        <v>0.62532494906203895</v>
      </c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>
        <v>0</v>
      </c>
    </row>
    <row r="32" spans="1:106" x14ac:dyDescent="0.25">
      <c r="A32" t="s">
        <v>119</v>
      </c>
      <c r="B32" t="s">
        <v>151</v>
      </c>
      <c r="C32">
        <v>2012</v>
      </c>
      <c r="D32" s="16" t="s">
        <v>118</v>
      </c>
      <c r="E32">
        <v>0</v>
      </c>
      <c r="F32" s="15">
        <v>20</v>
      </c>
      <c r="G32" s="15"/>
      <c r="H32" s="15"/>
      <c r="I32" s="15">
        <v>59</v>
      </c>
      <c r="J32" s="15">
        <v>14</v>
      </c>
      <c r="K32" s="15"/>
      <c r="L32" s="15">
        <f>IF(Table2[[#This Row],[Lipids wt%]]+Table2[[#This Row],[Protein wt%]]+Table2[[#This Row],[Carbs wt%]] =0,"",SUM(Table2[[#This Row],[Lipids wt%]],Table2[[#This Row],[Protein wt%]],Table2[[#This Row],[Carbs wt%]]))</f>
        <v>93</v>
      </c>
      <c r="M32" s="15">
        <f>100-Table2[[#This Row],[Lipids wt%]]-Table2[[#This Row],[Protein wt%]]-Table2[[#This Row],[Carbs wt%]]</f>
        <v>7</v>
      </c>
      <c r="U32">
        <v>68</v>
      </c>
      <c r="W32">
        <v>21</v>
      </c>
      <c r="X32">
        <v>6.5</v>
      </c>
      <c r="Y32">
        <v>2.7</v>
      </c>
      <c r="Z32" s="15"/>
      <c r="AA32" s="15"/>
      <c r="AB32" s="15"/>
      <c r="AC32" s="15"/>
      <c r="AD32" s="15"/>
      <c r="AE32" s="15"/>
      <c r="AF32" s="15"/>
      <c r="AG32" s="15">
        <v>4.1000000000000003E-3</v>
      </c>
      <c r="AH32" s="15"/>
      <c r="AI32" s="15"/>
      <c r="AJ32" s="15">
        <v>15</v>
      </c>
      <c r="AM32" s="13"/>
      <c r="AO32" s="15">
        <v>20</v>
      </c>
      <c r="AP32" s="15" t="e">
        <f>LN(25/Table2[[#This Row],[Temperature (C)]]/(1-SQRT((Table2[[#This Row],[Temperature (C)]]-5)/Table2[[#This Row],[Temperature (C)]])))/Table2[[#This Row],[b]]</f>
        <v>#DIV/0!</v>
      </c>
      <c r="AQ32" s="15">
        <f>IF(Table2[[#This Row],[b]]&lt;&gt;"",Table2[[#This Row],[T-5]], 0)</f>
        <v>0</v>
      </c>
      <c r="AT32" t="s">
        <v>503</v>
      </c>
      <c r="AU32">
        <v>350</v>
      </c>
      <c r="AV32" s="15">
        <v>2.2223937032178398</v>
      </c>
      <c r="AW32" s="15">
        <v>39.366515837103996</v>
      </c>
      <c r="AX32" s="15">
        <v>53.0697674418604</v>
      </c>
      <c r="AY32" s="15">
        <v>2.54874651810584</v>
      </c>
      <c r="AZ32" s="15"/>
      <c r="BA32" s="15"/>
      <c r="BB32" s="15">
        <f>IF(OR(Table2[[#This Row],[Gas wt%]]&lt;&gt;"",Table2[[#This Row],[Loss]]&lt;&gt;""),Table2[[#This Row],[Gas wt%]]+Table2[[#This Row],[Loss]],"")</f>
        <v>2.54874651810584</v>
      </c>
      <c r="BC32" s="15"/>
      <c r="BD32" s="15">
        <v>17.918552036198999</v>
      </c>
      <c r="BE32" s="15">
        <v>21.447963800904901</v>
      </c>
      <c r="BF32" s="15">
        <v>27.906976744186</v>
      </c>
      <c r="BG32" s="15">
        <v>26.232558139534898</v>
      </c>
      <c r="BH32" s="15">
        <f>100-SUM(Table2[[#This Row],[Solids wt%]:[Gas wt%]])</f>
        <v>2.7925764997119131</v>
      </c>
      <c r="BI32" s="15"/>
      <c r="BJ32" s="15"/>
      <c r="BK32" s="15"/>
      <c r="BL32" s="15"/>
      <c r="BM32" s="15"/>
      <c r="BN32" s="15"/>
      <c r="BO32" s="15"/>
      <c r="BP32" s="15"/>
      <c r="BQ32" s="15"/>
      <c r="BR32" s="15">
        <v>74.347690630111302</v>
      </c>
      <c r="BS32" s="15"/>
      <c r="BT32" s="15">
        <v>9.5664739884393004</v>
      </c>
      <c r="BU32" s="15">
        <v>4.8873311351697497</v>
      </c>
      <c r="BV32" s="15">
        <v>0.600079859031448</v>
      </c>
      <c r="BW32" s="15"/>
      <c r="BX32" s="15"/>
      <c r="BY32" s="15">
        <v>71.984620639522106</v>
      </c>
      <c r="BZ32" s="15"/>
      <c r="CA32" s="15">
        <v>8.3565217391304198</v>
      </c>
      <c r="CB32" s="15">
        <v>7.3462095943279202</v>
      </c>
      <c r="CC32" s="15"/>
      <c r="CD32" s="15">
        <v>0.61983594463570502</v>
      </c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>
        <v>0</v>
      </c>
    </row>
    <row r="33" spans="1:106" x14ac:dyDescent="0.25">
      <c r="A33" t="s">
        <v>119</v>
      </c>
      <c r="B33" t="s">
        <v>151</v>
      </c>
      <c r="C33">
        <v>2012</v>
      </c>
      <c r="D33" s="16" t="s">
        <v>118</v>
      </c>
      <c r="E33">
        <v>0</v>
      </c>
      <c r="F33" s="15">
        <v>20</v>
      </c>
      <c r="G33" s="15"/>
      <c r="H33" s="15"/>
      <c r="I33" s="15">
        <v>59</v>
      </c>
      <c r="J33" s="15">
        <v>14</v>
      </c>
      <c r="K33" s="15"/>
      <c r="L33" s="15">
        <f>IF(Table2[[#This Row],[Lipids wt%]]+Table2[[#This Row],[Protein wt%]]+Table2[[#This Row],[Carbs wt%]] =0,"",SUM(Table2[[#This Row],[Lipids wt%]],Table2[[#This Row],[Protein wt%]],Table2[[#This Row],[Carbs wt%]]))</f>
        <v>93</v>
      </c>
      <c r="M33" s="15">
        <f>100-Table2[[#This Row],[Lipids wt%]]-Table2[[#This Row],[Protein wt%]]-Table2[[#This Row],[Carbs wt%]]</f>
        <v>7</v>
      </c>
      <c r="U33">
        <v>68</v>
      </c>
      <c r="W33">
        <v>21</v>
      </c>
      <c r="X33">
        <v>6.5</v>
      </c>
      <c r="Y33">
        <v>2.7</v>
      </c>
      <c r="Z33" s="15"/>
      <c r="AA33" s="15"/>
      <c r="AB33" s="15"/>
      <c r="AC33" s="15"/>
      <c r="AD33" s="15"/>
      <c r="AE33" s="15"/>
      <c r="AF33" s="15"/>
      <c r="AG33" s="15">
        <v>4.1000000000000003E-3</v>
      </c>
      <c r="AH33" s="15"/>
      <c r="AI33" s="15"/>
      <c r="AJ33" s="15">
        <v>15</v>
      </c>
      <c r="AM33" s="13"/>
      <c r="AO33" s="15">
        <v>40</v>
      </c>
      <c r="AP33" s="15" t="e">
        <f>LN(25/Table2[[#This Row],[Temperature (C)]]/(1-SQRT((Table2[[#This Row],[Temperature (C)]]-5)/Table2[[#This Row],[Temperature (C)]])))/Table2[[#This Row],[b]]</f>
        <v>#DIV/0!</v>
      </c>
      <c r="AQ33" s="15">
        <f>IF(Table2[[#This Row],[b]]&lt;&gt;"",Table2[[#This Row],[T-5]], 0)</f>
        <v>0</v>
      </c>
      <c r="AT33" t="s">
        <v>503</v>
      </c>
      <c r="AU33">
        <v>350</v>
      </c>
      <c r="AV33" s="15">
        <v>3.5391840199309899</v>
      </c>
      <c r="AW33" s="15">
        <v>42.895927601809902</v>
      </c>
      <c r="AX33" s="15">
        <v>46.232558139534802</v>
      </c>
      <c r="AY33" s="15">
        <v>4.1991643454038901</v>
      </c>
      <c r="AZ33" s="15"/>
      <c r="BA33" s="15"/>
      <c r="BB33" s="15">
        <f>IF(OR(Table2[[#This Row],[Gas wt%]]&lt;&gt;"",Table2[[#This Row],[Loss]]&lt;&gt;""),Table2[[#This Row],[Gas wt%]]+Table2[[#This Row],[Loss]],"")</f>
        <v>4.1991643454038901</v>
      </c>
      <c r="BC33" s="15"/>
      <c r="BD33" s="15">
        <v>21.583710407239799</v>
      </c>
      <c r="BE33" s="15">
        <v>21.447963800904901</v>
      </c>
      <c r="BF33" s="15">
        <v>26.511627906976699</v>
      </c>
      <c r="BG33" s="15">
        <v>26.790697674418499</v>
      </c>
      <c r="BH33" s="15">
        <f>100-SUM(Table2[[#This Row],[Solids wt%]:[Gas wt%]])</f>
        <v>3.1331658933204096</v>
      </c>
      <c r="BI33" s="15"/>
      <c r="BJ33" s="15"/>
      <c r="BK33" s="15"/>
      <c r="BL33" s="15"/>
      <c r="BM33" s="15"/>
      <c r="BN33" s="15"/>
      <c r="BO33" s="15"/>
      <c r="BP33" s="15"/>
      <c r="BQ33" s="15"/>
      <c r="BR33" s="15">
        <v>75.830931796349603</v>
      </c>
      <c r="BS33" s="15"/>
      <c r="BT33" s="15">
        <v>8.1791907514450806</v>
      </c>
      <c r="BU33" s="15">
        <v>4.6823999792299498</v>
      </c>
      <c r="BV33" s="15">
        <v>0.45373818390145998</v>
      </c>
      <c r="BW33" s="15"/>
      <c r="BX33" s="15"/>
      <c r="BY33" s="15">
        <v>73.275435938307396</v>
      </c>
      <c r="BZ33" s="15"/>
      <c r="CA33" s="15">
        <v>7.59130434782608</v>
      </c>
      <c r="CB33" s="15">
        <v>6.63447601418018</v>
      </c>
      <c r="CC33" s="15"/>
      <c r="CD33" s="15">
        <v>0.53326775802711901</v>
      </c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>
        <v>0</v>
      </c>
    </row>
    <row r="34" spans="1:106" x14ac:dyDescent="0.25">
      <c r="A34" t="s">
        <v>119</v>
      </c>
      <c r="B34" t="s">
        <v>151</v>
      </c>
      <c r="C34">
        <v>2012</v>
      </c>
      <c r="D34" s="16" t="s">
        <v>118</v>
      </c>
      <c r="E34">
        <v>0</v>
      </c>
      <c r="F34" s="15">
        <v>20</v>
      </c>
      <c r="G34" s="15"/>
      <c r="H34" s="15"/>
      <c r="I34" s="15">
        <v>59</v>
      </c>
      <c r="J34" s="15">
        <v>14</v>
      </c>
      <c r="K34" s="15"/>
      <c r="L34" s="15">
        <f>IF(Table2[[#This Row],[Lipids wt%]]+Table2[[#This Row],[Protein wt%]]+Table2[[#This Row],[Carbs wt%]] =0,"",SUM(Table2[[#This Row],[Lipids wt%]],Table2[[#This Row],[Protein wt%]],Table2[[#This Row],[Carbs wt%]]))</f>
        <v>93</v>
      </c>
      <c r="M34" s="15">
        <f>100-Table2[[#This Row],[Lipids wt%]]-Table2[[#This Row],[Protein wt%]]-Table2[[#This Row],[Carbs wt%]]</f>
        <v>7</v>
      </c>
      <c r="U34">
        <v>68</v>
      </c>
      <c r="W34">
        <v>21</v>
      </c>
      <c r="X34">
        <v>6.5</v>
      </c>
      <c r="Y34">
        <v>2.7</v>
      </c>
      <c r="Z34" s="15"/>
      <c r="AA34" s="15"/>
      <c r="AB34" s="15"/>
      <c r="AC34" s="15"/>
      <c r="AD34" s="15"/>
      <c r="AE34" s="15"/>
      <c r="AF34" s="15"/>
      <c r="AG34" s="15">
        <v>4.1000000000000003E-3</v>
      </c>
      <c r="AH34" s="15"/>
      <c r="AI34" s="15"/>
      <c r="AJ34" s="15">
        <v>15</v>
      </c>
      <c r="AM34" s="13"/>
      <c r="AO34" s="15">
        <v>60</v>
      </c>
      <c r="AP34" s="15" t="e">
        <f>LN(25/Table2[[#This Row],[Temperature (C)]]/(1-SQRT((Table2[[#This Row],[Temperature (C)]]-5)/Table2[[#This Row],[Temperature (C)]])))/Table2[[#This Row],[b]]</f>
        <v>#DIV/0!</v>
      </c>
      <c r="AQ34" s="15">
        <f>IF(Table2[[#This Row],[b]]&lt;&gt;"",Table2[[#This Row],[T-5]], 0)</f>
        <v>0</v>
      </c>
      <c r="AT34" t="s">
        <v>503</v>
      </c>
      <c r="AU34">
        <v>350</v>
      </c>
      <c r="AV34" s="15">
        <v>1.9249721649598099</v>
      </c>
      <c r="AW34" s="15">
        <v>41.538461538461497</v>
      </c>
      <c r="AX34" s="15">
        <v>48.1860465116279</v>
      </c>
      <c r="AY34" s="15">
        <v>5.8704735376044503</v>
      </c>
      <c r="AZ34" s="15"/>
      <c r="BA34" s="15"/>
      <c r="BB34" s="15">
        <f>IF(OR(Table2[[#This Row],[Gas wt%]]&lt;&gt;"",Table2[[#This Row],[Loss]]&lt;&gt;""),Table2[[#This Row],[Gas wt%]]+Table2[[#This Row],[Loss]],"")</f>
        <v>5.8704735376044503</v>
      </c>
      <c r="BC34" s="15"/>
      <c r="BD34" s="15">
        <v>23.619909502262399</v>
      </c>
      <c r="BE34" s="15">
        <v>16.6968325791855</v>
      </c>
      <c r="BF34" s="15">
        <v>18.9767441860464</v>
      </c>
      <c r="BG34" s="15">
        <v>31.8139534883721</v>
      </c>
      <c r="BH34" s="15">
        <f>100-SUM(Table2[[#This Row],[Solids wt%]:[Gas wt%]])</f>
        <v>2.4800462473463369</v>
      </c>
      <c r="BI34" s="15"/>
      <c r="BJ34" s="15"/>
      <c r="BK34" s="15"/>
      <c r="BL34" s="15"/>
      <c r="BM34" s="15"/>
      <c r="BN34" s="15"/>
      <c r="BO34" s="15"/>
      <c r="BP34" s="15"/>
      <c r="BQ34" s="15"/>
      <c r="BR34" s="15">
        <v>75.740634005763596</v>
      </c>
      <c r="BS34" s="15"/>
      <c r="BT34" s="15">
        <v>8.4104046242774508</v>
      </c>
      <c r="BU34" s="15">
        <v>4.50624399615754</v>
      </c>
      <c r="BV34" s="15">
        <v>0.49760856922128699</v>
      </c>
      <c r="BW34" s="15"/>
      <c r="BX34" s="15"/>
      <c r="BY34" s="15">
        <v>73.491412606521294</v>
      </c>
      <c r="BZ34" s="15"/>
      <c r="CA34" s="15">
        <v>7.1130434782608596</v>
      </c>
      <c r="CB34" s="15">
        <v>6.7322005483470999</v>
      </c>
      <c r="CC34" s="15"/>
      <c r="CD34" s="15">
        <v>0.53973160963956901</v>
      </c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>
        <v>0</v>
      </c>
    </row>
    <row r="35" spans="1:106" x14ac:dyDescent="0.25">
      <c r="A35" t="s">
        <v>119</v>
      </c>
      <c r="B35" t="s">
        <v>151</v>
      </c>
      <c r="C35">
        <v>2012</v>
      </c>
      <c r="D35" s="16" t="s">
        <v>118</v>
      </c>
      <c r="E35">
        <v>0</v>
      </c>
      <c r="F35" s="15">
        <v>20</v>
      </c>
      <c r="G35" s="15"/>
      <c r="H35" s="15"/>
      <c r="I35" s="15">
        <v>59</v>
      </c>
      <c r="J35" s="15">
        <v>14</v>
      </c>
      <c r="K35" s="15"/>
      <c r="L35" s="15">
        <f>IF(Table2[[#This Row],[Lipids wt%]]+Table2[[#This Row],[Protein wt%]]+Table2[[#This Row],[Carbs wt%]] =0,"",SUM(Table2[[#This Row],[Lipids wt%]],Table2[[#This Row],[Protein wt%]],Table2[[#This Row],[Carbs wt%]]))</f>
        <v>93</v>
      </c>
      <c r="M35" s="15">
        <f>100-Table2[[#This Row],[Lipids wt%]]-Table2[[#This Row],[Protein wt%]]-Table2[[#This Row],[Carbs wt%]]</f>
        <v>7</v>
      </c>
      <c r="U35">
        <v>68</v>
      </c>
      <c r="W35">
        <v>21</v>
      </c>
      <c r="X35">
        <v>6.5</v>
      </c>
      <c r="Y35">
        <v>2.7</v>
      </c>
      <c r="Z35" s="15"/>
      <c r="AA35" s="15"/>
      <c r="AB35" s="15"/>
      <c r="AC35" s="15"/>
      <c r="AD35" s="15"/>
      <c r="AE35" s="15"/>
      <c r="AF35" s="15"/>
      <c r="AG35" s="15">
        <v>4.1000000000000003E-3</v>
      </c>
      <c r="AH35" s="15"/>
      <c r="AI35" s="15"/>
      <c r="AJ35" s="15">
        <v>15</v>
      </c>
      <c r="AM35" s="13"/>
      <c r="AO35" s="15">
        <v>90</v>
      </c>
      <c r="AP35" s="15" t="e">
        <f>LN(25/Table2[[#This Row],[Temperature (C)]]/(1-SQRT((Table2[[#This Row],[Temperature (C)]]-5)/Table2[[#This Row],[Temperature (C)]])))/Table2[[#This Row],[b]]</f>
        <v>#DIV/0!</v>
      </c>
      <c r="AQ35" s="15">
        <f>IF(Table2[[#This Row],[b]]&lt;&gt;"",Table2[[#This Row],[T-5]], 0)</f>
        <v>0</v>
      </c>
      <c r="AT35" t="s">
        <v>503</v>
      </c>
      <c r="AU35">
        <v>350</v>
      </c>
      <c r="AV35" s="15">
        <v>2.1551486556502302</v>
      </c>
      <c r="AW35" s="15">
        <v>42.081447963800898</v>
      </c>
      <c r="AX35" s="15">
        <v>52.418604651162703</v>
      </c>
      <c r="AY35" s="15">
        <v>11.4902506963788</v>
      </c>
      <c r="AZ35" s="15"/>
      <c r="BA35" s="15"/>
      <c r="BB35" s="15">
        <f>IF(OR(Table2[[#This Row],[Gas wt%]]&lt;&gt;"",Table2[[#This Row],[Loss]]&lt;&gt;""),Table2[[#This Row],[Gas wt%]]+Table2[[#This Row],[Loss]],"")</f>
        <v>11.4902506963788</v>
      </c>
      <c r="BC35" s="15"/>
      <c r="BD35" s="15">
        <v>23.2126696832579</v>
      </c>
      <c r="BE35" s="15">
        <v>18.190045248868799</v>
      </c>
      <c r="BF35" s="15">
        <v>20.651162790697601</v>
      </c>
      <c r="BG35" s="15">
        <v>33.488372093023202</v>
      </c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>
        <v>76.443855959706099</v>
      </c>
      <c r="BS35" s="15"/>
      <c r="BT35" s="15">
        <v>7.71676300578034</v>
      </c>
      <c r="BU35" s="15">
        <v>4.38616714697406</v>
      </c>
      <c r="BV35" s="15">
        <v>0.39482478754893502</v>
      </c>
      <c r="BW35" s="15"/>
      <c r="BX35" s="15"/>
      <c r="BY35" s="15">
        <v>74.335350633654102</v>
      </c>
      <c r="BZ35" s="15"/>
      <c r="CA35" s="15">
        <v>6.5391304347826003</v>
      </c>
      <c r="CB35" s="15">
        <v>6.5780346820809203</v>
      </c>
      <c r="CC35" s="15"/>
      <c r="CD35" s="15">
        <v>0.49418604651162701</v>
      </c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>
        <v>0</v>
      </c>
    </row>
    <row r="36" spans="1:106" x14ac:dyDescent="0.25">
      <c r="A36" t="s">
        <v>119</v>
      </c>
      <c r="B36" t="s">
        <v>151</v>
      </c>
      <c r="C36">
        <v>2012</v>
      </c>
      <c r="D36" s="16" t="s">
        <v>118</v>
      </c>
      <c r="E36">
        <v>0</v>
      </c>
      <c r="F36" s="15">
        <v>20</v>
      </c>
      <c r="G36" s="15"/>
      <c r="H36" s="15"/>
      <c r="I36" s="15">
        <v>59</v>
      </c>
      <c r="J36" s="15">
        <v>14</v>
      </c>
      <c r="K36" s="15"/>
      <c r="L36" s="15">
        <f>IF(Table2[[#This Row],[Lipids wt%]]+Table2[[#This Row],[Protein wt%]]+Table2[[#This Row],[Carbs wt%]] =0,"",SUM(Table2[[#This Row],[Lipids wt%]],Table2[[#This Row],[Protein wt%]],Table2[[#This Row],[Carbs wt%]]))</f>
        <v>93</v>
      </c>
      <c r="M36" s="15">
        <f>100-Table2[[#This Row],[Lipids wt%]]-Table2[[#This Row],[Protein wt%]]-Table2[[#This Row],[Carbs wt%]]</f>
        <v>7</v>
      </c>
      <c r="U36">
        <v>68</v>
      </c>
      <c r="W36">
        <v>21</v>
      </c>
      <c r="X36">
        <v>6.5</v>
      </c>
      <c r="Y36">
        <v>2.7</v>
      </c>
      <c r="Z36" s="15"/>
      <c r="AA36" s="15"/>
      <c r="AB36" s="15"/>
      <c r="AC36" s="15"/>
      <c r="AD36" s="15"/>
      <c r="AE36" s="15"/>
      <c r="AF36" s="15"/>
      <c r="AG36" s="15">
        <v>4.1000000000000003E-3</v>
      </c>
      <c r="AH36" s="15"/>
      <c r="AI36" s="15"/>
      <c r="AJ36" s="15">
        <v>15</v>
      </c>
      <c r="AM36" s="13"/>
      <c r="AO36" s="15">
        <v>10</v>
      </c>
      <c r="AP36" s="15" t="e">
        <f>LN(25/Table2[[#This Row],[Temperature (C)]]/(1-SQRT((Table2[[#This Row],[Temperature (C)]]-5)/Table2[[#This Row],[Temperature (C)]])))/Table2[[#This Row],[b]]</f>
        <v>#DIV/0!</v>
      </c>
      <c r="AQ36" s="15">
        <f>IF(Table2[[#This Row],[b]]&lt;&gt;"",Table2[[#This Row],[T-5]], 0)</f>
        <v>0</v>
      </c>
      <c r="AT36" t="s">
        <v>503</v>
      </c>
      <c r="AU36">
        <v>400</v>
      </c>
      <c r="AV36" s="15">
        <v>4.4301257813102897</v>
      </c>
      <c r="AW36" s="15">
        <v>38.280542986425303</v>
      </c>
      <c r="AX36" s="15">
        <v>41.999999999999901</v>
      </c>
      <c r="AY36" s="15"/>
      <c r="AZ36" s="15"/>
      <c r="BA36" s="15"/>
      <c r="BB36" s="15" t="str">
        <f>IF(OR(Table2[[#This Row],[Gas wt%]]&lt;&gt;"",Table2[[#This Row],[Loss]]&lt;&gt;""),Table2[[#This Row],[Gas wt%]]+Table2[[#This Row],[Loss]],"")</f>
        <v/>
      </c>
      <c r="BC36" s="15"/>
      <c r="BD36" s="15">
        <v>22.6696832579185</v>
      </c>
      <c r="BE36" s="15">
        <v>15.339366515837099</v>
      </c>
      <c r="BF36" s="15">
        <v>19.2558139534883</v>
      </c>
      <c r="BG36" s="15">
        <v>27.0697674418604</v>
      </c>
      <c r="BH36" s="15">
        <f>100-SUM(Table2[[#This Row],[Solids wt%]:[Gas wt%]])</f>
        <v>15.289331232264516</v>
      </c>
      <c r="BI36" s="15"/>
      <c r="BJ36" s="15"/>
      <c r="BK36" s="15"/>
      <c r="BL36" s="15"/>
      <c r="BM36" s="15"/>
      <c r="BN36" s="15"/>
      <c r="BO36" s="15"/>
      <c r="BP36" s="15"/>
      <c r="BQ36" s="15"/>
      <c r="BR36" s="15">
        <v>75.629202689721396</v>
      </c>
      <c r="BS36" s="15"/>
      <c r="BT36" s="15">
        <v>8.1213872832369898</v>
      </c>
      <c r="BU36" s="15">
        <v>4.9897101712663599</v>
      </c>
      <c r="BV36" s="15">
        <v>0.60263187590600897</v>
      </c>
      <c r="BW36" s="15"/>
      <c r="BX36" s="15"/>
      <c r="BY36" s="15">
        <v>73.749533627024206</v>
      </c>
      <c r="BZ36" s="15"/>
      <c r="CA36" s="15">
        <v>6.7304347826086799</v>
      </c>
      <c r="CB36" s="15">
        <v>7.2511394792448796</v>
      </c>
      <c r="CC36" s="15"/>
      <c r="CD36" s="15">
        <v>0.66892960022482895</v>
      </c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>
        <v>0</v>
      </c>
    </row>
    <row r="37" spans="1:106" x14ac:dyDescent="0.25">
      <c r="A37" t="s">
        <v>119</v>
      </c>
      <c r="B37" t="s">
        <v>151</v>
      </c>
      <c r="C37">
        <v>2012</v>
      </c>
      <c r="D37" s="16" t="s">
        <v>118</v>
      </c>
      <c r="E37">
        <v>0</v>
      </c>
      <c r="F37" s="15">
        <v>20</v>
      </c>
      <c r="G37" s="15"/>
      <c r="H37" s="15"/>
      <c r="I37" s="15">
        <v>59</v>
      </c>
      <c r="J37" s="15">
        <v>14</v>
      </c>
      <c r="K37" s="15"/>
      <c r="L37" s="15">
        <f>IF(Table2[[#This Row],[Lipids wt%]]+Table2[[#This Row],[Protein wt%]]+Table2[[#This Row],[Carbs wt%]] =0,"",SUM(Table2[[#This Row],[Lipids wt%]],Table2[[#This Row],[Protein wt%]],Table2[[#This Row],[Carbs wt%]]))</f>
        <v>93</v>
      </c>
      <c r="M37" s="15">
        <f>100-Table2[[#This Row],[Lipids wt%]]-Table2[[#This Row],[Protein wt%]]-Table2[[#This Row],[Carbs wt%]]</f>
        <v>7</v>
      </c>
      <c r="U37">
        <v>68</v>
      </c>
      <c r="W37">
        <v>21</v>
      </c>
      <c r="X37">
        <v>6.5</v>
      </c>
      <c r="Y37">
        <v>2.7</v>
      </c>
      <c r="Z37" s="15"/>
      <c r="AA37" s="15"/>
      <c r="AB37" s="15"/>
      <c r="AC37" s="15"/>
      <c r="AD37" s="15"/>
      <c r="AE37" s="15"/>
      <c r="AF37" s="15"/>
      <c r="AG37" s="15">
        <v>4.1000000000000003E-3</v>
      </c>
      <c r="AH37" s="15"/>
      <c r="AI37" s="15"/>
      <c r="AJ37" s="15">
        <v>15</v>
      </c>
      <c r="AM37" s="13"/>
      <c r="AO37" s="15">
        <v>20</v>
      </c>
      <c r="AP37" s="15" t="e">
        <f>LN(25/Table2[[#This Row],[Temperature (C)]]/(1-SQRT((Table2[[#This Row],[Temperature (C)]]-5)/Table2[[#This Row],[Temperature (C)]])))/Table2[[#This Row],[b]]</f>
        <v>#DIV/0!</v>
      </c>
      <c r="AQ37" s="15">
        <f>IF(Table2[[#This Row],[b]]&lt;&gt;"",Table2[[#This Row],[T-5]], 0)</f>
        <v>0</v>
      </c>
      <c r="AT37" t="s">
        <v>503</v>
      </c>
      <c r="AU37">
        <v>400</v>
      </c>
      <c r="AV37" s="15">
        <v>3.2137620848169401</v>
      </c>
      <c r="AW37" s="15">
        <v>38.009049773755599</v>
      </c>
      <c r="AX37" s="15">
        <v>45.2558139534883</v>
      </c>
      <c r="AY37" s="15">
        <v>10.1114206128133</v>
      </c>
      <c r="AZ37" s="15"/>
      <c r="BA37" s="15"/>
      <c r="BB37" s="15">
        <f>IF(OR(Table2[[#This Row],[Gas wt%]]&lt;&gt;"",Table2[[#This Row],[Loss]]&lt;&gt;""),Table2[[#This Row],[Gas wt%]]+Table2[[#This Row],[Loss]],"")</f>
        <v>10.1114206128133</v>
      </c>
      <c r="BC37" s="15"/>
      <c r="BD37" s="15">
        <v>25.5203619909502</v>
      </c>
      <c r="BE37" s="15">
        <v>12.352941176470599</v>
      </c>
      <c r="BF37" s="15">
        <v>16.465116279069701</v>
      </c>
      <c r="BG37" s="15">
        <v>32.651162790697597</v>
      </c>
      <c r="BH37" s="15">
        <f>100-SUM(Table2[[#This Row],[Solids wt%]:[Gas wt%]])</f>
        <v>3.4099535751258543</v>
      </c>
      <c r="BI37" s="15"/>
      <c r="BJ37" s="15"/>
      <c r="BK37" s="15"/>
      <c r="BL37" s="15"/>
      <c r="BM37" s="15"/>
      <c r="BN37" s="15"/>
      <c r="BO37" s="15"/>
      <c r="BP37" s="15"/>
      <c r="BQ37" s="15"/>
      <c r="BR37" s="15">
        <v>75.506243996157494</v>
      </c>
      <c r="BS37" s="15"/>
      <c r="BT37" s="15">
        <v>7.6011560693641602</v>
      </c>
      <c r="BU37" s="15">
        <v>5.3916106308037097</v>
      </c>
      <c r="BV37" s="15">
        <v>0.77875576156870896</v>
      </c>
      <c r="BW37" s="15"/>
      <c r="BX37" s="15"/>
      <c r="BY37" s="15">
        <v>73.129139333852905</v>
      </c>
      <c r="BZ37" s="15"/>
      <c r="CA37" s="15">
        <v>7.2086956521739003</v>
      </c>
      <c r="CB37" s="15">
        <v>7.2537240451949696</v>
      </c>
      <c r="CC37" s="15"/>
      <c r="CD37" s="15">
        <v>0.63437961076371796</v>
      </c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>
        <v>0</v>
      </c>
    </row>
    <row r="38" spans="1:106" x14ac:dyDescent="0.25">
      <c r="A38" t="s">
        <v>119</v>
      </c>
      <c r="B38" t="s">
        <v>151</v>
      </c>
      <c r="C38">
        <v>2012</v>
      </c>
      <c r="D38" s="16" t="s">
        <v>118</v>
      </c>
      <c r="E38">
        <v>0</v>
      </c>
      <c r="F38" s="15">
        <v>20</v>
      </c>
      <c r="G38" s="15"/>
      <c r="H38" s="15"/>
      <c r="I38" s="15">
        <v>59</v>
      </c>
      <c r="J38" s="15">
        <v>14</v>
      </c>
      <c r="K38" s="15"/>
      <c r="L38" s="15">
        <f>IF(Table2[[#This Row],[Lipids wt%]]+Table2[[#This Row],[Protein wt%]]+Table2[[#This Row],[Carbs wt%]] =0,"",SUM(Table2[[#This Row],[Lipids wt%]],Table2[[#This Row],[Protein wt%]],Table2[[#This Row],[Carbs wt%]]))</f>
        <v>93</v>
      </c>
      <c r="M38" s="15">
        <f>100-Table2[[#This Row],[Lipids wt%]]-Table2[[#This Row],[Protein wt%]]-Table2[[#This Row],[Carbs wt%]]</f>
        <v>7</v>
      </c>
      <c r="U38">
        <v>68</v>
      </c>
      <c r="W38">
        <v>21</v>
      </c>
      <c r="X38">
        <v>6.5</v>
      </c>
      <c r="Y38">
        <v>2.7</v>
      </c>
      <c r="Z38" s="15"/>
      <c r="AA38" s="15"/>
      <c r="AB38" s="15"/>
      <c r="AC38" s="15"/>
      <c r="AD38" s="15"/>
      <c r="AE38" s="15"/>
      <c r="AF38" s="15"/>
      <c r="AG38" s="15">
        <v>4.1000000000000003E-3</v>
      </c>
      <c r="AH38" s="15"/>
      <c r="AI38" s="15"/>
      <c r="AJ38" s="15">
        <v>15</v>
      </c>
      <c r="AM38" s="13"/>
      <c r="AO38" s="15">
        <v>30</v>
      </c>
      <c r="AP38" s="15" t="e">
        <f>LN(25/Table2[[#This Row],[Temperature (C)]]/(1-SQRT((Table2[[#This Row],[Temperature (C)]]-5)/Table2[[#This Row],[Temperature (C)]])))/Table2[[#This Row],[b]]</f>
        <v>#DIV/0!</v>
      </c>
      <c r="AQ38" s="15">
        <f>IF(Table2[[#This Row],[b]]&lt;&gt;"",Table2[[#This Row],[T-5]], 0)</f>
        <v>0</v>
      </c>
      <c r="AT38" t="s">
        <v>503</v>
      </c>
      <c r="AU38">
        <v>400</v>
      </c>
      <c r="AV38" s="15">
        <v>1.6520234145050801</v>
      </c>
      <c r="AW38" s="15">
        <v>33.665158371040697</v>
      </c>
      <c r="AX38" s="15">
        <v>53.0697674418604</v>
      </c>
      <c r="AY38" s="15">
        <v>9.2757660167130904</v>
      </c>
      <c r="AZ38" s="15"/>
      <c r="BA38" s="15"/>
      <c r="BB38" s="15">
        <f>IF(OR(Table2[[#This Row],[Gas wt%]]&lt;&gt;"",Table2[[#This Row],[Loss]]&lt;&gt;""),Table2[[#This Row],[Gas wt%]]+Table2[[#This Row],[Loss]],"")</f>
        <v>9.2757660167130904</v>
      </c>
      <c r="BC38" s="15"/>
      <c r="BD38" s="15">
        <v>21.8552036199094</v>
      </c>
      <c r="BE38" s="15">
        <v>11.809954751131199</v>
      </c>
      <c r="BF38" s="15">
        <v>15.3488372093023</v>
      </c>
      <c r="BG38" s="15">
        <v>40.186046511627801</v>
      </c>
      <c r="BH38" s="15">
        <f>100-SUM(Table2[[#This Row],[Solids wt%]:[Gas wt%]])</f>
        <v>2.3372847558807308</v>
      </c>
      <c r="BI38" s="15"/>
      <c r="BJ38" s="15"/>
      <c r="BK38" s="15"/>
      <c r="BL38" s="15"/>
      <c r="BM38" s="15"/>
      <c r="BN38" s="15"/>
      <c r="BO38" s="15"/>
      <c r="BP38" s="15"/>
      <c r="BQ38" s="15"/>
      <c r="BR38" s="15">
        <v>76.956772334293902</v>
      </c>
      <c r="BS38" s="15"/>
      <c r="BT38" s="15">
        <v>6.99421965317919</v>
      </c>
      <c r="BU38" s="15">
        <v>4.5975024015369801</v>
      </c>
      <c r="BV38" s="15">
        <v>0.67243908578769696</v>
      </c>
      <c r="BW38" s="15"/>
      <c r="BX38" s="15"/>
      <c r="BY38" s="15">
        <v>74.450958582576405</v>
      </c>
      <c r="BZ38" s="15"/>
      <c r="CA38" s="15">
        <v>6.1565217391304197</v>
      </c>
      <c r="CB38" s="15">
        <v>7.3256727729947801</v>
      </c>
      <c r="CC38" s="15"/>
      <c r="CD38" s="15">
        <v>0.79457949834890695</v>
      </c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>
        <v>0</v>
      </c>
    </row>
    <row r="39" spans="1:106" x14ac:dyDescent="0.25">
      <c r="A39" t="s">
        <v>119</v>
      </c>
      <c r="B39" t="s">
        <v>151</v>
      </c>
      <c r="C39">
        <v>2012</v>
      </c>
      <c r="D39" s="16" t="s">
        <v>118</v>
      </c>
      <c r="E39">
        <v>0</v>
      </c>
      <c r="F39" s="15">
        <v>20</v>
      </c>
      <c r="G39" s="15"/>
      <c r="H39" s="15"/>
      <c r="I39" s="15">
        <v>59</v>
      </c>
      <c r="J39" s="15">
        <v>14</v>
      </c>
      <c r="K39" s="15"/>
      <c r="L39" s="15">
        <f>IF(Table2[[#This Row],[Lipids wt%]]+Table2[[#This Row],[Protein wt%]]+Table2[[#This Row],[Carbs wt%]] =0,"",SUM(Table2[[#This Row],[Lipids wt%]],Table2[[#This Row],[Protein wt%]],Table2[[#This Row],[Carbs wt%]]))</f>
        <v>93</v>
      </c>
      <c r="M39" s="15">
        <f>100-Table2[[#This Row],[Lipids wt%]]-Table2[[#This Row],[Protein wt%]]-Table2[[#This Row],[Carbs wt%]]</f>
        <v>7</v>
      </c>
      <c r="U39">
        <v>68</v>
      </c>
      <c r="W39">
        <v>21</v>
      </c>
      <c r="X39">
        <v>6.5</v>
      </c>
      <c r="Y39">
        <v>2.7</v>
      </c>
      <c r="Z39" s="15"/>
      <c r="AA39" s="15"/>
      <c r="AB39" s="15"/>
      <c r="AC39" s="15"/>
      <c r="AD39" s="15"/>
      <c r="AE39" s="15"/>
      <c r="AF39" s="15"/>
      <c r="AG39" s="15">
        <v>4.1000000000000003E-3</v>
      </c>
      <c r="AH39" s="15"/>
      <c r="AI39" s="15"/>
      <c r="AJ39" s="15">
        <v>15</v>
      </c>
      <c r="AM39" s="13"/>
      <c r="AO39" s="15">
        <v>40</v>
      </c>
      <c r="AP39" s="15" t="e">
        <f>LN(25/Table2[[#This Row],[Temperature (C)]]/(1-SQRT((Table2[[#This Row],[Temperature (C)]]-5)/Table2[[#This Row],[Temperature (C)]])))/Table2[[#This Row],[b]]</f>
        <v>#DIV/0!</v>
      </c>
      <c r="AQ39" s="15">
        <f>IF(Table2[[#This Row],[b]]&lt;&gt;"",Table2[[#This Row],[T-5]], 0)</f>
        <v>0</v>
      </c>
      <c r="AT39" t="s">
        <v>503</v>
      </c>
      <c r="AU39">
        <v>400</v>
      </c>
      <c r="AV39" s="15">
        <v>1.7289693869676901</v>
      </c>
      <c r="AW39" s="15">
        <v>32.579185520361897</v>
      </c>
      <c r="AX39" s="15">
        <v>50.139534883720899</v>
      </c>
      <c r="AY39" s="15">
        <v>12.8064066852367</v>
      </c>
      <c r="AZ39" s="15"/>
      <c r="BA39" s="15"/>
      <c r="BB39" s="15">
        <f>IF(OR(Table2[[#This Row],[Gas wt%]]&lt;&gt;"",Table2[[#This Row],[Loss]]&lt;&gt;""),Table2[[#This Row],[Gas wt%]]+Table2[[#This Row],[Loss]],"")</f>
        <v>12.8064066852367</v>
      </c>
      <c r="BC39" s="15"/>
      <c r="BD39" s="15">
        <v>21.8552036199094</v>
      </c>
      <c r="BE39" s="15">
        <v>10.7239819004525</v>
      </c>
      <c r="BF39" s="15">
        <v>13.3953488372092</v>
      </c>
      <c r="BG39" s="15">
        <v>39.906976744185997</v>
      </c>
      <c r="BH39" s="15">
        <f>100-SUM(Table2[[#This Row],[Solids wt%]:[Gas wt%]])</f>
        <v>2.745903523712812</v>
      </c>
      <c r="BI39" s="15"/>
      <c r="BJ39" s="15"/>
      <c r="BK39" s="15"/>
      <c r="BL39" s="15"/>
      <c r="BM39" s="15"/>
      <c r="BN39" s="15"/>
      <c r="BO39" s="15"/>
      <c r="BP39" s="15"/>
      <c r="BQ39" s="15"/>
      <c r="BR39" s="15">
        <v>77.335254562920198</v>
      </c>
      <c r="BS39" s="15"/>
      <c r="BT39" s="15">
        <v>6.99421965317919</v>
      </c>
      <c r="BU39" s="15">
        <v>4.3509878754835496</v>
      </c>
      <c r="BV39" s="15">
        <v>0.62665034764719596</v>
      </c>
      <c r="BW39" s="15"/>
      <c r="BX39" s="15"/>
      <c r="BY39" s="15">
        <v>74.177283038036705</v>
      </c>
      <c r="BZ39" s="15"/>
      <c r="CA39" s="15">
        <v>6.4434782608695604</v>
      </c>
      <c r="CB39" s="15">
        <v>7.4437944222272598</v>
      </c>
      <c r="CC39" s="15"/>
      <c r="CD39" s="15">
        <v>0.88209618492236297</v>
      </c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>
        <v>0</v>
      </c>
    </row>
    <row r="40" spans="1:106" x14ac:dyDescent="0.25">
      <c r="A40" t="s">
        <v>119</v>
      </c>
      <c r="B40" t="s">
        <v>151</v>
      </c>
      <c r="C40">
        <v>2012</v>
      </c>
      <c r="D40" s="16" t="s">
        <v>118</v>
      </c>
      <c r="E40">
        <v>0</v>
      </c>
      <c r="F40" s="15">
        <v>20</v>
      </c>
      <c r="G40" s="15"/>
      <c r="H40" s="15"/>
      <c r="I40" s="15">
        <v>59</v>
      </c>
      <c r="J40" s="15">
        <v>14</v>
      </c>
      <c r="K40" s="15"/>
      <c r="L40" s="15">
        <f>IF(Table2[[#This Row],[Lipids wt%]]+Table2[[#This Row],[Protein wt%]]+Table2[[#This Row],[Carbs wt%]] =0,"",SUM(Table2[[#This Row],[Lipids wt%]],Table2[[#This Row],[Protein wt%]],Table2[[#This Row],[Carbs wt%]]))</f>
        <v>93</v>
      </c>
      <c r="M40" s="15">
        <f>100-Table2[[#This Row],[Lipids wt%]]-Table2[[#This Row],[Protein wt%]]-Table2[[#This Row],[Carbs wt%]]</f>
        <v>7</v>
      </c>
      <c r="U40">
        <v>68</v>
      </c>
      <c r="W40">
        <v>21</v>
      </c>
      <c r="X40">
        <v>6.5</v>
      </c>
      <c r="Y40">
        <v>2.7</v>
      </c>
      <c r="Z40" s="15"/>
      <c r="AA40" s="15"/>
      <c r="AB40" s="15"/>
      <c r="AC40" s="15"/>
      <c r="AD40" s="15"/>
      <c r="AE40" s="15"/>
      <c r="AF40" s="15"/>
      <c r="AG40" s="15">
        <v>4.1000000000000003E-3</v>
      </c>
      <c r="AH40" s="15"/>
      <c r="AI40" s="15"/>
      <c r="AJ40" s="15">
        <v>5</v>
      </c>
      <c r="AM40" s="13"/>
      <c r="AO40" s="15">
        <v>60</v>
      </c>
      <c r="AP40" s="15" t="e">
        <f>LN(25/Table2[[#This Row],[Temperature (C)]]/(1-SQRT((Table2[[#This Row],[Temperature (C)]]-5)/Table2[[#This Row],[Temperature (C)]])))/Table2[[#This Row],[b]]</f>
        <v>#DIV/0!</v>
      </c>
      <c r="AQ40" s="15">
        <f>IF(Table2[[#This Row],[b]]&lt;&gt;"",Table2[[#This Row],[T-5]], 0)</f>
        <v>0</v>
      </c>
      <c r="AT40" t="s">
        <v>503</v>
      </c>
      <c r="AU40">
        <v>350</v>
      </c>
      <c r="AV40" s="15">
        <v>2.9619181946403401</v>
      </c>
      <c r="AW40" s="15">
        <v>37.2214386459802</v>
      </c>
      <c r="AX40" s="15"/>
      <c r="AY40" s="15"/>
      <c r="AZ40" s="15"/>
      <c r="BA40" s="15">
        <v>59.435825105782698</v>
      </c>
      <c r="BB40" s="15" t="str">
        <f>IF(OR(Table2[[#This Row],[Gas wt%]]&lt;&gt;"",Table2[[#This Row],[Loss]]&lt;&gt;""),Table2[[#This Row],[Gas wt%]]+Table2[[#This Row],[Loss]],"")</f>
        <v/>
      </c>
      <c r="BC40" s="15"/>
      <c r="BD40" s="15">
        <v>27.0521861777151</v>
      </c>
      <c r="BE40" s="15">
        <v>10.1692524682651</v>
      </c>
      <c r="BF40" s="15"/>
      <c r="BG40" s="15"/>
      <c r="BH40" s="15">
        <f>100-SUM(AV40:AW40,BA40)</f>
        <v>0.38081805359675514</v>
      </c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>
        <v>0</v>
      </c>
    </row>
    <row r="41" spans="1:106" x14ac:dyDescent="0.25">
      <c r="A41" t="s">
        <v>119</v>
      </c>
      <c r="B41" t="s">
        <v>151</v>
      </c>
      <c r="C41">
        <v>2012</v>
      </c>
      <c r="D41" s="16" t="s">
        <v>118</v>
      </c>
      <c r="E41">
        <v>0</v>
      </c>
      <c r="F41" s="15">
        <v>20</v>
      </c>
      <c r="G41" s="15"/>
      <c r="H41" s="15"/>
      <c r="I41" s="15">
        <v>59</v>
      </c>
      <c r="J41" s="15">
        <v>14</v>
      </c>
      <c r="K41" s="15"/>
      <c r="L41" s="15">
        <f>IF(Table2[[#This Row],[Lipids wt%]]+Table2[[#This Row],[Protein wt%]]+Table2[[#This Row],[Carbs wt%]] =0,"",SUM(Table2[[#This Row],[Lipids wt%]],Table2[[#This Row],[Protein wt%]],Table2[[#This Row],[Carbs wt%]]))</f>
        <v>93</v>
      </c>
      <c r="M41" s="15">
        <f>100-Table2[[#This Row],[Lipids wt%]]-Table2[[#This Row],[Protein wt%]]-Table2[[#This Row],[Carbs wt%]]</f>
        <v>7</v>
      </c>
      <c r="U41">
        <v>68</v>
      </c>
      <c r="W41">
        <v>21</v>
      </c>
      <c r="X41">
        <v>6.5</v>
      </c>
      <c r="Y41">
        <v>2.7</v>
      </c>
      <c r="Z41" s="15"/>
      <c r="AA41" s="15"/>
      <c r="AB41" s="15"/>
      <c r="AC41" s="15"/>
      <c r="AD41" s="15"/>
      <c r="AE41" s="15"/>
      <c r="AF41" s="15"/>
      <c r="AG41" s="15">
        <v>4.1000000000000003E-3</v>
      </c>
      <c r="AH41" s="15"/>
      <c r="AI41" s="15"/>
      <c r="AJ41" s="15">
        <v>10</v>
      </c>
      <c r="AM41" s="13"/>
      <c r="AO41" s="15">
        <v>60</v>
      </c>
      <c r="AP41" s="15" t="e">
        <f>LN(25/Table2[[#This Row],[Temperature (C)]]/(1-SQRT((Table2[[#This Row],[Temperature (C)]]-5)/Table2[[#This Row],[Temperature (C)]])))/Table2[[#This Row],[b]]</f>
        <v>#DIV/0!</v>
      </c>
      <c r="AQ41" s="15">
        <f>IF(Table2[[#This Row],[b]]&lt;&gt;"",Table2[[#This Row],[T-5]], 0)</f>
        <v>0</v>
      </c>
      <c r="AT41" t="s">
        <v>503</v>
      </c>
      <c r="AU41">
        <v>350</v>
      </c>
      <c r="AV41" s="15">
        <v>1.7771509167841999</v>
      </c>
      <c r="AW41" s="15">
        <v>35.937940761636099</v>
      </c>
      <c r="AX41" s="15"/>
      <c r="AY41" s="15"/>
      <c r="AZ41" s="15"/>
      <c r="BA41" s="15">
        <v>62.2002820874471</v>
      </c>
      <c r="BB41" s="15" t="str">
        <f>IF(OR(Table2[[#This Row],[Gas wt%]]&lt;&gt;"",Table2[[#This Row],[Loss]]&lt;&gt;""),Table2[[#This Row],[Gas wt%]]+Table2[[#This Row],[Loss]],"")</f>
        <v/>
      </c>
      <c r="BC41" s="15"/>
      <c r="BD41" s="15">
        <v>25.3737658674189</v>
      </c>
      <c r="BE41" s="15">
        <v>10.761636107193199</v>
      </c>
      <c r="BF41" s="15"/>
      <c r="BG41" s="15"/>
      <c r="BH41" s="15">
        <f>100-SUM(AV41:AW41,BA41)</f>
        <v>8.462623413259962E-2</v>
      </c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>
        <v>0</v>
      </c>
    </row>
    <row r="42" spans="1:106" x14ac:dyDescent="0.25">
      <c r="A42" t="s">
        <v>119</v>
      </c>
      <c r="B42" t="s">
        <v>151</v>
      </c>
      <c r="C42">
        <v>2012</v>
      </c>
      <c r="D42" s="16" t="s">
        <v>118</v>
      </c>
      <c r="E42">
        <v>0</v>
      </c>
      <c r="F42" s="15">
        <v>20</v>
      </c>
      <c r="G42" s="15"/>
      <c r="H42" s="15"/>
      <c r="I42" s="15">
        <v>59</v>
      </c>
      <c r="J42" s="15">
        <v>14</v>
      </c>
      <c r="K42" s="15"/>
      <c r="L42" s="15">
        <f>IF(Table2[[#This Row],[Lipids wt%]]+Table2[[#This Row],[Protein wt%]]+Table2[[#This Row],[Carbs wt%]] =0,"",SUM(Table2[[#This Row],[Lipids wt%]],Table2[[#This Row],[Protein wt%]],Table2[[#This Row],[Carbs wt%]]))</f>
        <v>93</v>
      </c>
      <c r="M42" s="15">
        <f>100-Table2[[#This Row],[Lipids wt%]]-Table2[[#This Row],[Protein wt%]]-Table2[[#This Row],[Carbs wt%]]</f>
        <v>7</v>
      </c>
      <c r="U42">
        <v>68</v>
      </c>
      <c r="W42">
        <v>21</v>
      </c>
      <c r="X42">
        <v>6.5</v>
      </c>
      <c r="Y42">
        <v>2.7</v>
      </c>
      <c r="Z42" s="15"/>
      <c r="AA42" s="15"/>
      <c r="AB42" s="15"/>
      <c r="AC42" s="15"/>
      <c r="AD42" s="15"/>
      <c r="AE42" s="15"/>
      <c r="AF42" s="15"/>
      <c r="AG42" s="15">
        <v>4.1000000000000003E-3</v>
      </c>
      <c r="AH42" s="15"/>
      <c r="AI42" s="15"/>
      <c r="AJ42" s="15">
        <v>20</v>
      </c>
      <c r="AM42" s="13"/>
      <c r="AO42" s="15">
        <v>60</v>
      </c>
      <c r="AP42" s="15" t="e">
        <f>LN(25/Table2[[#This Row],[Temperature (C)]]/(1-SQRT((Table2[[#This Row],[Temperature (C)]]-5)/Table2[[#This Row],[Temperature (C)]])))/Table2[[#This Row],[b]]</f>
        <v>#DIV/0!</v>
      </c>
      <c r="AQ42" s="15">
        <f>IF(Table2[[#This Row],[b]]&lt;&gt;"",Table2[[#This Row],[T-5]], 0)</f>
        <v>0</v>
      </c>
      <c r="AT42" t="s">
        <v>503</v>
      </c>
      <c r="AU42">
        <v>350</v>
      </c>
      <c r="AV42" s="15">
        <v>4.5416078984485102</v>
      </c>
      <c r="AW42" s="15">
        <v>40.183356840620597</v>
      </c>
      <c r="AX42" s="15"/>
      <c r="AY42" s="15"/>
      <c r="AZ42" s="15"/>
      <c r="BA42" s="15">
        <v>55.387870239774301</v>
      </c>
      <c r="BB42" s="15" t="str">
        <f>IF(OR(Table2[[#This Row],[Gas wt%]]&lt;&gt;"",Table2[[#This Row],[Loss]]&lt;&gt;""),Table2[[#This Row],[Gas wt%]]+Table2[[#This Row],[Loss]],"")</f>
        <v/>
      </c>
      <c r="BC42" s="15"/>
      <c r="BD42" s="15">
        <v>27.150916784203101</v>
      </c>
      <c r="BE42" s="15">
        <v>13.0324400564174</v>
      </c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>
        <v>0</v>
      </c>
    </row>
    <row r="43" spans="1:106" x14ac:dyDescent="0.25">
      <c r="A43" t="s">
        <v>119</v>
      </c>
      <c r="B43" t="s">
        <v>151</v>
      </c>
      <c r="C43">
        <v>2012</v>
      </c>
      <c r="D43" s="16" t="s">
        <v>118</v>
      </c>
      <c r="E43">
        <v>0</v>
      </c>
      <c r="F43" s="15">
        <v>20</v>
      </c>
      <c r="G43" s="15"/>
      <c r="H43" s="15"/>
      <c r="I43" s="15">
        <v>59</v>
      </c>
      <c r="J43" s="15">
        <v>14</v>
      </c>
      <c r="K43" s="15"/>
      <c r="L43" s="15">
        <f>IF(Table2[[#This Row],[Lipids wt%]]+Table2[[#This Row],[Protein wt%]]+Table2[[#This Row],[Carbs wt%]] =0,"",SUM(Table2[[#This Row],[Lipids wt%]],Table2[[#This Row],[Protein wt%]],Table2[[#This Row],[Carbs wt%]]))</f>
        <v>93</v>
      </c>
      <c r="M43" s="15">
        <f>100-Table2[[#This Row],[Lipids wt%]]-Table2[[#This Row],[Protein wt%]]-Table2[[#This Row],[Carbs wt%]]</f>
        <v>7</v>
      </c>
      <c r="U43">
        <v>68</v>
      </c>
      <c r="W43">
        <v>21</v>
      </c>
      <c r="X43">
        <v>6.5</v>
      </c>
      <c r="Y43">
        <v>2.7</v>
      </c>
      <c r="Z43" s="15"/>
      <c r="AA43" s="15"/>
      <c r="AB43" s="15"/>
      <c r="AC43" s="15"/>
      <c r="AD43" s="15"/>
      <c r="AE43" s="15"/>
      <c r="AF43" s="15"/>
      <c r="AG43" s="15">
        <v>4.1000000000000003E-3</v>
      </c>
      <c r="AH43" s="15"/>
      <c r="AI43" s="15"/>
      <c r="AJ43" s="15">
        <v>35</v>
      </c>
      <c r="AM43" s="13"/>
      <c r="AO43" s="15">
        <v>60</v>
      </c>
      <c r="AP43" s="15" t="e">
        <f>LN(25/Table2[[#This Row],[Temperature (C)]]/(1-SQRT((Table2[[#This Row],[Temperature (C)]]-5)/Table2[[#This Row],[Temperature (C)]])))/Table2[[#This Row],[b]]</f>
        <v>#DIV/0!</v>
      </c>
      <c r="AQ43" s="15">
        <f>IF(Table2[[#This Row],[b]]&lt;&gt;"",Table2[[#This Row],[T-5]], 0)</f>
        <v>0</v>
      </c>
      <c r="AT43" t="s">
        <v>503</v>
      </c>
      <c r="AU43">
        <v>350</v>
      </c>
      <c r="AV43" s="15">
        <v>2.6657263751763001</v>
      </c>
      <c r="AW43" s="15">
        <v>45.8110014104372</v>
      </c>
      <c r="AX43" s="15"/>
      <c r="AY43" s="15"/>
      <c r="AZ43" s="15"/>
      <c r="BA43" s="15">
        <v>51.932299012693903</v>
      </c>
      <c r="BB43" s="15" t="str">
        <f>IF(OR(Table2[[#This Row],[Gas wt%]]&lt;&gt;"",Table2[[#This Row],[Loss]]&lt;&gt;""),Table2[[#This Row],[Gas wt%]]+Table2[[#This Row],[Loss]],"")</f>
        <v/>
      </c>
      <c r="BC43" s="15"/>
      <c r="BD43" s="15">
        <v>27.249647390691099</v>
      </c>
      <c r="BE43" s="15">
        <v>18.363892806770099</v>
      </c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>
        <v>0</v>
      </c>
    </row>
    <row r="44" spans="1:106" x14ac:dyDescent="0.25">
      <c r="A44" t="s">
        <v>131</v>
      </c>
      <c r="B44" t="s">
        <v>152</v>
      </c>
      <c r="C44">
        <v>2011</v>
      </c>
      <c r="D44" s="16" t="s">
        <v>132</v>
      </c>
      <c r="E44">
        <v>0</v>
      </c>
      <c r="F44" s="15">
        <v>9.375</v>
      </c>
      <c r="G44" s="15"/>
      <c r="H44" s="15"/>
      <c r="I44" s="15">
        <v>57.291666666666664</v>
      </c>
      <c r="J44" s="15">
        <v>26.041666666666668</v>
      </c>
      <c r="K44" s="15"/>
      <c r="L44" s="15">
        <f>IF(Table2[[#This Row],[Lipids wt%]]+Table2[[#This Row],[Protein wt%]]+Table2[[#This Row],[Carbs wt%]] =0,"",SUM(Table2[[#This Row],[Lipids wt%]],Table2[[#This Row],[Protein wt%]],Table2[[#This Row],[Carbs wt%]]))</f>
        <v>92.708333333333329</v>
      </c>
      <c r="M44" s="15">
        <v>7</v>
      </c>
      <c r="P44">
        <v>5.9</v>
      </c>
      <c r="Z44" s="15">
        <v>52.6</v>
      </c>
      <c r="AA44" s="15">
        <v>7.1</v>
      </c>
      <c r="AB44" s="15">
        <v>32.200000000000003</v>
      </c>
      <c r="AC44" s="15">
        <v>8.1999999999999993</v>
      </c>
      <c r="AD44" s="15">
        <v>0.5</v>
      </c>
      <c r="AE44" s="15"/>
      <c r="AF44" s="15">
        <v>23.2</v>
      </c>
      <c r="AG44" s="15">
        <v>7.4999999999999997E-2</v>
      </c>
      <c r="AH44" s="15">
        <v>3</v>
      </c>
      <c r="AI44" s="15">
        <v>27</v>
      </c>
      <c r="AJ44" s="15">
        <f>Table2[[#This Row],[Solids (g)]]/(Table2[[#This Row],[Solids (g)]]+Table2[[#This Row],[Water mL]])*100</f>
        <v>10</v>
      </c>
      <c r="AL44">
        <v>10</v>
      </c>
      <c r="AM44" s="13">
        <v>0.104473</v>
      </c>
      <c r="AO44" s="15">
        <v>60</v>
      </c>
      <c r="AP44" s="15">
        <f>LN(25/Table2[[#This Row],[Temperature (C)]]/(1-SQRT((Table2[[#This Row],[Temperature (C)]]-5)/Table2[[#This Row],[Temperature (C)]])))/Table2[[#This Row],[b]]</f>
        <v>22.005631871246631</v>
      </c>
      <c r="AQ44" s="15">
        <f>IF(Table2[[#This Row],[b]]&lt;&gt;"",Table2[[#This Row],[T-5]], 0)</f>
        <v>22.005631871246631</v>
      </c>
      <c r="AR44">
        <f>Table2[[#This Row],[Heating time]]+Table2[[#This Row],[Holding Time (min)]]</f>
        <v>82.005631871246635</v>
      </c>
      <c r="AT44" t="s">
        <v>503</v>
      </c>
      <c r="AU44">
        <v>350</v>
      </c>
      <c r="AV44" s="15">
        <v>1.4084507042253023</v>
      </c>
      <c r="AW44" s="15">
        <v>35.613682092555301</v>
      </c>
      <c r="AX44" s="15">
        <v>57.344064386317903</v>
      </c>
      <c r="AY44" s="15">
        <v>5.6338028169014933</v>
      </c>
      <c r="AZ44" s="15"/>
      <c r="BA44" s="15"/>
      <c r="BB44" s="15">
        <f>IF(OR(Table2[[#This Row],[Gas wt%]]&lt;&gt;"",Table2[[#This Row],[Loss]]&lt;&gt;""),Table2[[#This Row],[Gas wt%]]+Table2[[#This Row],[Loss]],"")</f>
        <v>5.6338028169014933</v>
      </c>
      <c r="BC44" s="15"/>
      <c r="BD44" s="15"/>
      <c r="BE44" s="15"/>
      <c r="BF44" s="15"/>
      <c r="BG44" s="15"/>
      <c r="BH44" s="15"/>
      <c r="BI44" s="15">
        <v>70.7</v>
      </c>
      <c r="BJ44" s="15">
        <v>8.6</v>
      </c>
      <c r="BK44" s="15">
        <v>14.8</v>
      </c>
      <c r="BL44" s="15">
        <v>5.9</v>
      </c>
      <c r="BM44" s="15"/>
      <c r="BN44" s="15">
        <v>35.1</v>
      </c>
      <c r="BO44" s="15">
        <v>54.2</v>
      </c>
      <c r="BP44" s="15"/>
      <c r="BQ44" s="15">
        <f>Table2[[#This Row],[H% B]]/Table2[[#This Row],[C% B]]*100</f>
        <v>12.164073550212164</v>
      </c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>
        <v>0</v>
      </c>
    </row>
    <row r="45" spans="1:106" x14ac:dyDescent="0.25">
      <c r="A45" t="s">
        <v>131</v>
      </c>
      <c r="B45" t="s">
        <v>152</v>
      </c>
      <c r="C45">
        <v>2011</v>
      </c>
      <c r="D45" s="16" t="s">
        <v>133</v>
      </c>
      <c r="E45">
        <v>0</v>
      </c>
      <c r="F45" s="15">
        <v>6.4829821717990272</v>
      </c>
      <c r="G45" s="15"/>
      <c r="H45" s="15"/>
      <c r="I45" s="15">
        <v>46.191247974068069</v>
      </c>
      <c r="J45" s="15">
        <v>25.931928687196109</v>
      </c>
      <c r="K45" s="15"/>
      <c r="L45" s="15">
        <f>IF(Table2[[#This Row],[Lipids wt%]]+Table2[[#This Row],[Protein wt%]]+Table2[[#This Row],[Carbs wt%]] =0,"",SUM(Table2[[#This Row],[Lipids wt%]],Table2[[#This Row],[Protein wt%]],Table2[[#This Row],[Carbs wt%]]))</f>
        <v>78.606158833063205</v>
      </c>
      <c r="M45" s="15">
        <v>26.4</v>
      </c>
      <c r="P45">
        <v>7.2</v>
      </c>
      <c r="Z45" s="15">
        <v>57.8</v>
      </c>
      <c r="AA45" s="15">
        <v>8</v>
      </c>
      <c r="AB45" s="15">
        <v>25.7</v>
      </c>
      <c r="AC45" s="15">
        <v>8.6</v>
      </c>
      <c r="AD45" s="15"/>
      <c r="AE45" s="15"/>
      <c r="AF45" s="15">
        <v>17.899999999999999</v>
      </c>
      <c r="AG45" s="15">
        <v>7.4999999999999997E-2</v>
      </c>
      <c r="AH45" s="15">
        <v>3</v>
      </c>
      <c r="AI45" s="15">
        <v>27</v>
      </c>
      <c r="AJ45" s="15">
        <f>Table2[[#This Row],[Solids (g)]]/(Table2[[#This Row],[Solids (g)]]+Table2[[#This Row],[Water mL]])*100</f>
        <v>10</v>
      </c>
      <c r="AL45">
        <v>10</v>
      </c>
      <c r="AM45" s="13">
        <v>0.104473</v>
      </c>
      <c r="AO45" s="15">
        <v>60</v>
      </c>
      <c r="AP45" s="15">
        <f>LN(25/Table2[[#This Row],[Temperature (C)]]/(1-SQRT((Table2[[#This Row],[Temperature (C)]]-5)/Table2[[#This Row],[Temperature (C)]])))/Table2[[#This Row],[b]]</f>
        <v>22.005631871246631</v>
      </c>
      <c r="AQ45" s="15">
        <f>IF(Table2[[#This Row],[b]]&lt;&gt;"",Table2[[#This Row],[T-5]], 0)</f>
        <v>22.005631871246631</v>
      </c>
      <c r="AR45">
        <f>Table2[[#This Row],[Heating time]]+Table2[[#This Row],[Holding Time (min)]]</f>
        <v>82.005631871246635</v>
      </c>
      <c r="AT45" t="s">
        <v>503</v>
      </c>
      <c r="AU45">
        <v>350</v>
      </c>
      <c r="AV45" s="15">
        <v>2.4144869215291038</v>
      </c>
      <c r="AW45" s="15">
        <v>34.406438631790699</v>
      </c>
      <c r="AX45" s="15">
        <v>59.356136820925599</v>
      </c>
      <c r="AY45" s="15">
        <v>3.8229376257545979</v>
      </c>
      <c r="AZ45" s="15"/>
      <c r="BA45" s="15"/>
      <c r="BB45" s="15">
        <f>IF(OR(Table2[[#This Row],[Gas wt%]]&lt;&gt;"",Table2[[#This Row],[Loss]]&lt;&gt;""),Table2[[#This Row],[Gas wt%]]+Table2[[#This Row],[Loss]],"")</f>
        <v>3.8229376257545979</v>
      </c>
      <c r="BC45" s="15"/>
      <c r="BD45" s="15"/>
      <c r="BE45" s="15"/>
      <c r="BF45" s="15"/>
      <c r="BG45" s="15"/>
      <c r="BH45" s="15"/>
      <c r="BI45" s="15">
        <v>68.099999999999994</v>
      </c>
      <c r="BJ45" s="15">
        <v>8.8000000000000007</v>
      </c>
      <c r="BK45" s="15">
        <v>18.899999999999999</v>
      </c>
      <c r="BL45" s="15">
        <v>4.0999999999999996</v>
      </c>
      <c r="BM45" s="15"/>
      <c r="BN45" s="15">
        <v>34.5</v>
      </c>
      <c r="BO45" s="15">
        <v>66.099999999999994</v>
      </c>
      <c r="BP45" s="15"/>
      <c r="BQ45" s="15">
        <f>Table2[[#This Row],[H% B]]/Table2[[#This Row],[C% B]]*100</f>
        <v>12.922173274596185</v>
      </c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>
        <v>0</v>
      </c>
    </row>
    <row r="46" spans="1:106" x14ac:dyDescent="0.25">
      <c r="A46" t="s">
        <v>131</v>
      </c>
      <c r="B46" t="s">
        <v>152</v>
      </c>
      <c r="C46">
        <v>2011</v>
      </c>
      <c r="D46" s="16" t="s">
        <v>134</v>
      </c>
      <c r="E46">
        <v>0</v>
      </c>
      <c r="F46" s="15">
        <v>34.662045060658578</v>
      </c>
      <c r="G46" s="15"/>
      <c r="H46" s="15"/>
      <c r="I46" s="15">
        <v>37.261698440207972</v>
      </c>
      <c r="J46" s="15">
        <v>6.932409012131715</v>
      </c>
      <c r="K46" s="15"/>
      <c r="L46" s="15">
        <f>IF(Table2[[#This Row],[Lipids wt%]]+Table2[[#This Row],[Protein wt%]]+Table2[[#This Row],[Carbs wt%]] =0,"",SUM(Table2[[#This Row],[Lipids wt%]],Table2[[#This Row],[Protein wt%]],Table2[[#This Row],[Carbs wt%]]))</f>
        <v>78.856152512998264</v>
      </c>
      <c r="M46" s="15">
        <v>24.4</v>
      </c>
      <c r="P46">
        <v>5.0999999999999996</v>
      </c>
      <c r="Z46" s="15">
        <v>51.3</v>
      </c>
      <c r="AA46" s="15">
        <v>7.6</v>
      </c>
      <c r="AB46" s="15">
        <v>33.1</v>
      </c>
      <c r="AC46" s="15">
        <v>8</v>
      </c>
      <c r="AD46" s="15"/>
      <c r="AE46" s="15"/>
      <c r="AF46" s="15">
        <v>14.7</v>
      </c>
      <c r="AG46" s="15">
        <v>7.4999999999999997E-2</v>
      </c>
      <c r="AH46" s="15">
        <v>3</v>
      </c>
      <c r="AI46" s="15">
        <v>27</v>
      </c>
      <c r="AJ46" s="15">
        <f>Table2[[#This Row],[Solids (g)]]/(Table2[[#This Row],[Solids (g)]]+Table2[[#This Row],[Water mL]])*100</f>
        <v>10</v>
      </c>
      <c r="AL46">
        <v>10</v>
      </c>
      <c r="AM46" s="13">
        <v>0.104473</v>
      </c>
      <c r="AO46" s="15">
        <v>60</v>
      </c>
      <c r="AP46" s="15">
        <f>LN(25/Table2[[#This Row],[Temperature (C)]]/(1-SQRT((Table2[[#This Row],[Temperature (C)]]-5)/Table2[[#This Row],[Temperature (C)]])))/Table2[[#This Row],[b]]</f>
        <v>22.005631871246631</v>
      </c>
      <c r="AQ46" s="15">
        <f>IF(Table2[[#This Row],[b]]&lt;&gt;"",Table2[[#This Row],[T-5]], 0)</f>
        <v>22.005631871246631</v>
      </c>
      <c r="AR46">
        <f>Table2[[#This Row],[Heating time]]+Table2[[#This Row],[Holding Time (min)]]</f>
        <v>82.005631871246635</v>
      </c>
      <c r="AT46" t="s">
        <v>503</v>
      </c>
      <c r="AU46">
        <v>350</v>
      </c>
      <c r="AV46" s="15">
        <v>4.8289738430583</v>
      </c>
      <c r="AW46" s="15">
        <v>20.925553319919501</v>
      </c>
      <c r="AX46" s="15">
        <v>71.629778672032202</v>
      </c>
      <c r="AY46" s="15">
        <v>2.6156941649899998</v>
      </c>
      <c r="AZ46" s="15"/>
      <c r="BA46" s="15"/>
      <c r="BB46" s="15">
        <f>IF(OR(Table2[[#This Row],[Gas wt%]]&lt;&gt;"",Table2[[#This Row],[Loss]]&lt;&gt;""),Table2[[#This Row],[Gas wt%]]+Table2[[#This Row],[Loss]],"")</f>
        <v>2.6156941649899998</v>
      </c>
      <c r="BC46" s="15"/>
      <c r="BD46" s="15"/>
      <c r="BE46" s="15"/>
      <c r="BF46" s="15"/>
      <c r="BG46" s="15"/>
      <c r="BH46" s="15"/>
      <c r="BI46" s="15">
        <v>72.8</v>
      </c>
      <c r="BJ46" s="15">
        <v>8.5</v>
      </c>
      <c r="BK46" s="15">
        <v>13.3</v>
      </c>
      <c r="BL46" s="15">
        <v>5.4</v>
      </c>
      <c r="BM46" s="15">
        <v>0.3</v>
      </c>
      <c r="BN46" s="15">
        <v>35.700000000000003</v>
      </c>
      <c r="BO46" s="15">
        <v>51.6</v>
      </c>
      <c r="BP46" s="15"/>
      <c r="BQ46" s="15">
        <f>Table2[[#This Row],[H% B]]/Table2[[#This Row],[C% B]]*100</f>
        <v>11.675824175824175</v>
      </c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>
        <v>0</v>
      </c>
    </row>
    <row r="47" spans="1:106" x14ac:dyDescent="0.25">
      <c r="A47" t="s">
        <v>131</v>
      </c>
      <c r="B47" t="s">
        <v>152</v>
      </c>
      <c r="C47">
        <v>2011</v>
      </c>
      <c r="D47" s="16" t="s">
        <v>79</v>
      </c>
      <c r="E47">
        <v>0</v>
      </c>
      <c r="F47" s="15">
        <v>20.491803278688526</v>
      </c>
      <c r="G47" s="15"/>
      <c r="H47" s="15"/>
      <c r="I47" s="15">
        <v>66.598360655737707</v>
      </c>
      <c r="J47" s="15">
        <v>5.1229508196721314</v>
      </c>
      <c r="K47" s="15"/>
      <c r="L47" s="15">
        <f>IF(Table2[[#This Row],[Lipids wt%]]+Table2[[#This Row],[Protein wt%]]+Table2[[#This Row],[Carbs wt%]] =0,"",SUM(Table2[[#This Row],[Lipids wt%]],Table2[[#This Row],[Protein wt%]],Table2[[#This Row],[Carbs wt%]]))</f>
        <v>92.213114754098356</v>
      </c>
      <c r="M47" s="15">
        <v>7.6</v>
      </c>
      <c r="P47">
        <v>7.8</v>
      </c>
      <c r="Z47" s="15">
        <v>55.7</v>
      </c>
      <c r="AA47" s="15">
        <v>6.8</v>
      </c>
      <c r="AB47" s="15">
        <v>26.4</v>
      </c>
      <c r="AC47" s="15">
        <v>11.2</v>
      </c>
      <c r="AD47" s="15">
        <v>0.8</v>
      </c>
      <c r="AE47" s="15"/>
      <c r="AF47" s="15">
        <v>21.2</v>
      </c>
      <c r="AG47" s="15">
        <v>7.4999999999999997E-2</v>
      </c>
      <c r="AH47" s="15">
        <v>3</v>
      </c>
      <c r="AI47" s="15">
        <v>27</v>
      </c>
      <c r="AJ47" s="15">
        <f>Table2[[#This Row],[Solids (g)]]/(Table2[[#This Row],[Solids (g)]]+Table2[[#This Row],[Water mL]])*100</f>
        <v>10</v>
      </c>
      <c r="AL47">
        <v>10</v>
      </c>
      <c r="AM47" s="13">
        <v>0.104473</v>
      </c>
      <c r="AO47" s="15">
        <v>60</v>
      </c>
      <c r="AP47" s="15">
        <f>LN(25/Table2[[#This Row],[Temperature (C)]]/(1-SQRT((Table2[[#This Row],[Temperature (C)]]-5)/Table2[[#This Row],[Temperature (C)]])))/Table2[[#This Row],[b]]</f>
        <v>22.005631871246631</v>
      </c>
      <c r="AQ47" s="15">
        <f>IF(Table2[[#This Row],[b]]&lt;&gt;"",Table2[[#This Row],[T-5]], 0)</f>
        <v>22.005631871246631</v>
      </c>
      <c r="AR47">
        <f>Table2[[#This Row],[Heating time]]+Table2[[#This Row],[Holding Time (min)]]</f>
        <v>82.005631871246635</v>
      </c>
      <c r="AT47" t="s">
        <v>503</v>
      </c>
      <c r="AU47">
        <v>350</v>
      </c>
      <c r="AV47" s="15">
        <v>2.2132796780683996</v>
      </c>
      <c r="AW47" s="15">
        <v>29.175050301810799</v>
      </c>
      <c r="AX47" s="15">
        <v>55.7344064386319</v>
      </c>
      <c r="AY47" s="15">
        <v>12.877263581488901</v>
      </c>
      <c r="AZ47" s="15"/>
      <c r="BA47" s="15"/>
      <c r="BB47" s="15">
        <f>IF(OR(Table2[[#This Row],[Gas wt%]]&lt;&gt;"",Table2[[#This Row],[Loss]]&lt;&gt;""),Table2[[#This Row],[Gas wt%]]+Table2[[#This Row],[Loss]],"")</f>
        <v>12.877263581488901</v>
      </c>
      <c r="BC47" s="15"/>
      <c r="BD47" s="15"/>
      <c r="BE47" s="15"/>
      <c r="BF47" s="15"/>
      <c r="BG47" s="15"/>
      <c r="BH47" s="15"/>
      <c r="BI47" s="15">
        <v>73.3</v>
      </c>
      <c r="BJ47" s="15">
        <v>9.1999999999999993</v>
      </c>
      <c r="BK47" s="15">
        <v>10.4</v>
      </c>
      <c r="BL47" s="15">
        <v>7</v>
      </c>
      <c r="BM47" s="15"/>
      <c r="BN47" s="15">
        <v>36.799999999999997</v>
      </c>
      <c r="BO47" s="15">
        <v>50.7</v>
      </c>
      <c r="BP47" s="15"/>
      <c r="BQ47" s="15">
        <f>Table2[[#This Row],[H% B]]/Table2[[#This Row],[C% B]]*100</f>
        <v>12.551159618008183</v>
      </c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>
        <v>0</v>
      </c>
    </row>
    <row r="48" spans="1:106" x14ac:dyDescent="0.25">
      <c r="A48" t="s">
        <v>160</v>
      </c>
      <c r="B48" t="s">
        <v>161</v>
      </c>
      <c r="C48">
        <v>2016</v>
      </c>
      <c r="D48" s="16" t="s">
        <v>162</v>
      </c>
      <c r="E48">
        <v>0</v>
      </c>
      <c r="F48" s="15">
        <v>35.380000000000003</v>
      </c>
      <c r="G48" s="15"/>
      <c r="H48" s="15"/>
      <c r="I48" s="15">
        <v>35.200000000000003</v>
      </c>
      <c r="J48" s="15">
        <v>0</v>
      </c>
      <c r="K48" s="15"/>
      <c r="L48" s="15">
        <f>IF(Table2[[#This Row],[Lipids wt%]]+Table2[[#This Row],[Protein wt%]]+Table2[[#This Row],[Carbs wt%]] =0,"",SUM(Table2[[#This Row],[Lipids wt%]],Table2[[#This Row],[Protein wt%]],Table2[[#This Row],[Carbs wt%]]))</f>
        <v>70.580000000000013</v>
      </c>
      <c r="M48" s="15">
        <f>100-Table2[[#This Row],[Lipids wt%]]-Table2[[#This Row],[Protein wt%]]-Table2[[#This Row],[Carbs wt%]]</f>
        <v>29.419999999999995</v>
      </c>
      <c r="P48">
        <v>85.03</v>
      </c>
      <c r="Q48">
        <v>9.32</v>
      </c>
      <c r="R48">
        <v>61.78</v>
      </c>
      <c r="Z48" s="15">
        <v>33.56</v>
      </c>
      <c r="AA48" s="15">
        <v>5.16</v>
      </c>
      <c r="AB48" s="15">
        <v>25.89</v>
      </c>
      <c r="AC48" s="15">
        <v>5.85</v>
      </c>
      <c r="AD48" s="15">
        <v>0.62</v>
      </c>
      <c r="AE48" s="15"/>
      <c r="AF48" s="15">
        <v>14.48</v>
      </c>
      <c r="AG48" s="15">
        <v>0.3</v>
      </c>
      <c r="AH48" s="15">
        <v>10</v>
      </c>
      <c r="AI48" s="15">
        <v>100</v>
      </c>
      <c r="AJ48" s="15">
        <f>Table2[[#This Row],[Solids (g)]]/(Table2[[#This Row],[Solids (g)]]+Table2[[#This Row],[Water mL]])*100</f>
        <v>9.0909090909090917</v>
      </c>
      <c r="AL48">
        <v>15</v>
      </c>
      <c r="AM48" s="13">
        <v>0.13561000000000001</v>
      </c>
      <c r="AO48" s="15">
        <v>60</v>
      </c>
      <c r="AP48" s="15">
        <f>LN(25/Table2[[#This Row],[Temperature (C)]]/(1-SQRT((Table2[[#This Row],[Temperature (C)]]-5)/Table2[[#This Row],[Temperature (C)]])))/Table2[[#This Row],[b]]</f>
        <v>16.942313773163193</v>
      </c>
      <c r="AQ48" s="15">
        <f>IF(Table2[[#This Row],[b]]&lt;&gt;"",Table2[[#This Row],[T-5]], 0)</f>
        <v>16.942313773163193</v>
      </c>
      <c r="AR48">
        <f>Table2[[#This Row],[Heating time]]+Table2[[#This Row],[Holding Time (min)]]</f>
        <v>76.942313773163193</v>
      </c>
      <c r="AT48" t="s">
        <v>503</v>
      </c>
      <c r="AU48">
        <v>250</v>
      </c>
      <c r="AV48" s="15">
        <v>37.872340425531902</v>
      </c>
      <c r="AW48" s="15">
        <v>11.9148936170212</v>
      </c>
      <c r="AX48" s="15"/>
      <c r="AY48" s="15"/>
      <c r="AZ48" s="15"/>
      <c r="BA48" s="15">
        <v>50.212765957446798</v>
      </c>
      <c r="BB48" s="15" t="str">
        <f>IF(OR(Table2[[#This Row],[Gas wt%]]&lt;&gt;"",Table2[[#This Row],[Loss]]&lt;&gt;""),Table2[[#This Row],[Gas wt%]]+Table2[[#This Row],[Loss]],"")</f>
        <v/>
      </c>
      <c r="BC48" s="15"/>
      <c r="BD48" s="15"/>
      <c r="BE48" s="15"/>
      <c r="BF48" s="15"/>
      <c r="BG48" s="15"/>
      <c r="BH48" s="15"/>
      <c r="BI48" s="15">
        <v>72.58</v>
      </c>
      <c r="BJ48" s="15">
        <v>8.77</v>
      </c>
      <c r="BK48" s="15">
        <v>9.92</v>
      </c>
      <c r="BL48" s="15">
        <v>7.5</v>
      </c>
      <c r="BM48" s="15">
        <v>1.23</v>
      </c>
      <c r="BN48" s="15">
        <v>34.659999999999997</v>
      </c>
      <c r="BO48" s="15">
        <v>27.98</v>
      </c>
      <c r="BP48" s="15"/>
      <c r="BQ48" s="15">
        <f>Table2[[#This Row],[H% B]]/Table2[[#This Row],[C% B]]*100</f>
        <v>12.083218517497933</v>
      </c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>
        <v>0</v>
      </c>
    </row>
    <row r="49" spans="1:106" x14ac:dyDescent="0.25">
      <c r="A49" t="s">
        <v>160</v>
      </c>
      <c r="B49" t="s">
        <v>161</v>
      </c>
      <c r="C49">
        <v>2016</v>
      </c>
      <c r="D49" s="16" t="s">
        <v>162</v>
      </c>
      <c r="E49">
        <v>0</v>
      </c>
      <c r="F49" s="15">
        <v>35.380000000000003</v>
      </c>
      <c r="G49" s="15"/>
      <c r="H49" s="15"/>
      <c r="I49" s="15">
        <v>35.200000000000003</v>
      </c>
      <c r="J49" s="15">
        <v>0</v>
      </c>
      <c r="K49" s="15"/>
      <c r="L49" s="15">
        <f>IF(Table2[[#This Row],[Lipids wt%]]+Table2[[#This Row],[Protein wt%]]+Table2[[#This Row],[Carbs wt%]] =0,"",SUM(Table2[[#This Row],[Lipids wt%]],Table2[[#This Row],[Protein wt%]],Table2[[#This Row],[Carbs wt%]]))</f>
        <v>70.580000000000013</v>
      </c>
      <c r="M49" s="15">
        <f>100-Table2[[#This Row],[Lipids wt%]]-Table2[[#This Row],[Protein wt%]]-Table2[[#This Row],[Carbs wt%]]</f>
        <v>29.419999999999995</v>
      </c>
      <c r="P49">
        <v>85.03</v>
      </c>
      <c r="Q49">
        <v>9.32</v>
      </c>
      <c r="R49">
        <v>61.78</v>
      </c>
      <c r="Z49" s="15">
        <v>33.56</v>
      </c>
      <c r="AA49" s="15">
        <v>5.16</v>
      </c>
      <c r="AB49" s="15">
        <v>25.89</v>
      </c>
      <c r="AC49" s="15">
        <v>5.85</v>
      </c>
      <c r="AD49" s="15">
        <v>0.62</v>
      </c>
      <c r="AE49" s="15"/>
      <c r="AF49" s="15">
        <v>14.48</v>
      </c>
      <c r="AG49" s="15">
        <v>0.3</v>
      </c>
      <c r="AH49" s="15">
        <v>10</v>
      </c>
      <c r="AI49" s="15">
        <v>100</v>
      </c>
      <c r="AJ49" s="15">
        <f>Table2[[#This Row],[Solids (g)]]/(Table2[[#This Row],[Solids (g)]]+Table2[[#This Row],[Water mL]])*100</f>
        <v>9.0909090909090917</v>
      </c>
      <c r="AL49">
        <v>15</v>
      </c>
      <c r="AM49" s="13">
        <v>0.13561000000000001</v>
      </c>
      <c r="AO49" s="15">
        <v>60</v>
      </c>
      <c r="AP49" s="15">
        <f>LN(25/Table2[[#This Row],[Temperature (C)]]/(1-SQRT((Table2[[#This Row],[Temperature (C)]]-5)/Table2[[#This Row],[Temperature (C)]])))/Table2[[#This Row],[b]]</f>
        <v>16.945714400710923</v>
      </c>
      <c r="AQ49" s="15">
        <f>IF(Table2[[#This Row],[b]]&lt;&gt;"",Table2[[#This Row],[T-5]], 0)</f>
        <v>16.945714400710923</v>
      </c>
      <c r="AR49">
        <f>Table2[[#This Row],[Heating time]]+Table2[[#This Row],[Holding Time (min)]]</f>
        <v>76.945714400710926</v>
      </c>
      <c r="AT49" t="s">
        <v>503</v>
      </c>
      <c r="AU49">
        <v>275</v>
      </c>
      <c r="AV49" s="15">
        <v>37.659574468085097</v>
      </c>
      <c r="AW49" s="15">
        <v>13.829787234042501</v>
      </c>
      <c r="AX49" s="15"/>
      <c r="AY49" s="15"/>
      <c r="AZ49" s="15"/>
      <c r="BA49" s="15">
        <v>48.510638297872298</v>
      </c>
      <c r="BB49" s="15" t="str">
        <f>IF(OR(Table2[[#This Row],[Gas wt%]]&lt;&gt;"",Table2[[#This Row],[Loss]]&lt;&gt;""),Table2[[#This Row],[Gas wt%]]+Table2[[#This Row],[Loss]],"")</f>
        <v/>
      </c>
      <c r="BC49" s="15"/>
      <c r="BD49" s="15"/>
      <c r="BE49" s="15"/>
      <c r="BF49" s="15"/>
      <c r="BG49" s="15"/>
      <c r="BH49" s="15"/>
      <c r="BI49" s="15">
        <v>72.69</v>
      </c>
      <c r="BJ49" s="15">
        <v>8.6</v>
      </c>
      <c r="BK49" s="15">
        <v>10.16</v>
      </c>
      <c r="BL49" s="15">
        <v>7.47</v>
      </c>
      <c r="BM49" s="15">
        <v>1.08</v>
      </c>
      <c r="BN49" s="15">
        <v>34.450000000000003</v>
      </c>
      <c r="BO49" s="15">
        <v>32.81</v>
      </c>
      <c r="BP49" s="15"/>
      <c r="BQ49" s="15">
        <f>Table2[[#This Row],[H% B]]/Table2[[#This Row],[C% B]]*100</f>
        <v>11.831063420002751</v>
      </c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>
        <v>0</v>
      </c>
    </row>
    <row r="50" spans="1:106" x14ac:dyDescent="0.25">
      <c r="A50" t="s">
        <v>160</v>
      </c>
      <c r="B50" t="s">
        <v>161</v>
      </c>
      <c r="C50">
        <v>2016</v>
      </c>
      <c r="D50" s="16" t="s">
        <v>162</v>
      </c>
      <c r="E50">
        <v>0</v>
      </c>
      <c r="F50" s="15">
        <v>35.380000000000003</v>
      </c>
      <c r="G50" s="15"/>
      <c r="H50" s="15"/>
      <c r="I50" s="15">
        <v>35.200000000000003</v>
      </c>
      <c r="J50" s="15">
        <v>0</v>
      </c>
      <c r="K50" s="15"/>
      <c r="L50" s="15">
        <f>IF(Table2[[#This Row],[Lipids wt%]]+Table2[[#This Row],[Protein wt%]]+Table2[[#This Row],[Carbs wt%]] =0,"",SUM(Table2[[#This Row],[Lipids wt%]],Table2[[#This Row],[Protein wt%]],Table2[[#This Row],[Carbs wt%]]))</f>
        <v>70.580000000000013</v>
      </c>
      <c r="M50" s="15">
        <f>100-Table2[[#This Row],[Lipids wt%]]-Table2[[#This Row],[Protein wt%]]-Table2[[#This Row],[Carbs wt%]]</f>
        <v>29.419999999999995</v>
      </c>
      <c r="P50">
        <v>85.03</v>
      </c>
      <c r="Q50">
        <v>9.32</v>
      </c>
      <c r="R50">
        <v>61.78</v>
      </c>
      <c r="Z50" s="15">
        <v>33.56</v>
      </c>
      <c r="AA50" s="15">
        <v>5.16</v>
      </c>
      <c r="AB50" s="15">
        <v>25.89</v>
      </c>
      <c r="AC50" s="15">
        <v>5.85</v>
      </c>
      <c r="AD50" s="15">
        <v>0.62</v>
      </c>
      <c r="AE50" s="15"/>
      <c r="AF50" s="15">
        <v>14.48</v>
      </c>
      <c r="AG50" s="15">
        <v>0.3</v>
      </c>
      <c r="AH50" s="15">
        <v>10</v>
      </c>
      <c r="AI50" s="15">
        <v>100</v>
      </c>
      <c r="AJ50" s="15">
        <f>Table2[[#This Row],[Solids (g)]]/(Table2[[#This Row],[Solids (g)]]+Table2[[#This Row],[Water mL]])*100</f>
        <v>9.0909090909090917</v>
      </c>
      <c r="AL50">
        <v>15</v>
      </c>
      <c r="AM50" s="13">
        <v>0.13561000000000001</v>
      </c>
      <c r="AO50" s="15">
        <v>60</v>
      </c>
      <c r="AP50" s="15">
        <f>LN(25/Table2[[#This Row],[Temperature (C)]]/(1-SQRT((Table2[[#This Row],[Temperature (C)]]-5)/Table2[[#This Row],[Temperature (C)]])))/Table2[[#This Row],[b]]</f>
        <v>16.948544656476525</v>
      </c>
      <c r="AQ50" s="15">
        <f>IF(Table2[[#This Row],[b]]&lt;&gt;"",Table2[[#This Row],[T-5]], 0)</f>
        <v>16.948544656476525</v>
      </c>
      <c r="AR50">
        <f>Table2[[#This Row],[Heating time]]+Table2[[#This Row],[Holding Time (min)]]</f>
        <v>76.948544656476528</v>
      </c>
      <c r="AT50" t="s">
        <v>503</v>
      </c>
      <c r="AU50">
        <v>300</v>
      </c>
      <c r="AV50" s="15">
        <v>35.744680851063798</v>
      </c>
      <c r="AW50" s="15">
        <v>17.659574468085101</v>
      </c>
      <c r="AX50" s="15"/>
      <c r="AY50" s="15"/>
      <c r="AZ50" s="15"/>
      <c r="BA50" s="15">
        <v>46.3829787234042</v>
      </c>
      <c r="BB50" s="15" t="str">
        <f>IF(OR(Table2[[#This Row],[Gas wt%]]&lt;&gt;"",Table2[[#This Row],[Loss]]&lt;&gt;""),Table2[[#This Row],[Gas wt%]]+Table2[[#This Row],[Loss]],"")</f>
        <v/>
      </c>
      <c r="BC50" s="15"/>
      <c r="BD50" s="15"/>
      <c r="BE50" s="15"/>
      <c r="BF50" s="15"/>
      <c r="BG50" s="15"/>
      <c r="BH50" s="15">
        <f>100-SUM(AV50:AW50,BA50)</f>
        <v>0.21276595744689075</v>
      </c>
      <c r="BI50" s="15">
        <v>74.260000000000005</v>
      </c>
      <c r="BJ50" s="15">
        <v>8.66</v>
      </c>
      <c r="BK50" s="15">
        <v>9.08</v>
      </c>
      <c r="BL50" s="15">
        <v>6.89</v>
      </c>
      <c r="BM50" s="15">
        <v>1.1100000000000001</v>
      </c>
      <c r="BN50" s="15">
        <v>35.200000000000003</v>
      </c>
      <c r="BO50" s="15">
        <v>43.51</v>
      </c>
      <c r="BP50" s="15"/>
      <c r="BQ50" s="15">
        <f>Table2[[#This Row],[H% B]]/Table2[[#This Row],[C% B]]*100</f>
        <v>11.661729060059251</v>
      </c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>
        <v>0</v>
      </c>
    </row>
    <row r="51" spans="1:106" x14ac:dyDescent="0.25">
      <c r="A51" t="s">
        <v>160</v>
      </c>
      <c r="B51" t="s">
        <v>161</v>
      </c>
      <c r="C51">
        <v>2016</v>
      </c>
      <c r="D51" s="16" t="s">
        <v>162</v>
      </c>
      <c r="E51">
        <v>0</v>
      </c>
      <c r="F51" s="15">
        <v>35.380000000000003</v>
      </c>
      <c r="G51" s="15"/>
      <c r="H51" s="15"/>
      <c r="I51" s="15">
        <v>35.200000000000003</v>
      </c>
      <c r="J51" s="15">
        <v>0</v>
      </c>
      <c r="K51" s="15"/>
      <c r="L51" s="15">
        <f>IF(Table2[[#This Row],[Lipids wt%]]+Table2[[#This Row],[Protein wt%]]+Table2[[#This Row],[Carbs wt%]] =0,"",SUM(Table2[[#This Row],[Lipids wt%]],Table2[[#This Row],[Protein wt%]],Table2[[#This Row],[Carbs wt%]]))</f>
        <v>70.580000000000013</v>
      </c>
      <c r="M51" s="15">
        <f>100-Table2[[#This Row],[Lipids wt%]]-Table2[[#This Row],[Protein wt%]]-Table2[[#This Row],[Carbs wt%]]</f>
        <v>29.419999999999995</v>
      </c>
      <c r="P51">
        <v>85.03</v>
      </c>
      <c r="Q51">
        <v>9.32</v>
      </c>
      <c r="R51">
        <v>61.78</v>
      </c>
      <c r="Z51" s="15">
        <v>33.56</v>
      </c>
      <c r="AA51" s="15">
        <v>5.16</v>
      </c>
      <c r="AB51" s="15">
        <v>25.89</v>
      </c>
      <c r="AC51" s="15">
        <v>5.85</v>
      </c>
      <c r="AD51" s="15">
        <v>0.62</v>
      </c>
      <c r="AE51" s="15"/>
      <c r="AF51" s="15">
        <v>14.48</v>
      </c>
      <c r="AG51" s="15">
        <v>0.3</v>
      </c>
      <c r="AH51" s="15">
        <v>10</v>
      </c>
      <c r="AI51" s="15">
        <v>100</v>
      </c>
      <c r="AJ51" s="15">
        <f>Table2[[#This Row],[Solids (g)]]/(Table2[[#This Row],[Solids (g)]]+Table2[[#This Row],[Water mL]])*100</f>
        <v>9.0909090909090917</v>
      </c>
      <c r="AL51">
        <v>15</v>
      </c>
      <c r="AM51" s="13">
        <v>0.13561000000000001</v>
      </c>
      <c r="AO51" s="15">
        <v>60</v>
      </c>
      <c r="AP51" s="15">
        <f>LN(25/Table2[[#This Row],[Temperature (C)]]/(1-SQRT((Table2[[#This Row],[Temperature (C)]]-5)/Table2[[#This Row],[Temperature (C)]])))/Table2[[#This Row],[b]]</f>
        <v>16.950936938352601</v>
      </c>
      <c r="AQ51" s="15">
        <f>IF(Table2[[#This Row],[b]]&lt;&gt;"",Table2[[#This Row],[T-5]], 0)</f>
        <v>16.950936938352601</v>
      </c>
      <c r="AR51">
        <f>Table2[[#This Row],[Heating time]]+Table2[[#This Row],[Holding Time (min)]]</f>
        <v>76.950936938352598</v>
      </c>
      <c r="AT51" t="s">
        <v>503</v>
      </c>
      <c r="AU51">
        <v>325</v>
      </c>
      <c r="AV51" s="15">
        <v>32.7659574468085</v>
      </c>
      <c r="AW51" s="15">
        <v>20.638297872340399</v>
      </c>
      <c r="AX51" s="15"/>
      <c r="AY51" s="15"/>
      <c r="AZ51" s="15"/>
      <c r="BA51" s="15">
        <v>46.3829787234042</v>
      </c>
      <c r="BB51" s="15" t="str">
        <f>IF(OR(Table2[[#This Row],[Gas wt%]]&lt;&gt;"",Table2[[#This Row],[Loss]]&lt;&gt;""),Table2[[#This Row],[Gas wt%]]+Table2[[#This Row],[Loss]],"")</f>
        <v/>
      </c>
      <c r="BC51" s="15"/>
      <c r="BD51" s="15"/>
      <c r="BE51" s="15"/>
      <c r="BF51" s="15"/>
      <c r="BG51" s="15"/>
      <c r="BH51" s="15">
        <f>100-SUM(AV51:AW51,BA51)</f>
        <v>0.21276595744689075</v>
      </c>
      <c r="BI51" s="15">
        <v>73.34</v>
      </c>
      <c r="BJ51" s="15">
        <v>8.85</v>
      </c>
      <c r="BK51" s="15">
        <v>10.19</v>
      </c>
      <c r="BL51" s="15">
        <v>6.52</v>
      </c>
      <c r="BM51" s="15">
        <v>1.1000000000000001</v>
      </c>
      <c r="BN51" s="15">
        <v>34.99</v>
      </c>
      <c r="BO51" s="15">
        <v>50.26</v>
      </c>
      <c r="BP51" s="15"/>
      <c r="BQ51" s="15">
        <f>Table2[[#This Row],[H% B]]/Table2[[#This Row],[C% B]]*100</f>
        <v>12.067084810471775</v>
      </c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>
        <v>0</v>
      </c>
    </row>
    <row r="52" spans="1:106" x14ac:dyDescent="0.25">
      <c r="A52" t="s">
        <v>160</v>
      </c>
      <c r="B52" t="s">
        <v>161</v>
      </c>
      <c r="C52">
        <v>2016</v>
      </c>
      <c r="D52" s="16" t="s">
        <v>162</v>
      </c>
      <c r="E52">
        <v>0</v>
      </c>
      <c r="F52" s="15">
        <v>35.380000000000003</v>
      </c>
      <c r="G52" s="15"/>
      <c r="H52" s="15"/>
      <c r="I52" s="15">
        <v>35.200000000000003</v>
      </c>
      <c r="J52" s="15">
        <v>0</v>
      </c>
      <c r="K52" s="15"/>
      <c r="L52" s="15">
        <f>IF(Table2[[#This Row],[Lipids wt%]]+Table2[[#This Row],[Protein wt%]]+Table2[[#This Row],[Carbs wt%]] =0,"",SUM(Table2[[#This Row],[Lipids wt%]],Table2[[#This Row],[Protein wt%]],Table2[[#This Row],[Carbs wt%]]))</f>
        <v>70.580000000000013</v>
      </c>
      <c r="M52" s="15">
        <f>100-Table2[[#This Row],[Lipids wt%]]-Table2[[#This Row],[Protein wt%]]-Table2[[#This Row],[Carbs wt%]]</f>
        <v>29.419999999999995</v>
      </c>
      <c r="P52">
        <v>85.03</v>
      </c>
      <c r="Q52">
        <v>9.32</v>
      </c>
      <c r="R52">
        <v>61.78</v>
      </c>
      <c r="Z52" s="15">
        <v>33.56</v>
      </c>
      <c r="AA52" s="15">
        <v>5.16</v>
      </c>
      <c r="AB52" s="15">
        <v>25.89</v>
      </c>
      <c r="AC52" s="15">
        <v>5.85</v>
      </c>
      <c r="AD52" s="15">
        <v>0.62</v>
      </c>
      <c r="AE52" s="15"/>
      <c r="AF52" s="15">
        <v>14.48</v>
      </c>
      <c r="AG52" s="15">
        <v>0.3</v>
      </c>
      <c r="AH52" s="15">
        <v>10</v>
      </c>
      <c r="AI52" s="15">
        <v>100</v>
      </c>
      <c r="AJ52" s="15">
        <f>Table2[[#This Row],[Solids (g)]]/(Table2[[#This Row],[Solids (g)]]+Table2[[#This Row],[Water mL]])*100</f>
        <v>9.0909090909090917</v>
      </c>
      <c r="AL52">
        <v>15</v>
      </c>
      <c r="AM52" s="13">
        <v>0.13561000000000001</v>
      </c>
      <c r="AO52" s="15">
        <v>60</v>
      </c>
      <c r="AP52" s="15">
        <f>LN(25/Table2[[#This Row],[Temperature (C)]]/(1-SQRT((Table2[[#This Row],[Temperature (C)]]-5)/Table2[[#This Row],[Temperature (C)]])))/Table2[[#This Row],[b]]</f>
        <v>16.952985609355867</v>
      </c>
      <c r="AQ52" s="15">
        <f>IF(Table2[[#This Row],[b]]&lt;&gt;"",Table2[[#This Row],[T-5]], 0)</f>
        <v>16.952985609355867</v>
      </c>
      <c r="AR52">
        <f>Table2[[#This Row],[Heating time]]+Table2[[#This Row],[Holding Time (min)]]</f>
        <v>76.952985609355864</v>
      </c>
      <c r="AT52" t="s">
        <v>503</v>
      </c>
      <c r="AU52">
        <v>350</v>
      </c>
      <c r="AV52" s="15">
        <v>30</v>
      </c>
      <c r="AW52" s="15">
        <v>18.936170212765902</v>
      </c>
      <c r="AX52" s="15"/>
      <c r="AY52" s="15"/>
      <c r="AZ52" s="15"/>
      <c r="BA52" s="15">
        <v>50.851063829787201</v>
      </c>
      <c r="BB52" s="15" t="str">
        <f>IF(OR(Table2[[#This Row],[Gas wt%]]&lt;&gt;"",Table2[[#This Row],[Loss]]&lt;&gt;""),Table2[[#This Row],[Gas wt%]]+Table2[[#This Row],[Loss]],"")</f>
        <v/>
      </c>
      <c r="BC52" s="15"/>
      <c r="BD52" s="15"/>
      <c r="BE52" s="15"/>
      <c r="BF52" s="15"/>
      <c r="BG52" s="15"/>
      <c r="BH52" s="15">
        <f>100-SUM(AV52:AW52,BA52)</f>
        <v>0.21276595744689075</v>
      </c>
      <c r="BI52" s="15">
        <v>76.02</v>
      </c>
      <c r="BJ52" s="15">
        <v>9.1</v>
      </c>
      <c r="BK52" s="15">
        <v>7.44</v>
      </c>
      <c r="BL52" s="15">
        <v>6.29</v>
      </c>
      <c r="BM52" s="15">
        <v>1.1499999999999999</v>
      </c>
      <c r="BN52" s="15">
        <v>36.51</v>
      </c>
      <c r="BO52" s="15">
        <v>47.65</v>
      </c>
      <c r="BP52" s="15"/>
      <c r="BQ52" s="15">
        <f>Table2[[#This Row],[H% B]]/Table2[[#This Row],[C% B]]*100</f>
        <v>11.970534069981584</v>
      </c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>
        <v>0</v>
      </c>
    </row>
    <row r="53" spans="1:106" x14ac:dyDescent="0.25">
      <c r="A53" t="s">
        <v>160</v>
      </c>
      <c r="B53" t="s">
        <v>161</v>
      </c>
      <c r="C53">
        <v>2016</v>
      </c>
      <c r="D53" s="16" t="s">
        <v>162</v>
      </c>
      <c r="E53">
        <v>0</v>
      </c>
      <c r="F53" s="15">
        <v>35.380000000000003</v>
      </c>
      <c r="G53" s="15"/>
      <c r="H53" s="15"/>
      <c r="I53" s="15">
        <v>35.200000000000003</v>
      </c>
      <c r="J53" s="15">
        <v>0</v>
      </c>
      <c r="K53" s="15"/>
      <c r="L53" s="15">
        <f>IF(Table2[[#This Row],[Lipids wt%]]+Table2[[#This Row],[Protein wt%]]+Table2[[#This Row],[Carbs wt%]] =0,"",SUM(Table2[[#This Row],[Lipids wt%]],Table2[[#This Row],[Protein wt%]],Table2[[#This Row],[Carbs wt%]]))</f>
        <v>70.580000000000013</v>
      </c>
      <c r="M53" s="15">
        <f>100-Table2[[#This Row],[Lipids wt%]]-Table2[[#This Row],[Protein wt%]]-Table2[[#This Row],[Carbs wt%]]</f>
        <v>29.419999999999995</v>
      </c>
      <c r="P53">
        <v>85.03</v>
      </c>
      <c r="Q53">
        <v>9.32</v>
      </c>
      <c r="R53">
        <v>61.78</v>
      </c>
      <c r="Z53" s="15">
        <v>33.56</v>
      </c>
      <c r="AA53" s="15">
        <v>5.16</v>
      </c>
      <c r="AB53" s="15">
        <v>25.89</v>
      </c>
      <c r="AC53" s="15">
        <v>5.85</v>
      </c>
      <c r="AD53" s="15">
        <v>0.62</v>
      </c>
      <c r="AE53" s="15"/>
      <c r="AF53" s="15">
        <v>14.48</v>
      </c>
      <c r="AG53" s="15">
        <v>0.3</v>
      </c>
      <c r="AH53" s="15">
        <v>10</v>
      </c>
      <c r="AI53" s="15">
        <v>100</v>
      </c>
      <c r="AJ53" s="15">
        <f>Table2[[#This Row],[Solids (g)]]/(Table2[[#This Row],[Solids (g)]]+Table2[[#This Row],[Water mL]])*100</f>
        <v>9.0909090909090917</v>
      </c>
      <c r="AL53">
        <v>15</v>
      </c>
      <c r="AM53" s="13">
        <v>0.13561000000000001</v>
      </c>
      <c r="AO53" s="15">
        <v>15</v>
      </c>
      <c r="AP53" s="15">
        <f>LN(25/Table2[[#This Row],[Temperature (C)]]/(1-SQRT((Table2[[#This Row],[Temperature (C)]]-5)/Table2[[#This Row],[Temperature (C)]])))/Table2[[#This Row],[b]]</f>
        <v>16.950936938352601</v>
      </c>
      <c r="AQ53" s="15">
        <f>IF(Table2[[#This Row],[b]]&lt;&gt;"",Table2[[#This Row],[T-5]], 0)</f>
        <v>16.950936938352601</v>
      </c>
      <c r="AR53">
        <f>Table2[[#This Row],[Heating time]]+Table2[[#This Row],[Holding Time (min)]]</f>
        <v>31.950936938352601</v>
      </c>
      <c r="AT53" t="s">
        <v>503</v>
      </c>
      <c r="AU53">
        <v>325</v>
      </c>
      <c r="AV53" s="15">
        <v>33.3333333333333</v>
      </c>
      <c r="AW53" s="15">
        <v>15.850815850815801</v>
      </c>
      <c r="AX53" s="15"/>
      <c r="AY53" s="15"/>
      <c r="AZ53" s="15"/>
      <c r="BA53" s="15">
        <v>50.815850815850801</v>
      </c>
      <c r="BB53" s="15" t="str">
        <f>IF(OR(Table2[[#This Row],[Gas wt%]]&lt;&gt;"",Table2[[#This Row],[Loss]]&lt;&gt;""),Table2[[#This Row],[Gas wt%]]+Table2[[#This Row],[Loss]],"")</f>
        <v/>
      </c>
      <c r="BC53" s="15"/>
      <c r="BD53" s="15"/>
      <c r="BE53" s="15"/>
      <c r="BF53" s="15"/>
      <c r="BG53" s="15"/>
      <c r="BH53" s="15"/>
      <c r="BI53" s="15">
        <v>72.94</v>
      </c>
      <c r="BJ53" s="15">
        <v>8.73</v>
      </c>
      <c r="BK53" s="15">
        <v>10.1</v>
      </c>
      <c r="BL53" s="15">
        <v>6.9</v>
      </c>
      <c r="BM53" s="15">
        <v>1.33</v>
      </c>
      <c r="BN53" s="15">
        <v>34.74</v>
      </c>
      <c r="BO53" s="15">
        <v>36.950000000000003</v>
      </c>
      <c r="BP53" s="15"/>
      <c r="BQ53" s="15">
        <f>Table2[[#This Row],[H% B]]/Table2[[#This Row],[C% B]]*100</f>
        <v>11.96874143131341</v>
      </c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>
        <v>0</v>
      </c>
    </row>
    <row r="54" spans="1:106" x14ac:dyDescent="0.25">
      <c r="A54" t="s">
        <v>160</v>
      </c>
      <c r="B54" t="s">
        <v>161</v>
      </c>
      <c r="C54">
        <v>2016</v>
      </c>
      <c r="D54" s="16" t="s">
        <v>162</v>
      </c>
      <c r="E54">
        <v>0</v>
      </c>
      <c r="F54" s="15">
        <v>35.380000000000003</v>
      </c>
      <c r="G54" s="15"/>
      <c r="H54" s="15"/>
      <c r="I54" s="15">
        <v>35.200000000000003</v>
      </c>
      <c r="J54" s="15">
        <v>0</v>
      </c>
      <c r="K54" s="15"/>
      <c r="L54" s="15">
        <f>IF(Table2[[#This Row],[Lipids wt%]]+Table2[[#This Row],[Protein wt%]]+Table2[[#This Row],[Carbs wt%]] =0,"",SUM(Table2[[#This Row],[Lipids wt%]],Table2[[#This Row],[Protein wt%]],Table2[[#This Row],[Carbs wt%]]))</f>
        <v>70.580000000000013</v>
      </c>
      <c r="M54" s="15">
        <f>100-Table2[[#This Row],[Lipids wt%]]-Table2[[#This Row],[Protein wt%]]-Table2[[#This Row],[Carbs wt%]]</f>
        <v>29.419999999999995</v>
      </c>
      <c r="P54">
        <v>85.03</v>
      </c>
      <c r="Q54">
        <v>9.32</v>
      </c>
      <c r="R54">
        <v>61.78</v>
      </c>
      <c r="Z54" s="15">
        <v>33.56</v>
      </c>
      <c r="AA54" s="15">
        <v>5.16</v>
      </c>
      <c r="AB54" s="15">
        <v>25.89</v>
      </c>
      <c r="AC54" s="15">
        <v>5.85</v>
      </c>
      <c r="AD54" s="15">
        <v>0.62</v>
      </c>
      <c r="AE54" s="15"/>
      <c r="AF54" s="15">
        <v>14.48</v>
      </c>
      <c r="AG54" s="15">
        <v>0.3</v>
      </c>
      <c r="AH54" s="15">
        <v>10</v>
      </c>
      <c r="AI54" s="15">
        <v>100</v>
      </c>
      <c r="AJ54" s="15">
        <f>Table2[[#This Row],[Solids (g)]]/(Table2[[#This Row],[Solids (g)]]+Table2[[#This Row],[Water mL]])*100</f>
        <v>9.0909090909090917</v>
      </c>
      <c r="AL54">
        <v>15</v>
      </c>
      <c r="AM54" s="13">
        <v>0.13561000000000001</v>
      </c>
      <c r="AO54" s="15">
        <v>30</v>
      </c>
      <c r="AP54" s="15">
        <f>LN(25/Table2[[#This Row],[Temperature (C)]]/(1-SQRT((Table2[[#This Row],[Temperature (C)]]-5)/Table2[[#This Row],[Temperature (C)]])))/Table2[[#This Row],[b]]</f>
        <v>16.950936938352601</v>
      </c>
      <c r="AQ54" s="15">
        <f>IF(Table2[[#This Row],[b]]&lt;&gt;"",Table2[[#This Row],[T-5]], 0)</f>
        <v>16.950936938352601</v>
      </c>
      <c r="AR54">
        <f>Table2[[#This Row],[Heating time]]+Table2[[#This Row],[Holding Time (min)]]</f>
        <v>46.950936938352598</v>
      </c>
      <c r="AT54" t="s">
        <v>503</v>
      </c>
      <c r="AU54">
        <v>325</v>
      </c>
      <c r="AV54" s="15">
        <v>33.799533799533798</v>
      </c>
      <c r="AW54" s="15">
        <v>19.1142191142191</v>
      </c>
      <c r="AX54" s="15"/>
      <c r="AY54" s="15"/>
      <c r="AZ54" s="15"/>
      <c r="BA54" s="15">
        <v>47.319347319347301</v>
      </c>
      <c r="BB54" s="15" t="str">
        <f>IF(OR(Table2[[#This Row],[Gas wt%]]&lt;&gt;"",Table2[[#This Row],[Loss]]&lt;&gt;""),Table2[[#This Row],[Gas wt%]]+Table2[[#This Row],[Loss]],"")</f>
        <v/>
      </c>
      <c r="BC54" s="15"/>
      <c r="BD54" s="15"/>
      <c r="BE54" s="15"/>
      <c r="BF54" s="15"/>
      <c r="BG54" s="15"/>
      <c r="BH54" s="15"/>
      <c r="BI54" s="15">
        <v>74.55</v>
      </c>
      <c r="BJ54" s="15">
        <v>8.5399999999999991</v>
      </c>
      <c r="BK54" s="15">
        <v>8.83</v>
      </c>
      <c r="BL54" s="15">
        <v>7.07</v>
      </c>
      <c r="BM54" s="15">
        <v>1.01</v>
      </c>
      <c r="BN54" s="15">
        <v>35.17</v>
      </c>
      <c r="BO54" s="15">
        <v>46.68</v>
      </c>
      <c r="BP54" s="15"/>
      <c r="BQ54" s="15">
        <f>Table2[[#This Row],[H% B]]/Table2[[#This Row],[C% B]]*100</f>
        <v>11.455399061032862</v>
      </c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>
        <v>0</v>
      </c>
    </row>
    <row r="55" spans="1:106" x14ac:dyDescent="0.25">
      <c r="A55" t="s">
        <v>160</v>
      </c>
      <c r="B55" t="s">
        <v>161</v>
      </c>
      <c r="C55">
        <v>2016</v>
      </c>
      <c r="D55" s="16" t="s">
        <v>162</v>
      </c>
      <c r="E55">
        <v>0</v>
      </c>
      <c r="F55" s="15">
        <v>35.380000000000003</v>
      </c>
      <c r="G55" s="15"/>
      <c r="H55" s="15"/>
      <c r="I55" s="15">
        <v>35.200000000000003</v>
      </c>
      <c r="J55" s="15">
        <v>0</v>
      </c>
      <c r="K55" s="15"/>
      <c r="L55" s="15">
        <f>IF(Table2[[#This Row],[Lipids wt%]]+Table2[[#This Row],[Protein wt%]]+Table2[[#This Row],[Carbs wt%]] =0,"",SUM(Table2[[#This Row],[Lipids wt%]],Table2[[#This Row],[Protein wt%]],Table2[[#This Row],[Carbs wt%]]))</f>
        <v>70.580000000000013</v>
      </c>
      <c r="M55" s="15">
        <f>100-Table2[[#This Row],[Lipids wt%]]-Table2[[#This Row],[Protein wt%]]-Table2[[#This Row],[Carbs wt%]]</f>
        <v>29.419999999999995</v>
      </c>
      <c r="P55">
        <v>85.03</v>
      </c>
      <c r="Q55">
        <v>9.32</v>
      </c>
      <c r="R55">
        <v>61.78</v>
      </c>
      <c r="Z55" s="15">
        <v>33.56</v>
      </c>
      <c r="AA55" s="15">
        <v>5.16</v>
      </c>
      <c r="AB55" s="15">
        <v>25.89</v>
      </c>
      <c r="AC55" s="15">
        <v>5.85</v>
      </c>
      <c r="AD55" s="15">
        <v>0.62</v>
      </c>
      <c r="AE55" s="15"/>
      <c r="AF55" s="15">
        <v>14.48</v>
      </c>
      <c r="AG55" s="15">
        <v>0.3</v>
      </c>
      <c r="AH55" s="15">
        <v>10</v>
      </c>
      <c r="AI55" s="15">
        <v>100</v>
      </c>
      <c r="AJ55" s="15">
        <f>Table2[[#This Row],[Solids (g)]]/(Table2[[#This Row],[Solids (g)]]+Table2[[#This Row],[Water mL]])*100</f>
        <v>9.0909090909090917</v>
      </c>
      <c r="AL55">
        <v>15</v>
      </c>
      <c r="AM55" s="13">
        <v>0.13561000000000001</v>
      </c>
      <c r="AO55" s="15">
        <v>45</v>
      </c>
      <c r="AP55" s="15">
        <f>LN(25/Table2[[#This Row],[Temperature (C)]]/(1-SQRT((Table2[[#This Row],[Temperature (C)]]-5)/Table2[[#This Row],[Temperature (C)]])))/Table2[[#This Row],[b]]</f>
        <v>16.950936938352601</v>
      </c>
      <c r="AQ55" s="15">
        <f>IF(Table2[[#This Row],[b]]&lt;&gt;"",Table2[[#This Row],[T-5]], 0)</f>
        <v>16.950936938352601</v>
      </c>
      <c r="AR55">
        <f>Table2[[#This Row],[Heating time]]+Table2[[#This Row],[Holding Time (min)]]</f>
        <v>61.950936938352598</v>
      </c>
      <c r="AT55" t="s">
        <v>503</v>
      </c>
      <c r="AU55">
        <v>325</v>
      </c>
      <c r="AV55" s="15">
        <v>33.566433566433503</v>
      </c>
      <c r="AW55" s="15">
        <v>20.979020979020898</v>
      </c>
      <c r="AX55" s="15"/>
      <c r="AY55" s="15"/>
      <c r="AZ55" s="15"/>
      <c r="BA55" s="15">
        <v>45.687645687645599</v>
      </c>
      <c r="BB55" s="15" t="str">
        <f>IF(OR(Table2[[#This Row],[Gas wt%]]&lt;&gt;"",Table2[[#This Row],[Loss]]&lt;&gt;""),Table2[[#This Row],[Gas wt%]]+Table2[[#This Row],[Loss]],"")</f>
        <v/>
      </c>
      <c r="BC55" s="15"/>
      <c r="BD55" s="15"/>
      <c r="BE55" s="15"/>
      <c r="BF55" s="15"/>
      <c r="BG55" s="15"/>
      <c r="BH55" s="15"/>
      <c r="BI55" s="15">
        <v>74.62</v>
      </c>
      <c r="BJ55" s="15">
        <v>8.56</v>
      </c>
      <c r="BK55" s="15">
        <v>8.6999999999999993</v>
      </c>
      <c r="BL55" s="15">
        <v>6.87</v>
      </c>
      <c r="BM55" s="15">
        <v>1.25</v>
      </c>
      <c r="BN55" s="15">
        <v>35.26</v>
      </c>
      <c r="BO55" s="15">
        <v>51.38</v>
      </c>
      <c r="BP55" s="15"/>
      <c r="BQ55" s="15">
        <f>Table2[[#This Row],[H% B]]/Table2[[#This Row],[C% B]]*100</f>
        <v>11.471455373894399</v>
      </c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>
        <v>0</v>
      </c>
    </row>
    <row r="56" spans="1:106" x14ac:dyDescent="0.25">
      <c r="A56" t="s">
        <v>160</v>
      </c>
      <c r="B56" t="s">
        <v>161</v>
      </c>
      <c r="C56">
        <v>2016</v>
      </c>
      <c r="D56" s="16" t="s">
        <v>162</v>
      </c>
      <c r="E56">
        <v>0</v>
      </c>
      <c r="F56" s="15">
        <v>35.380000000000003</v>
      </c>
      <c r="G56" s="15"/>
      <c r="H56" s="15"/>
      <c r="I56" s="15">
        <v>35.200000000000003</v>
      </c>
      <c r="J56" s="15">
        <v>0</v>
      </c>
      <c r="K56" s="15"/>
      <c r="L56" s="15">
        <f>IF(Table2[[#This Row],[Lipids wt%]]+Table2[[#This Row],[Protein wt%]]+Table2[[#This Row],[Carbs wt%]] =0,"",SUM(Table2[[#This Row],[Lipids wt%]],Table2[[#This Row],[Protein wt%]],Table2[[#This Row],[Carbs wt%]]))</f>
        <v>70.580000000000013</v>
      </c>
      <c r="M56" s="15">
        <f>100-Table2[[#This Row],[Lipids wt%]]-Table2[[#This Row],[Protein wt%]]-Table2[[#This Row],[Carbs wt%]]</f>
        <v>29.419999999999995</v>
      </c>
      <c r="P56">
        <v>85.03</v>
      </c>
      <c r="Q56">
        <v>9.32</v>
      </c>
      <c r="R56">
        <v>61.78</v>
      </c>
      <c r="Z56" s="15">
        <v>33.56</v>
      </c>
      <c r="AA56" s="15">
        <v>5.16</v>
      </c>
      <c r="AB56" s="15">
        <v>25.89</v>
      </c>
      <c r="AC56" s="15">
        <v>5.85</v>
      </c>
      <c r="AD56" s="15">
        <v>0.62</v>
      </c>
      <c r="AE56" s="15"/>
      <c r="AF56" s="15">
        <v>14.48</v>
      </c>
      <c r="AG56" s="15">
        <v>0.3</v>
      </c>
      <c r="AH56" s="15">
        <v>10</v>
      </c>
      <c r="AI56" s="15">
        <v>100</v>
      </c>
      <c r="AJ56" s="15">
        <f>Table2[[#This Row],[Solids (g)]]/(Table2[[#This Row],[Solids (g)]]+Table2[[#This Row],[Water mL]])*100</f>
        <v>9.0909090909090917</v>
      </c>
      <c r="AL56">
        <v>15</v>
      </c>
      <c r="AM56" s="13">
        <v>0.13561000000000001</v>
      </c>
      <c r="AO56" s="15">
        <v>90</v>
      </c>
      <c r="AP56" s="15">
        <f>LN(25/Table2[[#This Row],[Temperature (C)]]/(1-SQRT((Table2[[#This Row],[Temperature (C)]]-5)/Table2[[#This Row],[Temperature (C)]])))/Table2[[#This Row],[b]]</f>
        <v>16.950936938352601</v>
      </c>
      <c r="AQ56" s="15">
        <f>IF(Table2[[#This Row],[b]]&lt;&gt;"",Table2[[#This Row],[T-5]], 0)</f>
        <v>16.950936938352601</v>
      </c>
      <c r="AR56">
        <f>Table2[[#This Row],[Heating time]]+Table2[[#This Row],[Holding Time (min)]]</f>
        <v>106.9509369383526</v>
      </c>
      <c r="AT56" t="s">
        <v>503</v>
      </c>
      <c r="AU56">
        <v>325</v>
      </c>
      <c r="AV56" s="15">
        <v>31.701631701631701</v>
      </c>
      <c r="AW56" s="15">
        <v>20.279720279720198</v>
      </c>
      <c r="AX56" s="15"/>
      <c r="AY56" s="15"/>
      <c r="AZ56" s="15"/>
      <c r="BA56" s="15">
        <v>48.018648018648001</v>
      </c>
      <c r="BB56" s="15" t="str">
        <f>IF(OR(Table2[[#This Row],[Gas wt%]]&lt;&gt;"",Table2[[#This Row],[Loss]]&lt;&gt;""),Table2[[#This Row],[Gas wt%]]+Table2[[#This Row],[Loss]],"")</f>
        <v/>
      </c>
      <c r="BC56" s="15"/>
      <c r="BD56" s="15"/>
      <c r="BE56" s="15"/>
      <c r="BF56" s="15"/>
      <c r="BG56" s="15"/>
      <c r="BH56" s="15"/>
      <c r="BI56" s="15">
        <v>72.3</v>
      </c>
      <c r="BJ56" s="15">
        <v>8.65</v>
      </c>
      <c r="BK56" s="15">
        <v>11.89</v>
      </c>
      <c r="BL56" s="15">
        <v>5.95</v>
      </c>
      <c r="BM56" s="15">
        <v>1.21</v>
      </c>
      <c r="BN56" s="15">
        <v>34.229999999999997</v>
      </c>
      <c r="BO56" s="15">
        <v>47.52</v>
      </c>
      <c r="BP56" s="15"/>
      <c r="BQ56" s="15">
        <f>Table2[[#This Row],[H% B]]/Table2[[#This Row],[C% B]]*100</f>
        <v>11.964038727524205</v>
      </c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>
        <v>0</v>
      </c>
    </row>
    <row r="57" spans="1:106" x14ac:dyDescent="0.25">
      <c r="A57" t="s">
        <v>160</v>
      </c>
      <c r="B57" t="s">
        <v>161</v>
      </c>
      <c r="C57">
        <v>2016</v>
      </c>
      <c r="D57" s="16" t="s">
        <v>163</v>
      </c>
      <c r="E57">
        <v>0</v>
      </c>
      <c r="F57" s="15">
        <v>26.97</v>
      </c>
      <c r="G57" s="15"/>
      <c r="H57" s="15"/>
      <c r="I57" s="15">
        <v>29.6</v>
      </c>
      <c r="J57" s="15">
        <v>8.1999999999999993</v>
      </c>
      <c r="K57" s="15"/>
      <c r="L57" s="15">
        <f>IF(Table2[[#This Row],[Lipids wt%]]+Table2[[#This Row],[Protein wt%]]+Table2[[#This Row],[Carbs wt%]] =0,"",SUM(Table2[[#This Row],[Lipids wt%]],Table2[[#This Row],[Protein wt%]],Table2[[#This Row],[Carbs wt%]]))</f>
        <v>64.77</v>
      </c>
      <c r="M57" s="15">
        <f>100-Table2[[#This Row],[Lipids wt%]]-Table2[[#This Row],[Protein wt%]]-Table2[[#This Row],[Carbs wt%]]</f>
        <v>35.229999999999997</v>
      </c>
      <c r="P57">
        <v>88.57</v>
      </c>
      <c r="Q57">
        <v>12.41</v>
      </c>
      <c r="R57">
        <v>52.39</v>
      </c>
      <c r="Z57" s="15">
        <v>31.92</v>
      </c>
      <c r="AA57" s="15">
        <v>4.45</v>
      </c>
      <c r="AB57" s="15">
        <v>22.04</v>
      </c>
      <c r="AC57" s="15">
        <v>5.22</v>
      </c>
      <c r="AD57" s="15">
        <v>1.1399999999999999</v>
      </c>
      <c r="AE57" s="15"/>
      <c r="AF57" s="15">
        <v>13.4</v>
      </c>
      <c r="AG57" s="15">
        <v>0.3</v>
      </c>
      <c r="AH57" s="15">
        <v>10</v>
      </c>
      <c r="AI57" s="15">
        <v>100</v>
      </c>
      <c r="AJ57" s="15">
        <f>Table2[[#This Row],[Solids (g)]]/(Table2[[#This Row],[Solids (g)]]+Table2[[#This Row],[Water mL]])*100</f>
        <v>9.0909090909090917</v>
      </c>
      <c r="AL57">
        <v>15</v>
      </c>
      <c r="AM57" s="13">
        <v>0.13561000000000001</v>
      </c>
      <c r="AO57" s="15">
        <v>60</v>
      </c>
      <c r="AP57" s="15">
        <f>LN(25/Table2[[#This Row],[Temperature (C)]]/(1-SQRT((Table2[[#This Row],[Temperature (C)]]-5)/Table2[[#This Row],[Temperature (C)]])))/Table2[[#This Row],[b]]</f>
        <v>16.942313773163193</v>
      </c>
      <c r="AQ57" s="15">
        <f>IF(Table2[[#This Row],[b]]&lt;&gt;"",Table2[[#This Row],[T-5]], 0)</f>
        <v>16.942313773163193</v>
      </c>
      <c r="AR57">
        <f>Table2[[#This Row],[Heating time]]+Table2[[#This Row],[Holding Time (min)]]</f>
        <v>76.942313773163193</v>
      </c>
      <c r="AT57" t="s">
        <v>503</v>
      </c>
      <c r="AU57">
        <v>250</v>
      </c>
      <c r="AV57" s="15">
        <v>35.6265356265355</v>
      </c>
      <c r="AW57" s="15">
        <v>12.530712530712499</v>
      </c>
      <c r="AX57" s="15"/>
      <c r="AY57" s="15"/>
      <c r="AZ57" s="15"/>
      <c r="BA57" s="15">
        <v>51.842751842751703</v>
      </c>
      <c r="BB57" s="15" t="str">
        <f>IF(OR(Table2[[#This Row],[Gas wt%]]&lt;&gt;"",Table2[[#This Row],[Loss]]&lt;&gt;""),Table2[[#This Row],[Gas wt%]]+Table2[[#This Row],[Loss]],"")</f>
        <v/>
      </c>
      <c r="BC57" s="15"/>
      <c r="BD57" s="15"/>
      <c r="BE57" s="15"/>
      <c r="BF57" s="15"/>
      <c r="BG57" s="15"/>
      <c r="BH57" s="15"/>
      <c r="BI57" s="15">
        <v>71.56</v>
      </c>
      <c r="BJ57" s="15">
        <v>9.67</v>
      </c>
      <c r="BK57" s="15">
        <v>12.01</v>
      </c>
      <c r="BL57" s="15">
        <v>5.58</v>
      </c>
      <c r="BM57" s="15">
        <v>1.18</v>
      </c>
      <c r="BN57" s="15">
        <v>35.17</v>
      </c>
      <c r="BO57" s="15">
        <v>32.549999999999997</v>
      </c>
      <c r="BP57" s="15"/>
      <c r="BQ57" s="15">
        <f>Table2[[#This Row],[H% B]]/Table2[[#This Row],[C% B]]*100</f>
        <v>13.513135830072665</v>
      </c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>
        <v>0</v>
      </c>
    </row>
    <row r="58" spans="1:106" x14ac:dyDescent="0.25">
      <c r="A58" t="s">
        <v>160</v>
      </c>
      <c r="B58" t="s">
        <v>161</v>
      </c>
      <c r="C58">
        <v>2016</v>
      </c>
      <c r="D58" s="16" t="s">
        <v>163</v>
      </c>
      <c r="E58">
        <v>0</v>
      </c>
      <c r="F58" s="15">
        <v>26.97</v>
      </c>
      <c r="G58" s="15"/>
      <c r="H58" s="15"/>
      <c r="I58" s="15">
        <v>29.6</v>
      </c>
      <c r="J58" s="15">
        <v>8.1999999999999993</v>
      </c>
      <c r="K58" s="15"/>
      <c r="L58" s="15">
        <f>IF(Table2[[#This Row],[Lipids wt%]]+Table2[[#This Row],[Protein wt%]]+Table2[[#This Row],[Carbs wt%]] =0,"",SUM(Table2[[#This Row],[Lipids wt%]],Table2[[#This Row],[Protein wt%]],Table2[[#This Row],[Carbs wt%]]))</f>
        <v>64.77</v>
      </c>
      <c r="M58" s="15">
        <f>100-Table2[[#This Row],[Lipids wt%]]-Table2[[#This Row],[Protein wt%]]-Table2[[#This Row],[Carbs wt%]]</f>
        <v>35.229999999999997</v>
      </c>
      <c r="P58">
        <v>88.57</v>
      </c>
      <c r="Q58">
        <v>12.41</v>
      </c>
      <c r="R58">
        <v>52.39</v>
      </c>
      <c r="Z58" s="15">
        <v>31.92</v>
      </c>
      <c r="AA58" s="15">
        <v>4.45</v>
      </c>
      <c r="AB58" s="15">
        <v>22.04</v>
      </c>
      <c r="AC58" s="15">
        <v>5.22</v>
      </c>
      <c r="AD58" s="15">
        <v>1.1399999999999999</v>
      </c>
      <c r="AE58" s="15"/>
      <c r="AF58" s="15">
        <v>13.4</v>
      </c>
      <c r="AG58" s="15">
        <v>0.3</v>
      </c>
      <c r="AH58" s="15">
        <v>10</v>
      </c>
      <c r="AI58" s="15">
        <v>100</v>
      </c>
      <c r="AJ58" s="15">
        <f>Table2[[#This Row],[Solids (g)]]/(Table2[[#This Row],[Solids (g)]]+Table2[[#This Row],[Water mL]])*100</f>
        <v>9.0909090909090917</v>
      </c>
      <c r="AL58">
        <v>15</v>
      </c>
      <c r="AM58" s="13">
        <v>0.13561000000000001</v>
      </c>
      <c r="AO58" s="15">
        <v>60</v>
      </c>
      <c r="AP58" s="15">
        <f>LN(25/Table2[[#This Row],[Temperature (C)]]/(1-SQRT((Table2[[#This Row],[Temperature (C)]]-5)/Table2[[#This Row],[Temperature (C)]])))/Table2[[#This Row],[b]]</f>
        <v>16.945714400710923</v>
      </c>
      <c r="AQ58" s="15">
        <f>IF(Table2[[#This Row],[b]]&lt;&gt;"",Table2[[#This Row],[T-5]], 0)</f>
        <v>16.945714400710923</v>
      </c>
      <c r="AR58">
        <f>Table2[[#This Row],[Heating time]]+Table2[[#This Row],[Holding Time (min)]]</f>
        <v>76.945714400710926</v>
      </c>
      <c r="AT58" t="s">
        <v>503</v>
      </c>
      <c r="AU58">
        <v>275</v>
      </c>
      <c r="AV58" s="15">
        <v>33.415233415233303</v>
      </c>
      <c r="AW58" s="15">
        <v>14.0049140049139</v>
      </c>
      <c r="AX58" s="15"/>
      <c r="AY58" s="15"/>
      <c r="AZ58" s="15"/>
      <c r="BA58" s="15">
        <v>52.579852579852499</v>
      </c>
      <c r="BB58" s="15" t="str">
        <f>IF(OR(Table2[[#This Row],[Gas wt%]]&lt;&gt;"",Table2[[#This Row],[Loss]]&lt;&gt;""),Table2[[#This Row],[Gas wt%]]+Table2[[#This Row],[Loss]],"")</f>
        <v/>
      </c>
      <c r="BC58" s="15"/>
      <c r="BD58" s="15"/>
      <c r="BE58" s="15"/>
      <c r="BF58" s="15"/>
      <c r="BG58" s="15"/>
      <c r="BH58" s="15"/>
      <c r="BI58" s="15">
        <v>73.650000000000006</v>
      </c>
      <c r="BJ58" s="15">
        <v>9.74</v>
      </c>
      <c r="BK58" s="15">
        <v>9.99</v>
      </c>
      <c r="BL58" s="15">
        <v>5.31</v>
      </c>
      <c r="BM58" s="15">
        <v>1.31</v>
      </c>
      <c r="BN58" s="15">
        <v>36.21</v>
      </c>
      <c r="BO58" s="15">
        <v>37.56</v>
      </c>
      <c r="BP58" s="15"/>
      <c r="BQ58" s="15">
        <f>Table2[[#This Row],[H% B]]/Table2[[#This Row],[C% B]]*100</f>
        <v>13.224711473183978</v>
      </c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>
        <v>0</v>
      </c>
    </row>
    <row r="59" spans="1:106" x14ac:dyDescent="0.25">
      <c r="A59" t="s">
        <v>160</v>
      </c>
      <c r="B59" t="s">
        <v>161</v>
      </c>
      <c r="C59">
        <v>2016</v>
      </c>
      <c r="D59" s="16" t="s">
        <v>163</v>
      </c>
      <c r="E59">
        <v>0</v>
      </c>
      <c r="F59" s="15">
        <v>26.97</v>
      </c>
      <c r="G59" s="15"/>
      <c r="H59" s="15"/>
      <c r="I59" s="15">
        <v>29.6</v>
      </c>
      <c r="J59" s="15">
        <v>8.1999999999999993</v>
      </c>
      <c r="K59" s="15"/>
      <c r="L59" s="15">
        <f>IF(Table2[[#This Row],[Lipids wt%]]+Table2[[#This Row],[Protein wt%]]+Table2[[#This Row],[Carbs wt%]] =0,"",SUM(Table2[[#This Row],[Lipids wt%]],Table2[[#This Row],[Protein wt%]],Table2[[#This Row],[Carbs wt%]]))</f>
        <v>64.77</v>
      </c>
      <c r="M59" s="15">
        <f>100-Table2[[#This Row],[Lipids wt%]]-Table2[[#This Row],[Protein wt%]]-Table2[[#This Row],[Carbs wt%]]</f>
        <v>35.229999999999997</v>
      </c>
      <c r="P59">
        <v>88.57</v>
      </c>
      <c r="Q59">
        <v>12.41</v>
      </c>
      <c r="R59">
        <v>52.39</v>
      </c>
      <c r="Z59" s="15">
        <v>31.92</v>
      </c>
      <c r="AA59" s="15">
        <v>4.45</v>
      </c>
      <c r="AB59" s="15">
        <v>22.04</v>
      </c>
      <c r="AC59" s="15">
        <v>5.22</v>
      </c>
      <c r="AD59" s="15">
        <v>1.1399999999999999</v>
      </c>
      <c r="AE59" s="15"/>
      <c r="AF59" s="15">
        <v>13.4</v>
      </c>
      <c r="AG59" s="15">
        <v>0.3</v>
      </c>
      <c r="AH59" s="15">
        <v>10</v>
      </c>
      <c r="AI59" s="15">
        <v>100</v>
      </c>
      <c r="AJ59" s="15">
        <f>Table2[[#This Row],[Solids (g)]]/(Table2[[#This Row],[Solids (g)]]+Table2[[#This Row],[Water mL]])*100</f>
        <v>9.0909090909090917</v>
      </c>
      <c r="AL59">
        <v>15</v>
      </c>
      <c r="AM59" s="13">
        <v>0.13561000000000001</v>
      </c>
      <c r="AO59" s="15">
        <v>60</v>
      </c>
      <c r="AP59" s="15">
        <f>LN(25/Table2[[#This Row],[Temperature (C)]]/(1-SQRT((Table2[[#This Row],[Temperature (C)]]-5)/Table2[[#This Row],[Temperature (C)]])))/Table2[[#This Row],[b]]</f>
        <v>16.948544656476525</v>
      </c>
      <c r="AQ59" s="15">
        <f>IF(Table2[[#This Row],[b]]&lt;&gt;"",Table2[[#This Row],[T-5]], 0)</f>
        <v>16.948544656476525</v>
      </c>
      <c r="AR59">
        <f>Table2[[#This Row],[Heating time]]+Table2[[#This Row],[Holding Time (min)]]</f>
        <v>76.948544656476528</v>
      </c>
      <c r="AT59" t="s">
        <v>503</v>
      </c>
      <c r="AU59">
        <v>300</v>
      </c>
      <c r="AV59" s="15">
        <v>32.4324324324324</v>
      </c>
      <c r="AW59" s="15">
        <v>15.724815724815601</v>
      </c>
      <c r="AX59" s="15"/>
      <c r="AY59" s="15"/>
      <c r="AZ59" s="15"/>
      <c r="BA59" s="15">
        <v>51.842751842751802</v>
      </c>
      <c r="BB59" s="15" t="str">
        <f>IF(OR(Table2[[#This Row],[Gas wt%]]&lt;&gt;"",Table2[[#This Row],[Loss]]&lt;&gt;""),Table2[[#This Row],[Gas wt%]]+Table2[[#This Row],[Loss]],"")</f>
        <v/>
      </c>
      <c r="BC59" s="15"/>
      <c r="BD59" s="15"/>
      <c r="BE59" s="15"/>
      <c r="BF59" s="15"/>
      <c r="BG59" s="15"/>
      <c r="BH59" s="15"/>
      <c r="BI59" s="15">
        <v>73.42</v>
      </c>
      <c r="BJ59" s="15">
        <v>9.5500000000000007</v>
      </c>
      <c r="BK59" s="15">
        <v>10.44</v>
      </c>
      <c r="BL59" s="15">
        <v>5.31</v>
      </c>
      <c r="BM59" s="15">
        <v>1.28</v>
      </c>
      <c r="BN59" s="15">
        <v>35.85</v>
      </c>
      <c r="BO59" s="15">
        <v>41.87</v>
      </c>
      <c r="BP59" s="15"/>
      <c r="BQ59" s="15">
        <f>Table2[[#This Row],[H% B]]/Table2[[#This Row],[C% B]]*100</f>
        <v>13.007354944156907</v>
      </c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>
        <v>0</v>
      </c>
    </row>
    <row r="60" spans="1:106" x14ac:dyDescent="0.25">
      <c r="A60" t="s">
        <v>160</v>
      </c>
      <c r="B60" t="s">
        <v>161</v>
      </c>
      <c r="C60">
        <v>2016</v>
      </c>
      <c r="D60" s="16" t="s">
        <v>163</v>
      </c>
      <c r="E60">
        <v>0</v>
      </c>
      <c r="F60" s="15">
        <v>26.97</v>
      </c>
      <c r="G60" s="15"/>
      <c r="H60" s="15"/>
      <c r="I60" s="15">
        <v>29.6</v>
      </c>
      <c r="J60" s="15">
        <v>8.1999999999999993</v>
      </c>
      <c r="K60" s="15"/>
      <c r="L60" s="15">
        <f>IF(Table2[[#This Row],[Lipids wt%]]+Table2[[#This Row],[Protein wt%]]+Table2[[#This Row],[Carbs wt%]] =0,"",SUM(Table2[[#This Row],[Lipids wt%]],Table2[[#This Row],[Protein wt%]],Table2[[#This Row],[Carbs wt%]]))</f>
        <v>64.77</v>
      </c>
      <c r="M60" s="15">
        <f>100-Table2[[#This Row],[Lipids wt%]]-Table2[[#This Row],[Protein wt%]]-Table2[[#This Row],[Carbs wt%]]</f>
        <v>35.229999999999997</v>
      </c>
      <c r="P60">
        <v>88.57</v>
      </c>
      <c r="Q60">
        <v>12.41</v>
      </c>
      <c r="R60">
        <v>52.39</v>
      </c>
      <c r="Z60" s="15">
        <v>31.92</v>
      </c>
      <c r="AA60" s="15">
        <v>4.45</v>
      </c>
      <c r="AB60" s="15">
        <v>22.04</v>
      </c>
      <c r="AC60" s="15">
        <v>5.22</v>
      </c>
      <c r="AD60" s="15">
        <v>1.1399999999999999</v>
      </c>
      <c r="AE60" s="15"/>
      <c r="AF60" s="15">
        <v>13.4</v>
      </c>
      <c r="AG60" s="15">
        <v>0.3</v>
      </c>
      <c r="AH60" s="15">
        <v>10</v>
      </c>
      <c r="AI60" s="15">
        <v>100</v>
      </c>
      <c r="AJ60" s="15">
        <f>Table2[[#This Row],[Solids (g)]]/(Table2[[#This Row],[Solids (g)]]+Table2[[#This Row],[Water mL]])*100</f>
        <v>9.0909090909090917</v>
      </c>
      <c r="AL60">
        <v>15</v>
      </c>
      <c r="AM60" s="13">
        <v>0.13561000000000001</v>
      </c>
      <c r="AO60" s="15">
        <v>60</v>
      </c>
      <c r="AP60" s="15">
        <f>LN(25/Table2[[#This Row],[Temperature (C)]]/(1-SQRT((Table2[[#This Row],[Temperature (C)]]-5)/Table2[[#This Row],[Temperature (C)]])))/Table2[[#This Row],[b]]</f>
        <v>16.950936938352601</v>
      </c>
      <c r="AQ60" s="15">
        <f>IF(Table2[[#This Row],[b]]&lt;&gt;"",Table2[[#This Row],[T-5]], 0)</f>
        <v>16.950936938352601</v>
      </c>
      <c r="AR60">
        <f>Table2[[#This Row],[Heating time]]+Table2[[#This Row],[Holding Time (min)]]</f>
        <v>76.950936938352598</v>
      </c>
      <c r="AT60" t="s">
        <v>503</v>
      </c>
      <c r="AU60">
        <v>325</v>
      </c>
      <c r="AV60" s="15">
        <v>29.484029484029399</v>
      </c>
      <c r="AW60" s="15">
        <v>18.181818181818102</v>
      </c>
      <c r="AX60" s="15"/>
      <c r="AY60" s="15"/>
      <c r="AZ60" s="15"/>
      <c r="BA60" s="15">
        <v>52.334152334152201</v>
      </c>
      <c r="BB60" s="15" t="str">
        <f>IF(OR(Table2[[#This Row],[Gas wt%]]&lt;&gt;"",Table2[[#This Row],[Loss]]&lt;&gt;""),Table2[[#This Row],[Gas wt%]]+Table2[[#This Row],[Loss]],"")</f>
        <v/>
      </c>
      <c r="BC60" s="15"/>
      <c r="BD60" s="15"/>
      <c r="BE60" s="15"/>
      <c r="BF60" s="15"/>
      <c r="BG60" s="15"/>
      <c r="BH60" s="15"/>
      <c r="BI60" s="15">
        <v>73.38</v>
      </c>
      <c r="BJ60" s="15">
        <v>9.58</v>
      </c>
      <c r="BK60" s="15">
        <v>10.4</v>
      </c>
      <c r="BL60" s="15">
        <v>5.32</v>
      </c>
      <c r="BM60" s="15">
        <v>1.32</v>
      </c>
      <c r="BN60" s="15">
        <v>35.880000000000003</v>
      </c>
      <c r="BO60" s="15">
        <v>48.76</v>
      </c>
      <c r="BP60" s="15"/>
      <c r="BQ60" s="15">
        <f>Table2[[#This Row],[H% B]]/Table2[[#This Row],[C% B]]*100</f>
        <v>13.055328427364405</v>
      </c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>
        <v>0</v>
      </c>
    </row>
    <row r="61" spans="1:106" x14ac:dyDescent="0.25">
      <c r="A61" t="s">
        <v>160</v>
      </c>
      <c r="B61" t="s">
        <v>161</v>
      </c>
      <c r="C61">
        <v>2016</v>
      </c>
      <c r="D61" s="16" t="s">
        <v>163</v>
      </c>
      <c r="E61">
        <v>0</v>
      </c>
      <c r="F61" s="15">
        <v>26.97</v>
      </c>
      <c r="G61" s="15"/>
      <c r="H61" s="15"/>
      <c r="I61" s="15">
        <v>29.6</v>
      </c>
      <c r="J61" s="15">
        <v>8.1999999999999993</v>
      </c>
      <c r="K61" s="15"/>
      <c r="L61" s="15">
        <f>IF(Table2[[#This Row],[Lipids wt%]]+Table2[[#This Row],[Protein wt%]]+Table2[[#This Row],[Carbs wt%]] =0,"",SUM(Table2[[#This Row],[Lipids wt%]],Table2[[#This Row],[Protein wt%]],Table2[[#This Row],[Carbs wt%]]))</f>
        <v>64.77</v>
      </c>
      <c r="M61" s="15">
        <f>100-Table2[[#This Row],[Lipids wt%]]-Table2[[#This Row],[Protein wt%]]-Table2[[#This Row],[Carbs wt%]]</f>
        <v>35.229999999999997</v>
      </c>
      <c r="P61">
        <v>88.57</v>
      </c>
      <c r="Q61">
        <v>12.41</v>
      </c>
      <c r="R61">
        <v>52.39</v>
      </c>
      <c r="Z61" s="15">
        <v>31.92</v>
      </c>
      <c r="AA61" s="15">
        <v>4.45</v>
      </c>
      <c r="AB61" s="15">
        <v>22.04</v>
      </c>
      <c r="AC61" s="15">
        <v>5.22</v>
      </c>
      <c r="AD61" s="15">
        <v>1.1399999999999999</v>
      </c>
      <c r="AE61" s="15"/>
      <c r="AF61" s="15">
        <v>13.4</v>
      </c>
      <c r="AG61" s="15">
        <v>0.3</v>
      </c>
      <c r="AH61" s="15">
        <v>10</v>
      </c>
      <c r="AI61" s="15">
        <v>100</v>
      </c>
      <c r="AJ61" s="15">
        <f>Table2[[#This Row],[Solids (g)]]/(Table2[[#This Row],[Solids (g)]]+Table2[[#This Row],[Water mL]])*100</f>
        <v>9.0909090909090917</v>
      </c>
      <c r="AL61">
        <v>15</v>
      </c>
      <c r="AM61" s="13">
        <v>0.13561000000000001</v>
      </c>
      <c r="AO61" s="15">
        <v>60</v>
      </c>
      <c r="AP61" s="15">
        <f>LN(25/Table2[[#This Row],[Temperature (C)]]/(1-SQRT((Table2[[#This Row],[Temperature (C)]]-5)/Table2[[#This Row],[Temperature (C)]])))/Table2[[#This Row],[b]]</f>
        <v>16.952985609355867</v>
      </c>
      <c r="AQ61" s="15">
        <f>IF(Table2[[#This Row],[b]]&lt;&gt;"",Table2[[#This Row],[T-5]], 0)</f>
        <v>16.952985609355867</v>
      </c>
      <c r="AR61">
        <f>Table2[[#This Row],[Heating time]]+Table2[[#This Row],[Holding Time (min)]]</f>
        <v>76.952985609355864</v>
      </c>
      <c r="AT61" t="s">
        <v>503</v>
      </c>
      <c r="AU61">
        <v>350</v>
      </c>
      <c r="AV61" s="15">
        <v>25.798525798525699</v>
      </c>
      <c r="AW61" s="15">
        <v>16.461916461916399</v>
      </c>
      <c r="AX61" s="15"/>
      <c r="AY61" s="15"/>
      <c r="AZ61" s="15"/>
      <c r="BA61" s="15">
        <v>57.493857493857298</v>
      </c>
      <c r="BB61" s="15" t="str">
        <f>IF(OR(Table2[[#This Row],[Gas wt%]]&lt;&gt;"",Table2[[#This Row],[Loss]]&lt;&gt;""),Table2[[#This Row],[Gas wt%]]+Table2[[#This Row],[Loss]],"")</f>
        <v/>
      </c>
      <c r="BC61" s="15"/>
      <c r="BD61" s="15"/>
      <c r="BE61" s="15"/>
      <c r="BF61" s="15"/>
      <c r="BG61" s="15"/>
      <c r="BH61" s="15">
        <f>100-SUM(AV61:AW61,BA61)</f>
        <v>0.24570024570060411</v>
      </c>
      <c r="BI61" s="15">
        <v>76.09</v>
      </c>
      <c r="BJ61" s="15">
        <v>9.11</v>
      </c>
      <c r="BK61" s="15">
        <v>8.2799999999999994</v>
      </c>
      <c r="BL61" s="15">
        <v>5.6</v>
      </c>
      <c r="BM61" s="15">
        <v>0.92</v>
      </c>
      <c r="BN61" s="15">
        <v>36.450000000000003</v>
      </c>
      <c r="BO61" s="15">
        <v>44.88</v>
      </c>
      <c r="BP61" s="15"/>
      <c r="BQ61" s="15">
        <f>Table2[[#This Row],[H% B]]/Table2[[#This Row],[C% B]]*100</f>
        <v>11.972663950584833</v>
      </c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>
        <v>0</v>
      </c>
    </row>
    <row r="62" spans="1:106" x14ac:dyDescent="0.25">
      <c r="A62" t="s">
        <v>160</v>
      </c>
      <c r="B62" t="s">
        <v>161</v>
      </c>
      <c r="C62">
        <v>2016</v>
      </c>
      <c r="D62" s="16" t="s">
        <v>163</v>
      </c>
      <c r="E62">
        <v>0</v>
      </c>
      <c r="F62" s="15">
        <v>26.97</v>
      </c>
      <c r="G62" s="15"/>
      <c r="H62" s="15"/>
      <c r="I62" s="15">
        <v>29.6</v>
      </c>
      <c r="J62" s="15">
        <v>8.1999999999999993</v>
      </c>
      <c r="K62" s="15"/>
      <c r="L62" s="15">
        <f>IF(Table2[[#This Row],[Lipids wt%]]+Table2[[#This Row],[Protein wt%]]+Table2[[#This Row],[Carbs wt%]] =0,"",SUM(Table2[[#This Row],[Lipids wt%]],Table2[[#This Row],[Protein wt%]],Table2[[#This Row],[Carbs wt%]]))</f>
        <v>64.77</v>
      </c>
      <c r="M62" s="15">
        <f>100-Table2[[#This Row],[Lipids wt%]]-Table2[[#This Row],[Protein wt%]]-Table2[[#This Row],[Carbs wt%]]</f>
        <v>35.229999999999997</v>
      </c>
      <c r="P62">
        <v>88.57</v>
      </c>
      <c r="Q62">
        <v>12.41</v>
      </c>
      <c r="R62">
        <v>52.39</v>
      </c>
      <c r="Z62" s="15">
        <v>31.92</v>
      </c>
      <c r="AA62" s="15">
        <v>4.45</v>
      </c>
      <c r="AB62" s="15">
        <v>22.04</v>
      </c>
      <c r="AC62" s="15">
        <v>5.22</v>
      </c>
      <c r="AD62" s="15">
        <v>1.1399999999999999</v>
      </c>
      <c r="AE62" s="15"/>
      <c r="AF62" s="15">
        <v>13.4</v>
      </c>
      <c r="AG62" s="15">
        <v>0.3</v>
      </c>
      <c r="AH62" s="15">
        <v>10</v>
      </c>
      <c r="AI62" s="15">
        <v>100</v>
      </c>
      <c r="AJ62" s="15">
        <f>Table2[[#This Row],[Solids (g)]]/(Table2[[#This Row],[Solids (g)]]+Table2[[#This Row],[Water mL]])*100</f>
        <v>9.0909090909090917</v>
      </c>
      <c r="AL62">
        <v>15</v>
      </c>
      <c r="AM62" s="13">
        <v>0.13561000000000001</v>
      </c>
      <c r="AO62" s="15">
        <v>15</v>
      </c>
      <c r="AP62" s="15">
        <f>LN(25/Table2[[#This Row],[Temperature (C)]]/(1-SQRT((Table2[[#This Row],[Temperature (C)]]-5)/Table2[[#This Row],[Temperature (C)]])))/Table2[[#This Row],[b]]</f>
        <v>16.950936938352601</v>
      </c>
      <c r="AQ62" s="15">
        <f>IF(Table2[[#This Row],[b]]&lt;&gt;"",Table2[[#This Row],[T-5]], 0)</f>
        <v>16.950936938352601</v>
      </c>
      <c r="AR62">
        <f>Table2[[#This Row],[Heating time]]+Table2[[#This Row],[Holding Time (min)]]</f>
        <v>31.950936938352601</v>
      </c>
      <c r="AT62" t="s">
        <v>503</v>
      </c>
      <c r="AU62">
        <v>325</v>
      </c>
      <c r="AV62" s="15">
        <v>29.6482412060302</v>
      </c>
      <c r="AW62" s="15">
        <v>14.070351758793899</v>
      </c>
      <c r="AX62" s="15"/>
      <c r="AY62" s="15"/>
      <c r="AZ62" s="15"/>
      <c r="BA62" s="15">
        <v>56.7839195979899</v>
      </c>
      <c r="BB62" s="15" t="str">
        <f>IF(OR(Table2[[#This Row],[Gas wt%]]&lt;&gt;"",Table2[[#This Row],[Loss]]&lt;&gt;""),Table2[[#This Row],[Gas wt%]]+Table2[[#This Row],[Loss]],"")</f>
        <v/>
      </c>
      <c r="BC62" s="15"/>
      <c r="BD62" s="15"/>
      <c r="BE62" s="15"/>
      <c r="BF62" s="15"/>
      <c r="BG62" s="15"/>
      <c r="BH62" s="15"/>
      <c r="BI62" s="15">
        <v>71.069999999999993</v>
      </c>
      <c r="BJ62" s="15">
        <v>8.82</v>
      </c>
      <c r="BK62" s="15">
        <v>12.91</v>
      </c>
      <c r="BL62" s="15">
        <v>6.28</v>
      </c>
      <c r="BM62" s="15">
        <v>0.92</v>
      </c>
      <c r="BN62" s="15">
        <v>33.869999999999997</v>
      </c>
      <c r="BO62" s="15">
        <v>34.380000000000003</v>
      </c>
      <c r="BP62" s="15"/>
      <c r="BQ62" s="15">
        <f>Table2[[#This Row],[H% B]]/Table2[[#This Row],[C% B]]*100</f>
        <v>12.410299704516675</v>
      </c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>
        <v>0</v>
      </c>
    </row>
    <row r="63" spans="1:106" x14ac:dyDescent="0.25">
      <c r="A63" t="s">
        <v>160</v>
      </c>
      <c r="B63" t="s">
        <v>161</v>
      </c>
      <c r="C63">
        <v>2016</v>
      </c>
      <c r="D63" s="16" t="s">
        <v>163</v>
      </c>
      <c r="E63">
        <v>0</v>
      </c>
      <c r="F63" s="15">
        <v>26.97</v>
      </c>
      <c r="G63" s="15"/>
      <c r="H63" s="15"/>
      <c r="I63" s="15">
        <v>29.6</v>
      </c>
      <c r="J63" s="15">
        <v>8.1999999999999993</v>
      </c>
      <c r="K63" s="15"/>
      <c r="L63" s="15">
        <f>IF(Table2[[#This Row],[Lipids wt%]]+Table2[[#This Row],[Protein wt%]]+Table2[[#This Row],[Carbs wt%]] =0,"",SUM(Table2[[#This Row],[Lipids wt%]],Table2[[#This Row],[Protein wt%]],Table2[[#This Row],[Carbs wt%]]))</f>
        <v>64.77</v>
      </c>
      <c r="M63" s="15">
        <f>100-Table2[[#This Row],[Lipids wt%]]-Table2[[#This Row],[Protein wt%]]-Table2[[#This Row],[Carbs wt%]]</f>
        <v>35.229999999999997</v>
      </c>
      <c r="P63">
        <v>88.57</v>
      </c>
      <c r="Q63">
        <v>12.41</v>
      </c>
      <c r="R63">
        <v>52.39</v>
      </c>
      <c r="Z63" s="15">
        <v>31.92</v>
      </c>
      <c r="AA63" s="15">
        <v>4.45</v>
      </c>
      <c r="AB63" s="15">
        <v>22.04</v>
      </c>
      <c r="AC63" s="15">
        <v>5.22</v>
      </c>
      <c r="AD63" s="15">
        <v>1.1399999999999999</v>
      </c>
      <c r="AE63" s="15"/>
      <c r="AF63" s="15">
        <v>13.4</v>
      </c>
      <c r="AG63" s="15">
        <v>0.3</v>
      </c>
      <c r="AH63" s="15">
        <v>10</v>
      </c>
      <c r="AI63" s="15">
        <v>100</v>
      </c>
      <c r="AJ63" s="15">
        <f>Table2[[#This Row],[Solids (g)]]/(Table2[[#This Row],[Solids (g)]]+Table2[[#This Row],[Water mL]])*100</f>
        <v>9.0909090909090917</v>
      </c>
      <c r="AL63">
        <v>15</v>
      </c>
      <c r="AM63" s="13">
        <v>0.13561000000000001</v>
      </c>
      <c r="AO63" s="15">
        <v>30</v>
      </c>
      <c r="AP63" s="15">
        <f>LN(25/Table2[[#This Row],[Temperature (C)]]/(1-SQRT((Table2[[#This Row],[Temperature (C)]]-5)/Table2[[#This Row],[Temperature (C)]])))/Table2[[#This Row],[b]]</f>
        <v>16.950936938352601</v>
      </c>
      <c r="AQ63" s="15">
        <f>IF(Table2[[#This Row],[b]]&lt;&gt;"",Table2[[#This Row],[T-5]], 0)</f>
        <v>16.950936938352601</v>
      </c>
      <c r="AR63">
        <f>Table2[[#This Row],[Heating time]]+Table2[[#This Row],[Holding Time (min)]]</f>
        <v>46.950936938352598</v>
      </c>
      <c r="AT63" t="s">
        <v>503</v>
      </c>
      <c r="AU63">
        <v>325</v>
      </c>
      <c r="AV63" s="15">
        <v>29.145728643216</v>
      </c>
      <c r="AW63" s="15">
        <v>16.0804020100502</v>
      </c>
      <c r="AX63" s="15"/>
      <c r="AY63" s="15"/>
      <c r="AZ63" s="15"/>
      <c r="BA63" s="15">
        <v>55.276381909547702</v>
      </c>
      <c r="BB63" s="15" t="str">
        <f>IF(OR(Table2[[#This Row],[Gas wt%]]&lt;&gt;"",Table2[[#This Row],[Loss]]&lt;&gt;""),Table2[[#This Row],[Gas wt%]]+Table2[[#This Row],[Loss]],"")</f>
        <v/>
      </c>
      <c r="BC63" s="15"/>
      <c r="BD63" s="15"/>
      <c r="BE63" s="15"/>
      <c r="BF63" s="15"/>
      <c r="BG63" s="15"/>
      <c r="BH63" s="15"/>
      <c r="BI63" s="15">
        <v>73</v>
      </c>
      <c r="BJ63" s="15">
        <v>9.5500000000000007</v>
      </c>
      <c r="BK63" s="15">
        <v>11.3</v>
      </c>
      <c r="BL63" s="15">
        <v>5.6</v>
      </c>
      <c r="BM63" s="15">
        <v>0.55000000000000004</v>
      </c>
      <c r="BN63" s="15">
        <v>35.54</v>
      </c>
      <c r="BO63" s="15">
        <v>41.37</v>
      </c>
      <c r="BP63" s="15"/>
      <c r="BQ63" s="15">
        <f>Table2[[#This Row],[H% B]]/Table2[[#This Row],[C% B]]*100</f>
        <v>13.082191780821919</v>
      </c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>
        <v>0</v>
      </c>
    </row>
    <row r="64" spans="1:106" x14ac:dyDescent="0.25">
      <c r="A64" t="s">
        <v>160</v>
      </c>
      <c r="B64" t="s">
        <v>161</v>
      </c>
      <c r="C64">
        <v>2016</v>
      </c>
      <c r="D64" s="16" t="s">
        <v>163</v>
      </c>
      <c r="E64">
        <v>0</v>
      </c>
      <c r="F64" s="15">
        <v>26.97</v>
      </c>
      <c r="G64" s="15"/>
      <c r="H64" s="15"/>
      <c r="I64" s="15">
        <v>29.6</v>
      </c>
      <c r="J64" s="15">
        <v>8.1999999999999993</v>
      </c>
      <c r="K64" s="15"/>
      <c r="L64" s="15">
        <f>IF(Table2[[#This Row],[Lipids wt%]]+Table2[[#This Row],[Protein wt%]]+Table2[[#This Row],[Carbs wt%]] =0,"",SUM(Table2[[#This Row],[Lipids wt%]],Table2[[#This Row],[Protein wt%]],Table2[[#This Row],[Carbs wt%]]))</f>
        <v>64.77</v>
      </c>
      <c r="M64" s="15">
        <f>100-Table2[[#This Row],[Lipids wt%]]-Table2[[#This Row],[Protein wt%]]-Table2[[#This Row],[Carbs wt%]]</f>
        <v>35.229999999999997</v>
      </c>
      <c r="P64">
        <v>88.57</v>
      </c>
      <c r="Q64">
        <v>12.41</v>
      </c>
      <c r="R64">
        <v>52.39</v>
      </c>
      <c r="Z64" s="15">
        <v>31.92</v>
      </c>
      <c r="AA64" s="15">
        <v>4.45</v>
      </c>
      <c r="AB64" s="15">
        <v>22.04</v>
      </c>
      <c r="AC64" s="15">
        <v>5.22</v>
      </c>
      <c r="AD64" s="15">
        <v>1.1399999999999999</v>
      </c>
      <c r="AE64" s="15"/>
      <c r="AF64" s="15">
        <v>13.4</v>
      </c>
      <c r="AG64" s="15">
        <v>0.3</v>
      </c>
      <c r="AH64" s="15">
        <v>10</v>
      </c>
      <c r="AI64" s="15">
        <v>100</v>
      </c>
      <c r="AJ64" s="15">
        <f>Table2[[#This Row],[Solids (g)]]/(Table2[[#This Row],[Solids (g)]]+Table2[[#This Row],[Water mL]])*100</f>
        <v>9.0909090909090917</v>
      </c>
      <c r="AL64">
        <v>15</v>
      </c>
      <c r="AM64" s="13">
        <v>0.13561000000000001</v>
      </c>
      <c r="AO64" s="15">
        <v>45</v>
      </c>
      <c r="AP64" s="15">
        <f>LN(25/Table2[[#This Row],[Temperature (C)]]/(1-SQRT((Table2[[#This Row],[Temperature (C)]]-5)/Table2[[#This Row],[Temperature (C)]])))/Table2[[#This Row],[b]]</f>
        <v>16.950936938352601</v>
      </c>
      <c r="AQ64" s="15">
        <f>IF(Table2[[#This Row],[b]]&lt;&gt;"",Table2[[#This Row],[T-5]], 0)</f>
        <v>16.950936938352601</v>
      </c>
      <c r="AR64">
        <f>Table2[[#This Row],[Heating time]]+Table2[[#This Row],[Holding Time (min)]]</f>
        <v>61.950936938352598</v>
      </c>
      <c r="AT64" t="s">
        <v>503</v>
      </c>
      <c r="AU64">
        <v>325</v>
      </c>
      <c r="AV64" s="15">
        <v>28.3919597989949</v>
      </c>
      <c r="AW64" s="15">
        <v>16.582914572864301</v>
      </c>
      <c r="AX64" s="15"/>
      <c r="AY64" s="15"/>
      <c r="AZ64" s="15"/>
      <c r="BA64" s="15">
        <v>55.0251256281406</v>
      </c>
      <c r="BB64" s="15" t="str">
        <f>IF(OR(Table2[[#This Row],[Gas wt%]]&lt;&gt;"",Table2[[#This Row],[Loss]]&lt;&gt;""),Table2[[#This Row],[Gas wt%]]+Table2[[#This Row],[Loss]],"")</f>
        <v/>
      </c>
      <c r="BC64" s="15"/>
      <c r="BD64" s="15"/>
      <c r="BE64" s="15"/>
      <c r="BF64" s="15"/>
      <c r="BG64" s="15"/>
      <c r="BH64" s="15"/>
      <c r="BI64" s="15">
        <v>73.430000000000007</v>
      </c>
      <c r="BJ64" s="15">
        <v>9.34</v>
      </c>
      <c r="BK64" s="15">
        <v>10.7</v>
      </c>
      <c r="BL64" s="15">
        <v>5.73</v>
      </c>
      <c r="BM64" s="15">
        <v>0.8</v>
      </c>
      <c r="BN64" s="15">
        <v>35.53</v>
      </c>
      <c r="BO64" s="15">
        <v>43.75</v>
      </c>
      <c r="BP64" s="15"/>
      <c r="BQ64" s="15">
        <f>Table2[[#This Row],[H% B]]/Table2[[#This Row],[C% B]]*100</f>
        <v>12.719596895002041</v>
      </c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>
        <v>0</v>
      </c>
    </row>
    <row r="65" spans="1:106" x14ac:dyDescent="0.25">
      <c r="A65" t="s">
        <v>160</v>
      </c>
      <c r="B65" t="s">
        <v>161</v>
      </c>
      <c r="C65">
        <v>2016</v>
      </c>
      <c r="D65" s="16" t="s">
        <v>163</v>
      </c>
      <c r="E65">
        <v>0</v>
      </c>
      <c r="F65" s="15">
        <v>26.97</v>
      </c>
      <c r="G65" s="15"/>
      <c r="H65" s="15"/>
      <c r="I65" s="15">
        <v>29.6</v>
      </c>
      <c r="J65" s="15">
        <v>8.1999999999999993</v>
      </c>
      <c r="K65" s="15"/>
      <c r="L65" s="15">
        <f>IF(Table2[[#This Row],[Lipids wt%]]+Table2[[#This Row],[Protein wt%]]+Table2[[#This Row],[Carbs wt%]] =0,"",SUM(Table2[[#This Row],[Lipids wt%]],Table2[[#This Row],[Protein wt%]],Table2[[#This Row],[Carbs wt%]]))</f>
        <v>64.77</v>
      </c>
      <c r="M65" s="15">
        <f>100-Table2[[#This Row],[Lipids wt%]]-Table2[[#This Row],[Protein wt%]]-Table2[[#This Row],[Carbs wt%]]</f>
        <v>35.229999999999997</v>
      </c>
      <c r="P65">
        <v>88.57</v>
      </c>
      <c r="Q65">
        <v>12.41</v>
      </c>
      <c r="R65">
        <v>52.39</v>
      </c>
      <c r="Z65" s="15">
        <v>31.92</v>
      </c>
      <c r="AA65" s="15">
        <v>4.45</v>
      </c>
      <c r="AB65" s="15">
        <v>22.04</v>
      </c>
      <c r="AC65" s="15">
        <v>5.22</v>
      </c>
      <c r="AD65" s="15">
        <v>1.1399999999999999</v>
      </c>
      <c r="AE65" s="15"/>
      <c r="AF65" s="15">
        <v>13.4</v>
      </c>
      <c r="AG65" s="15">
        <v>0.3</v>
      </c>
      <c r="AH65" s="15">
        <v>10</v>
      </c>
      <c r="AI65" s="15">
        <v>100</v>
      </c>
      <c r="AJ65" s="15">
        <f>Table2[[#This Row],[Solids (g)]]/(Table2[[#This Row],[Solids (g)]]+Table2[[#This Row],[Water mL]])*100</f>
        <v>9.0909090909090917</v>
      </c>
      <c r="AL65">
        <v>15</v>
      </c>
      <c r="AM65" s="13">
        <v>0.13561000000000001</v>
      </c>
      <c r="AO65" s="15">
        <v>90</v>
      </c>
      <c r="AP65" s="15">
        <f>LN(25/Table2[[#This Row],[Temperature (C)]]/(1-SQRT((Table2[[#This Row],[Temperature (C)]]-5)/Table2[[#This Row],[Temperature (C)]])))/Table2[[#This Row],[b]]</f>
        <v>16.950936938352601</v>
      </c>
      <c r="AQ65" s="15">
        <f>IF(Table2[[#This Row],[b]]&lt;&gt;"",Table2[[#This Row],[T-5]], 0)</f>
        <v>16.950936938352601</v>
      </c>
      <c r="AR65">
        <f>Table2[[#This Row],[Heating time]]+Table2[[#This Row],[Holding Time (min)]]</f>
        <v>106.9509369383526</v>
      </c>
      <c r="AT65" t="s">
        <v>503</v>
      </c>
      <c r="AU65">
        <v>325</v>
      </c>
      <c r="AV65" s="15">
        <v>28.140703517587902</v>
      </c>
      <c r="AW65" s="15">
        <v>17.8391959798995</v>
      </c>
      <c r="AX65" s="15"/>
      <c r="AY65" s="15"/>
      <c r="AZ65" s="15"/>
      <c r="BA65" s="15">
        <v>53.768844221105397</v>
      </c>
      <c r="BB65" s="15" t="str">
        <f>IF(OR(Table2[[#This Row],[Gas wt%]]&lt;&gt;"",Table2[[#This Row],[Loss]]&lt;&gt;""),Table2[[#This Row],[Gas wt%]]+Table2[[#This Row],[Loss]],"")</f>
        <v/>
      </c>
      <c r="BC65" s="15"/>
      <c r="BD65" s="15"/>
      <c r="BE65" s="15"/>
      <c r="BF65" s="15"/>
      <c r="BG65" s="15"/>
      <c r="BH65" s="15">
        <f>100-SUM(AV65:AW65,BA65)</f>
        <v>0.25125628140719414</v>
      </c>
      <c r="BI65" s="15">
        <v>73.900000000000006</v>
      </c>
      <c r="BJ65" s="15">
        <v>9.19</v>
      </c>
      <c r="BK65" s="15">
        <v>10.44</v>
      </c>
      <c r="BL65" s="15">
        <v>5.45</v>
      </c>
      <c r="BM65" s="15">
        <v>1.02</v>
      </c>
      <c r="BN65" s="15">
        <v>35.57</v>
      </c>
      <c r="BO65" s="15">
        <v>47.25</v>
      </c>
      <c r="BP65" s="15"/>
      <c r="BQ65" s="15">
        <f>Table2[[#This Row],[H% B]]/Table2[[#This Row],[C% B]]*100</f>
        <v>12.435723951285519</v>
      </c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>
        <v>0</v>
      </c>
    </row>
    <row r="66" spans="1:106" x14ac:dyDescent="0.25">
      <c r="A66" t="s">
        <v>173</v>
      </c>
      <c r="B66" t="s">
        <v>154</v>
      </c>
      <c r="C66">
        <v>1995</v>
      </c>
      <c r="D66" s="16" t="s">
        <v>174</v>
      </c>
      <c r="E66">
        <v>0</v>
      </c>
      <c r="F66" s="15">
        <v>17.839805825242717</v>
      </c>
      <c r="G66" s="15"/>
      <c r="H66" s="15"/>
      <c r="I66" s="15">
        <v>28.640776699029125</v>
      </c>
      <c r="J66" s="15">
        <v>24.878640776699026</v>
      </c>
      <c r="K66" s="15"/>
      <c r="L66" s="15">
        <f>IF(Table2[[#This Row],[Lipids wt%]]+Table2[[#This Row],[Protein wt%]]+Table2[[#This Row],[Carbs wt%]] =0,"",SUM(Table2[[#This Row],[Lipids wt%]],Table2[[#This Row],[Protein wt%]],Table2[[#This Row],[Carbs wt%]]))</f>
        <v>71.359223300970868</v>
      </c>
      <c r="M66" s="15">
        <v>23.6</v>
      </c>
      <c r="P66">
        <v>78.400000000000006</v>
      </c>
      <c r="S66">
        <v>1.2</v>
      </c>
      <c r="Z66" s="15">
        <v>53.3</v>
      </c>
      <c r="AA66" s="15">
        <v>5.2</v>
      </c>
      <c r="AB66" s="15">
        <v>31.7</v>
      </c>
      <c r="AC66" s="15">
        <v>9.8000000000000007</v>
      </c>
      <c r="AD66" s="15"/>
      <c r="AE66" s="15"/>
      <c r="AF66" s="15">
        <f>(33.5*Table2[[#This Row],[C%]]+142.3*Table2[[#This Row],[H%]]-15.4*Table2[[#This Row],[O%]]-14.5*Table2[[#This Row],[N%]])/100</f>
        <v>18.952300000000001</v>
      </c>
      <c r="AG66" s="15">
        <v>0.1</v>
      </c>
      <c r="AH66" s="15"/>
      <c r="AI66" s="15"/>
      <c r="AJ66" s="15">
        <v>5</v>
      </c>
      <c r="AM66" s="13"/>
      <c r="AO66" s="15">
        <v>5</v>
      </c>
      <c r="AP66" s="15" t="e">
        <f>LN(25/Table2[[#This Row],[Temperature (C)]]/(1-SQRT((Table2[[#This Row],[Temperature (C)]]-5)/Table2[[#This Row],[Temperature (C)]])))/Table2[[#This Row],[b]]</f>
        <v>#DIV/0!</v>
      </c>
      <c r="AQ66" s="15">
        <f>IF(Table2[[#This Row],[b]]&lt;&gt;"",Table2[[#This Row],[T-5]], 0)</f>
        <v>0</v>
      </c>
      <c r="AT66" t="s">
        <v>503</v>
      </c>
      <c r="AU66">
        <v>250</v>
      </c>
      <c r="AV66" s="15"/>
      <c r="AW66" s="15">
        <v>30.9</v>
      </c>
      <c r="AX66" s="15"/>
      <c r="AY66" s="15"/>
      <c r="AZ66" s="15"/>
      <c r="BA66" s="15"/>
      <c r="BB66" s="15" t="str">
        <f>IF(OR(Table2[[#This Row],[Gas wt%]]&lt;&gt;"",Table2[[#This Row],[Loss]]&lt;&gt;""),Table2[[#This Row],[Gas wt%]]+Table2[[#This Row],[Loss]],"")</f>
        <v/>
      </c>
      <c r="BC66" s="15"/>
      <c r="BD66" s="15"/>
      <c r="BE66" s="15"/>
      <c r="BF66" s="15"/>
      <c r="BG66" s="15"/>
      <c r="BH66" s="15"/>
      <c r="BI66" s="15">
        <v>72.400000000000006</v>
      </c>
      <c r="BJ66" s="15">
        <v>8.4</v>
      </c>
      <c r="BK66" s="15">
        <v>12.7</v>
      </c>
      <c r="BL66" s="15">
        <v>6.5</v>
      </c>
      <c r="BM66" s="15"/>
      <c r="BN66" s="15">
        <v>34.299999999999997</v>
      </c>
      <c r="BO66" s="15"/>
      <c r="BP66" s="15"/>
      <c r="BQ66" s="15">
        <f>Table2[[#This Row],[H% B]]/Table2[[#This Row],[C% B]]*100</f>
        <v>11.602209944751381</v>
      </c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>
        <v>0</v>
      </c>
    </row>
    <row r="67" spans="1:106" x14ac:dyDescent="0.25">
      <c r="A67" t="s">
        <v>173</v>
      </c>
      <c r="B67" t="s">
        <v>154</v>
      </c>
      <c r="C67">
        <v>1995</v>
      </c>
      <c r="D67" s="16" t="s">
        <v>174</v>
      </c>
      <c r="E67">
        <v>0</v>
      </c>
      <c r="F67" s="15">
        <v>17.839805825242717</v>
      </c>
      <c r="G67" s="15"/>
      <c r="H67" s="15"/>
      <c r="I67" s="15">
        <v>28.640776699029125</v>
      </c>
      <c r="J67" s="15">
        <v>24.878640776699026</v>
      </c>
      <c r="K67" s="15"/>
      <c r="L67" s="15">
        <f>IF(Table2[[#This Row],[Lipids wt%]]+Table2[[#This Row],[Protein wt%]]+Table2[[#This Row],[Carbs wt%]] =0,"",SUM(Table2[[#This Row],[Lipids wt%]],Table2[[#This Row],[Protein wt%]],Table2[[#This Row],[Carbs wt%]]))</f>
        <v>71.359223300970868</v>
      </c>
      <c r="M67" s="15">
        <v>23.6</v>
      </c>
      <c r="P67">
        <v>78.400000000000006</v>
      </c>
      <c r="S67">
        <v>1.2</v>
      </c>
      <c r="Z67" s="15">
        <v>53.3</v>
      </c>
      <c r="AA67" s="15">
        <v>5.2</v>
      </c>
      <c r="AB67" s="15">
        <v>31.7</v>
      </c>
      <c r="AC67" s="15">
        <v>9.8000000000000007</v>
      </c>
      <c r="AD67" s="15"/>
      <c r="AE67" s="15"/>
      <c r="AF67" s="15">
        <f>(33.5*Table2[[#This Row],[C%]]+142.3*Table2[[#This Row],[H%]]-15.4*Table2[[#This Row],[O%]]-14.5*Table2[[#This Row],[N%]])/100</f>
        <v>18.952300000000001</v>
      </c>
      <c r="AG67" s="15">
        <v>0.1</v>
      </c>
      <c r="AH67" s="15"/>
      <c r="AI67" s="15"/>
      <c r="AJ67" s="15">
        <v>5</v>
      </c>
      <c r="AM67" s="13"/>
      <c r="AO67" s="15">
        <v>60</v>
      </c>
      <c r="AP67" s="15" t="e">
        <f>LN(25/Table2[[#This Row],[Temperature (C)]]/(1-SQRT((Table2[[#This Row],[Temperature (C)]]-5)/Table2[[#This Row],[Temperature (C)]])))/Table2[[#This Row],[b]]</f>
        <v>#DIV/0!</v>
      </c>
      <c r="AQ67" s="15">
        <f>IF(Table2[[#This Row],[b]]&lt;&gt;"",Table2[[#This Row],[T-5]], 0)</f>
        <v>0</v>
      </c>
      <c r="AT67" t="s">
        <v>503</v>
      </c>
      <c r="AU67">
        <v>250</v>
      </c>
      <c r="AV67" s="15"/>
      <c r="AW67" s="15">
        <v>43.2</v>
      </c>
      <c r="AX67" s="15"/>
      <c r="AY67" s="15"/>
      <c r="AZ67" s="15"/>
      <c r="BA67" s="15"/>
      <c r="BB67" s="15" t="str">
        <f>IF(OR(Table2[[#This Row],[Gas wt%]]&lt;&gt;"",Table2[[#This Row],[Loss]]&lt;&gt;""),Table2[[#This Row],[Gas wt%]]+Table2[[#This Row],[Loss]],"")</f>
        <v/>
      </c>
      <c r="BC67" s="15"/>
      <c r="BD67" s="15"/>
      <c r="BE67" s="15"/>
      <c r="BF67" s="15"/>
      <c r="BG67" s="15"/>
      <c r="BH67" s="15"/>
      <c r="BI67" s="15">
        <v>71.3</v>
      </c>
      <c r="BJ67" s="15">
        <v>8.1</v>
      </c>
      <c r="BK67" s="15">
        <v>13.7</v>
      </c>
      <c r="BL67" s="15">
        <v>6.9</v>
      </c>
      <c r="BM67" s="15"/>
      <c r="BN67" s="15">
        <v>33.299999999999997</v>
      </c>
      <c r="BO67" s="15"/>
      <c r="BP67" s="15"/>
      <c r="BQ67" s="15">
        <f>Table2[[#This Row],[H% B]]/Table2[[#This Row],[C% B]]*100</f>
        <v>11.360448807854137</v>
      </c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>
        <v>0</v>
      </c>
    </row>
    <row r="68" spans="1:106" x14ac:dyDescent="0.25">
      <c r="A68" t="s">
        <v>173</v>
      </c>
      <c r="B68" t="s">
        <v>154</v>
      </c>
      <c r="C68">
        <v>1995</v>
      </c>
      <c r="D68" s="16" t="s">
        <v>174</v>
      </c>
      <c r="E68">
        <v>0</v>
      </c>
      <c r="F68" s="15">
        <v>17.839805825242717</v>
      </c>
      <c r="G68" s="15"/>
      <c r="H68" s="15"/>
      <c r="I68" s="15">
        <v>28.640776699029125</v>
      </c>
      <c r="J68" s="15">
        <v>24.878640776699026</v>
      </c>
      <c r="K68" s="15"/>
      <c r="L68" s="15">
        <f>IF(Table2[[#This Row],[Lipids wt%]]+Table2[[#This Row],[Protein wt%]]+Table2[[#This Row],[Carbs wt%]] =0,"",SUM(Table2[[#This Row],[Lipids wt%]],Table2[[#This Row],[Protein wt%]],Table2[[#This Row],[Carbs wt%]]))</f>
        <v>71.359223300970868</v>
      </c>
      <c r="M68" s="15">
        <v>23.6</v>
      </c>
      <c r="P68">
        <v>78.400000000000006</v>
      </c>
      <c r="S68">
        <v>1.2</v>
      </c>
      <c r="Z68" s="15">
        <v>53.3</v>
      </c>
      <c r="AA68" s="15">
        <v>5.2</v>
      </c>
      <c r="AB68" s="15">
        <v>31.7</v>
      </c>
      <c r="AC68" s="15">
        <v>9.8000000000000007</v>
      </c>
      <c r="AD68" s="15"/>
      <c r="AE68" s="15"/>
      <c r="AF68" s="15">
        <f>(33.5*Table2[[#This Row],[C%]]+142.3*Table2[[#This Row],[H%]]-15.4*Table2[[#This Row],[O%]]-14.5*Table2[[#This Row],[N%]])/100</f>
        <v>18.952300000000001</v>
      </c>
      <c r="AG68" s="15">
        <v>0.1</v>
      </c>
      <c r="AH68" s="15"/>
      <c r="AI68" s="15"/>
      <c r="AJ68" s="15">
        <v>5</v>
      </c>
      <c r="AM68" s="13"/>
      <c r="AO68" s="15">
        <v>5</v>
      </c>
      <c r="AP68" s="15" t="e">
        <f>LN(25/Table2[[#This Row],[Temperature (C)]]/(1-SQRT((Table2[[#This Row],[Temperature (C)]]-5)/Table2[[#This Row],[Temperature (C)]])))/Table2[[#This Row],[b]]</f>
        <v>#DIV/0!</v>
      </c>
      <c r="AQ68" s="15">
        <f>IF(Table2[[#This Row],[b]]&lt;&gt;"",Table2[[#This Row],[T-5]], 0)</f>
        <v>0</v>
      </c>
      <c r="AT68" t="s">
        <v>503</v>
      </c>
      <c r="AU68">
        <v>300</v>
      </c>
      <c r="AV68" s="15"/>
      <c r="AW68" s="15">
        <v>43.8</v>
      </c>
      <c r="AX68" s="15"/>
      <c r="AY68" s="15"/>
      <c r="AZ68" s="15"/>
      <c r="BA68" s="15"/>
      <c r="BB68" s="15" t="str">
        <f>IF(OR(Table2[[#This Row],[Gas wt%]]&lt;&gt;"",Table2[[#This Row],[Loss]]&lt;&gt;""),Table2[[#This Row],[Gas wt%]]+Table2[[#This Row],[Loss]],"")</f>
        <v/>
      </c>
      <c r="BC68" s="15"/>
      <c r="BD68" s="15"/>
      <c r="BE68" s="15"/>
      <c r="BF68" s="15"/>
      <c r="BG68" s="15"/>
      <c r="BH68" s="15"/>
      <c r="BI68" s="15">
        <v>72.099999999999994</v>
      </c>
      <c r="BJ68" s="15">
        <v>8.3000000000000007</v>
      </c>
      <c r="BK68" s="15">
        <v>12.9</v>
      </c>
      <c r="BL68" s="15">
        <v>6.7</v>
      </c>
      <c r="BM68" s="15"/>
      <c r="BN68" s="15">
        <v>34</v>
      </c>
      <c r="BO68" s="15"/>
      <c r="BP68" s="15"/>
      <c r="BQ68" s="15">
        <f>Table2[[#This Row],[H% B]]/Table2[[#This Row],[C% B]]*100</f>
        <v>11.511789181692096</v>
      </c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>
        <v>0</v>
      </c>
    </row>
    <row r="69" spans="1:106" x14ac:dyDescent="0.25">
      <c r="A69" t="s">
        <v>173</v>
      </c>
      <c r="B69" t="s">
        <v>154</v>
      </c>
      <c r="C69">
        <v>1995</v>
      </c>
      <c r="D69" s="16" t="s">
        <v>174</v>
      </c>
      <c r="E69">
        <v>0</v>
      </c>
      <c r="F69" s="15">
        <v>17.839805825242717</v>
      </c>
      <c r="G69" s="15"/>
      <c r="H69" s="15"/>
      <c r="I69" s="15">
        <v>28.640776699029125</v>
      </c>
      <c r="J69" s="15">
        <v>24.878640776699026</v>
      </c>
      <c r="K69" s="15"/>
      <c r="L69" s="15">
        <f>IF(Table2[[#This Row],[Lipids wt%]]+Table2[[#This Row],[Protein wt%]]+Table2[[#This Row],[Carbs wt%]] =0,"",SUM(Table2[[#This Row],[Lipids wt%]],Table2[[#This Row],[Protein wt%]],Table2[[#This Row],[Carbs wt%]]))</f>
        <v>71.359223300970868</v>
      </c>
      <c r="M69" s="15">
        <v>23.6</v>
      </c>
      <c r="P69">
        <v>78.400000000000006</v>
      </c>
      <c r="S69">
        <v>1.2</v>
      </c>
      <c r="Z69" s="15">
        <v>53.3</v>
      </c>
      <c r="AA69" s="15">
        <v>5.2</v>
      </c>
      <c r="AB69" s="15">
        <v>31.7</v>
      </c>
      <c r="AC69" s="15">
        <v>9.8000000000000007</v>
      </c>
      <c r="AD69" s="15"/>
      <c r="AE69" s="15"/>
      <c r="AF69" s="15">
        <f>(33.5*Table2[[#This Row],[C%]]+142.3*Table2[[#This Row],[H%]]-15.4*Table2[[#This Row],[O%]]-14.5*Table2[[#This Row],[N%]])/100</f>
        <v>18.952300000000001</v>
      </c>
      <c r="AG69" s="15">
        <v>0.1</v>
      </c>
      <c r="AH69" s="15"/>
      <c r="AI69" s="15"/>
      <c r="AJ69" s="15">
        <v>5</v>
      </c>
      <c r="AM69" s="13"/>
      <c r="AO69" s="15">
        <v>60</v>
      </c>
      <c r="AP69" s="15" t="e">
        <f>LN(25/Table2[[#This Row],[Temperature (C)]]/(1-SQRT((Table2[[#This Row],[Temperature (C)]]-5)/Table2[[#This Row],[Temperature (C)]])))/Table2[[#This Row],[b]]</f>
        <v>#DIV/0!</v>
      </c>
      <c r="AQ69" s="15">
        <f>IF(Table2[[#This Row],[b]]&lt;&gt;"",Table2[[#This Row],[T-5]], 0)</f>
        <v>0</v>
      </c>
      <c r="AT69" t="s">
        <v>503</v>
      </c>
      <c r="AU69">
        <v>300</v>
      </c>
      <c r="AV69" s="15"/>
      <c r="AW69" s="15">
        <v>34.299999999999997</v>
      </c>
      <c r="AX69" s="15"/>
      <c r="AY69" s="15"/>
      <c r="AZ69" s="15"/>
      <c r="BA69" s="15"/>
      <c r="BB69" s="15" t="str">
        <f>IF(OR(Table2[[#This Row],[Gas wt%]]&lt;&gt;"",Table2[[#This Row],[Loss]]&lt;&gt;""),Table2[[#This Row],[Gas wt%]]+Table2[[#This Row],[Loss]],"")</f>
        <v/>
      </c>
      <c r="BC69" s="15"/>
      <c r="BD69" s="15"/>
      <c r="BE69" s="15"/>
      <c r="BF69" s="15"/>
      <c r="BG69" s="15"/>
      <c r="BH69" s="15"/>
      <c r="BI69" s="15">
        <v>75</v>
      </c>
      <c r="BJ69" s="15">
        <v>8.5</v>
      </c>
      <c r="BK69" s="15">
        <v>9.3000000000000007</v>
      </c>
      <c r="BL69" s="15">
        <v>7.2</v>
      </c>
      <c r="BM69" s="15"/>
      <c r="BN69" s="15">
        <v>36</v>
      </c>
      <c r="BO69" s="15"/>
      <c r="BP69" s="15"/>
      <c r="BQ69" s="15">
        <f>Table2[[#This Row],[H% B]]/Table2[[#This Row],[C% B]]*100</f>
        <v>11.333333333333332</v>
      </c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>
        <v>0</v>
      </c>
    </row>
    <row r="70" spans="1:106" x14ac:dyDescent="0.25">
      <c r="A70" t="s">
        <v>173</v>
      </c>
      <c r="B70" t="s">
        <v>154</v>
      </c>
      <c r="C70">
        <v>1995</v>
      </c>
      <c r="D70" s="16" t="s">
        <v>174</v>
      </c>
      <c r="E70">
        <v>0</v>
      </c>
      <c r="F70" s="15">
        <v>17.839805825242717</v>
      </c>
      <c r="G70" s="15"/>
      <c r="H70" s="15"/>
      <c r="I70" s="15">
        <v>28.640776699029125</v>
      </c>
      <c r="J70" s="15">
        <v>24.878640776699026</v>
      </c>
      <c r="K70" s="15"/>
      <c r="L70" s="15">
        <f>IF(Table2[[#This Row],[Lipids wt%]]+Table2[[#This Row],[Protein wt%]]+Table2[[#This Row],[Carbs wt%]] =0,"",SUM(Table2[[#This Row],[Lipids wt%]],Table2[[#This Row],[Protein wt%]],Table2[[#This Row],[Carbs wt%]]))</f>
        <v>71.359223300970868</v>
      </c>
      <c r="M70" s="15">
        <v>23.6</v>
      </c>
      <c r="P70">
        <v>78.400000000000006</v>
      </c>
      <c r="S70">
        <v>1.2</v>
      </c>
      <c r="Z70" s="15">
        <v>53.3</v>
      </c>
      <c r="AA70" s="15">
        <v>5.2</v>
      </c>
      <c r="AB70" s="15">
        <v>31.7</v>
      </c>
      <c r="AC70" s="15">
        <v>9.8000000000000007</v>
      </c>
      <c r="AD70" s="15"/>
      <c r="AE70" s="15"/>
      <c r="AF70" s="15">
        <f>(33.5*Table2[[#This Row],[C%]]+142.3*Table2[[#This Row],[H%]]-15.4*Table2[[#This Row],[O%]]-14.5*Table2[[#This Row],[N%]])/100</f>
        <v>18.952300000000001</v>
      </c>
      <c r="AG70" s="15">
        <v>0.1</v>
      </c>
      <c r="AH70" s="15"/>
      <c r="AI70" s="15"/>
      <c r="AJ70" s="15">
        <v>5</v>
      </c>
      <c r="AM70" s="13"/>
      <c r="AO70" s="15">
        <v>5</v>
      </c>
      <c r="AP70" s="15" t="e">
        <f>LN(25/Table2[[#This Row],[Temperature (C)]]/(1-SQRT((Table2[[#This Row],[Temperature (C)]]-5)/Table2[[#This Row],[Temperature (C)]])))/Table2[[#This Row],[b]]</f>
        <v>#DIV/0!</v>
      </c>
      <c r="AQ70" s="15">
        <f>IF(Table2[[#This Row],[b]]&lt;&gt;"",Table2[[#This Row],[T-5]], 0)</f>
        <v>0</v>
      </c>
      <c r="AT70" t="s">
        <v>503</v>
      </c>
      <c r="AU70">
        <v>340</v>
      </c>
      <c r="AV70" s="15"/>
      <c r="AW70" s="15">
        <v>42.6</v>
      </c>
      <c r="AX70" s="15"/>
      <c r="AY70" s="15"/>
      <c r="AZ70" s="15"/>
      <c r="BA70" s="15"/>
      <c r="BB70" s="15" t="str">
        <f>IF(OR(Table2[[#This Row],[Gas wt%]]&lt;&gt;"",Table2[[#This Row],[Loss]]&lt;&gt;""),Table2[[#This Row],[Gas wt%]]+Table2[[#This Row],[Loss]],"")</f>
        <v/>
      </c>
      <c r="BC70" s="15"/>
      <c r="BD70" s="15"/>
      <c r="BE70" s="15"/>
      <c r="BF70" s="15"/>
      <c r="BG70" s="15"/>
      <c r="BH70" s="15"/>
      <c r="BI70" s="15">
        <v>76.900000000000006</v>
      </c>
      <c r="BJ70" s="15">
        <v>9.1</v>
      </c>
      <c r="BK70" s="15">
        <v>7.4</v>
      </c>
      <c r="BL70" s="15">
        <v>6.6</v>
      </c>
      <c r="BM70" s="15"/>
      <c r="BN70" s="15">
        <v>37.799999999999997</v>
      </c>
      <c r="BO70" s="15"/>
      <c r="BP70" s="15"/>
      <c r="BQ70" s="15">
        <f>Table2[[#This Row],[H% B]]/Table2[[#This Row],[C% B]]*100</f>
        <v>11.833550065019505</v>
      </c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>
        <v>0</v>
      </c>
    </row>
    <row r="71" spans="1:106" x14ac:dyDescent="0.25">
      <c r="A71" t="s">
        <v>173</v>
      </c>
      <c r="B71" t="s">
        <v>154</v>
      </c>
      <c r="C71">
        <v>1995</v>
      </c>
      <c r="D71" s="16" t="s">
        <v>174</v>
      </c>
      <c r="E71">
        <v>0</v>
      </c>
      <c r="F71" s="15">
        <v>17.839805825242717</v>
      </c>
      <c r="G71" s="15"/>
      <c r="H71" s="15"/>
      <c r="I71" s="15">
        <v>28.640776699029125</v>
      </c>
      <c r="J71" s="15">
        <v>24.878640776699026</v>
      </c>
      <c r="K71" s="15"/>
      <c r="L71" s="15">
        <f>IF(Table2[[#This Row],[Lipids wt%]]+Table2[[#This Row],[Protein wt%]]+Table2[[#This Row],[Carbs wt%]] =0,"",SUM(Table2[[#This Row],[Lipids wt%]],Table2[[#This Row],[Protein wt%]],Table2[[#This Row],[Carbs wt%]]))</f>
        <v>71.359223300970868</v>
      </c>
      <c r="M71" s="15">
        <v>23.6</v>
      </c>
      <c r="P71">
        <v>78.400000000000006</v>
      </c>
      <c r="S71">
        <v>1.2</v>
      </c>
      <c r="Z71" s="15">
        <v>53.3</v>
      </c>
      <c r="AA71" s="15">
        <v>5.2</v>
      </c>
      <c r="AB71" s="15">
        <v>31.7</v>
      </c>
      <c r="AC71" s="15">
        <v>9.8000000000000007</v>
      </c>
      <c r="AD71" s="15"/>
      <c r="AE71" s="15"/>
      <c r="AF71" s="15">
        <f>(33.5*Table2[[#This Row],[C%]]+142.3*Table2[[#This Row],[H%]]-15.4*Table2[[#This Row],[O%]]-14.5*Table2[[#This Row],[N%]])/100</f>
        <v>18.952300000000001</v>
      </c>
      <c r="AG71" s="15">
        <v>0.1</v>
      </c>
      <c r="AH71" s="15"/>
      <c r="AI71" s="15"/>
      <c r="AJ71" s="15">
        <v>5</v>
      </c>
      <c r="AM71" s="13"/>
      <c r="AO71" s="15">
        <v>60</v>
      </c>
      <c r="AP71" s="15" t="e">
        <f>LN(25/Table2[[#This Row],[Temperature (C)]]/(1-SQRT((Table2[[#This Row],[Temperature (C)]]-5)/Table2[[#This Row],[Temperature (C)]])))/Table2[[#This Row],[b]]</f>
        <v>#DIV/0!</v>
      </c>
      <c r="AQ71" s="15">
        <f>IF(Table2[[#This Row],[b]]&lt;&gt;"",Table2[[#This Row],[T-5]], 0)</f>
        <v>0</v>
      </c>
      <c r="AT71" t="s">
        <v>503</v>
      </c>
      <c r="AU71">
        <v>340</v>
      </c>
      <c r="AV71" s="15"/>
      <c r="AW71" s="15">
        <v>40.4</v>
      </c>
      <c r="AX71" s="15"/>
      <c r="AY71" s="15"/>
      <c r="AZ71" s="15"/>
      <c r="BA71" s="15"/>
      <c r="BB71" s="15" t="str">
        <f>IF(OR(Table2[[#This Row],[Gas wt%]]&lt;&gt;"",Table2[[#This Row],[Loss]]&lt;&gt;""),Table2[[#This Row],[Gas wt%]]+Table2[[#This Row],[Loss]],"")</f>
        <v/>
      </c>
      <c r="BC71" s="15"/>
      <c r="BD71" s="15"/>
      <c r="BE71" s="15"/>
      <c r="BF71" s="15"/>
      <c r="BG71" s="15"/>
      <c r="BH71" s="15"/>
      <c r="BI71" s="15">
        <v>75</v>
      </c>
      <c r="BJ71" s="15">
        <v>8.6999999999999993</v>
      </c>
      <c r="BK71" s="15">
        <v>9.6999999999999993</v>
      </c>
      <c r="BL71" s="15">
        <v>6.6</v>
      </c>
      <c r="BM71" s="15"/>
      <c r="BN71" s="15">
        <v>36.200000000000003</v>
      </c>
      <c r="BO71" s="15"/>
      <c r="BP71" s="15"/>
      <c r="BQ71" s="15">
        <f>Table2[[#This Row],[H% B]]/Table2[[#This Row],[C% B]]*100</f>
        <v>11.6</v>
      </c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>
        <v>0</v>
      </c>
    </row>
    <row r="72" spans="1:106" x14ac:dyDescent="0.25">
      <c r="A72" t="s">
        <v>175</v>
      </c>
      <c r="B72" t="s">
        <v>176</v>
      </c>
      <c r="C72">
        <v>2013</v>
      </c>
      <c r="D72" s="16" t="s">
        <v>178</v>
      </c>
      <c r="E72">
        <v>0</v>
      </c>
      <c r="F72" s="15">
        <v>22.044320686854626</v>
      </c>
      <c r="G72" s="15"/>
      <c r="H72" s="15"/>
      <c r="I72" s="15">
        <v>69.61364427427776</v>
      </c>
      <c r="J72" s="15">
        <v>6.9613644274277764</v>
      </c>
      <c r="K72" s="15"/>
      <c r="L72" s="15">
        <f>IF(Table2[[#This Row],[Lipids wt%]]+Table2[[#This Row],[Protein wt%]]+Table2[[#This Row],[Carbs wt%]] =0,"",SUM(Table2[[#This Row],[Lipids wt%]],Table2[[#This Row],[Protein wt%]],Table2[[#This Row],[Carbs wt%]]))</f>
        <v>98.619329388560175</v>
      </c>
      <c r="M72" s="15">
        <v>1.19</v>
      </c>
      <c r="P72">
        <v>5.88</v>
      </c>
      <c r="Q72">
        <v>7.29</v>
      </c>
      <c r="R72">
        <v>85.64</v>
      </c>
      <c r="Z72" s="15">
        <v>42.26</v>
      </c>
      <c r="AA72" s="15">
        <v>5.86</v>
      </c>
      <c r="AB72" s="15">
        <v>47.26</v>
      </c>
      <c r="AC72" s="15">
        <v>3.47</v>
      </c>
      <c r="AD72" s="15">
        <v>1.1499999999999999</v>
      </c>
      <c r="AE72" s="15"/>
      <c r="AF72" s="15">
        <v>20.399999999999999</v>
      </c>
      <c r="AG72" s="15">
        <v>0.4</v>
      </c>
      <c r="AH72" s="15">
        <v>50</v>
      </c>
      <c r="AI72" s="15">
        <v>150</v>
      </c>
      <c r="AJ72" s="15">
        <f>Table2[[#This Row],[Solids (g)]]/(Table2[[#This Row],[Solids (g)]]+Table2[[#This Row],[Water mL]])*100</f>
        <v>25</v>
      </c>
      <c r="AK72">
        <v>2</v>
      </c>
      <c r="AL72">
        <v>6</v>
      </c>
      <c r="AM72" s="13">
        <v>7.1612899999999993E-2</v>
      </c>
      <c r="AO72" s="15"/>
      <c r="AP72" s="15">
        <f>LN(25/Table2[[#This Row],[Temperature (C)]]/(1-SQRT((Table2[[#This Row],[Temperature (C)]]-5)/Table2[[#This Row],[Temperature (C)]])))/Table2[[#This Row],[b]]</f>
        <v>32.073191136412937</v>
      </c>
      <c r="AQ72" s="15">
        <f>IF(Table2[[#This Row],[b]]&lt;&gt;"",Table2[[#This Row],[T-5]], 0)</f>
        <v>32.073191136412937</v>
      </c>
      <c r="AR72">
        <f>Table2[[#This Row],[Heating time]]+Table2[[#This Row],[Holding Time (min)]]</f>
        <v>32.073191136412937</v>
      </c>
      <c r="AT72" t="s">
        <v>503</v>
      </c>
      <c r="AU72">
        <v>220</v>
      </c>
      <c r="AV72" s="15">
        <f>19/Table2[[#This Row],[Biocrude wt%]]*5</f>
        <v>2.5</v>
      </c>
      <c r="AW72" s="15">
        <v>38</v>
      </c>
      <c r="AX72" s="15"/>
      <c r="AY72" s="15"/>
      <c r="AZ72" s="15"/>
      <c r="BA72" s="15">
        <f>100-Table2[[#This Row],[Solids wt%]]-Table2[[#This Row],[Biocrude wt%]]</f>
        <v>59.5</v>
      </c>
      <c r="BB72" s="15" t="str">
        <f>IF(OR(Table2[[#This Row],[Gas wt%]]&lt;&gt;"",Table2[[#This Row],[Loss]]&lt;&gt;""),Table2[[#This Row],[Gas wt%]]+Table2[[#This Row],[Loss]],"")</f>
        <v/>
      </c>
      <c r="BC72" s="15"/>
      <c r="BD72" s="15"/>
      <c r="BE72" s="15"/>
      <c r="BF72" s="15"/>
      <c r="BG72" s="15"/>
      <c r="BH72" s="15"/>
      <c r="BI72" s="15">
        <v>59.15</v>
      </c>
      <c r="BJ72" s="15">
        <v>5.5</v>
      </c>
      <c r="BK72" s="15">
        <v>18.190000000000001</v>
      </c>
      <c r="BL72" s="15">
        <v>10.47</v>
      </c>
      <c r="BM72" s="15">
        <v>1.22</v>
      </c>
      <c r="BN72" s="15">
        <v>28.7</v>
      </c>
      <c r="BO72" s="15"/>
      <c r="BP72" s="15"/>
      <c r="BQ72" s="15">
        <f>Table2[[#This Row],[H% B]]/Table2[[#This Row],[C% B]]*100</f>
        <v>9.2983939137785292</v>
      </c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>
        <v>0</v>
      </c>
    </row>
    <row r="73" spans="1:106" x14ac:dyDescent="0.25">
      <c r="A73" t="s">
        <v>175</v>
      </c>
      <c r="B73" t="s">
        <v>176</v>
      </c>
      <c r="C73">
        <v>2013</v>
      </c>
      <c r="D73" s="16" t="s">
        <v>178</v>
      </c>
      <c r="E73">
        <v>0</v>
      </c>
      <c r="F73" s="15">
        <v>22.044320686854626</v>
      </c>
      <c r="G73" s="15"/>
      <c r="H73" s="15"/>
      <c r="I73" s="15">
        <v>69.61364427427776</v>
      </c>
      <c r="J73" s="15">
        <v>6.9613644274277764</v>
      </c>
      <c r="K73" s="15"/>
      <c r="L73" s="15">
        <f>IF(Table2[[#This Row],[Lipids wt%]]+Table2[[#This Row],[Protein wt%]]+Table2[[#This Row],[Carbs wt%]] =0,"",SUM(Table2[[#This Row],[Lipids wt%]],Table2[[#This Row],[Protein wt%]],Table2[[#This Row],[Carbs wt%]]))</f>
        <v>98.619329388560175</v>
      </c>
      <c r="M73" s="15">
        <v>1.19</v>
      </c>
      <c r="P73">
        <v>5.88</v>
      </c>
      <c r="Q73">
        <v>7.29</v>
      </c>
      <c r="R73">
        <v>85.64</v>
      </c>
      <c r="Z73" s="15">
        <v>42.26</v>
      </c>
      <c r="AA73" s="15">
        <v>5.86</v>
      </c>
      <c r="AB73" s="15">
        <v>47.26</v>
      </c>
      <c r="AC73" s="15">
        <v>3.47</v>
      </c>
      <c r="AD73" s="15">
        <v>1.1499999999999999</v>
      </c>
      <c r="AE73" s="15"/>
      <c r="AF73" s="15">
        <v>20.399999999999999</v>
      </c>
      <c r="AG73" s="15">
        <v>0.4</v>
      </c>
      <c r="AH73" s="15">
        <v>50</v>
      </c>
      <c r="AI73" s="15">
        <v>150</v>
      </c>
      <c r="AJ73" s="15">
        <f>Table2[[#This Row],[Solids (g)]]/(Table2[[#This Row],[Solids (g)]]+Table2[[#This Row],[Water mL]])*100</f>
        <v>25</v>
      </c>
      <c r="AK73">
        <v>11.5</v>
      </c>
      <c r="AL73">
        <v>6</v>
      </c>
      <c r="AM73" s="13">
        <v>7.1612899999999993E-2</v>
      </c>
      <c r="AO73" s="15"/>
      <c r="AP73" s="15">
        <f>LN(25/Table2[[#This Row],[Temperature (C)]]/(1-SQRT((Table2[[#This Row],[Temperature (C)]]-5)/Table2[[#This Row],[Temperature (C)]])))/Table2[[#This Row],[b]]</f>
        <v>32.096566755363838</v>
      </c>
      <c r="AQ73" s="15">
        <f>IF(Table2[[#This Row],[b]]&lt;&gt;"",Table2[[#This Row],[T-5]], 0)</f>
        <v>32.096566755363838</v>
      </c>
      <c r="AR73">
        <f>Table2[[#This Row],[Heating time]]+Table2[[#This Row],[Holding Time (min)]]</f>
        <v>32.096566755363838</v>
      </c>
      <c r="AT73" t="s">
        <v>503</v>
      </c>
      <c r="AU73">
        <v>310</v>
      </c>
      <c r="AV73" s="15">
        <f>15/Table2[[#This Row],[Biocrude wt%]]*5</f>
        <v>2.5</v>
      </c>
      <c r="AW73" s="15">
        <v>30</v>
      </c>
      <c r="AX73" s="15"/>
      <c r="AY73" s="15"/>
      <c r="AZ73" s="15"/>
      <c r="BA73" s="15">
        <f>100-Table2[[#This Row],[Solids wt%]]-Table2[[#This Row],[Biocrude wt%]]</f>
        <v>67.5</v>
      </c>
      <c r="BB73" s="15" t="str">
        <f>IF(OR(Table2[[#This Row],[Gas wt%]]&lt;&gt;"",Table2[[#This Row],[Loss]]&lt;&gt;""),Table2[[#This Row],[Gas wt%]]+Table2[[#This Row],[Loss]],"")</f>
        <v/>
      </c>
      <c r="BC73" s="15"/>
      <c r="BD73" s="15"/>
      <c r="BE73" s="15"/>
      <c r="BF73" s="15"/>
      <c r="BG73" s="15"/>
      <c r="BH73" s="15"/>
      <c r="BI73" s="15">
        <v>71.290000000000006</v>
      </c>
      <c r="BJ73" s="15">
        <v>8.01</v>
      </c>
      <c r="BK73" s="15">
        <v>16.82</v>
      </c>
      <c r="BL73" s="15">
        <v>7.66</v>
      </c>
      <c r="BM73" s="15">
        <v>0.81</v>
      </c>
      <c r="BN73" s="15">
        <v>35.200000000000003</v>
      </c>
      <c r="BO73" s="15"/>
      <c r="BP73" s="15"/>
      <c r="BQ73" s="15">
        <f>Table2[[#This Row],[H% B]]/Table2[[#This Row],[C% B]]*100</f>
        <v>11.23579744704727</v>
      </c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>
        <v>0</v>
      </c>
    </row>
    <row r="74" spans="1:106" x14ac:dyDescent="0.25">
      <c r="A74" t="s">
        <v>175</v>
      </c>
      <c r="B74" t="s">
        <v>176</v>
      </c>
      <c r="C74">
        <v>2013</v>
      </c>
      <c r="D74" s="16" t="s">
        <v>178</v>
      </c>
      <c r="E74">
        <v>0</v>
      </c>
      <c r="F74" s="15">
        <v>22.044320686854626</v>
      </c>
      <c r="G74" s="15"/>
      <c r="H74" s="15"/>
      <c r="I74" s="15">
        <v>69.61364427427776</v>
      </c>
      <c r="J74" s="15">
        <v>6.9613644274277764</v>
      </c>
      <c r="K74" s="15"/>
      <c r="L74" s="15">
        <f>IF(Table2[[#This Row],[Lipids wt%]]+Table2[[#This Row],[Protein wt%]]+Table2[[#This Row],[Carbs wt%]] =0,"",SUM(Table2[[#This Row],[Lipids wt%]],Table2[[#This Row],[Protein wt%]],Table2[[#This Row],[Carbs wt%]]))</f>
        <v>98.619329388560175</v>
      </c>
      <c r="M74" s="15">
        <v>1.19</v>
      </c>
      <c r="P74">
        <v>5.88</v>
      </c>
      <c r="Q74">
        <v>7.29</v>
      </c>
      <c r="R74">
        <v>85.64</v>
      </c>
      <c r="Z74" s="15">
        <v>42.26</v>
      </c>
      <c r="AA74" s="15">
        <v>5.86</v>
      </c>
      <c r="AB74" s="15">
        <v>47.26</v>
      </c>
      <c r="AC74" s="15">
        <v>3.47</v>
      </c>
      <c r="AD74" s="15">
        <v>1.1499999999999999</v>
      </c>
      <c r="AE74" s="15"/>
      <c r="AF74" s="15">
        <v>20.399999999999999</v>
      </c>
      <c r="AG74" s="15">
        <v>0.4</v>
      </c>
      <c r="AH74" s="15">
        <v>50</v>
      </c>
      <c r="AI74" s="15">
        <v>150</v>
      </c>
      <c r="AJ74" s="15">
        <f>Table2[[#This Row],[Solids (g)]]/(Table2[[#This Row],[Solids (g)]]+Table2[[#This Row],[Water mL]])*100</f>
        <v>25</v>
      </c>
      <c r="AK74">
        <v>19.5</v>
      </c>
      <c r="AL74">
        <v>6</v>
      </c>
      <c r="AM74" s="13">
        <v>7.1612899999999993E-2</v>
      </c>
      <c r="AO74" s="15"/>
      <c r="AP74" s="15">
        <f>LN(25/Table2[[#This Row],[Temperature (C)]]/(1-SQRT((Table2[[#This Row],[Temperature (C)]]-5)/Table2[[#This Row],[Temperature (C)]])))/Table2[[#This Row],[b]]</f>
        <v>32.103076100601278</v>
      </c>
      <c r="AQ74" s="15">
        <f>IF(Table2[[#This Row],[b]]&lt;&gt;"",Table2[[#This Row],[T-5]], 0)</f>
        <v>32.103076100601278</v>
      </c>
      <c r="AR74">
        <f>Table2[[#This Row],[Heating time]]+Table2[[#This Row],[Holding Time (min)]]</f>
        <v>32.103076100601278</v>
      </c>
      <c r="AT74" t="s">
        <v>503</v>
      </c>
      <c r="AU74">
        <v>350</v>
      </c>
      <c r="AV74" s="15">
        <f>19/Table2[[#This Row],[Biocrude wt%]]*3</f>
        <v>1.5</v>
      </c>
      <c r="AW74" s="15">
        <v>38</v>
      </c>
      <c r="AX74" s="15"/>
      <c r="AY74" s="15"/>
      <c r="AZ74" s="15"/>
      <c r="BA74" s="15">
        <f>100-Table2[[#This Row],[Solids wt%]]-Table2[[#This Row],[Biocrude wt%]]</f>
        <v>60.5</v>
      </c>
      <c r="BB74" s="15" t="str">
        <f>IF(OR(Table2[[#This Row],[Gas wt%]]&lt;&gt;"",Table2[[#This Row],[Loss]]&lt;&gt;""),Table2[[#This Row],[Gas wt%]]+Table2[[#This Row],[Loss]],"")</f>
        <v/>
      </c>
      <c r="BC74" s="15"/>
      <c r="BD74" s="15"/>
      <c r="BE74" s="15"/>
      <c r="BF74" s="15"/>
      <c r="BG74" s="15"/>
      <c r="BH74" s="15"/>
      <c r="BI74" s="15">
        <v>70.69</v>
      </c>
      <c r="BJ74" s="15">
        <v>8.0500000000000007</v>
      </c>
      <c r="BK74" s="15">
        <v>10.06</v>
      </c>
      <c r="BL74" s="15">
        <v>7.22</v>
      </c>
      <c r="BM74" s="15">
        <v>0.77</v>
      </c>
      <c r="BN74" s="15">
        <v>34.299999999999997</v>
      </c>
      <c r="BO74" s="15"/>
      <c r="BP74" s="15"/>
      <c r="BQ74" s="15">
        <f>Table2[[#This Row],[H% B]]/Table2[[#This Row],[C% B]]*100</f>
        <v>11.38774932805206</v>
      </c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>
        <v>0</v>
      </c>
    </row>
    <row r="75" spans="1:106" x14ac:dyDescent="0.25">
      <c r="A75" t="s">
        <v>175</v>
      </c>
      <c r="B75" t="s">
        <v>176</v>
      </c>
      <c r="C75">
        <v>2013</v>
      </c>
      <c r="D75" s="16" t="s">
        <v>178</v>
      </c>
      <c r="E75">
        <v>0</v>
      </c>
      <c r="F75" s="15">
        <v>22.044320686854626</v>
      </c>
      <c r="G75" s="15"/>
      <c r="H75" s="15"/>
      <c r="I75" s="15">
        <v>69.61364427427776</v>
      </c>
      <c r="J75" s="15">
        <v>6.9613644274277764</v>
      </c>
      <c r="K75" s="15"/>
      <c r="L75" s="15">
        <f>IF(Table2[[#This Row],[Lipids wt%]]+Table2[[#This Row],[Protein wt%]]+Table2[[#This Row],[Carbs wt%]] =0,"",SUM(Table2[[#This Row],[Lipids wt%]],Table2[[#This Row],[Protein wt%]],Table2[[#This Row],[Carbs wt%]]))</f>
        <v>98.619329388560175</v>
      </c>
      <c r="M75" s="15">
        <v>1.19</v>
      </c>
      <c r="P75">
        <v>5.88</v>
      </c>
      <c r="Q75">
        <v>7.29</v>
      </c>
      <c r="R75">
        <v>85.64</v>
      </c>
      <c r="Z75" s="15">
        <v>42.26</v>
      </c>
      <c r="AA75" s="15">
        <v>5.86</v>
      </c>
      <c r="AB75" s="15">
        <v>47.26</v>
      </c>
      <c r="AC75" s="15">
        <v>3.47</v>
      </c>
      <c r="AD75" s="15">
        <v>1.1499999999999999</v>
      </c>
      <c r="AE75" s="15"/>
      <c r="AF75" s="15">
        <v>20.399999999999999</v>
      </c>
      <c r="AG75" s="15">
        <v>0.4</v>
      </c>
      <c r="AH75" s="15">
        <v>50</v>
      </c>
      <c r="AI75" s="15">
        <v>150</v>
      </c>
      <c r="AJ75" s="15">
        <f>Table2[[#This Row],[Solids (g)]]/(Table2[[#This Row],[Solids (g)]]+Table2[[#This Row],[Water mL]])*100</f>
        <v>25</v>
      </c>
      <c r="AK75">
        <v>25.5</v>
      </c>
      <c r="AL75">
        <v>6</v>
      </c>
      <c r="AM75" s="13">
        <v>7.1612899999999993E-2</v>
      </c>
      <c r="AO75" s="15"/>
      <c r="AP75" s="15">
        <f>LN(25/Table2[[#This Row],[Temperature (C)]]/(1-SQRT((Table2[[#This Row],[Temperature (C)]]-5)/Table2[[#This Row],[Temperature (C)]])))/Table2[[#This Row],[b]]</f>
        <v>32.106435690309148</v>
      </c>
      <c r="AQ75" s="15">
        <f>IF(Table2[[#This Row],[b]]&lt;&gt;"",Table2[[#This Row],[T-5]], 0)</f>
        <v>32.106435690309148</v>
      </c>
      <c r="AR75">
        <f>Table2[[#This Row],[Heating time]]+Table2[[#This Row],[Holding Time (min)]]</f>
        <v>32.106435690309148</v>
      </c>
      <c r="AT75" t="s">
        <v>503</v>
      </c>
      <c r="AU75">
        <v>375</v>
      </c>
      <c r="AV75" s="15"/>
      <c r="AW75" s="15">
        <v>38</v>
      </c>
      <c r="AX75" s="15"/>
      <c r="AY75" s="15"/>
      <c r="AZ75" s="15"/>
      <c r="BA75" s="15">
        <f>100-Table2[[#This Row],[Solids wt%]]-Table2[[#This Row],[Biocrude wt%]]</f>
        <v>62</v>
      </c>
      <c r="BB75" s="15" t="str">
        <f>IF(OR(Table2[[#This Row],[Gas wt%]]&lt;&gt;"",Table2[[#This Row],[Loss]]&lt;&gt;""),Table2[[#This Row],[Gas wt%]]+Table2[[#This Row],[Loss]],"")</f>
        <v/>
      </c>
      <c r="BC75" s="15"/>
      <c r="BD75" s="15"/>
      <c r="BE75" s="15"/>
      <c r="BF75" s="15"/>
      <c r="BG75" s="15"/>
      <c r="BH75" s="15"/>
      <c r="BI75" s="15">
        <v>68.61</v>
      </c>
      <c r="BJ75" s="15">
        <v>7.82</v>
      </c>
      <c r="BK75" s="15">
        <v>15.4</v>
      </c>
      <c r="BL75" s="15">
        <v>7.01</v>
      </c>
      <c r="BM75" s="15">
        <v>1.1299999999999999</v>
      </c>
      <c r="BN75" s="15">
        <v>30.2</v>
      </c>
      <c r="BO75" s="15"/>
      <c r="BP75" s="15"/>
      <c r="BQ75" s="15">
        <f>Table2[[#This Row],[H% B]]/Table2[[#This Row],[C% B]]*100</f>
        <v>11.397755429237721</v>
      </c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>
        <v>24.56</v>
      </c>
      <c r="CG75" s="15">
        <v>2.61</v>
      </c>
      <c r="CH75" s="15">
        <v>6.62</v>
      </c>
      <c r="CI75" s="15">
        <v>2.0699999999999998</v>
      </c>
      <c r="CJ75" s="15">
        <v>0.3</v>
      </c>
      <c r="CK75" s="15">
        <v>13.1</v>
      </c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>
        <v>0</v>
      </c>
    </row>
    <row r="76" spans="1:106" x14ac:dyDescent="0.25">
      <c r="A76" t="s">
        <v>175</v>
      </c>
      <c r="B76" t="s">
        <v>176</v>
      </c>
      <c r="C76">
        <v>2013</v>
      </c>
      <c r="D76" s="16" t="s">
        <v>177</v>
      </c>
      <c r="E76">
        <v>0</v>
      </c>
      <c r="F76" s="15">
        <v>39.0625</v>
      </c>
      <c r="G76" s="15"/>
      <c r="H76" s="15"/>
      <c r="I76" s="15">
        <v>43.797348484848484</v>
      </c>
      <c r="J76" s="15">
        <v>14.204545454545453</v>
      </c>
      <c r="K76" s="15"/>
      <c r="L76" s="15">
        <f>IF(Table2[[#This Row],[Lipids wt%]]+Table2[[#This Row],[Protein wt%]]+Table2[[#This Row],[Carbs wt%]] =0,"",SUM(Table2[[#This Row],[Lipids wt%]],Table2[[#This Row],[Protein wt%]],Table2[[#This Row],[Carbs wt%]]))</f>
        <v>97.064393939393938</v>
      </c>
      <c r="M76" s="15">
        <v>2.48</v>
      </c>
      <c r="P76">
        <v>4.95</v>
      </c>
      <c r="Q76">
        <v>5.81</v>
      </c>
      <c r="R76">
        <v>86.76</v>
      </c>
      <c r="S76">
        <v>39.6</v>
      </c>
      <c r="T76">
        <v>24.5</v>
      </c>
      <c r="Z76" s="15">
        <v>55.16</v>
      </c>
      <c r="AA76" s="15">
        <v>6.87</v>
      </c>
      <c r="AB76" s="15">
        <v>33.97</v>
      </c>
      <c r="AC76" s="15">
        <v>2.73</v>
      </c>
      <c r="AD76" s="15">
        <v>1.27</v>
      </c>
      <c r="AE76" s="15"/>
      <c r="AF76" s="15">
        <v>25.4</v>
      </c>
      <c r="AG76" s="15">
        <v>0.4</v>
      </c>
      <c r="AH76" s="15">
        <v>50</v>
      </c>
      <c r="AI76" s="15">
        <v>150</v>
      </c>
      <c r="AJ76" s="15">
        <f>Table2[[#This Row],[Solids (g)]]/(Table2[[#This Row],[Solids (g)]]+Table2[[#This Row],[Water mL]])*100</f>
        <v>25</v>
      </c>
      <c r="AK76">
        <v>10.7</v>
      </c>
      <c r="AL76">
        <v>6</v>
      </c>
      <c r="AM76" s="13">
        <v>7.1612899999999993E-2</v>
      </c>
      <c r="AO76" s="15"/>
      <c r="AP76" s="15">
        <f>LN(25/Table2[[#This Row],[Temperature (C)]]/(1-SQRT((Table2[[#This Row],[Temperature (C)]]-5)/Table2[[#This Row],[Temperature (C)]])))/Table2[[#This Row],[b]]</f>
        <v>32.096566755363838</v>
      </c>
      <c r="AQ76" s="15">
        <f>IF(Table2[[#This Row],[b]]&lt;&gt;"",Table2[[#This Row],[T-5]], 0)</f>
        <v>32.096566755363838</v>
      </c>
      <c r="AR76">
        <f>Table2[[#This Row],[Heating time]]+Table2[[#This Row],[Holding Time (min)]]</f>
        <v>32.096566755363838</v>
      </c>
      <c r="AT76" t="s">
        <v>503</v>
      </c>
      <c r="AU76">
        <v>310</v>
      </c>
      <c r="AV76" s="15">
        <f>23/Table2[[#This Row],[Biocrude wt%]]*16</f>
        <v>8</v>
      </c>
      <c r="AW76" s="15">
        <v>46</v>
      </c>
      <c r="AX76" s="15"/>
      <c r="AY76" s="15"/>
      <c r="AZ76" s="15"/>
      <c r="BA76" s="15">
        <f>100-Table2[[#This Row],[Solids wt%]]-Table2[[#This Row],[Biocrude wt%]]</f>
        <v>46</v>
      </c>
      <c r="BB76" s="15" t="str">
        <f>IF(OR(Table2[[#This Row],[Gas wt%]]&lt;&gt;"",Table2[[#This Row],[Loss]]&lt;&gt;""),Table2[[#This Row],[Gas wt%]]+Table2[[#This Row],[Loss]],"")</f>
        <v/>
      </c>
      <c r="BC76" s="15"/>
      <c r="BD76" s="15"/>
      <c r="BE76" s="15"/>
      <c r="BF76" s="15"/>
      <c r="BG76" s="15"/>
      <c r="BH76" s="15"/>
      <c r="BI76" s="15">
        <v>72.36</v>
      </c>
      <c r="BJ76" s="15">
        <v>8.64</v>
      </c>
      <c r="BK76" s="15">
        <v>18.2</v>
      </c>
      <c r="BL76" s="15">
        <v>2.75</v>
      </c>
      <c r="BM76" s="15">
        <v>1</v>
      </c>
      <c r="BN76" s="15">
        <v>27.7</v>
      </c>
      <c r="BO76" s="15"/>
      <c r="BP76" s="15"/>
      <c r="BQ76" s="15">
        <f>Table2[[#This Row],[H% B]]/Table2[[#This Row],[C% B]]*100</f>
        <v>11.940298507462687</v>
      </c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>
        <v>67.930000000000007</v>
      </c>
      <c r="CG76" s="15">
        <v>7.75</v>
      </c>
      <c r="CH76" s="15">
        <v>9.3000000000000007</v>
      </c>
      <c r="CI76" s="15">
        <v>2.65</v>
      </c>
      <c r="CJ76" s="15">
        <v>0.93</v>
      </c>
      <c r="CK76" s="15">
        <v>33.6</v>
      </c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>
        <v>0</v>
      </c>
    </row>
    <row r="77" spans="1:106" x14ac:dyDescent="0.25">
      <c r="A77" t="s">
        <v>175</v>
      </c>
      <c r="B77" t="s">
        <v>176</v>
      </c>
      <c r="C77">
        <v>2013</v>
      </c>
      <c r="D77" s="16" t="s">
        <v>177</v>
      </c>
      <c r="E77">
        <v>0</v>
      </c>
      <c r="F77" s="15">
        <v>39.0625</v>
      </c>
      <c r="G77" s="15"/>
      <c r="H77" s="15"/>
      <c r="I77" s="15">
        <v>43.797348484848484</v>
      </c>
      <c r="J77" s="15">
        <v>14.204545454545453</v>
      </c>
      <c r="K77" s="15"/>
      <c r="L77" s="15">
        <f>IF(Table2[[#This Row],[Lipids wt%]]+Table2[[#This Row],[Protein wt%]]+Table2[[#This Row],[Carbs wt%]] =0,"",SUM(Table2[[#This Row],[Lipids wt%]],Table2[[#This Row],[Protein wt%]],Table2[[#This Row],[Carbs wt%]]))</f>
        <v>97.064393939393938</v>
      </c>
      <c r="M77" s="15">
        <v>2.48</v>
      </c>
      <c r="P77">
        <v>4.95</v>
      </c>
      <c r="Q77">
        <v>5.81</v>
      </c>
      <c r="R77">
        <v>86.76</v>
      </c>
      <c r="S77">
        <v>39.6</v>
      </c>
      <c r="T77">
        <v>24.5</v>
      </c>
      <c r="Z77" s="15">
        <v>55.16</v>
      </c>
      <c r="AA77" s="15">
        <v>6.87</v>
      </c>
      <c r="AB77" s="15">
        <v>33.97</v>
      </c>
      <c r="AC77" s="15">
        <v>2.73</v>
      </c>
      <c r="AD77" s="15">
        <v>1.27</v>
      </c>
      <c r="AE77" s="15"/>
      <c r="AF77" s="15">
        <v>25.4</v>
      </c>
      <c r="AG77" s="15">
        <v>0.4</v>
      </c>
      <c r="AH77" s="15">
        <v>50</v>
      </c>
      <c r="AI77" s="15">
        <v>150</v>
      </c>
      <c r="AJ77" s="15">
        <f>Table2[[#This Row],[Solids (g)]]/(Table2[[#This Row],[Solids (g)]]+Table2[[#This Row],[Water mL]])*100</f>
        <v>25</v>
      </c>
      <c r="AK77">
        <v>17.5</v>
      </c>
      <c r="AL77">
        <v>6</v>
      </c>
      <c r="AM77" s="13">
        <v>7.1612899999999993E-2</v>
      </c>
      <c r="AO77" s="15"/>
      <c r="AP77" s="15">
        <f>LN(25/Table2[[#This Row],[Temperature (C)]]/(1-SQRT((Table2[[#This Row],[Temperature (C)]]-5)/Table2[[#This Row],[Temperature (C)]])))/Table2[[#This Row],[b]]</f>
        <v>32.103076100601278</v>
      </c>
      <c r="AQ77" s="15">
        <f>IF(Table2[[#This Row],[b]]&lt;&gt;"",Table2[[#This Row],[T-5]], 0)</f>
        <v>32.103076100601278</v>
      </c>
      <c r="AR77">
        <f>Table2[[#This Row],[Heating time]]+Table2[[#This Row],[Holding Time (min)]]</f>
        <v>32.103076100601278</v>
      </c>
      <c r="AT77" t="s">
        <v>503</v>
      </c>
      <c r="AU77">
        <v>350</v>
      </c>
      <c r="AV77" s="15">
        <f>17/Table2[[#This Row],[Biocrude wt%]]*14</f>
        <v>7</v>
      </c>
      <c r="AW77" s="15">
        <v>34</v>
      </c>
      <c r="AX77" s="15"/>
      <c r="AY77" s="15"/>
      <c r="AZ77" s="15"/>
      <c r="BA77" s="15">
        <f>100-Table2[[#This Row],[Solids wt%]]-Table2[[#This Row],[Biocrude wt%]]</f>
        <v>59</v>
      </c>
      <c r="BB77" s="15" t="str">
        <f>IF(OR(Table2[[#This Row],[Gas wt%]]&lt;&gt;"",Table2[[#This Row],[Loss]]&lt;&gt;""),Table2[[#This Row],[Gas wt%]]+Table2[[#This Row],[Loss]],"")</f>
        <v/>
      </c>
      <c r="BC77" s="15"/>
      <c r="BD77" s="15"/>
      <c r="BE77" s="15"/>
      <c r="BF77" s="15"/>
      <c r="BG77" s="15"/>
      <c r="BH77" s="15">
        <f>100-Table2[[#This Row],[Solids wt%]]-Table2[[#This Row],[Biocrude wt%]]</f>
        <v>59</v>
      </c>
      <c r="BI77" s="15">
        <v>77.2</v>
      </c>
      <c r="BJ77" s="15">
        <v>9.01</v>
      </c>
      <c r="BK77" s="15">
        <v>8.7100000000000009</v>
      </c>
      <c r="BL77" s="15">
        <v>2.75</v>
      </c>
      <c r="BM77" s="15">
        <v>1</v>
      </c>
      <c r="BN77" s="15">
        <v>38.1</v>
      </c>
      <c r="BO77" s="15"/>
      <c r="BP77" s="15"/>
      <c r="BQ77" s="15">
        <f>Table2[[#This Row],[H% B]]/Table2[[#This Row],[C% B]]*100</f>
        <v>11.670984455958548</v>
      </c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>
        <v>67.650000000000006</v>
      </c>
      <c r="CG77" s="15">
        <v>7.26</v>
      </c>
      <c r="CH77" s="15">
        <v>10.57</v>
      </c>
      <c r="CI77" s="15">
        <v>2.63</v>
      </c>
      <c r="CJ77" s="15">
        <v>1.76</v>
      </c>
      <c r="CK77" s="15">
        <v>32.5</v>
      </c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>
        <v>0</v>
      </c>
    </row>
    <row r="78" spans="1:106" x14ac:dyDescent="0.25">
      <c r="A78" t="s">
        <v>186</v>
      </c>
      <c r="B78" t="s">
        <v>187</v>
      </c>
      <c r="C78">
        <v>2014</v>
      </c>
      <c r="D78" s="16" t="s">
        <v>188</v>
      </c>
      <c r="E78">
        <v>0</v>
      </c>
      <c r="F78" s="15">
        <v>11</v>
      </c>
      <c r="G78" s="15"/>
      <c r="H78" s="15"/>
      <c r="I78" s="15">
        <v>53</v>
      </c>
      <c r="J78" s="15">
        <v>18</v>
      </c>
      <c r="K78" s="15"/>
      <c r="L78" s="15">
        <f>IF(Table2[[#This Row],[Lipids wt%]]+Table2[[#This Row],[Protein wt%]]+Table2[[#This Row],[Carbs wt%]] =0,"",SUM(Table2[[#This Row],[Lipids wt%]],Table2[[#This Row],[Protein wt%]],Table2[[#This Row],[Carbs wt%]]))</f>
        <v>82</v>
      </c>
      <c r="M78" s="15">
        <f>100-Table2[[#This Row],[Lipids wt%]]-Table2[[#This Row],[Protein wt%]]-Table2[[#This Row],[Carbs wt%]]</f>
        <v>18</v>
      </c>
      <c r="Z78" s="15">
        <v>44</v>
      </c>
      <c r="AA78" s="15">
        <v>6.8</v>
      </c>
      <c r="AB78" s="15">
        <v>39.700000000000003</v>
      </c>
      <c r="AC78" s="15">
        <v>9</v>
      </c>
      <c r="AD78" s="15">
        <v>0.5</v>
      </c>
      <c r="AE78" s="15"/>
      <c r="AF78" s="15">
        <v>19.2</v>
      </c>
      <c r="AG78" s="15">
        <v>1</v>
      </c>
      <c r="AH78" s="15"/>
      <c r="AI78" s="15"/>
      <c r="AJ78" s="15">
        <v>16</v>
      </c>
      <c r="AM78" s="13"/>
      <c r="AO78" s="15">
        <v>5</v>
      </c>
      <c r="AP78" s="15" t="e">
        <f>LN(25/Table2[[#This Row],[Temperature (C)]]/(1-SQRT((Table2[[#This Row],[Temperature (C)]]-5)/Table2[[#This Row],[Temperature (C)]])))/Table2[[#This Row],[b]]</f>
        <v>#DIV/0!</v>
      </c>
      <c r="AQ78" s="15">
        <f>IF(Table2[[#This Row],[b]]&lt;&gt;"",Table2[[#This Row],[T-5]], 0)</f>
        <v>0</v>
      </c>
      <c r="AT78" t="s">
        <v>503</v>
      </c>
      <c r="AU78">
        <v>300</v>
      </c>
      <c r="AV78" s="15">
        <v>18</v>
      </c>
      <c r="AW78" s="15">
        <v>36</v>
      </c>
      <c r="AX78" s="15">
        <v>27</v>
      </c>
      <c r="AY78" s="15">
        <v>19</v>
      </c>
      <c r="AZ78" s="15"/>
      <c r="BA78" s="15"/>
      <c r="BB78" s="15">
        <f>IF(OR(Table2[[#This Row],[Gas wt%]]&lt;&gt;"",Table2[[#This Row],[Loss]]&lt;&gt;""),Table2[[#This Row],[Gas wt%]]+Table2[[#This Row],[Loss]],"")</f>
        <v>19</v>
      </c>
      <c r="BC78" s="15"/>
      <c r="BD78" s="15"/>
      <c r="BE78" s="15"/>
      <c r="BF78" s="15"/>
      <c r="BG78" s="15"/>
      <c r="BH78" s="15">
        <f>100-Table2[[#This Row],[Solids wt%]]-Table2[[#This Row],[Biocrude wt%]]</f>
        <v>46</v>
      </c>
      <c r="BI78" s="15">
        <v>70.5</v>
      </c>
      <c r="BJ78" s="15">
        <v>10.1</v>
      </c>
      <c r="BK78" s="15">
        <v>12.9</v>
      </c>
      <c r="BL78" s="15">
        <v>5.4</v>
      </c>
      <c r="BM78" s="15">
        <v>1.1000000000000001</v>
      </c>
      <c r="BN78" s="15">
        <v>35.299999999999997</v>
      </c>
      <c r="BO78" s="15"/>
      <c r="BP78" s="15"/>
      <c r="BQ78" s="15">
        <f>Table2[[#This Row],[H% B]]/Table2[[#This Row],[C% B]]*100</f>
        <v>14.326241134751772</v>
      </c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>
        <v>0</v>
      </c>
    </row>
    <row r="79" spans="1:106" x14ac:dyDescent="0.25">
      <c r="A79" t="s">
        <v>186</v>
      </c>
      <c r="B79" t="s">
        <v>187</v>
      </c>
      <c r="C79">
        <v>2014</v>
      </c>
      <c r="D79" s="16" t="s">
        <v>188</v>
      </c>
      <c r="E79">
        <v>0</v>
      </c>
      <c r="F79" s="15">
        <v>11</v>
      </c>
      <c r="G79" s="15"/>
      <c r="H79" s="15"/>
      <c r="I79" s="15">
        <v>53</v>
      </c>
      <c r="J79" s="15">
        <v>18</v>
      </c>
      <c r="K79" s="15"/>
      <c r="L79" s="15">
        <f>IF(Table2[[#This Row],[Lipids wt%]]+Table2[[#This Row],[Protein wt%]]+Table2[[#This Row],[Carbs wt%]] =0,"",SUM(Table2[[#This Row],[Lipids wt%]],Table2[[#This Row],[Protein wt%]],Table2[[#This Row],[Carbs wt%]]))</f>
        <v>82</v>
      </c>
      <c r="M79" s="15">
        <f>100-Table2[[#This Row],[Lipids wt%]]-Table2[[#This Row],[Protein wt%]]-Table2[[#This Row],[Carbs wt%]]</f>
        <v>18</v>
      </c>
      <c r="Z79" s="15">
        <v>44</v>
      </c>
      <c r="AA79" s="15">
        <v>6.8</v>
      </c>
      <c r="AB79" s="15">
        <v>39.700000000000003</v>
      </c>
      <c r="AC79" s="15">
        <v>9</v>
      </c>
      <c r="AD79" s="15">
        <v>0.5</v>
      </c>
      <c r="AE79" s="15"/>
      <c r="AF79" s="15">
        <v>19.2</v>
      </c>
      <c r="AG79" s="15">
        <v>1</v>
      </c>
      <c r="AH79" s="15"/>
      <c r="AI79" s="15"/>
      <c r="AJ79" s="15">
        <v>16</v>
      </c>
      <c r="AM79" s="13"/>
      <c r="AO79" s="15">
        <v>5</v>
      </c>
      <c r="AP79" s="15" t="e">
        <f>LN(25/Table2[[#This Row],[Temperature (C)]]/(1-SQRT((Table2[[#This Row],[Temperature (C)]]-5)/Table2[[#This Row],[Temperature (C)]])))/Table2[[#This Row],[b]]</f>
        <v>#DIV/0!</v>
      </c>
      <c r="AQ79" s="15">
        <f>IF(Table2[[#This Row],[b]]&lt;&gt;"",Table2[[#This Row],[T-5]], 0)</f>
        <v>0</v>
      </c>
      <c r="AT79" t="s">
        <v>503</v>
      </c>
      <c r="AU79">
        <v>350</v>
      </c>
      <c r="AV79" s="15">
        <v>12</v>
      </c>
      <c r="AW79" s="15">
        <v>42</v>
      </c>
      <c r="AX79" s="15">
        <v>16</v>
      </c>
      <c r="AY79" s="15">
        <v>30</v>
      </c>
      <c r="AZ79" s="15"/>
      <c r="BA79" s="15"/>
      <c r="BB79" s="15">
        <f>IF(OR(Table2[[#This Row],[Gas wt%]]&lt;&gt;"",Table2[[#This Row],[Loss]]&lt;&gt;""),Table2[[#This Row],[Gas wt%]]+Table2[[#This Row],[Loss]],"")</f>
        <v>30</v>
      </c>
      <c r="BC79" s="15"/>
      <c r="BD79" s="15"/>
      <c r="BE79" s="15"/>
      <c r="BF79" s="15"/>
      <c r="BG79" s="15"/>
      <c r="BH79" s="15">
        <f>100-Table2[[#This Row],[Solids wt%]]-Table2[[#This Row],[Biocrude wt%]]</f>
        <v>46</v>
      </c>
      <c r="BI79" s="15">
        <v>74.5</v>
      </c>
      <c r="BJ79" s="15">
        <v>9.6999999999999993</v>
      </c>
      <c r="BK79" s="15">
        <v>7.9</v>
      </c>
      <c r="BL79" s="15">
        <v>6.9</v>
      </c>
      <c r="BM79" s="15">
        <v>1</v>
      </c>
      <c r="BN79" s="15">
        <v>36.700000000000003</v>
      </c>
      <c r="BO79" s="15"/>
      <c r="BP79" s="15"/>
      <c r="BQ79" s="15">
        <f>Table2[[#This Row],[H% B]]/Table2[[#This Row],[C% B]]*100</f>
        <v>13.020134228187919</v>
      </c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>
        <v>0</v>
      </c>
    </row>
    <row r="80" spans="1:106" x14ac:dyDescent="0.25">
      <c r="A80" t="s">
        <v>186</v>
      </c>
      <c r="B80" t="s">
        <v>187</v>
      </c>
      <c r="C80">
        <v>2014</v>
      </c>
      <c r="D80" s="16" t="s">
        <v>189</v>
      </c>
      <c r="E80">
        <v>0</v>
      </c>
      <c r="F80" s="15">
        <v>22</v>
      </c>
      <c r="G80" s="15"/>
      <c r="H80" s="15"/>
      <c r="I80" s="15">
        <v>58</v>
      </c>
      <c r="J80" s="15">
        <v>14</v>
      </c>
      <c r="K80" s="15"/>
      <c r="L80" s="15">
        <f>IF(Table2[[#This Row],[Lipids wt%]]+Table2[[#This Row],[Protein wt%]]+Table2[[#This Row],[Carbs wt%]] =0,"",SUM(Table2[[#This Row],[Lipids wt%]],Table2[[#This Row],[Protein wt%]],Table2[[#This Row],[Carbs wt%]]))</f>
        <v>94</v>
      </c>
      <c r="M80" s="15">
        <f>100-Table2[[#This Row],[Lipids wt%]]-Table2[[#This Row],[Protein wt%]]-Table2[[#This Row],[Carbs wt%]]</f>
        <v>6</v>
      </c>
      <c r="Z80" s="15">
        <v>42</v>
      </c>
      <c r="AA80" s="15">
        <v>6.5</v>
      </c>
      <c r="AB80" s="15">
        <v>40.5</v>
      </c>
      <c r="AC80" s="15">
        <v>8</v>
      </c>
      <c r="AD80" s="15">
        <v>3</v>
      </c>
      <c r="AE80" s="15"/>
      <c r="AF80" s="15">
        <v>18.3</v>
      </c>
      <c r="AG80" s="15">
        <v>1</v>
      </c>
      <c r="AH80" s="15"/>
      <c r="AI80" s="15"/>
      <c r="AJ80" s="15">
        <v>16</v>
      </c>
      <c r="AM80" s="13"/>
      <c r="AO80" s="15">
        <v>5</v>
      </c>
      <c r="AP80" s="15" t="e">
        <f>LN(25/Table2[[#This Row],[Temperature (C)]]/(1-SQRT((Table2[[#This Row],[Temperature (C)]]-5)/Table2[[#This Row],[Temperature (C)]])))/Table2[[#This Row],[b]]</f>
        <v>#DIV/0!</v>
      </c>
      <c r="AQ80" s="15">
        <f>IF(Table2[[#This Row],[b]]&lt;&gt;"",Table2[[#This Row],[T-5]], 0)</f>
        <v>0</v>
      </c>
      <c r="AT80" t="s">
        <v>503</v>
      </c>
      <c r="AU80">
        <v>300</v>
      </c>
      <c r="AV80" s="15">
        <v>24</v>
      </c>
      <c r="AW80" s="15">
        <v>34</v>
      </c>
      <c r="AX80" s="15">
        <v>30</v>
      </c>
      <c r="AY80" s="15">
        <v>12</v>
      </c>
      <c r="AZ80" s="15"/>
      <c r="BA80" s="15"/>
      <c r="BB80" s="15">
        <f>IF(OR(Table2[[#This Row],[Gas wt%]]&lt;&gt;"",Table2[[#This Row],[Loss]]&lt;&gt;""),Table2[[#This Row],[Gas wt%]]+Table2[[#This Row],[Loss]],"")</f>
        <v>12</v>
      </c>
      <c r="BC80" s="15"/>
      <c r="BD80" s="15"/>
      <c r="BE80" s="15"/>
      <c r="BF80" s="15"/>
      <c r="BG80" s="15"/>
      <c r="BH80" s="15">
        <f>100-Table2[[#This Row],[Solids wt%]]-Table2[[#This Row],[Biocrude wt%]]</f>
        <v>42</v>
      </c>
      <c r="BI80" s="15">
        <v>68.5</v>
      </c>
      <c r="BJ80" s="15">
        <v>8.4</v>
      </c>
      <c r="BK80" s="15">
        <v>17.3</v>
      </c>
      <c r="BL80" s="15">
        <v>4.7</v>
      </c>
      <c r="BM80" s="15">
        <v>1.1000000000000001</v>
      </c>
      <c r="BN80" s="15">
        <v>32.1</v>
      </c>
      <c r="BO80" s="15"/>
      <c r="BP80" s="15"/>
      <c r="BQ80" s="15">
        <f>Table2[[#This Row],[H% B]]/Table2[[#This Row],[C% B]]*100</f>
        <v>12.262773722627736</v>
      </c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>
        <v>0</v>
      </c>
    </row>
    <row r="81" spans="1:106" x14ac:dyDescent="0.25">
      <c r="A81" t="s">
        <v>186</v>
      </c>
      <c r="B81" t="s">
        <v>187</v>
      </c>
      <c r="C81">
        <v>2014</v>
      </c>
      <c r="D81" s="16" t="s">
        <v>189</v>
      </c>
      <c r="E81">
        <v>0</v>
      </c>
      <c r="F81" s="15">
        <v>22</v>
      </c>
      <c r="G81" s="15"/>
      <c r="H81" s="15"/>
      <c r="I81" s="15">
        <v>58</v>
      </c>
      <c r="J81" s="15">
        <v>14</v>
      </c>
      <c r="K81" s="15"/>
      <c r="L81" s="15">
        <f>IF(Table2[[#This Row],[Lipids wt%]]+Table2[[#This Row],[Protein wt%]]+Table2[[#This Row],[Carbs wt%]] =0,"",SUM(Table2[[#This Row],[Lipids wt%]],Table2[[#This Row],[Protein wt%]],Table2[[#This Row],[Carbs wt%]]))</f>
        <v>94</v>
      </c>
      <c r="M81" s="15">
        <f>100-Table2[[#This Row],[Lipids wt%]]-Table2[[#This Row],[Protein wt%]]-Table2[[#This Row],[Carbs wt%]]</f>
        <v>6</v>
      </c>
      <c r="Z81" s="15">
        <v>42</v>
      </c>
      <c r="AA81" s="15">
        <v>6.5</v>
      </c>
      <c r="AB81" s="15">
        <v>40.5</v>
      </c>
      <c r="AC81" s="15">
        <v>8</v>
      </c>
      <c r="AD81" s="15">
        <v>3</v>
      </c>
      <c r="AE81" s="15"/>
      <c r="AF81" s="15">
        <v>18.3</v>
      </c>
      <c r="AG81" s="15">
        <v>1</v>
      </c>
      <c r="AH81" s="15"/>
      <c r="AI81" s="15"/>
      <c r="AJ81" s="15">
        <v>16</v>
      </c>
      <c r="AM81" s="13"/>
      <c r="AO81" s="15">
        <v>5</v>
      </c>
      <c r="AP81" s="15" t="e">
        <f>LN(25/Table2[[#This Row],[Temperature (C)]]/(1-SQRT((Table2[[#This Row],[Temperature (C)]]-5)/Table2[[#This Row],[Temperature (C)]])))/Table2[[#This Row],[b]]</f>
        <v>#DIV/0!</v>
      </c>
      <c r="AQ81" s="15">
        <f>IF(Table2[[#This Row],[b]]&lt;&gt;"",Table2[[#This Row],[T-5]], 0)</f>
        <v>0</v>
      </c>
      <c r="AT81" t="s">
        <v>503</v>
      </c>
      <c r="AU81">
        <v>350</v>
      </c>
      <c r="AV81" s="15">
        <v>14</v>
      </c>
      <c r="AW81" s="15">
        <v>58</v>
      </c>
      <c r="AX81" s="15">
        <v>12</v>
      </c>
      <c r="AY81" s="15">
        <v>14</v>
      </c>
      <c r="AZ81" s="15"/>
      <c r="BA81" s="15"/>
      <c r="BB81" s="15">
        <f>IF(OR(Table2[[#This Row],[Gas wt%]]&lt;&gt;"",Table2[[#This Row],[Loss]]&lt;&gt;""),Table2[[#This Row],[Gas wt%]]+Table2[[#This Row],[Loss]],"")</f>
        <v>14</v>
      </c>
      <c r="BC81" s="15"/>
      <c r="BD81" s="15"/>
      <c r="BE81" s="15"/>
      <c r="BF81" s="15"/>
      <c r="BG81" s="15"/>
      <c r="BH81" s="15"/>
      <c r="BI81" s="15">
        <v>71.400000000000006</v>
      </c>
      <c r="BJ81" s="15">
        <v>9.5</v>
      </c>
      <c r="BK81" s="15">
        <v>12.5</v>
      </c>
      <c r="BL81" s="15">
        <v>5.7</v>
      </c>
      <c r="BM81" s="15">
        <v>0.9</v>
      </c>
      <c r="BN81" s="15">
        <v>34.9</v>
      </c>
      <c r="BO81" s="15"/>
      <c r="BP81" s="15"/>
      <c r="BQ81" s="15">
        <f>Table2[[#This Row],[H% B]]/Table2[[#This Row],[C% B]]*100</f>
        <v>13.305322128851541</v>
      </c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>
        <v>0</v>
      </c>
    </row>
    <row r="82" spans="1:106" x14ac:dyDescent="0.25">
      <c r="A82" t="s">
        <v>191</v>
      </c>
      <c r="B82" t="s">
        <v>192</v>
      </c>
      <c r="C82">
        <v>2015</v>
      </c>
      <c r="D82" s="16" t="s">
        <v>190</v>
      </c>
      <c r="E82">
        <v>0</v>
      </c>
      <c r="F82" s="15">
        <v>22.322623828647927</v>
      </c>
      <c r="G82" s="15"/>
      <c r="H82" s="15"/>
      <c r="I82" s="15">
        <v>59.89513609995538</v>
      </c>
      <c r="J82" s="15">
        <v>8.7349397590361448</v>
      </c>
      <c r="K82" s="15"/>
      <c r="L82" s="15">
        <f>IF(Table2[[#This Row],[Lipids wt%]]+Table2[[#This Row],[Protein wt%]]+Table2[[#This Row],[Carbs wt%]] =0,"",SUM(Table2[[#This Row],[Lipids wt%]],Table2[[#This Row],[Protein wt%]],Table2[[#This Row],[Carbs wt%]]))</f>
        <v>90.952699687639438</v>
      </c>
      <c r="M82" s="15">
        <v>8.11</v>
      </c>
      <c r="P82">
        <v>4.3099999999999996</v>
      </c>
      <c r="Z82" s="15">
        <v>49.05</v>
      </c>
      <c r="AA82" s="15">
        <v>6.41</v>
      </c>
      <c r="AB82" s="15">
        <v>27.02</v>
      </c>
      <c r="AC82" s="15">
        <v>8.59</v>
      </c>
      <c r="AD82" s="15">
        <v>0.82</v>
      </c>
      <c r="AE82" s="15">
        <v>0.14000000000000001</v>
      </c>
      <c r="AF82" s="15">
        <f>(33.5*Table2[[#This Row],[C%]]+142.3*Table2[[#This Row],[H%]]-15.4*Table2[[#This Row],[O%]]-14.5*Table2[[#This Row],[N%]])/100</f>
        <v>20.146550000000001</v>
      </c>
      <c r="AG82" s="15">
        <v>4.1000000000000003E-3</v>
      </c>
      <c r="AH82" s="15"/>
      <c r="AI82" s="15"/>
      <c r="AJ82" s="15">
        <v>10</v>
      </c>
      <c r="AM82" s="13">
        <v>2.3208199999999999</v>
      </c>
      <c r="AN82">
        <v>2</v>
      </c>
      <c r="AO82" s="15">
        <v>60</v>
      </c>
      <c r="AP82" s="15">
        <f>LN(25/Table2[[#This Row],[Temperature (C)]]/(1-SQRT((Table2[[#This Row],[Temperature (C)]]-5)/Table2[[#This Row],[Temperature (C)]])))/Table2[[#This Row],[b]]</f>
        <v>0.98967357637939435</v>
      </c>
      <c r="AQ82" s="15">
        <f>IF(Table2[[#This Row],[b]]&lt;&gt;"",Table2[[#This Row],[T-5]], 0)</f>
        <v>0.98967357637939435</v>
      </c>
      <c r="AR82">
        <f>Table2[[#This Row],[Heating time]]+Table2[[#This Row],[Holding Time (min)]]</f>
        <v>60.989673576379396</v>
      </c>
      <c r="AT82" t="s">
        <v>503</v>
      </c>
      <c r="AU82">
        <v>220</v>
      </c>
      <c r="AV82" s="15"/>
      <c r="AW82" s="15">
        <v>10.9744779582366</v>
      </c>
      <c r="AX82" s="15"/>
      <c r="AY82" s="15"/>
      <c r="AZ82" s="15"/>
      <c r="BA82" s="15"/>
      <c r="BB82" s="15" t="str">
        <f>IF(OR(Table2[[#This Row],[Gas wt%]]&lt;&gt;"",Table2[[#This Row],[Loss]]&lt;&gt;""),Table2[[#This Row],[Gas wt%]]+Table2[[#This Row],[Loss]],"")</f>
        <v/>
      </c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>
        <v>0</v>
      </c>
    </row>
    <row r="83" spans="1:106" x14ac:dyDescent="0.25">
      <c r="A83" t="s">
        <v>191</v>
      </c>
      <c r="B83" t="s">
        <v>192</v>
      </c>
      <c r="C83">
        <v>2015</v>
      </c>
      <c r="D83" s="16" t="s">
        <v>190</v>
      </c>
      <c r="E83">
        <v>0</v>
      </c>
      <c r="F83" s="15">
        <v>22.322623828647927</v>
      </c>
      <c r="G83" s="15"/>
      <c r="H83" s="15"/>
      <c r="I83" s="15">
        <v>59.89513609995538</v>
      </c>
      <c r="J83" s="15">
        <v>8.7349397590361448</v>
      </c>
      <c r="K83" s="15"/>
      <c r="L83" s="15">
        <f>IF(Table2[[#This Row],[Lipids wt%]]+Table2[[#This Row],[Protein wt%]]+Table2[[#This Row],[Carbs wt%]] =0,"",SUM(Table2[[#This Row],[Lipids wt%]],Table2[[#This Row],[Protein wt%]],Table2[[#This Row],[Carbs wt%]]))</f>
        <v>90.952699687639438</v>
      </c>
      <c r="M83" s="15">
        <v>8.11</v>
      </c>
      <c r="P83">
        <v>4.3099999999999996</v>
      </c>
      <c r="Z83" s="15">
        <v>49.05</v>
      </c>
      <c r="AA83" s="15">
        <v>6.41</v>
      </c>
      <c r="AB83" s="15">
        <v>27.02</v>
      </c>
      <c r="AC83" s="15">
        <v>8.59</v>
      </c>
      <c r="AD83" s="15">
        <v>0.82</v>
      </c>
      <c r="AE83" s="15">
        <v>0.14000000000000001</v>
      </c>
      <c r="AF83" s="15">
        <f>(33.5*Table2[[#This Row],[C%]]+142.3*Table2[[#This Row],[H%]]-15.4*Table2[[#This Row],[O%]]-14.5*Table2[[#This Row],[N%]])/100</f>
        <v>20.146550000000001</v>
      </c>
      <c r="AG83" s="15">
        <v>4.1000000000000003E-3</v>
      </c>
      <c r="AH83" s="15"/>
      <c r="AI83" s="15"/>
      <c r="AJ83" s="15">
        <v>10</v>
      </c>
      <c r="AM83" s="13">
        <v>2.3208199999999999</v>
      </c>
      <c r="AN83">
        <v>2</v>
      </c>
      <c r="AO83" s="15">
        <v>60</v>
      </c>
      <c r="AP83" s="15">
        <f>LN(25/Table2[[#This Row],[Temperature (C)]]/(1-SQRT((Table2[[#This Row],[Temperature (C)]]-5)/Table2[[#This Row],[Temperature (C)]])))/Table2[[#This Row],[b]]</f>
        <v>0.98997215241968828</v>
      </c>
      <c r="AQ83" s="15">
        <f>IF(Table2[[#This Row],[b]]&lt;&gt;"",Table2[[#This Row],[T-5]], 0)</f>
        <v>0.98997215241968828</v>
      </c>
      <c r="AR83">
        <f>Table2[[#This Row],[Heating time]]+Table2[[#This Row],[Holding Time (min)]]</f>
        <v>60.989972152419689</v>
      </c>
      <c r="AT83" t="s">
        <v>503</v>
      </c>
      <c r="AU83">
        <v>250</v>
      </c>
      <c r="AV83" s="15"/>
      <c r="AW83" s="15">
        <v>21.3457076566125</v>
      </c>
      <c r="AX83" s="15"/>
      <c r="AY83" s="15"/>
      <c r="AZ83" s="15"/>
      <c r="BA83" s="15"/>
      <c r="BB83" s="15" t="str">
        <f>IF(OR(Table2[[#This Row],[Gas wt%]]&lt;&gt;"",Table2[[#This Row],[Loss]]&lt;&gt;""),Table2[[#This Row],[Gas wt%]]+Table2[[#This Row],[Loss]],"")</f>
        <v/>
      </c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>
        <v>0</v>
      </c>
    </row>
    <row r="84" spans="1:106" x14ac:dyDescent="0.25">
      <c r="A84" t="s">
        <v>191</v>
      </c>
      <c r="B84" t="s">
        <v>192</v>
      </c>
      <c r="C84">
        <v>2015</v>
      </c>
      <c r="D84" s="16" t="s">
        <v>190</v>
      </c>
      <c r="E84">
        <v>0</v>
      </c>
      <c r="F84" s="15">
        <v>22.322623828647927</v>
      </c>
      <c r="G84" s="15"/>
      <c r="H84" s="15"/>
      <c r="I84" s="15">
        <v>59.89513609995538</v>
      </c>
      <c r="J84" s="15">
        <v>8.7349397590361448</v>
      </c>
      <c r="K84" s="15"/>
      <c r="L84" s="15">
        <f>IF(Table2[[#This Row],[Lipids wt%]]+Table2[[#This Row],[Protein wt%]]+Table2[[#This Row],[Carbs wt%]] =0,"",SUM(Table2[[#This Row],[Lipids wt%]],Table2[[#This Row],[Protein wt%]],Table2[[#This Row],[Carbs wt%]]))</f>
        <v>90.952699687639438</v>
      </c>
      <c r="M84" s="15">
        <v>8.11</v>
      </c>
      <c r="P84">
        <v>4.3099999999999996</v>
      </c>
      <c r="Z84" s="15">
        <v>49.05</v>
      </c>
      <c r="AA84" s="15">
        <v>6.41</v>
      </c>
      <c r="AB84" s="15">
        <v>27.02</v>
      </c>
      <c r="AC84" s="15">
        <v>8.59</v>
      </c>
      <c r="AD84" s="15">
        <v>0.82</v>
      </c>
      <c r="AE84" s="15">
        <v>0.14000000000000001</v>
      </c>
      <c r="AF84" s="15">
        <f>(33.5*Table2[[#This Row],[C%]]+142.3*Table2[[#This Row],[H%]]-15.4*Table2[[#This Row],[O%]]-14.5*Table2[[#This Row],[N%]])/100</f>
        <v>20.146550000000001</v>
      </c>
      <c r="AG84" s="15">
        <v>4.1000000000000003E-3</v>
      </c>
      <c r="AH84" s="15"/>
      <c r="AI84" s="15"/>
      <c r="AJ84" s="15">
        <v>10</v>
      </c>
      <c r="AM84" s="13">
        <v>2.3208199999999999</v>
      </c>
      <c r="AN84">
        <v>2</v>
      </c>
      <c r="AO84" s="15">
        <v>60</v>
      </c>
      <c r="AP84" s="15">
        <f>LN(25/Table2[[#This Row],[Temperature (C)]]/(1-SQRT((Table2[[#This Row],[Temperature (C)]]-5)/Table2[[#This Row],[Temperature (C)]])))/Table2[[#This Row],[b]]</f>
        <v>0.99020631174044438</v>
      </c>
      <c r="AQ84" s="15">
        <f>IF(Table2[[#This Row],[b]]&lt;&gt;"",Table2[[#This Row],[T-5]], 0)</f>
        <v>0.99020631174044438</v>
      </c>
      <c r="AR84">
        <f>Table2[[#This Row],[Heating time]]+Table2[[#This Row],[Holding Time (min)]]</f>
        <v>60.990206311740444</v>
      </c>
      <c r="AT84" t="s">
        <v>503</v>
      </c>
      <c r="AU84">
        <v>280</v>
      </c>
      <c r="AV84" s="15"/>
      <c r="AW84" s="15">
        <v>26.426914153132198</v>
      </c>
      <c r="AX84" s="15"/>
      <c r="AY84" s="15"/>
      <c r="AZ84" s="15"/>
      <c r="BA84" s="15"/>
      <c r="BB84" s="15" t="str">
        <f>IF(OR(Table2[[#This Row],[Gas wt%]]&lt;&gt;"",Table2[[#This Row],[Loss]]&lt;&gt;""),Table2[[#This Row],[Gas wt%]]+Table2[[#This Row],[Loss]],"")</f>
        <v/>
      </c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>
        <v>0</v>
      </c>
    </row>
    <row r="85" spans="1:106" x14ac:dyDescent="0.25">
      <c r="A85" t="s">
        <v>191</v>
      </c>
      <c r="B85" t="s">
        <v>192</v>
      </c>
      <c r="C85">
        <v>2015</v>
      </c>
      <c r="D85" s="16" t="s">
        <v>190</v>
      </c>
      <c r="E85">
        <v>0</v>
      </c>
      <c r="F85" s="15">
        <v>22.322623828647927</v>
      </c>
      <c r="G85" s="15"/>
      <c r="H85" s="15"/>
      <c r="I85" s="15">
        <v>59.89513609995538</v>
      </c>
      <c r="J85" s="15">
        <v>8.7349397590361448</v>
      </c>
      <c r="K85" s="15"/>
      <c r="L85" s="15">
        <f>IF(Table2[[#This Row],[Lipids wt%]]+Table2[[#This Row],[Protein wt%]]+Table2[[#This Row],[Carbs wt%]] =0,"",SUM(Table2[[#This Row],[Lipids wt%]],Table2[[#This Row],[Protein wt%]],Table2[[#This Row],[Carbs wt%]]))</f>
        <v>90.952699687639438</v>
      </c>
      <c r="M85" s="15">
        <v>8.11</v>
      </c>
      <c r="P85">
        <v>4.3099999999999996</v>
      </c>
      <c r="Z85" s="15">
        <v>49.05</v>
      </c>
      <c r="AA85" s="15">
        <v>6.41</v>
      </c>
      <c r="AB85" s="15">
        <v>27.02</v>
      </c>
      <c r="AC85" s="15">
        <v>8.59</v>
      </c>
      <c r="AD85" s="15">
        <v>0.82</v>
      </c>
      <c r="AE85" s="15">
        <v>0.14000000000000001</v>
      </c>
      <c r="AF85" s="15">
        <f>(33.5*Table2[[#This Row],[C%]]+142.3*Table2[[#This Row],[H%]]-15.4*Table2[[#This Row],[O%]]-14.5*Table2[[#This Row],[N%]])/100</f>
        <v>20.146550000000001</v>
      </c>
      <c r="AG85" s="15">
        <v>4.1000000000000003E-3</v>
      </c>
      <c r="AH85" s="15"/>
      <c r="AI85" s="15"/>
      <c r="AJ85" s="15">
        <v>10</v>
      </c>
      <c r="AM85" s="13">
        <v>2.3208199999999999</v>
      </c>
      <c r="AN85">
        <v>2</v>
      </c>
      <c r="AO85" s="15">
        <v>60</v>
      </c>
      <c r="AP85" s="15">
        <f>LN(25/Table2[[#This Row],[Temperature (C)]]/(1-SQRT((Table2[[#This Row],[Temperature (C)]]-5)/Table2[[#This Row],[Temperature (C)]])))/Table2[[#This Row],[b]]</f>
        <v>0.99044982121312486</v>
      </c>
      <c r="AQ85" s="15">
        <f>IF(Table2[[#This Row],[b]]&lt;&gt;"",Table2[[#This Row],[T-5]], 0)</f>
        <v>0.99044982121312486</v>
      </c>
      <c r="AR85">
        <f>Table2[[#This Row],[Heating time]]+Table2[[#This Row],[Holding Time (min)]]</f>
        <v>60.990449821213126</v>
      </c>
      <c r="AT85" t="s">
        <v>503</v>
      </c>
      <c r="AU85">
        <v>320</v>
      </c>
      <c r="AV85" s="15"/>
      <c r="AW85" s="15">
        <v>32.412993039443101</v>
      </c>
      <c r="AX85" s="15"/>
      <c r="AY85" s="15"/>
      <c r="AZ85" s="15"/>
      <c r="BA85" s="15"/>
      <c r="BB85" s="15" t="str">
        <f>IF(OR(Table2[[#This Row],[Gas wt%]]&lt;&gt;"",Table2[[#This Row],[Loss]]&lt;&gt;""),Table2[[#This Row],[Gas wt%]]+Table2[[#This Row],[Loss]],"")</f>
        <v/>
      </c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>
        <v>0</v>
      </c>
    </row>
    <row r="86" spans="1:106" x14ac:dyDescent="0.25">
      <c r="A86" t="s">
        <v>191</v>
      </c>
      <c r="B86" t="s">
        <v>192</v>
      </c>
      <c r="C86">
        <v>2015</v>
      </c>
      <c r="D86" s="16" t="s">
        <v>190</v>
      </c>
      <c r="E86">
        <v>0</v>
      </c>
      <c r="F86" s="15">
        <v>22.322623828647927</v>
      </c>
      <c r="G86" s="15"/>
      <c r="H86" s="15"/>
      <c r="I86" s="15">
        <v>59.89513609995538</v>
      </c>
      <c r="J86" s="15">
        <v>8.7349397590361448</v>
      </c>
      <c r="K86" s="15"/>
      <c r="L86" s="15">
        <f>IF(Table2[[#This Row],[Lipids wt%]]+Table2[[#This Row],[Protein wt%]]+Table2[[#This Row],[Carbs wt%]] =0,"",SUM(Table2[[#This Row],[Lipids wt%]],Table2[[#This Row],[Protein wt%]],Table2[[#This Row],[Carbs wt%]]))</f>
        <v>90.952699687639438</v>
      </c>
      <c r="M86" s="15">
        <v>8.11</v>
      </c>
      <c r="P86">
        <v>4.3099999999999996</v>
      </c>
      <c r="Z86" s="15">
        <v>49.05</v>
      </c>
      <c r="AA86" s="15">
        <v>6.41</v>
      </c>
      <c r="AB86" s="15">
        <v>27.02</v>
      </c>
      <c r="AC86" s="15">
        <v>8.59</v>
      </c>
      <c r="AD86" s="15">
        <v>0.82</v>
      </c>
      <c r="AE86" s="15">
        <v>0.14000000000000001</v>
      </c>
      <c r="AF86" s="15">
        <f>(33.5*Table2[[#This Row],[C%]]+142.3*Table2[[#This Row],[H%]]-15.4*Table2[[#This Row],[O%]]-14.5*Table2[[#This Row],[N%]])/100</f>
        <v>20.146550000000001</v>
      </c>
      <c r="AG86" s="15">
        <v>4.1000000000000003E-3</v>
      </c>
      <c r="AH86" s="15"/>
      <c r="AI86" s="15"/>
      <c r="AJ86" s="15">
        <v>10</v>
      </c>
      <c r="AM86" s="13">
        <v>2.3208199999999999</v>
      </c>
      <c r="AN86">
        <v>2</v>
      </c>
      <c r="AO86" s="15">
        <v>60</v>
      </c>
      <c r="AP86" s="15">
        <f>LN(25/Table2[[#This Row],[Temperature (C)]]/(1-SQRT((Table2[[#This Row],[Temperature (C)]]-5)/Table2[[#This Row],[Temperature (C)]])))/Table2[[#This Row],[b]]</f>
        <v>0.99054996962002517</v>
      </c>
      <c r="AQ86" s="15">
        <f>IF(Table2[[#This Row],[b]]&lt;&gt;"",Table2[[#This Row],[T-5]], 0)</f>
        <v>0.99054996962002517</v>
      </c>
      <c r="AR86">
        <f>Table2[[#This Row],[Heating time]]+Table2[[#This Row],[Holding Time (min)]]</f>
        <v>60.990549969620027</v>
      </c>
      <c r="AT86" t="s">
        <v>503</v>
      </c>
      <c r="AU86">
        <v>340</v>
      </c>
      <c r="AV86" s="15"/>
      <c r="AW86" s="15">
        <v>38.538283062645</v>
      </c>
      <c r="AX86" s="15"/>
      <c r="AY86" s="15"/>
      <c r="AZ86" s="15"/>
      <c r="BA86" s="15"/>
      <c r="BB86" s="15" t="str">
        <f>IF(OR(Table2[[#This Row],[Gas wt%]]&lt;&gt;"",Table2[[#This Row],[Loss]]&lt;&gt;""),Table2[[#This Row],[Gas wt%]]+Table2[[#This Row],[Loss]],"")</f>
        <v/>
      </c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>
        <v>0</v>
      </c>
    </row>
    <row r="87" spans="1:106" x14ac:dyDescent="0.25">
      <c r="A87" t="s">
        <v>191</v>
      </c>
      <c r="B87" t="s">
        <v>192</v>
      </c>
      <c r="C87">
        <v>2015</v>
      </c>
      <c r="D87" s="16" t="s">
        <v>190</v>
      </c>
      <c r="E87">
        <v>0</v>
      </c>
      <c r="F87" s="15">
        <v>22.322623828647927</v>
      </c>
      <c r="G87" s="15"/>
      <c r="H87" s="15"/>
      <c r="I87" s="15">
        <v>59.89513609995538</v>
      </c>
      <c r="J87" s="15">
        <v>8.7349397590361448</v>
      </c>
      <c r="K87" s="15"/>
      <c r="L87" s="15">
        <f>IF(Table2[[#This Row],[Lipids wt%]]+Table2[[#This Row],[Protein wt%]]+Table2[[#This Row],[Carbs wt%]] =0,"",SUM(Table2[[#This Row],[Lipids wt%]],Table2[[#This Row],[Protein wt%]],Table2[[#This Row],[Carbs wt%]]))</f>
        <v>90.952699687639438</v>
      </c>
      <c r="M87" s="15">
        <v>8.11</v>
      </c>
      <c r="P87">
        <v>4.3099999999999996</v>
      </c>
      <c r="Z87" s="15">
        <v>49.05</v>
      </c>
      <c r="AA87" s="15">
        <v>6.41</v>
      </c>
      <c r="AB87" s="15">
        <v>27.02</v>
      </c>
      <c r="AC87" s="15">
        <v>8.59</v>
      </c>
      <c r="AD87" s="15">
        <v>0.82</v>
      </c>
      <c r="AE87" s="15">
        <v>0.14000000000000001</v>
      </c>
      <c r="AF87" s="15">
        <f>(33.5*Table2[[#This Row],[C%]]+142.3*Table2[[#This Row],[H%]]-15.4*Table2[[#This Row],[O%]]-14.5*Table2[[#This Row],[N%]])/100</f>
        <v>20.146550000000001</v>
      </c>
      <c r="AG87" s="15">
        <v>4.1000000000000003E-3</v>
      </c>
      <c r="AH87" s="15"/>
      <c r="AI87" s="15"/>
      <c r="AJ87" s="15">
        <v>10</v>
      </c>
      <c r="AM87" s="13">
        <v>2.3208199999999999</v>
      </c>
      <c r="AN87">
        <v>2</v>
      </c>
      <c r="AO87" s="15">
        <v>60</v>
      </c>
      <c r="AP87" s="15">
        <f>LN(25/Table2[[#This Row],[Temperature (C)]]/(1-SQRT((Table2[[#This Row],[Temperature (C)]]-5)/Table2[[#This Row],[Temperature (C)]])))/Table2[[#This Row],[b]]</f>
        <v>0.99063893169464168</v>
      </c>
      <c r="AQ87" s="15">
        <f>IF(Table2[[#This Row],[b]]&lt;&gt;"",Table2[[#This Row],[T-5]], 0)</f>
        <v>0.99063893169464168</v>
      </c>
      <c r="AR87">
        <f>Table2[[#This Row],[Heating time]]+Table2[[#This Row],[Holding Time (min)]]</f>
        <v>60.99063893169464</v>
      </c>
      <c r="AT87" t="s">
        <v>503</v>
      </c>
      <c r="AU87">
        <v>360</v>
      </c>
      <c r="AV87" s="15"/>
      <c r="AW87" s="15">
        <v>34.570765661252899</v>
      </c>
      <c r="AX87" s="15"/>
      <c r="AY87" s="15"/>
      <c r="AZ87" s="15"/>
      <c r="BA87" s="15"/>
      <c r="BB87" s="15" t="str">
        <f>IF(OR(Table2[[#This Row],[Gas wt%]]&lt;&gt;"",Table2[[#This Row],[Loss]]&lt;&gt;""),Table2[[#This Row],[Gas wt%]]+Table2[[#This Row],[Loss]],"")</f>
        <v/>
      </c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>
        <v>0</v>
      </c>
    </row>
    <row r="88" spans="1:106" x14ac:dyDescent="0.25">
      <c r="A88" t="s">
        <v>191</v>
      </c>
      <c r="B88" t="s">
        <v>192</v>
      </c>
      <c r="C88">
        <v>2015</v>
      </c>
      <c r="D88" s="16" t="s">
        <v>190</v>
      </c>
      <c r="E88">
        <v>0</v>
      </c>
      <c r="F88" s="15">
        <v>22.322623828647927</v>
      </c>
      <c r="G88" s="15"/>
      <c r="H88" s="15"/>
      <c r="I88" s="15">
        <v>59.89513609995538</v>
      </c>
      <c r="J88" s="15">
        <v>8.7349397590361448</v>
      </c>
      <c r="K88" s="15"/>
      <c r="L88" s="15">
        <f>IF(Table2[[#This Row],[Lipids wt%]]+Table2[[#This Row],[Protein wt%]]+Table2[[#This Row],[Carbs wt%]] =0,"",SUM(Table2[[#This Row],[Lipids wt%]],Table2[[#This Row],[Protein wt%]],Table2[[#This Row],[Carbs wt%]]))</f>
        <v>90.952699687639438</v>
      </c>
      <c r="M88" s="15">
        <v>8.11</v>
      </c>
      <c r="P88">
        <v>4.3099999999999996</v>
      </c>
      <c r="Z88" s="15">
        <v>49.05</v>
      </c>
      <c r="AA88" s="15">
        <v>6.41</v>
      </c>
      <c r="AB88" s="15">
        <v>27.02</v>
      </c>
      <c r="AC88" s="15">
        <v>8.59</v>
      </c>
      <c r="AD88" s="15">
        <v>0.82</v>
      </c>
      <c r="AE88" s="15">
        <v>0.14000000000000001</v>
      </c>
      <c r="AF88" s="15">
        <f>(33.5*Table2[[#This Row],[C%]]+142.3*Table2[[#This Row],[H%]]-15.4*Table2[[#This Row],[O%]]-14.5*Table2[[#This Row],[N%]])/100</f>
        <v>20.146550000000001</v>
      </c>
      <c r="AG88" s="15">
        <v>4.1000000000000003E-3</v>
      </c>
      <c r="AH88" s="15"/>
      <c r="AI88" s="15"/>
      <c r="AJ88" s="15">
        <v>10</v>
      </c>
      <c r="AM88" s="13">
        <v>2.3208199999999999</v>
      </c>
      <c r="AN88">
        <v>2</v>
      </c>
      <c r="AO88" s="15">
        <v>60</v>
      </c>
      <c r="AP88" s="15">
        <f>LN(25/Table2[[#This Row],[Temperature (C)]]/(1-SQRT((Table2[[#This Row],[Temperature (C)]]-5)/Table2[[#This Row],[Temperature (C)]])))/Table2[[#This Row],[b]]</f>
        <v>0.99079004058446707</v>
      </c>
      <c r="AQ88" s="15">
        <f>IF(Table2[[#This Row],[b]]&lt;&gt;"",Table2[[#This Row],[T-5]], 0)</f>
        <v>0.99079004058446707</v>
      </c>
      <c r="AR88">
        <f>Table2[[#This Row],[Heating time]]+Table2[[#This Row],[Holding Time (min)]]</f>
        <v>60.990790040584464</v>
      </c>
      <c r="AT88" t="s">
        <v>503</v>
      </c>
      <c r="AU88">
        <v>400</v>
      </c>
      <c r="AV88" s="15"/>
      <c r="AW88" s="15">
        <v>33.457076566125203</v>
      </c>
      <c r="AX88" s="15"/>
      <c r="AY88" s="15"/>
      <c r="AZ88" s="15"/>
      <c r="BA88" s="15"/>
      <c r="BB88" s="15" t="str">
        <f>IF(OR(Table2[[#This Row],[Gas wt%]]&lt;&gt;"",Table2[[#This Row],[Loss]]&lt;&gt;""),Table2[[#This Row],[Gas wt%]]+Table2[[#This Row],[Loss]],"")</f>
        <v/>
      </c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>
        <v>0</v>
      </c>
    </row>
    <row r="89" spans="1:106" x14ac:dyDescent="0.25">
      <c r="A89" t="s">
        <v>191</v>
      </c>
      <c r="B89" t="s">
        <v>192</v>
      </c>
      <c r="C89">
        <v>2015</v>
      </c>
      <c r="D89" s="16" t="s">
        <v>190</v>
      </c>
      <c r="E89">
        <v>0</v>
      </c>
      <c r="F89" s="15">
        <v>22.322623828647927</v>
      </c>
      <c r="G89" s="15"/>
      <c r="H89" s="15"/>
      <c r="I89" s="15">
        <v>59.89513609995538</v>
      </c>
      <c r="J89" s="15">
        <v>8.7349397590361448</v>
      </c>
      <c r="K89" s="15"/>
      <c r="L89" s="15">
        <f>IF(Table2[[#This Row],[Lipids wt%]]+Table2[[#This Row],[Protein wt%]]+Table2[[#This Row],[Carbs wt%]] =0,"",SUM(Table2[[#This Row],[Lipids wt%]],Table2[[#This Row],[Protein wt%]],Table2[[#This Row],[Carbs wt%]]))</f>
        <v>90.952699687639438</v>
      </c>
      <c r="M89" s="15">
        <v>8.11</v>
      </c>
      <c r="P89">
        <v>4.3099999999999996</v>
      </c>
      <c r="Z89" s="15">
        <v>49.05</v>
      </c>
      <c r="AA89" s="15">
        <v>6.41</v>
      </c>
      <c r="AB89" s="15">
        <v>27.02</v>
      </c>
      <c r="AC89" s="15">
        <v>8.59</v>
      </c>
      <c r="AD89" s="15">
        <v>0.82</v>
      </c>
      <c r="AE89" s="15">
        <v>0.14000000000000001</v>
      </c>
      <c r="AF89" s="15">
        <f>(33.5*Table2[[#This Row],[C%]]+142.3*Table2[[#This Row],[H%]]-15.4*Table2[[#This Row],[O%]]-14.5*Table2[[#This Row],[N%]])/100</f>
        <v>20.146550000000001</v>
      </c>
      <c r="AG89" s="15">
        <v>4.1000000000000003E-3</v>
      </c>
      <c r="AH89" s="15"/>
      <c r="AI89" s="15"/>
      <c r="AJ89" s="15">
        <v>10</v>
      </c>
      <c r="AM89" s="13">
        <v>2.3208199999999999</v>
      </c>
      <c r="AN89">
        <v>2</v>
      </c>
      <c r="AO89" s="15">
        <v>10</v>
      </c>
      <c r="AP89" s="15">
        <f>LN(25/Table2[[#This Row],[Temperature (C)]]/(1-SQRT((Table2[[#This Row],[Temperature (C)]]-5)/Table2[[#This Row],[Temperature (C)]])))/Table2[[#This Row],[b]]</f>
        <v>0.99044982121312486</v>
      </c>
      <c r="AQ89" s="15">
        <f>IF(Table2[[#This Row],[b]]&lt;&gt;"",Table2[[#This Row],[T-5]], 0)</f>
        <v>0.99044982121312486</v>
      </c>
      <c r="AR89">
        <f>Table2[[#This Row],[Heating time]]+Table2[[#This Row],[Holding Time (min)]]</f>
        <v>10.990449821213124</v>
      </c>
      <c r="AT89" t="s">
        <v>503</v>
      </c>
      <c r="AU89">
        <v>320</v>
      </c>
      <c r="AV89" s="15"/>
      <c r="AW89" s="15">
        <v>25.399061032863798</v>
      </c>
      <c r="AX89" s="15"/>
      <c r="AY89" s="15"/>
      <c r="AZ89" s="15"/>
      <c r="BA89" s="15"/>
      <c r="BB89" s="15" t="str">
        <f>IF(OR(Table2[[#This Row],[Gas wt%]]&lt;&gt;"",Table2[[#This Row],[Loss]]&lt;&gt;""),Table2[[#This Row],[Gas wt%]]+Table2[[#This Row],[Loss]],"")</f>
        <v/>
      </c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>
        <v>0</v>
      </c>
    </row>
    <row r="90" spans="1:106" x14ac:dyDescent="0.25">
      <c r="A90" t="s">
        <v>191</v>
      </c>
      <c r="B90" t="s">
        <v>192</v>
      </c>
      <c r="C90">
        <v>2015</v>
      </c>
      <c r="D90" s="16" t="s">
        <v>190</v>
      </c>
      <c r="E90">
        <v>0</v>
      </c>
      <c r="F90" s="15">
        <v>22.322623828647927</v>
      </c>
      <c r="G90" s="15"/>
      <c r="H90" s="15"/>
      <c r="I90" s="15">
        <v>59.89513609995538</v>
      </c>
      <c r="J90" s="15">
        <v>8.7349397590361448</v>
      </c>
      <c r="K90" s="15"/>
      <c r="L90" s="15">
        <f>IF(Table2[[#This Row],[Lipids wt%]]+Table2[[#This Row],[Protein wt%]]+Table2[[#This Row],[Carbs wt%]] =0,"",SUM(Table2[[#This Row],[Lipids wt%]],Table2[[#This Row],[Protein wt%]],Table2[[#This Row],[Carbs wt%]]))</f>
        <v>90.952699687639438</v>
      </c>
      <c r="M90" s="15">
        <v>8.11</v>
      </c>
      <c r="P90">
        <v>4.3099999999999996</v>
      </c>
      <c r="Z90" s="15">
        <v>49.05</v>
      </c>
      <c r="AA90" s="15">
        <v>6.41</v>
      </c>
      <c r="AB90" s="15">
        <v>27.02</v>
      </c>
      <c r="AC90" s="15">
        <v>8.59</v>
      </c>
      <c r="AD90" s="15">
        <v>0.82</v>
      </c>
      <c r="AE90" s="15">
        <v>0.14000000000000001</v>
      </c>
      <c r="AF90" s="15">
        <f>(33.5*Table2[[#This Row],[C%]]+142.3*Table2[[#This Row],[H%]]-15.4*Table2[[#This Row],[O%]]-14.5*Table2[[#This Row],[N%]])/100</f>
        <v>20.146550000000001</v>
      </c>
      <c r="AG90" s="15">
        <v>4.1000000000000003E-3</v>
      </c>
      <c r="AH90" s="15"/>
      <c r="AI90" s="15"/>
      <c r="AJ90" s="15">
        <v>10</v>
      </c>
      <c r="AM90" s="13">
        <v>2.3208199999999999</v>
      </c>
      <c r="AN90">
        <v>2</v>
      </c>
      <c r="AO90" s="15">
        <v>20</v>
      </c>
      <c r="AP90" s="15">
        <f>LN(25/Table2[[#This Row],[Temperature (C)]]/(1-SQRT((Table2[[#This Row],[Temperature (C)]]-5)/Table2[[#This Row],[Temperature (C)]])))/Table2[[#This Row],[b]]</f>
        <v>0.99044982121312486</v>
      </c>
      <c r="AQ90" s="15">
        <f>IF(Table2[[#This Row],[b]]&lt;&gt;"",Table2[[#This Row],[T-5]], 0)</f>
        <v>0.99044982121312486</v>
      </c>
      <c r="AR90">
        <f>Table2[[#This Row],[Heating time]]+Table2[[#This Row],[Holding Time (min)]]</f>
        <v>20.990449821213126</v>
      </c>
      <c r="AT90" t="s">
        <v>503</v>
      </c>
      <c r="AU90">
        <v>320</v>
      </c>
      <c r="AV90" s="15"/>
      <c r="AW90" s="15">
        <v>28.392018779342699</v>
      </c>
      <c r="AX90" s="15"/>
      <c r="AY90" s="15"/>
      <c r="AZ90" s="15"/>
      <c r="BA90" s="15"/>
      <c r="BB90" s="15" t="str">
        <f>IF(OR(Table2[[#This Row],[Gas wt%]]&lt;&gt;"",Table2[[#This Row],[Loss]]&lt;&gt;""),Table2[[#This Row],[Gas wt%]]+Table2[[#This Row],[Loss]],"")</f>
        <v/>
      </c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>
        <v>0</v>
      </c>
    </row>
    <row r="91" spans="1:106" x14ac:dyDescent="0.25">
      <c r="A91" t="s">
        <v>191</v>
      </c>
      <c r="B91" t="s">
        <v>192</v>
      </c>
      <c r="C91">
        <v>2015</v>
      </c>
      <c r="D91" s="16" t="s">
        <v>190</v>
      </c>
      <c r="E91">
        <v>0</v>
      </c>
      <c r="F91" s="15">
        <v>22.322623828647927</v>
      </c>
      <c r="G91" s="15"/>
      <c r="H91" s="15"/>
      <c r="I91" s="15">
        <v>59.89513609995538</v>
      </c>
      <c r="J91" s="15">
        <v>8.7349397590361448</v>
      </c>
      <c r="K91" s="15"/>
      <c r="L91" s="15">
        <f>IF(Table2[[#This Row],[Lipids wt%]]+Table2[[#This Row],[Protein wt%]]+Table2[[#This Row],[Carbs wt%]] =0,"",SUM(Table2[[#This Row],[Lipids wt%]],Table2[[#This Row],[Protein wt%]],Table2[[#This Row],[Carbs wt%]]))</f>
        <v>90.952699687639438</v>
      </c>
      <c r="M91" s="15">
        <v>8.11</v>
      </c>
      <c r="P91">
        <v>4.3099999999999996</v>
      </c>
      <c r="Z91" s="15">
        <v>49.05</v>
      </c>
      <c r="AA91" s="15">
        <v>6.41</v>
      </c>
      <c r="AB91" s="15">
        <v>27.02</v>
      </c>
      <c r="AC91" s="15">
        <v>8.59</v>
      </c>
      <c r="AD91" s="15">
        <v>0.82</v>
      </c>
      <c r="AE91" s="15">
        <v>0.14000000000000001</v>
      </c>
      <c r="AF91" s="15">
        <f>(33.5*Table2[[#This Row],[C%]]+142.3*Table2[[#This Row],[H%]]-15.4*Table2[[#This Row],[O%]]-14.5*Table2[[#This Row],[N%]])/100</f>
        <v>20.146550000000001</v>
      </c>
      <c r="AG91" s="15">
        <v>4.1000000000000003E-3</v>
      </c>
      <c r="AH91" s="15"/>
      <c r="AI91" s="15"/>
      <c r="AJ91" s="15">
        <v>10</v>
      </c>
      <c r="AM91" s="13">
        <v>2.3208199999999999</v>
      </c>
      <c r="AN91">
        <v>2</v>
      </c>
      <c r="AO91" s="15">
        <v>30</v>
      </c>
      <c r="AP91" s="15">
        <f>LN(25/Table2[[#This Row],[Temperature (C)]]/(1-SQRT((Table2[[#This Row],[Temperature (C)]]-5)/Table2[[#This Row],[Temperature (C)]])))/Table2[[#This Row],[b]]</f>
        <v>0.99044982121312486</v>
      </c>
      <c r="AQ91" s="15">
        <f>IF(Table2[[#This Row],[b]]&lt;&gt;"",Table2[[#This Row],[T-5]], 0)</f>
        <v>0.99044982121312486</v>
      </c>
      <c r="AR91">
        <f>Table2[[#This Row],[Heating time]]+Table2[[#This Row],[Holding Time (min)]]</f>
        <v>30.990449821213126</v>
      </c>
      <c r="AT91" t="s">
        <v>503</v>
      </c>
      <c r="AU91">
        <v>320</v>
      </c>
      <c r="AV91" s="15"/>
      <c r="AW91" s="15">
        <v>32.089201877934201</v>
      </c>
      <c r="AX91" s="15"/>
      <c r="AY91" s="15"/>
      <c r="AZ91" s="15"/>
      <c r="BA91" s="15"/>
      <c r="BB91" s="15" t="str">
        <f>IF(OR(Table2[[#This Row],[Gas wt%]]&lt;&gt;"",Table2[[#This Row],[Loss]]&lt;&gt;""),Table2[[#This Row],[Gas wt%]]+Table2[[#This Row],[Loss]],"")</f>
        <v/>
      </c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>
        <v>0</v>
      </c>
    </row>
    <row r="92" spans="1:106" x14ac:dyDescent="0.25">
      <c r="A92" t="s">
        <v>191</v>
      </c>
      <c r="B92" t="s">
        <v>192</v>
      </c>
      <c r="C92">
        <v>2015</v>
      </c>
      <c r="D92" s="16" t="s">
        <v>190</v>
      </c>
      <c r="E92">
        <v>0</v>
      </c>
      <c r="F92" s="15">
        <v>22.322623828647927</v>
      </c>
      <c r="G92" s="15"/>
      <c r="H92" s="15"/>
      <c r="I92" s="15">
        <v>59.89513609995538</v>
      </c>
      <c r="J92" s="15">
        <v>8.7349397590361448</v>
      </c>
      <c r="K92" s="15"/>
      <c r="L92" s="15">
        <f>IF(Table2[[#This Row],[Lipids wt%]]+Table2[[#This Row],[Protein wt%]]+Table2[[#This Row],[Carbs wt%]] =0,"",SUM(Table2[[#This Row],[Lipids wt%]],Table2[[#This Row],[Protein wt%]],Table2[[#This Row],[Carbs wt%]]))</f>
        <v>90.952699687639438</v>
      </c>
      <c r="M92" s="15">
        <v>8.11</v>
      </c>
      <c r="P92">
        <v>4.3099999999999996</v>
      </c>
      <c r="Z92" s="15">
        <v>49.05</v>
      </c>
      <c r="AA92" s="15">
        <v>6.41</v>
      </c>
      <c r="AB92" s="15">
        <v>27.02</v>
      </c>
      <c r="AC92" s="15">
        <v>8.59</v>
      </c>
      <c r="AD92" s="15">
        <v>0.82</v>
      </c>
      <c r="AE92" s="15">
        <v>0.14000000000000001</v>
      </c>
      <c r="AF92" s="15">
        <f>(33.5*Table2[[#This Row],[C%]]+142.3*Table2[[#This Row],[H%]]-15.4*Table2[[#This Row],[O%]]-14.5*Table2[[#This Row],[N%]])/100</f>
        <v>20.146550000000001</v>
      </c>
      <c r="AG92" s="15">
        <v>4.1000000000000003E-3</v>
      </c>
      <c r="AH92" s="15"/>
      <c r="AI92" s="15"/>
      <c r="AJ92" s="15">
        <v>10</v>
      </c>
      <c r="AM92" s="13">
        <v>2.3208199999999999</v>
      </c>
      <c r="AN92">
        <v>2</v>
      </c>
      <c r="AO92" s="15">
        <v>40</v>
      </c>
      <c r="AP92" s="15">
        <f>LN(25/Table2[[#This Row],[Temperature (C)]]/(1-SQRT((Table2[[#This Row],[Temperature (C)]]-5)/Table2[[#This Row],[Temperature (C)]])))/Table2[[#This Row],[b]]</f>
        <v>0.99044982121312486</v>
      </c>
      <c r="AQ92" s="15">
        <f>IF(Table2[[#This Row],[b]]&lt;&gt;"",Table2[[#This Row],[T-5]], 0)</f>
        <v>0.99044982121312486</v>
      </c>
      <c r="AR92">
        <f>Table2[[#This Row],[Heating time]]+Table2[[#This Row],[Holding Time (min)]]</f>
        <v>40.990449821213126</v>
      </c>
      <c r="AT92" t="s">
        <v>503</v>
      </c>
      <c r="AU92">
        <v>320</v>
      </c>
      <c r="AV92" s="15"/>
      <c r="AW92" s="15">
        <v>34.495305164319198</v>
      </c>
      <c r="AX92" s="15"/>
      <c r="AY92" s="15"/>
      <c r="AZ92" s="15"/>
      <c r="BA92" s="15"/>
      <c r="BB92" s="15" t="str">
        <f>IF(OR(Table2[[#This Row],[Gas wt%]]&lt;&gt;"",Table2[[#This Row],[Loss]]&lt;&gt;""),Table2[[#This Row],[Gas wt%]]+Table2[[#This Row],[Loss]],"")</f>
        <v/>
      </c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>
        <v>0</v>
      </c>
    </row>
    <row r="93" spans="1:106" x14ac:dyDescent="0.25">
      <c r="A93" t="s">
        <v>191</v>
      </c>
      <c r="B93" t="s">
        <v>192</v>
      </c>
      <c r="C93">
        <v>2015</v>
      </c>
      <c r="D93" s="16" t="s">
        <v>190</v>
      </c>
      <c r="E93">
        <v>0</v>
      </c>
      <c r="F93" s="15">
        <v>22.322623828647927</v>
      </c>
      <c r="G93" s="15"/>
      <c r="H93" s="15"/>
      <c r="I93" s="15">
        <v>59.89513609995538</v>
      </c>
      <c r="J93" s="15">
        <v>8.7349397590361448</v>
      </c>
      <c r="K93" s="15"/>
      <c r="L93" s="15">
        <f>IF(Table2[[#This Row],[Lipids wt%]]+Table2[[#This Row],[Protein wt%]]+Table2[[#This Row],[Carbs wt%]] =0,"",SUM(Table2[[#This Row],[Lipids wt%]],Table2[[#This Row],[Protein wt%]],Table2[[#This Row],[Carbs wt%]]))</f>
        <v>90.952699687639438</v>
      </c>
      <c r="M93" s="15">
        <v>8.11</v>
      </c>
      <c r="P93">
        <v>4.3099999999999996</v>
      </c>
      <c r="Z93" s="15">
        <v>49.05</v>
      </c>
      <c r="AA93" s="15">
        <v>6.41</v>
      </c>
      <c r="AB93" s="15">
        <v>27.02</v>
      </c>
      <c r="AC93" s="15">
        <v>8.59</v>
      </c>
      <c r="AD93" s="15">
        <v>0.82</v>
      </c>
      <c r="AE93" s="15">
        <v>0.14000000000000001</v>
      </c>
      <c r="AF93" s="15">
        <f>(33.5*Table2[[#This Row],[C%]]+142.3*Table2[[#This Row],[H%]]-15.4*Table2[[#This Row],[O%]]-14.5*Table2[[#This Row],[N%]])/100</f>
        <v>20.146550000000001</v>
      </c>
      <c r="AG93" s="15">
        <v>4.1000000000000003E-3</v>
      </c>
      <c r="AH93" s="15"/>
      <c r="AI93" s="15"/>
      <c r="AJ93" s="15">
        <v>10</v>
      </c>
      <c r="AM93" s="13">
        <v>2.3208199999999999</v>
      </c>
      <c r="AN93">
        <v>2</v>
      </c>
      <c r="AO93" s="15">
        <v>50</v>
      </c>
      <c r="AP93" s="15">
        <f>LN(25/Table2[[#This Row],[Temperature (C)]]/(1-SQRT((Table2[[#This Row],[Temperature (C)]]-5)/Table2[[#This Row],[Temperature (C)]])))/Table2[[#This Row],[b]]</f>
        <v>0.99044982121312486</v>
      </c>
      <c r="AQ93" s="15">
        <f>IF(Table2[[#This Row],[b]]&lt;&gt;"",Table2[[#This Row],[T-5]], 0)</f>
        <v>0.99044982121312486</v>
      </c>
      <c r="AR93">
        <f>Table2[[#This Row],[Heating time]]+Table2[[#This Row],[Holding Time (min)]]</f>
        <v>50.990449821213126</v>
      </c>
      <c r="AT93" t="s">
        <v>503</v>
      </c>
      <c r="AU93">
        <v>320</v>
      </c>
      <c r="AV93" s="15"/>
      <c r="AW93" s="15">
        <v>36.431924882629097</v>
      </c>
      <c r="AX93" s="15"/>
      <c r="AY93" s="15"/>
      <c r="AZ93" s="15"/>
      <c r="BA93" s="15"/>
      <c r="BB93" s="15" t="str">
        <f>IF(OR(Table2[[#This Row],[Gas wt%]]&lt;&gt;"",Table2[[#This Row],[Loss]]&lt;&gt;""),Table2[[#This Row],[Gas wt%]]+Table2[[#This Row],[Loss]],"")</f>
        <v/>
      </c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>
        <v>0</v>
      </c>
    </row>
    <row r="94" spans="1:106" x14ac:dyDescent="0.25">
      <c r="A94" t="s">
        <v>191</v>
      </c>
      <c r="B94" t="s">
        <v>192</v>
      </c>
      <c r="C94">
        <v>2015</v>
      </c>
      <c r="D94" s="16" t="s">
        <v>190</v>
      </c>
      <c r="E94">
        <v>0</v>
      </c>
      <c r="F94" s="15">
        <v>22.322623828647927</v>
      </c>
      <c r="G94" s="15"/>
      <c r="H94" s="15"/>
      <c r="I94" s="15">
        <v>59.89513609995538</v>
      </c>
      <c r="J94" s="15">
        <v>8.7349397590361448</v>
      </c>
      <c r="K94" s="15"/>
      <c r="L94" s="15">
        <f>IF(Table2[[#This Row],[Lipids wt%]]+Table2[[#This Row],[Protein wt%]]+Table2[[#This Row],[Carbs wt%]] =0,"",SUM(Table2[[#This Row],[Lipids wt%]],Table2[[#This Row],[Protein wt%]],Table2[[#This Row],[Carbs wt%]]))</f>
        <v>90.952699687639438</v>
      </c>
      <c r="M94" s="15">
        <v>8.11</v>
      </c>
      <c r="P94">
        <v>4.3099999999999996</v>
      </c>
      <c r="Z94" s="15">
        <v>49.05</v>
      </c>
      <c r="AA94" s="15">
        <v>6.41</v>
      </c>
      <c r="AB94" s="15">
        <v>27.02</v>
      </c>
      <c r="AC94" s="15">
        <v>8.59</v>
      </c>
      <c r="AD94" s="15">
        <v>0.82</v>
      </c>
      <c r="AE94" s="15">
        <v>0.14000000000000001</v>
      </c>
      <c r="AF94" s="15">
        <f>(33.5*Table2[[#This Row],[C%]]+142.3*Table2[[#This Row],[H%]]-15.4*Table2[[#This Row],[O%]]-14.5*Table2[[#This Row],[N%]])/100</f>
        <v>20.146550000000001</v>
      </c>
      <c r="AG94" s="15">
        <v>4.1000000000000003E-3</v>
      </c>
      <c r="AH94" s="15"/>
      <c r="AI94" s="15"/>
      <c r="AJ94" s="15">
        <v>10</v>
      </c>
      <c r="AM94" s="13">
        <v>2.3208199999999999</v>
      </c>
      <c r="AN94">
        <v>2</v>
      </c>
      <c r="AO94" s="15">
        <v>70</v>
      </c>
      <c r="AP94" s="15">
        <f>LN(25/Table2[[#This Row],[Temperature (C)]]/(1-SQRT((Table2[[#This Row],[Temperature (C)]]-5)/Table2[[#This Row],[Temperature (C)]])))/Table2[[#This Row],[b]]</f>
        <v>0.99044982121312486</v>
      </c>
      <c r="AQ94" s="15">
        <f>IF(Table2[[#This Row],[b]]&lt;&gt;"",Table2[[#This Row],[T-5]], 0)</f>
        <v>0.99044982121312486</v>
      </c>
      <c r="AR94">
        <f>Table2[[#This Row],[Heating time]]+Table2[[#This Row],[Holding Time (min)]]</f>
        <v>70.990449821213119</v>
      </c>
      <c r="AT94" t="s">
        <v>503</v>
      </c>
      <c r="AU94">
        <v>320</v>
      </c>
      <c r="AV94" s="15"/>
      <c r="AW94" s="15">
        <v>29.6830985915493</v>
      </c>
      <c r="AX94" s="15"/>
      <c r="AY94" s="15"/>
      <c r="AZ94" s="15"/>
      <c r="BA94" s="15"/>
      <c r="BB94" s="15" t="str">
        <f>IF(OR(Table2[[#This Row],[Gas wt%]]&lt;&gt;"",Table2[[#This Row],[Loss]]&lt;&gt;""),Table2[[#This Row],[Gas wt%]]+Table2[[#This Row],[Loss]],"")</f>
        <v/>
      </c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>
        <v>0</v>
      </c>
    </row>
    <row r="95" spans="1:106" x14ac:dyDescent="0.25">
      <c r="A95" t="s">
        <v>191</v>
      </c>
      <c r="B95" t="s">
        <v>192</v>
      </c>
      <c r="C95">
        <v>2015</v>
      </c>
      <c r="D95" s="16" t="s">
        <v>190</v>
      </c>
      <c r="E95">
        <v>0</v>
      </c>
      <c r="F95" s="15">
        <v>22.322623828647927</v>
      </c>
      <c r="G95" s="15"/>
      <c r="H95" s="15"/>
      <c r="I95" s="15">
        <v>59.89513609995538</v>
      </c>
      <c r="J95" s="15">
        <v>8.7349397590361448</v>
      </c>
      <c r="K95" s="15"/>
      <c r="L95" s="15">
        <f>IF(Table2[[#This Row],[Lipids wt%]]+Table2[[#This Row],[Protein wt%]]+Table2[[#This Row],[Carbs wt%]] =0,"",SUM(Table2[[#This Row],[Lipids wt%]],Table2[[#This Row],[Protein wt%]],Table2[[#This Row],[Carbs wt%]]))</f>
        <v>90.952699687639438</v>
      </c>
      <c r="M95" s="15">
        <v>8.11</v>
      </c>
      <c r="P95">
        <v>4.3099999999999996</v>
      </c>
      <c r="Z95" s="15">
        <v>49.05</v>
      </c>
      <c r="AA95" s="15">
        <v>6.41</v>
      </c>
      <c r="AB95" s="15">
        <v>27.02</v>
      </c>
      <c r="AC95" s="15">
        <v>8.59</v>
      </c>
      <c r="AD95" s="15">
        <v>0.82</v>
      </c>
      <c r="AE95" s="15">
        <v>0.14000000000000001</v>
      </c>
      <c r="AF95" s="15">
        <f>(33.5*Table2[[#This Row],[C%]]+142.3*Table2[[#This Row],[H%]]-15.4*Table2[[#This Row],[O%]]-14.5*Table2[[#This Row],[N%]])/100</f>
        <v>20.146550000000001</v>
      </c>
      <c r="AG95" s="15">
        <v>4.1000000000000003E-3</v>
      </c>
      <c r="AH95" s="15"/>
      <c r="AI95" s="15"/>
      <c r="AJ95" s="15">
        <v>10</v>
      </c>
      <c r="AM95" s="13">
        <v>2.3208199999999999</v>
      </c>
      <c r="AN95">
        <v>2</v>
      </c>
      <c r="AO95" s="15">
        <v>10</v>
      </c>
      <c r="AP95" s="15">
        <f>LN(25/Table2[[#This Row],[Temperature (C)]]/(1-SQRT((Table2[[#This Row],[Temperature (C)]]-5)/Table2[[#This Row],[Temperature (C)]])))/Table2[[#This Row],[b]]</f>
        <v>0.99067978765013698</v>
      </c>
      <c r="AQ95" s="15">
        <f>IF(Table2[[#This Row],[b]]&lt;&gt;"",Table2[[#This Row],[T-5]], 0)</f>
        <v>0.99067978765013698</v>
      </c>
      <c r="AR95">
        <f>Table2[[#This Row],[Heating time]]+Table2[[#This Row],[Holding Time (min)]]</f>
        <v>10.990679787650137</v>
      </c>
      <c r="AT95" t="s">
        <v>503</v>
      </c>
      <c r="AU95">
        <v>370</v>
      </c>
      <c r="AV95" s="15"/>
      <c r="AW95" s="15">
        <v>28.568075117370899</v>
      </c>
      <c r="AX95" s="15"/>
      <c r="AY95" s="15"/>
      <c r="AZ95" s="15"/>
      <c r="BA95" s="15"/>
      <c r="BB95" s="15" t="str">
        <f>IF(OR(Table2[[#This Row],[Gas wt%]]&lt;&gt;"",Table2[[#This Row],[Loss]]&lt;&gt;""),Table2[[#This Row],[Gas wt%]]+Table2[[#This Row],[Loss]],"")</f>
        <v/>
      </c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>
        <v>0</v>
      </c>
    </row>
    <row r="96" spans="1:106" x14ac:dyDescent="0.25">
      <c r="A96" t="s">
        <v>191</v>
      </c>
      <c r="B96" t="s">
        <v>192</v>
      </c>
      <c r="C96">
        <v>2015</v>
      </c>
      <c r="D96" s="16" t="s">
        <v>190</v>
      </c>
      <c r="E96">
        <v>0</v>
      </c>
      <c r="F96" s="15">
        <v>22.322623828647927</v>
      </c>
      <c r="G96" s="15"/>
      <c r="H96" s="15"/>
      <c r="I96" s="15">
        <v>59.89513609995538</v>
      </c>
      <c r="J96" s="15">
        <v>8.7349397590361448</v>
      </c>
      <c r="K96" s="15"/>
      <c r="L96" s="15">
        <f>IF(Table2[[#This Row],[Lipids wt%]]+Table2[[#This Row],[Protein wt%]]+Table2[[#This Row],[Carbs wt%]] =0,"",SUM(Table2[[#This Row],[Lipids wt%]],Table2[[#This Row],[Protein wt%]],Table2[[#This Row],[Carbs wt%]]))</f>
        <v>90.952699687639438</v>
      </c>
      <c r="M96" s="15">
        <v>8.11</v>
      </c>
      <c r="P96">
        <v>4.3099999999999996</v>
      </c>
      <c r="Z96" s="15">
        <v>49.05</v>
      </c>
      <c r="AA96" s="15">
        <v>6.41</v>
      </c>
      <c r="AB96" s="15">
        <v>27.02</v>
      </c>
      <c r="AC96" s="15">
        <v>8.59</v>
      </c>
      <c r="AD96" s="15">
        <v>0.82</v>
      </c>
      <c r="AE96" s="15">
        <v>0.14000000000000001</v>
      </c>
      <c r="AF96" s="15">
        <f>(33.5*Table2[[#This Row],[C%]]+142.3*Table2[[#This Row],[H%]]-15.4*Table2[[#This Row],[O%]]-14.5*Table2[[#This Row],[N%]])/100</f>
        <v>20.146550000000001</v>
      </c>
      <c r="AG96" s="15">
        <v>4.1000000000000003E-3</v>
      </c>
      <c r="AH96" s="15"/>
      <c r="AI96" s="15"/>
      <c r="AJ96" s="15">
        <v>10</v>
      </c>
      <c r="AM96" s="13">
        <v>2.3208199999999999</v>
      </c>
      <c r="AN96">
        <v>2</v>
      </c>
      <c r="AO96" s="15">
        <v>20</v>
      </c>
      <c r="AP96" s="15">
        <f>LN(25/Table2[[#This Row],[Temperature (C)]]/(1-SQRT((Table2[[#This Row],[Temperature (C)]]-5)/Table2[[#This Row],[Temperature (C)]])))/Table2[[#This Row],[b]]</f>
        <v>0.99067978765013698</v>
      </c>
      <c r="AQ96" s="15">
        <f>IF(Table2[[#This Row],[b]]&lt;&gt;"",Table2[[#This Row],[T-5]], 0)</f>
        <v>0.99067978765013698</v>
      </c>
      <c r="AR96">
        <f>Table2[[#This Row],[Heating time]]+Table2[[#This Row],[Holding Time (min)]]</f>
        <v>20.990679787650137</v>
      </c>
      <c r="AT96" t="s">
        <v>503</v>
      </c>
      <c r="AU96">
        <v>370</v>
      </c>
      <c r="AV96" s="15"/>
      <c r="AW96" s="15">
        <v>31.7370892018779</v>
      </c>
      <c r="AX96" s="15"/>
      <c r="AY96" s="15"/>
      <c r="AZ96" s="15"/>
      <c r="BA96" s="15"/>
      <c r="BB96" s="15" t="str">
        <f>IF(OR(Table2[[#This Row],[Gas wt%]]&lt;&gt;"",Table2[[#This Row],[Loss]]&lt;&gt;""),Table2[[#This Row],[Gas wt%]]+Table2[[#This Row],[Loss]],"")</f>
        <v/>
      </c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>
        <v>0</v>
      </c>
    </row>
    <row r="97" spans="1:106" x14ac:dyDescent="0.25">
      <c r="A97" t="s">
        <v>191</v>
      </c>
      <c r="B97" t="s">
        <v>192</v>
      </c>
      <c r="C97">
        <v>2015</v>
      </c>
      <c r="D97" s="16" t="s">
        <v>190</v>
      </c>
      <c r="E97">
        <v>0</v>
      </c>
      <c r="F97" s="15">
        <v>22.322623828647927</v>
      </c>
      <c r="G97" s="15"/>
      <c r="H97" s="15"/>
      <c r="I97" s="15">
        <v>59.89513609995538</v>
      </c>
      <c r="J97" s="15">
        <v>8.7349397590361448</v>
      </c>
      <c r="K97" s="15"/>
      <c r="L97" s="15">
        <f>IF(Table2[[#This Row],[Lipids wt%]]+Table2[[#This Row],[Protein wt%]]+Table2[[#This Row],[Carbs wt%]] =0,"",SUM(Table2[[#This Row],[Lipids wt%]],Table2[[#This Row],[Protein wt%]],Table2[[#This Row],[Carbs wt%]]))</f>
        <v>90.952699687639438</v>
      </c>
      <c r="M97" s="15">
        <v>8.11</v>
      </c>
      <c r="P97">
        <v>4.3099999999999996</v>
      </c>
      <c r="Z97" s="15">
        <v>49.05</v>
      </c>
      <c r="AA97" s="15">
        <v>6.41</v>
      </c>
      <c r="AB97" s="15">
        <v>27.02</v>
      </c>
      <c r="AC97" s="15">
        <v>8.59</v>
      </c>
      <c r="AD97" s="15">
        <v>0.82</v>
      </c>
      <c r="AE97" s="15">
        <v>0.14000000000000001</v>
      </c>
      <c r="AF97" s="15">
        <f>(33.5*Table2[[#This Row],[C%]]+142.3*Table2[[#This Row],[H%]]-15.4*Table2[[#This Row],[O%]]-14.5*Table2[[#This Row],[N%]])/100</f>
        <v>20.146550000000001</v>
      </c>
      <c r="AG97" s="15">
        <v>4.1000000000000003E-3</v>
      </c>
      <c r="AH97" s="15"/>
      <c r="AI97" s="15"/>
      <c r="AJ97" s="15">
        <v>10</v>
      </c>
      <c r="AM97" s="13">
        <v>2.3208199999999999</v>
      </c>
      <c r="AN97">
        <v>2</v>
      </c>
      <c r="AO97" s="15">
        <v>30</v>
      </c>
      <c r="AP97" s="15">
        <f>LN(25/Table2[[#This Row],[Temperature (C)]]/(1-SQRT((Table2[[#This Row],[Temperature (C)]]-5)/Table2[[#This Row],[Temperature (C)]])))/Table2[[#This Row],[b]]</f>
        <v>0.99067978765013698</v>
      </c>
      <c r="AQ97" s="15">
        <f>IF(Table2[[#This Row],[b]]&lt;&gt;"",Table2[[#This Row],[T-5]], 0)</f>
        <v>0.99067978765013698</v>
      </c>
      <c r="AR97">
        <f>Table2[[#This Row],[Heating time]]+Table2[[#This Row],[Holding Time (min)]]</f>
        <v>30.990679787650137</v>
      </c>
      <c r="AT97" t="s">
        <v>503</v>
      </c>
      <c r="AU97">
        <v>370</v>
      </c>
      <c r="AV97" s="15"/>
      <c r="AW97" s="15">
        <v>33.204225352112601</v>
      </c>
      <c r="AX97" s="15"/>
      <c r="AY97" s="15"/>
      <c r="AZ97" s="15"/>
      <c r="BA97" s="15"/>
      <c r="BB97" s="15" t="str">
        <f>IF(OR(Table2[[#This Row],[Gas wt%]]&lt;&gt;"",Table2[[#This Row],[Loss]]&lt;&gt;""),Table2[[#This Row],[Gas wt%]]+Table2[[#This Row],[Loss]],"")</f>
        <v/>
      </c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>
        <v>0</v>
      </c>
    </row>
    <row r="98" spans="1:106" x14ac:dyDescent="0.25">
      <c r="A98" t="s">
        <v>191</v>
      </c>
      <c r="B98" t="s">
        <v>192</v>
      </c>
      <c r="C98">
        <v>2015</v>
      </c>
      <c r="D98" s="16" t="s">
        <v>190</v>
      </c>
      <c r="E98">
        <v>0</v>
      </c>
      <c r="F98" s="15">
        <v>22.322623828647927</v>
      </c>
      <c r="G98" s="15"/>
      <c r="H98" s="15"/>
      <c r="I98" s="15">
        <v>59.89513609995538</v>
      </c>
      <c r="J98" s="15">
        <v>8.7349397590361448</v>
      </c>
      <c r="K98" s="15"/>
      <c r="L98" s="15">
        <f>IF(Table2[[#This Row],[Lipids wt%]]+Table2[[#This Row],[Protein wt%]]+Table2[[#This Row],[Carbs wt%]] =0,"",SUM(Table2[[#This Row],[Lipids wt%]],Table2[[#This Row],[Protein wt%]],Table2[[#This Row],[Carbs wt%]]))</f>
        <v>90.952699687639438</v>
      </c>
      <c r="M98" s="15">
        <v>8.11</v>
      </c>
      <c r="P98">
        <v>4.3099999999999996</v>
      </c>
      <c r="Z98" s="15">
        <v>49.05</v>
      </c>
      <c r="AA98" s="15">
        <v>6.41</v>
      </c>
      <c r="AB98" s="15">
        <v>27.02</v>
      </c>
      <c r="AC98" s="15">
        <v>8.59</v>
      </c>
      <c r="AD98" s="15">
        <v>0.82</v>
      </c>
      <c r="AE98" s="15">
        <v>0.14000000000000001</v>
      </c>
      <c r="AF98" s="15">
        <f>(33.5*Table2[[#This Row],[C%]]+142.3*Table2[[#This Row],[H%]]-15.4*Table2[[#This Row],[O%]]-14.5*Table2[[#This Row],[N%]])/100</f>
        <v>20.146550000000001</v>
      </c>
      <c r="AG98" s="15">
        <v>4.1000000000000003E-3</v>
      </c>
      <c r="AH98" s="15"/>
      <c r="AI98" s="15"/>
      <c r="AJ98" s="15">
        <v>10</v>
      </c>
      <c r="AM98" s="13">
        <v>2.3208199999999999</v>
      </c>
      <c r="AN98">
        <v>2</v>
      </c>
      <c r="AO98" s="15">
        <v>40</v>
      </c>
      <c r="AP98" s="15">
        <f>LN(25/Table2[[#This Row],[Temperature (C)]]/(1-SQRT((Table2[[#This Row],[Temperature (C)]]-5)/Table2[[#This Row],[Temperature (C)]])))/Table2[[#This Row],[b]]</f>
        <v>0.99067978765013698</v>
      </c>
      <c r="AQ98" s="15">
        <f>IF(Table2[[#This Row],[b]]&lt;&gt;"",Table2[[#This Row],[T-5]], 0)</f>
        <v>0.99067978765013698</v>
      </c>
      <c r="AR98">
        <f>Table2[[#This Row],[Heating time]]+Table2[[#This Row],[Holding Time (min)]]</f>
        <v>40.990679787650137</v>
      </c>
      <c r="AT98" t="s">
        <v>503</v>
      </c>
      <c r="AU98">
        <v>370</v>
      </c>
      <c r="AV98" s="15"/>
      <c r="AW98" s="15">
        <v>36.607981220657202</v>
      </c>
      <c r="AX98" s="15"/>
      <c r="AY98" s="15"/>
      <c r="AZ98" s="15"/>
      <c r="BA98" s="15"/>
      <c r="BB98" s="15" t="str">
        <f>IF(OR(Table2[[#This Row],[Gas wt%]]&lt;&gt;"",Table2[[#This Row],[Loss]]&lt;&gt;""),Table2[[#This Row],[Gas wt%]]+Table2[[#This Row],[Loss]],"")</f>
        <v/>
      </c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>
        <v>0</v>
      </c>
    </row>
    <row r="99" spans="1:106" x14ac:dyDescent="0.25">
      <c r="A99" t="s">
        <v>191</v>
      </c>
      <c r="B99" t="s">
        <v>192</v>
      </c>
      <c r="C99">
        <v>2015</v>
      </c>
      <c r="D99" s="16" t="s">
        <v>190</v>
      </c>
      <c r="E99">
        <v>0</v>
      </c>
      <c r="F99" s="15">
        <v>22.322623828647927</v>
      </c>
      <c r="G99" s="15"/>
      <c r="H99" s="15"/>
      <c r="I99" s="15">
        <v>59.89513609995538</v>
      </c>
      <c r="J99" s="15">
        <v>8.7349397590361448</v>
      </c>
      <c r="K99" s="15"/>
      <c r="L99" s="15">
        <f>IF(Table2[[#This Row],[Lipids wt%]]+Table2[[#This Row],[Protein wt%]]+Table2[[#This Row],[Carbs wt%]] =0,"",SUM(Table2[[#This Row],[Lipids wt%]],Table2[[#This Row],[Protein wt%]],Table2[[#This Row],[Carbs wt%]]))</f>
        <v>90.952699687639438</v>
      </c>
      <c r="M99" s="15">
        <v>8.11</v>
      </c>
      <c r="P99">
        <v>4.3099999999999996</v>
      </c>
      <c r="Z99" s="15">
        <v>49.05</v>
      </c>
      <c r="AA99" s="15">
        <v>6.41</v>
      </c>
      <c r="AB99" s="15">
        <v>27.02</v>
      </c>
      <c r="AC99" s="15">
        <v>8.59</v>
      </c>
      <c r="AD99" s="15">
        <v>0.82</v>
      </c>
      <c r="AE99" s="15">
        <v>0.14000000000000001</v>
      </c>
      <c r="AF99" s="15">
        <f>(33.5*Table2[[#This Row],[C%]]+142.3*Table2[[#This Row],[H%]]-15.4*Table2[[#This Row],[O%]]-14.5*Table2[[#This Row],[N%]])/100</f>
        <v>20.146550000000001</v>
      </c>
      <c r="AG99" s="15">
        <v>4.1000000000000003E-3</v>
      </c>
      <c r="AH99" s="15"/>
      <c r="AI99" s="15"/>
      <c r="AJ99" s="15">
        <v>10</v>
      </c>
      <c r="AM99" s="13">
        <v>2.3208199999999999</v>
      </c>
      <c r="AN99">
        <v>2</v>
      </c>
      <c r="AO99" s="15">
        <v>50</v>
      </c>
      <c r="AP99" s="15">
        <f>LN(25/Table2[[#This Row],[Temperature (C)]]/(1-SQRT((Table2[[#This Row],[Temperature (C)]]-5)/Table2[[#This Row],[Temperature (C)]])))/Table2[[#This Row],[b]]</f>
        <v>0.99067978765013698</v>
      </c>
      <c r="AQ99" s="15">
        <f>IF(Table2[[#This Row],[b]]&lt;&gt;"",Table2[[#This Row],[T-5]], 0)</f>
        <v>0.99067978765013698</v>
      </c>
      <c r="AR99">
        <f>Table2[[#This Row],[Heating time]]+Table2[[#This Row],[Holding Time (min)]]</f>
        <v>50.990679787650137</v>
      </c>
      <c r="AT99" t="s">
        <v>503</v>
      </c>
      <c r="AU99">
        <v>370</v>
      </c>
      <c r="AV99" s="15"/>
      <c r="AW99" s="15">
        <v>39.542253521126703</v>
      </c>
      <c r="AX99" s="15"/>
      <c r="AY99" s="15"/>
      <c r="AZ99" s="15"/>
      <c r="BA99" s="15"/>
      <c r="BB99" s="15" t="str">
        <f>IF(OR(Table2[[#This Row],[Gas wt%]]&lt;&gt;"",Table2[[#This Row],[Loss]]&lt;&gt;""),Table2[[#This Row],[Gas wt%]]+Table2[[#This Row],[Loss]],"")</f>
        <v/>
      </c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>
        <v>0</v>
      </c>
    </row>
    <row r="100" spans="1:106" x14ac:dyDescent="0.25">
      <c r="A100" t="s">
        <v>191</v>
      </c>
      <c r="B100" t="s">
        <v>192</v>
      </c>
      <c r="C100">
        <v>2015</v>
      </c>
      <c r="D100" s="16" t="s">
        <v>190</v>
      </c>
      <c r="E100">
        <v>0</v>
      </c>
      <c r="F100" s="15">
        <v>22.322623828647927</v>
      </c>
      <c r="G100" s="15"/>
      <c r="H100" s="15"/>
      <c r="I100" s="15">
        <v>59.89513609995538</v>
      </c>
      <c r="J100" s="15">
        <v>8.7349397590361448</v>
      </c>
      <c r="K100" s="15"/>
      <c r="L100" s="15">
        <f>IF(Table2[[#This Row],[Lipids wt%]]+Table2[[#This Row],[Protein wt%]]+Table2[[#This Row],[Carbs wt%]] =0,"",SUM(Table2[[#This Row],[Lipids wt%]],Table2[[#This Row],[Protein wt%]],Table2[[#This Row],[Carbs wt%]]))</f>
        <v>90.952699687639438</v>
      </c>
      <c r="M100" s="15">
        <v>8.11</v>
      </c>
      <c r="P100">
        <v>4.3099999999999996</v>
      </c>
      <c r="Z100" s="15">
        <v>49.05</v>
      </c>
      <c r="AA100" s="15">
        <v>6.41</v>
      </c>
      <c r="AB100" s="15">
        <v>27.02</v>
      </c>
      <c r="AC100" s="15">
        <v>8.59</v>
      </c>
      <c r="AD100" s="15">
        <v>0.82</v>
      </c>
      <c r="AE100" s="15">
        <v>0.14000000000000001</v>
      </c>
      <c r="AF100" s="15">
        <f>(33.5*Table2[[#This Row],[C%]]+142.3*Table2[[#This Row],[H%]]-15.4*Table2[[#This Row],[O%]]-14.5*Table2[[#This Row],[N%]])/100</f>
        <v>20.146550000000001</v>
      </c>
      <c r="AG100" s="15">
        <v>4.1000000000000003E-3</v>
      </c>
      <c r="AH100" s="15"/>
      <c r="AI100" s="15"/>
      <c r="AJ100" s="15">
        <v>5</v>
      </c>
      <c r="AM100" s="13">
        <v>2.3208199999999999</v>
      </c>
      <c r="AN100">
        <v>2</v>
      </c>
      <c r="AO100" s="15">
        <v>60</v>
      </c>
      <c r="AP100" s="15">
        <f>LN(25/Table2[[#This Row],[Temperature (C)]]/(1-SQRT((Table2[[#This Row],[Temperature (C)]]-5)/Table2[[#This Row],[Temperature (C)]])))/Table2[[#This Row],[b]]</f>
        <v>0.99067978765013698</v>
      </c>
      <c r="AQ100" s="15">
        <f>IF(Table2[[#This Row],[b]]&lt;&gt;"",Table2[[#This Row],[T-5]], 0)</f>
        <v>0.99067978765013698</v>
      </c>
      <c r="AR100">
        <f>Table2[[#This Row],[Heating time]]+Table2[[#This Row],[Holding Time (min)]]</f>
        <v>60.990679787650137</v>
      </c>
      <c r="AT100" t="s">
        <v>503</v>
      </c>
      <c r="AU100">
        <v>370</v>
      </c>
      <c r="AV100" s="15"/>
      <c r="AW100" s="15">
        <v>32.085308056872002</v>
      </c>
      <c r="AX100" s="15"/>
      <c r="AY100" s="15"/>
      <c r="AZ100" s="15"/>
      <c r="BA100" s="15"/>
      <c r="BB100" s="15" t="str">
        <f>IF(OR(Table2[[#This Row],[Gas wt%]]&lt;&gt;"",Table2[[#This Row],[Loss]]&lt;&gt;""),Table2[[#This Row],[Gas wt%]]+Table2[[#This Row],[Loss]],"")</f>
        <v/>
      </c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>
        <v>0</v>
      </c>
    </row>
    <row r="101" spans="1:106" x14ac:dyDescent="0.25">
      <c r="A101" t="s">
        <v>191</v>
      </c>
      <c r="B101" t="s">
        <v>192</v>
      </c>
      <c r="C101">
        <v>2015</v>
      </c>
      <c r="D101" s="16" t="s">
        <v>190</v>
      </c>
      <c r="E101">
        <v>0</v>
      </c>
      <c r="F101" s="15">
        <v>22.322623828647927</v>
      </c>
      <c r="G101" s="15"/>
      <c r="H101" s="15"/>
      <c r="I101" s="15">
        <v>59.89513609995538</v>
      </c>
      <c r="J101" s="15">
        <v>8.7349397590361448</v>
      </c>
      <c r="K101" s="15"/>
      <c r="L101" s="15">
        <f>IF(Table2[[#This Row],[Lipids wt%]]+Table2[[#This Row],[Protein wt%]]+Table2[[#This Row],[Carbs wt%]] =0,"",SUM(Table2[[#This Row],[Lipids wt%]],Table2[[#This Row],[Protein wt%]],Table2[[#This Row],[Carbs wt%]]))</f>
        <v>90.952699687639438</v>
      </c>
      <c r="M101" s="15">
        <v>8.11</v>
      </c>
      <c r="P101">
        <v>4.3099999999999996</v>
      </c>
      <c r="Z101" s="15">
        <v>49.05</v>
      </c>
      <c r="AA101" s="15">
        <v>6.41</v>
      </c>
      <c r="AB101" s="15">
        <v>27.02</v>
      </c>
      <c r="AC101" s="15">
        <v>8.59</v>
      </c>
      <c r="AD101" s="15">
        <v>0.82</v>
      </c>
      <c r="AE101" s="15">
        <v>0.14000000000000001</v>
      </c>
      <c r="AF101" s="15">
        <f>(33.5*Table2[[#This Row],[C%]]+142.3*Table2[[#This Row],[H%]]-15.4*Table2[[#This Row],[O%]]-14.5*Table2[[#This Row],[N%]])/100</f>
        <v>20.146550000000001</v>
      </c>
      <c r="AG101" s="15">
        <v>4.1000000000000003E-3</v>
      </c>
      <c r="AH101" s="15"/>
      <c r="AI101" s="15"/>
      <c r="AJ101" s="15">
        <v>15</v>
      </c>
      <c r="AM101" s="13">
        <v>2.3208199999999999</v>
      </c>
      <c r="AN101">
        <v>2</v>
      </c>
      <c r="AO101" s="15">
        <v>60</v>
      </c>
      <c r="AP101" s="15">
        <f>LN(25/Table2[[#This Row],[Temperature (C)]]/(1-SQRT((Table2[[#This Row],[Temperature (C)]]-5)/Table2[[#This Row],[Temperature (C)]])))/Table2[[#This Row],[b]]</f>
        <v>0.99067978765013698</v>
      </c>
      <c r="AQ101" s="15">
        <f>IF(Table2[[#This Row],[b]]&lt;&gt;"",Table2[[#This Row],[T-5]], 0)</f>
        <v>0.99067978765013698</v>
      </c>
      <c r="AR101">
        <f>Table2[[#This Row],[Heating time]]+Table2[[#This Row],[Holding Time (min)]]</f>
        <v>60.990679787650137</v>
      </c>
      <c r="AT101" t="s">
        <v>503</v>
      </c>
      <c r="AU101">
        <v>370</v>
      </c>
      <c r="AV101" s="15"/>
      <c r="AW101" s="15">
        <v>38.187203791469102</v>
      </c>
      <c r="AX101" s="15"/>
      <c r="AY101" s="15"/>
      <c r="AZ101" s="15"/>
      <c r="BA101" s="15"/>
      <c r="BB101" s="15" t="str">
        <f>IF(OR(Table2[[#This Row],[Gas wt%]]&lt;&gt;"",Table2[[#This Row],[Loss]]&lt;&gt;""),Table2[[#This Row],[Gas wt%]]+Table2[[#This Row],[Loss]],"")</f>
        <v/>
      </c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>
        <v>0</v>
      </c>
    </row>
    <row r="102" spans="1:106" x14ac:dyDescent="0.25">
      <c r="A102" t="s">
        <v>191</v>
      </c>
      <c r="B102" t="s">
        <v>192</v>
      </c>
      <c r="C102">
        <v>2015</v>
      </c>
      <c r="D102" s="16" t="s">
        <v>190</v>
      </c>
      <c r="E102">
        <v>0</v>
      </c>
      <c r="F102" s="15">
        <v>22.322623828647927</v>
      </c>
      <c r="G102" s="15"/>
      <c r="H102" s="15"/>
      <c r="I102" s="15">
        <v>59.89513609995538</v>
      </c>
      <c r="J102" s="15">
        <v>8.7349397590361448</v>
      </c>
      <c r="K102" s="15"/>
      <c r="L102" s="15">
        <f>IF(Table2[[#This Row],[Lipids wt%]]+Table2[[#This Row],[Protein wt%]]+Table2[[#This Row],[Carbs wt%]] =0,"",SUM(Table2[[#This Row],[Lipids wt%]],Table2[[#This Row],[Protein wt%]],Table2[[#This Row],[Carbs wt%]]))</f>
        <v>90.952699687639438</v>
      </c>
      <c r="M102" s="15">
        <v>8.11</v>
      </c>
      <c r="P102">
        <v>4.3099999999999996</v>
      </c>
      <c r="Z102" s="15">
        <v>49.05</v>
      </c>
      <c r="AA102" s="15">
        <v>6.41</v>
      </c>
      <c r="AB102" s="15">
        <v>27.02</v>
      </c>
      <c r="AC102" s="15">
        <v>8.59</v>
      </c>
      <c r="AD102" s="15">
        <v>0.82</v>
      </c>
      <c r="AE102" s="15">
        <v>0.14000000000000001</v>
      </c>
      <c r="AF102" s="15">
        <f>(33.5*Table2[[#This Row],[C%]]+142.3*Table2[[#This Row],[H%]]-15.4*Table2[[#This Row],[O%]]-14.5*Table2[[#This Row],[N%]])/100</f>
        <v>20.146550000000001</v>
      </c>
      <c r="AG102" s="15">
        <v>4.1000000000000003E-3</v>
      </c>
      <c r="AH102" s="15"/>
      <c r="AI102" s="15"/>
      <c r="AJ102" s="15">
        <v>20</v>
      </c>
      <c r="AM102" s="13">
        <v>2.3208199999999999</v>
      </c>
      <c r="AN102">
        <v>2</v>
      </c>
      <c r="AO102" s="15">
        <v>60</v>
      </c>
      <c r="AP102" s="15">
        <f>LN(25/Table2[[#This Row],[Temperature (C)]]/(1-SQRT((Table2[[#This Row],[Temperature (C)]]-5)/Table2[[#This Row],[Temperature (C)]])))/Table2[[#This Row],[b]]</f>
        <v>0.99067978765013698</v>
      </c>
      <c r="AQ102" s="15">
        <f>IF(Table2[[#This Row],[b]]&lt;&gt;"",Table2[[#This Row],[T-5]], 0)</f>
        <v>0.99067978765013698</v>
      </c>
      <c r="AR102">
        <f>Table2[[#This Row],[Heating time]]+Table2[[#This Row],[Holding Time (min)]]</f>
        <v>60.990679787650137</v>
      </c>
      <c r="AT102" t="s">
        <v>503</v>
      </c>
      <c r="AU102">
        <v>370</v>
      </c>
      <c r="AV102" s="15"/>
      <c r="AW102" s="15">
        <v>36.172985781990498</v>
      </c>
      <c r="AX102" s="15"/>
      <c r="AY102" s="15"/>
      <c r="AZ102" s="15"/>
      <c r="BA102" s="15"/>
      <c r="BB102" s="15" t="str">
        <f>IF(OR(Table2[[#This Row],[Gas wt%]]&lt;&gt;"",Table2[[#This Row],[Loss]]&lt;&gt;""),Table2[[#This Row],[Gas wt%]]+Table2[[#This Row],[Loss]],"")</f>
        <v/>
      </c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>
        <v>0</v>
      </c>
    </row>
    <row r="103" spans="1:106" x14ac:dyDescent="0.25">
      <c r="A103" t="s">
        <v>191</v>
      </c>
      <c r="B103" t="s">
        <v>192</v>
      </c>
      <c r="C103">
        <v>2015</v>
      </c>
      <c r="D103" s="16" t="s">
        <v>190</v>
      </c>
      <c r="E103">
        <v>0</v>
      </c>
      <c r="F103" s="15">
        <v>22.322623828647927</v>
      </c>
      <c r="G103" s="15"/>
      <c r="H103" s="15"/>
      <c r="I103" s="15">
        <v>59.89513609995538</v>
      </c>
      <c r="J103" s="15">
        <v>8.7349397590361448</v>
      </c>
      <c r="K103" s="15"/>
      <c r="L103" s="15">
        <f>IF(Table2[[#This Row],[Lipids wt%]]+Table2[[#This Row],[Protein wt%]]+Table2[[#This Row],[Carbs wt%]] =0,"",SUM(Table2[[#This Row],[Lipids wt%]],Table2[[#This Row],[Protein wt%]],Table2[[#This Row],[Carbs wt%]]))</f>
        <v>90.952699687639438</v>
      </c>
      <c r="M103" s="15">
        <v>8.11</v>
      </c>
      <c r="P103">
        <v>4.3099999999999996</v>
      </c>
      <c r="Z103" s="15">
        <v>49.05</v>
      </c>
      <c r="AA103" s="15">
        <v>6.41</v>
      </c>
      <c r="AB103" s="15">
        <v>27.02</v>
      </c>
      <c r="AC103" s="15">
        <v>8.59</v>
      </c>
      <c r="AD103" s="15">
        <v>0.82</v>
      </c>
      <c r="AE103" s="15">
        <v>0.14000000000000001</v>
      </c>
      <c r="AF103" s="15">
        <f>(33.5*Table2[[#This Row],[C%]]+142.3*Table2[[#This Row],[H%]]-15.4*Table2[[#This Row],[O%]]-14.5*Table2[[#This Row],[N%]])/100</f>
        <v>20.146550000000001</v>
      </c>
      <c r="AG103" s="15">
        <v>4.1000000000000003E-3</v>
      </c>
      <c r="AH103" s="15"/>
      <c r="AI103" s="15"/>
      <c r="AJ103" s="15">
        <v>25</v>
      </c>
      <c r="AM103" s="13">
        <v>2.3208199999999999</v>
      </c>
      <c r="AN103">
        <v>2</v>
      </c>
      <c r="AO103" s="15">
        <v>60</v>
      </c>
      <c r="AP103" s="15">
        <f>LN(25/Table2[[#This Row],[Temperature (C)]]/(1-SQRT((Table2[[#This Row],[Temperature (C)]]-5)/Table2[[#This Row],[Temperature (C)]])))/Table2[[#This Row],[b]]</f>
        <v>0.99067978765013698</v>
      </c>
      <c r="AQ103" s="15">
        <f>IF(Table2[[#This Row],[b]]&lt;&gt;"",Table2[[#This Row],[T-5]], 0)</f>
        <v>0.99067978765013698</v>
      </c>
      <c r="AR103">
        <f>Table2[[#This Row],[Heating time]]+Table2[[#This Row],[Holding Time (min)]]</f>
        <v>60.990679787650137</v>
      </c>
      <c r="AT103" t="s">
        <v>503</v>
      </c>
      <c r="AU103">
        <v>370</v>
      </c>
      <c r="AV103" s="15"/>
      <c r="AW103" s="15">
        <v>37.061611374407498</v>
      </c>
      <c r="AX103" s="15"/>
      <c r="AY103" s="15"/>
      <c r="AZ103" s="15"/>
      <c r="BA103" s="15"/>
      <c r="BB103" s="15" t="str">
        <f>IF(OR(Table2[[#This Row],[Gas wt%]]&lt;&gt;"",Table2[[#This Row],[Loss]]&lt;&gt;""),Table2[[#This Row],[Gas wt%]]+Table2[[#This Row],[Loss]],"")</f>
        <v/>
      </c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>
        <v>0</v>
      </c>
    </row>
    <row r="104" spans="1:106" x14ac:dyDescent="0.25">
      <c r="A104" t="s">
        <v>191</v>
      </c>
      <c r="B104" t="s">
        <v>192</v>
      </c>
      <c r="C104">
        <v>2015</v>
      </c>
      <c r="D104" s="16" t="s">
        <v>190</v>
      </c>
      <c r="E104">
        <v>0</v>
      </c>
      <c r="F104" s="15">
        <v>22.322623828647927</v>
      </c>
      <c r="G104" s="15"/>
      <c r="H104" s="15"/>
      <c r="I104" s="15">
        <v>59.89513609995538</v>
      </c>
      <c r="J104" s="15">
        <v>8.7349397590361448</v>
      </c>
      <c r="K104" s="15"/>
      <c r="L104" s="15">
        <f>IF(Table2[[#This Row],[Lipids wt%]]+Table2[[#This Row],[Protein wt%]]+Table2[[#This Row],[Carbs wt%]] =0,"",SUM(Table2[[#This Row],[Lipids wt%]],Table2[[#This Row],[Protein wt%]],Table2[[#This Row],[Carbs wt%]]))</f>
        <v>90.952699687639438</v>
      </c>
      <c r="M104" s="15">
        <v>8.11</v>
      </c>
      <c r="P104">
        <v>4.3099999999999996</v>
      </c>
      <c r="Z104" s="15">
        <v>49.05</v>
      </c>
      <c r="AA104" s="15">
        <v>6.41</v>
      </c>
      <c r="AB104" s="15">
        <v>27.02</v>
      </c>
      <c r="AC104" s="15">
        <v>8.59</v>
      </c>
      <c r="AD104" s="15">
        <v>0.82</v>
      </c>
      <c r="AE104" s="15">
        <v>0.14000000000000001</v>
      </c>
      <c r="AF104" s="15">
        <f>(33.5*Table2[[#This Row],[C%]]+142.3*Table2[[#This Row],[H%]]-15.4*Table2[[#This Row],[O%]]-14.5*Table2[[#This Row],[N%]])/100</f>
        <v>20.146550000000001</v>
      </c>
      <c r="AG104" s="15">
        <v>4.1000000000000003E-3</v>
      </c>
      <c r="AH104" s="15"/>
      <c r="AI104" s="15"/>
      <c r="AJ104" s="15">
        <v>30</v>
      </c>
      <c r="AM104" s="13">
        <v>2.3208199999999999</v>
      </c>
      <c r="AN104">
        <v>2</v>
      </c>
      <c r="AO104" s="15">
        <v>60</v>
      </c>
      <c r="AP104" s="15">
        <f>LN(25/Table2[[#This Row],[Temperature (C)]]/(1-SQRT((Table2[[#This Row],[Temperature (C)]]-5)/Table2[[#This Row],[Temperature (C)]])))/Table2[[#This Row],[b]]</f>
        <v>0.99067978765013698</v>
      </c>
      <c r="AQ104" s="15">
        <f>IF(Table2[[#This Row],[b]]&lt;&gt;"",Table2[[#This Row],[T-5]], 0)</f>
        <v>0.99067978765013698</v>
      </c>
      <c r="AR104">
        <f>Table2[[#This Row],[Heating time]]+Table2[[#This Row],[Holding Time (min)]]</f>
        <v>60.990679787650137</v>
      </c>
      <c r="AT104" t="s">
        <v>503</v>
      </c>
      <c r="AU104">
        <v>370</v>
      </c>
      <c r="AV104" s="15"/>
      <c r="AW104" s="15">
        <v>32.440758293838797</v>
      </c>
      <c r="AX104" s="15"/>
      <c r="AY104" s="15"/>
      <c r="AZ104" s="15"/>
      <c r="BA104" s="15"/>
      <c r="BB104" s="15" t="str">
        <f>IF(OR(Table2[[#This Row],[Gas wt%]]&lt;&gt;"",Table2[[#This Row],[Loss]]&lt;&gt;""),Table2[[#This Row],[Gas wt%]]+Table2[[#This Row],[Loss]],"")</f>
        <v/>
      </c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>
        <v>0</v>
      </c>
    </row>
    <row r="105" spans="1:106" x14ac:dyDescent="0.25">
      <c r="A105" t="s">
        <v>203</v>
      </c>
      <c r="B105" t="s">
        <v>204</v>
      </c>
      <c r="C105">
        <v>2016</v>
      </c>
      <c r="D105" s="16" t="s">
        <v>205</v>
      </c>
      <c r="E105">
        <v>0</v>
      </c>
      <c r="F105" s="15">
        <v>20.202020202020201</v>
      </c>
      <c r="G105" s="15"/>
      <c r="H105" s="15"/>
      <c r="I105" s="15">
        <v>59.595959595959599</v>
      </c>
      <c r="J105" s="15">
        <v>14.141414141414142</v>
      </c>
      <c r="K105" s="15"/>
      <c r="L105" s="15">
        <f>IF(Table2[[#This Row],[Lipids wt%]]+Table2[[#This Row],[Protein wt%]]+Table2[[#This Row],[Carbs wt%]] =0,"",SUM(Table2[[#This Row],[Lipids wt%]],Table2[[#This Row],[Protein wt%]],Table2[[#This Row],[Carbs wt%]]))</f>
        <v>93.939393939393938</v>
      </c>
      <c r="M105" s="15">
        <v>6</v>
      </c>
      <c r="Z105" s="15"/>
      <c r="AA105" s="15"/>
      <c r="AB105" s="15"/>
      <c r="AC105" s="15"/>
      <c r="AD105" s="15"/>
      <c r="AE105" s="15"/>
      <c r="AF105" s="15"/>
      <c r="AG105" s="15">
        <v>1.67E-3</v>
      </c>
      <c r="AH105" s="15"/>
      <c r="AI105" s="15"/>
      <c r="AJ105" s="15">
        <v>15</v>
      </c>
      <c r="AM105" s="13"/>
      <c r="AO105" s="15">
        <f>50/60</f>
        <v>0.83333333333333337</v>
      </c>
      <c r="AP105" s="15" t="e">
        <f>LN(25/Table2[[#This Row],[Temperature (C)]]/(1-SQRT((Table2[[#This Row],[Temperature (C)]]-5)/Table2[[#This Row],[Temperature (C)]])))/Table2[[#This Row],[b]]</f>
        <v>#DIV/0!</v>
      </c>
      <c r="AQ105" s="15">
        <f>IF(Table2[[#This Row],[b]]&lt;&gt;"",Table2[[#This Row],[T-5]], 0)</f>
        <v>0</v>
      </c>
      <c r="AT105" t="s">
        <v>503</v>
      </c>
      <c r="AU105">
        <v>200</v>
      </c>
      <c r="AV105" s="15">
        <v>91</v>
      </c>
      <c r="AW105" s="15"/>
      <c r="AX105" s="15">
        <v>12</v>
      </c>
      <c r="AY105" s="15">
        <v>15</v>
      </c>
      <c r="AZ105" s="15"/>
      <c r="BA105" s="15"/>
      <c r="BB105" s="15">
        <f>IF(OR(Table2[[#This Row],[Gas wt%]]&lt;&gt;"",Table2[[#This Row],[Loss]]&lt;&gt;""),Table2[[#This Row],[Gas wt%]]+Table2[[#This Row],[Loss]],"")</f>
        <v>15</v>
      </c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>
        <v>0</v>
      </c>
    </row>
    <row r="106" spans="1:106" x14ac:dyDescent="0.25">
      <c r="A106" t="s">
        <v>203</v>
      </c>
      <c r="B106" t="s">
        <v>204</v>
      </c>
      <c r="C106">
        <v>2016</v>
      </c>
      <c r="D106" s="16" t="s">
        <v>205</v>
      </c>
      <c r="E106">
        <v>0</v>
      </c>
      <c r="F106" s="15">
        <v>20.202020202020201</v>
      </c>
      <c r="G106" s="15"/>
      <c r="H106" s="15"/>
      <c r="I106" s="15">
        <v>59.595959595959599</v>
      </c>
      <c r="J106" s="15">
        <v>14.141414141414142</v>
      </c>
      <c r="K106" s="15"/>
      <c r="L106" s="15">
        <f>IF(Table2[[#This Row],[Lipids wt%]]+Table2[[#This Row],[Protein wt%]]+Table2[[#This Row],[Carbs wt%]] =0,"",SUM(Table2[[#This Row],[Lipids wt%]],Table2[[#This Row],[Protein wt%]],Table2[[#This Row],[Carbs wt%]]))</f>
        <v>93.939393939393938</v>
      </c>
      <c r="M106" s="15">
        <v>6</v>
      </c>
      <c r="Z106" s="15"/>
      <c r="AA106" s="15"/>
      <c r="AB106" s="15"/>
      <c r="AC106" s="15"/>
      <c r="AD106" s="15"/>
      <c r="AE106" s="15"/>
      <c r="AF106" s="15"/>
      <c r="AG106" s="15">
        <v>1.67E-3</v>
      </c>
      <c r="AH106" s="15"/>
      <c r="AI106" s="15"/>
      <c r="AJ106" s="15">
        <v>15</v>
      </c>
      <c r="AM106" s="13"/>
      <c r="AO106" s="15">
        <f>165/60</f>
        <v>2.75</v>
      </c>
      <c r="AP106" s="15" t="e">
        <f>LN(25/Table2[[#This Row],[Temperature (C)]]/(1-SQRT((Table2[[#This Row],[Temperature (C)]]-5)/Table2[[#This Row],[Temperature (C)]])))/Table2[[#This Row],[b]]</f>
        <v>#DIV/0!</v>
      </c>
      <c r="AQ106" s="15">
        <f>IF(Table2[[#This Row],[b]]&lt;&gt;"",Table2[[#This Row],[T-5]], 0)</f>
        <v>0</v>
      </c>
      <c r="AT106" t="s">
        <v>503</v>
      </c>
      <c r="AU106">
        <v>200</v>
      </c>
      <c r="AV106" s="15">
        <v>50</v>
      </c>
      <c r="AW106" s="15">
        <v>7</v>
      </c>
      <c r="AX106" s="15">
        <v>26</v>
      </c>
      <c r="AY106" s="15"/>
      <c r="AZ106" s="15"/>
      <c r="BA106" s="15"/>
      <c r="BB106" s="15" t="str">
        <f>IF(OR(Table2[[#This Row],[Gas wt%]]&lt;&gt;"",Table2[[#This Row],[Loss]]&lt;&gt;""),Table2[[#This Row],[Gas wt%]]+Table2[[#This Row],[Loss]],"")</f>
        <v/>
      </c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/>
      <c r="DB106" s="15">
        <v>0</v>
      </c>
    </row>
    <row r="107" spans="1:106" x14ac:dyDescent="0.25">
      <c r="A107" t="s">
        <v>203</v>
      </c>
      <c r="B107" t="s">
        <v>204</v>
      </c>
      <c r="C107">
        <v>2016</v>
      </c>
      <c r="D107" s="16" t="s">
        <v>205</v>
      </c>
      <c r="E107">
        <v>0</v>
      </c>
      <c r="F107" s="15">
        <v>20.202020202020201</v>
      </c>
      <c r="G107" s="15"/>
      <c r="H107" s="15"/>
      <c r="I107" s="15">
        <v>59.595959595959599</v>
      </c>
      <c r="J107" s="15">
        <v>14.141414141414142</v>
      </c>
      <c r="K107" s="15"/>
      <c r="L107" s="15">
        <f>IF(Table2[[#This Row],[Lipids wt%]]+Table2[[#This Row],[Protein wt%]]+Table2[[#This Row],[Carbs wt%]] =0,"",SUM(Table2[[#This Row],[Lipids wt%]],Table2[[#This Row],[Protein wt%]],Table2[[#This Row],[Carbs wt%]]))</f>
        <v>93.939393939393938</v>
      </c>
      <c r="M107" s="15">
        <v>6</v>
      </c>
      <c r="Z107" s="15"/>
      <c r="AA107" s="15"/>
      <c r="AB107" s="15"/>
      <c r="AC107" s="15"/>
      <c r="AD107" s="15"/>
      <c r="AE107" s="15"/>
      <c r="AF107" s="15"/>
      <c r="AG107" s="15">
        <v>1.67E-3</v>
      </c>
      <c r="AH107" s="15"/>
      <c r="AI107" s="15"/>
      <c r="AJ107" s="15">
        <v>15</v>
      </c>
      <c r="AM107" s="13"/>
      <c r="AO107" s="15">
        <f>410/60</f>
        <v>6.833333333333333</v>
      </c>
      <c r="AP107" s="15" t="e">
        <f>LN(25/Table2[[#This Row],[Temperature (C)]]/(1-SQRT((Table2[[#This Row],[Temperature (C)]]-5)/Table2[[#This Row],[Temperature (C)]])))/Table2[[#This Row],[b]]</f>
        <v>#DIV/0!</v>
      </c>
      <c r="AQ107" s="15">
        <f>IF(Table2[[#This Row],[b]]&lt;&gt;"",Table2[[#This Row],[T-5]], 0)</f>
        <v>0</v>
      </c>
      <c r="AT107" t="s">
        <v>503</v>
      </c>
      <c r="AU107">
        <v>200</v>
      </c>
      <c r="AV107" s="15">
        <v>54</v>
      </c>
      <c r="AW107" s="15">
        <v>12</v>
      </c>
      <c r="AX107" s="15">
        <v>30</v>
      </c>
      <c r="AY107" s="15">
        <v>1</v>
      </c>
      <c r="AZ107" s="15"/>
      <c r="BA107" s="15"/>
      <c r="BB107" s="15">
        <f>IF(OR(Table2[[#This Row],[Gas wt%]]&lt;&gt;"",Table2[[#This Row],[Loss]]&lt;&gt;""),Table2[[#This Row],[Gas wt%]]+Table2[[#This Row],[Loss]],"")</f>
        <v>1</v>
      </c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  <c r="CR107" s="15"/>
      <c r="CS107" s="15"/>
      <c r="CT107" s="15"/>
      <c r="CU107" s="15"/>
      <c r="CV107" s="15"/>
      <c r="CW107" s="15"/>
      <c r="CX107" s="15"/>
      <c r="CY107" s="15"/>
      <c r="CZ107" s="15"/>
      <c r="DA107" s="15"/>
      <c r="DB107" s="15">
        <v>0</v>
      </c>
    </row>
    <row r="108" spans="1:106" x14ac:dyDescent="0.25">
      <c r="A108" t="s">
        <v>203</v>
      </c>
      <c r="B108" t="s">
        <v>204</v>
      </c>
      <c r="C108">
        <v>2016</v>
      </c>
      <c r="D108" s="16" t="s">
        <v>205</v>
      </c>
      <c r="E108">
        <v>0</v>
      </c>
      <c r="F108" s="15">
        <v>20.202020202020201</v>
      </c>
      <c r="G108" s="15"/>
      <c r="H108" s="15"/>
      <c r="I108" s="15">
        <v>59.595959595959599</v>
      </c>
      <c r="J108" s="15">
        <v>14.141414141414142</v>
      </c>
      <c r="K108" s="15"/>
      <c r="L108" s="15">
        <f>IF(Table2[[#This Row],[Lipids wt%]]+Table2[[#This Row],[Protein wt%]]+Table2[[#This Row],[Carbs wt%]] =0,"",SUM(Table2[[#This Row],[Lipids wt%]],Table2[[#This Row],[Protein wt%]],Table2[[#This Row],[Carbs wt%]]))</f>
        <v>93.939393939393938</v>
      </c>
      <c r="M108" s="15">
        <v>6</v>
      </c>
      <c r="Z108" s="15"/>
      <c r="AA108" s="15"/>
      <c r="AB108" s="15"/>
      <c r="AC108" s="15"/>
      <c r="AD108" s="15"/>
      <c r="AE108" s="15"/>
      <c r="AF108" s="15"/>
      <c r="AG108" s="15">
        <v>1.67E-3</v>
      </c>
      <c r="AH108" s="15"/>
      <c r="AI108" s="15"/>
      <c r="AJ108" s="15">
        <v>15</v>
      </c>
      <c r="AM108" s="13"/>
      <c r="AO108" s="15">
        <f>880/60</f>
        <v>14.666666666666666</v>
      </c>
      <c r="AP108" s="15" t="e">
        <f>LN(25/Table2[[#This Row],[Temperature (C)]]/(1-SQRT((Table2[[#This Row],[Temperature (C)]]-5)/Table2[[#This Row],[Temperature (C)]])))/Table2[[#This Row],[b]]</f>
        <v>#DIV/0!</v>
      </c>
      <c r="AQ108" s="15">
        <f>IF(Table2[[#This Row],[b]]&lt;&gt;"",Table2[[#This Row],[T-5]], 0)</f>
        <v>0</v>
      </c>
      <c r="AT108" t="s">
        <v>503</v>
      </c>
      <c r="AU108">
        <v>200</v>
      </c>
      <c r="AV108" s="15">
        <v>38</v>
      </c>
      <c r="AW108" s="15">
        <v>18</v>
      </c>
      <c r="AX108" s="15">
        <v>37</v>
      </c>
      <c r="AY108" s="15">
        <v>2</v>
      </c>
      <c r="AZ108" s="15"/>
      <c r="BA108" s="15"/>
      <c r="BB108" s="15">
        <f>IF(OR(Table2[[#This Row],[Gas wt%]]&lt;&gt;"",Table2[[#This Row],[Loss]]&lt;&gt;""),Table2[[#This Row],[Gas wt%]]+Table2[[#This Row],[Loss]],"")</f>
        <v>2</v>
      </c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>
        <v>0</v>
      </c>
    </row>
    <row r="109" spans="1:106" x14ac:dyDescent="0.25">
      <c r="A109" t="s">
        <v>203</v>
      </c>
      <c r="B109" t="s">
        <v>204</v>
      </c>
      <c r="C109">
        <v>2016</v>
      </c>
      <c r="D109" s="16" t="s">
        <v>205</v>
      </c>
      <c r="E109">
        <v>0</v>
      </c>
      <c r="F109" s="15">
        <v>20.202020202020201</v>
      </c>
      <c r="G109" s="15"/>
      <c r="H109" s="15"/>
      <c r="I109" s="15">
        <v>59.595959595959599</v>
      </c>
      <c r="J109" s="15">
        <v>14.141414141414142</v>
      </c>
      <c r="K109" s="15"/>
      <c r="L109" s="15">
        <f>IF(Table2[[#This Row],[Lipids wt%]]+Table2[[#This Row],[Protein wt%]]+Table2[[#This Row],[Carbs wt%]] =0,"",SUM(Table2[[#This Row],[Lipids wt%]],Table2[[#This Row],[Protein wt%]],Table2[[#This Row],[Carbs wt%]]))</f>
        <v>93.939393939393938</v>
      </c>
      <c r="M109" s="15">
        <v>6</v>
      </c>
      <c r="Z109" s="15"/>
      <c r="AA109" s="15"/>
      <c r="AB109" s="15"/>
      <c r="AC109" s="15"/>
      <c r="AD109" s="15"/>
      <c r="AE109" s="15"/>
      <c r="AF109" s="15"/>
      <c r="AG109" s="15">
        <v>1.67E-3</v>
      </c>
      <c r="AH109" s="15"/>
      <c r="AI109" s="15"/>
      <c r="AJ109" s="15">
        <v>15</v>
      </c>
      <c r="AM109" s="13"/>
      <c r="AO109" s="15">
        <f>2380/60</f>
        <v>39.666666666666664</v>
      </c>
      <c r="AP109" s="15" t="e">
        <f>LN(25/Table2[[#This Row],[Temperature (C)]]/(1-SQRT((Table2[[#This Row],[Temperature (C)]]-5)/Table2[[#This Row],[Temperature (C)]])))/Table2[[#This Row],[b]]</f>
        <v>#DIV/0!</v>
      </c>
      <c r="AQ109" s="15">
        <f>IF(Table2[[#This Row],[b]]&lt;&gt;"",Table2[[#This Row],[T-5]], 0)</f>
        <v>0</v>
      </c>
      <c r="AT109" t="s">
        <v>503</v>
      </c>
      <c r="AU109">
        <v>200</v>
      </c>
      <c r="AV109" s="15">
        <v>28</v>
      </c>
      <c r="AW109" s="15">
        <v>23</v>
      </c>
      <c r="AX109" s="15">
        <v>43</v>
      </c>
      <c r="AY109" s="15">
        <v>2</v>
      </c>
      <c r="AZ109" s="15"/>
      <c r="BA109" s="15"/>
      <c r="BB109" s="15">
        <f>IF(OR(Table2[[#This Row],[Gas wt%]]&lt;&gt;"",Table2[[#This Row],[Loss]]&lt;&gt;""),Table2[[#This Row],[Gas wt%]]+Table2[[#This Row],[Loss]],"")</f>
        <v>2</v>
      </c>
      <c r="BC109" s="15"/>
      <c r="BD109" s="15"/>
      <c r="BE109" s="15"/>
      <c r="BF109" s="15"/>
      <c r="BG109" s="15">
        <v>1</v>
      </c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>
        <v>0</v>
      </c>
    </row>
    <row r="110" spans="1:106" x14ac:dyDescent="0.25">
      <c r="A110" t="s">
        <v>203</v>
      </c>
      <c r="B110" t="s">
        <v>204</v>
      </c>
      <c r="C110">
        <v>2016</v>
      </c>
      <c r="D110" s="16" t="s">
        <v>205</v>
      </c>
      <c r="E110">
        <v>0</v>
      </c>
      <c r="F110" s="15">
        <v>20.202020202020201</v>
      </c>
      <c r="G110" s="15"/>
      <c r="H110" s="15"/>
      <c r="I110" s="15">
        <v>59.595959595959599</v>
      </c>
      <c r="J110" s="15">
        <v>14.141414141414142</v>
      </c>
      <c r="K110" s="15"/>
      <c r="L110" s="15">
        <f>IF(Table2[[#This Row],[Lipids wt%]]+Table2[[#This Row],[Protein wt%]]+Table2[[#This Row],[Carbs wt%]] =0,"",SUM(Table2[[#This Row],[Lipids wt%]],Table2[[#This Row],[Protein wt%]],Table2[[#This Row],[Carbs wt%]]))</f>
        <v>93.939393939393938</v>
      </c>
      <c r="M110" s="15">
        <v>6</v>
      </c>
      <c r="Z110" s="15"/>
      <c r="AA110" s="15"/>
      <c r="AB110" s="15"/>
      <c r="AC110" s="15"/>
      <c r="AD110" s="15"/>
      <c r="AE110" s="15"/>
      <c r="AF110" s="15"/>
      <c r="AG110" s="15">
        <v>1.67E-3</v>
      </c>
      <c r="AH110" s="15"/>
      <c r="AI110" s="15"/>
      <c r="AJ110" s="15">
        <v>15</v>
      </c>
      <c r="AM110" s="13"/>
      <c r="AO110" s="15">
        <f>80/60</f>
        <v>1.3333333333333333</v>
      </c>
      <c r="AP110" s="15" t="e">
        <f>LN(25/Table2[[#This Row],[Temperature (C)]]/(1-SQRT((Table2[[#This Row],[Temperature (C)]]-5)/Table2[[#This Row],[Temperature (C)]])))/Table2[[#This Row],[b]]</f>
        <v>#DIV/0!</v>
      </c>
      <c r="AQ110" s="15">
        <f>IF(Table2[[#This Row],[b]]&lt;&gt;"",Table2[[#This Row],[T-5]], 0)</f>
        <v>0</v>
      </c>
      <c r="AT110" t="s">
        <v>503</v>
      </c>
      <c r="AU110">
        <v>250</v>
      </c>
      <c r="AV110" s="15">
        <v>43</v>
      </c>
      <c r="AW110" s="15">
        <v>12</v>
      </c>
      <c r="AX110" s="15">
        <v>24</v>
      </c>
      <c r="AY110" s="15">
        <v>3</v>
      </c>
      <c r="AZ110" s="15"/>
      <c r="BA110" s="15"/>
      <c r="BB110" s="15">
        <f>IF(OR(Table2[[#This Row],[Gas wt%]]&lt;&gt;"",Table2[[#This Row],[Loss]]&lt;&gt;""),Table2[[#This Row],[Gas wt%]]+Table2[[#This Row],[Loss]],"")</f>
        <v>3</v>
      </c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5"/>
      <c r="CZ110" s="15"/>
      <c r="DA110" s="15"/>
      <c r="DB110" s="15">
        <v>0</v>
      </c>
    </row>
    <row r="111" spans="1:106" x14ac:dyDescent="0.25">
      <c r="A111" t="s">
        <v>203</v>
      </c>
      <c r="B111" t="s">
        <v>204</v>
      </c>
      <c r="C111">
        <v>2016</v>
      </c>
      <c r="D111" s="16" t="s">
        <v>205</v>
      </c>
      <c r="E111">
        <v>0</v>
      </c>
      <c r="F111" s="15">
        <v>20.202020202020201</v>
      </c>
      <c r="G111" s="15"/>
      <c r="H111" s="15"/>
      <c r="I111" s="15">
        <v>59.595959595959599</v>
      </c>
      <c r="J111" s="15">
        <v>14.141414141414142</v>
      </c>
      <c r="K111" s="15"/>
      <c r="L111" s="15">
        <f>IF(Table2[[#This Row],[Lipids wt%]]+Table2[[#This Row],[Protein wt%]]+Table2[[#This Row],[Carbs wt%]] =0,"",SUM(Table2[[#This Row],[Lipids wt%]],Table2[[#This Row],[Protein wt%]],Table2[[#This Row],[Carbs wt%]]))</f>
        <v>93.939393939393938</v>
      </c>
      <c r="M111" s="15">
        <v>6</v>
      </c>
      <c r="Z111" s="15"/>
      <c r="AA111" s="15"/>
      <c r="AB111" s="15"/>
      <c r="AC111" s="15"/>
      <c r="AD111" s="15"/>
      <c r="AE111" s="15"/>
      <c r="AF111" s="15"/>
      <c r="AG111" s="15">
        <v>1.67E-3</v>
      </c>
      <c r="AH111" s="15"/>
      <c r="AI111" s="15"/>
      <c r="AJ111" s="15">
        <v>15</v>
      </c>
      <c r="AM111" s="13"/>
      <c r="AO111" s="15">
        <f>135/60</f>
        <v>2.25</v>
      </c>
      <c r="AP111" s="15" t="e">
        <f>LN(25/Table2[[#This Row],[Temperature (C)]]/(1-SQRT((Table2[[#This Row],[Temperature (C)]]-5)/Table2[[#This Row],[Temperature (C)]])))/Table2[[#This Row],[b]]</f>
        <v>#DIV/0!</v>
      </c>
      <c r="AQ111" s="15">
        <f>IF(Table2[[#This Row],[b]]&lt;&gt;"",Table2[[#This Row],[T-5]], 0)</f>
        <v>0</v>
      </c>
      <c r="AT111" t="s">
        <v>503</v>
      </c>
      <c r="AU111">
        <v>250</v>
      </c>
      <c r="AV111" s="15">
        <v>46</v>
      </c>
      <c r="AW111" s="15">
        <v>17</v>
      </c>
      <c r="AX111" s="15">
        <v>35</v>
      </c>
      <c r="AY111" s="15"/>
      <c r="AZ111" s="15"/>
      <c r="BA111" s="15"/>
      <c r="BB111" s="15" t="str">
        <f>IF(OR(Table2[[#This Row],[Gas wt%]]&lt;&gt;"",Table2[[#This Row],[Loss]]&lt;&gt;""),Table2[[#This Row],[Gas wt%]]+Table2[[#This Row],[Loss]],"")</f>
        <v/>
      </c>
      <c r="BC111" s="15"/>
      <c r="BD111" s="15"/>
      <c r="BE111" s="15"/>
      <c r="BF111" s="15"/>
      <c r="BG111" s="15">
        <v>3</v>
      </c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>
        <v>0</v>
      </c>
    </row>
    <row r="112" spans="1:106" x14ac:dyDescent="0.25">
      <c r="A112" t="s">
        <v>203</v>
      </c>
      <c r="B112" t="s">
        <v>204</v>
      </c>
      <c r="C112">
        <v>2016</v>
      </c>
      <c r="D112" s="16" t="s">
        <v>205</v>
      </c>
      <c r="E112">
        <v>0</v>
      </c>
      <c r="F112" s="15">
        <v>20.202020202020201</v>
      </c>
      <c r="G112" s="15"/>
      <c r="H112" s="15"/>
      <c r="I112" s="15">
        <v>59.595959595959599</v>
      </c>
      <c r="J112" s="15">
        <v>14.141414141414142</v>
      </c>
      <c r="K112" s="15"/>
      <c r="L112" s="15">
        <f>IF(Table2[[#This Row],[Lipids wt%]]+Table2[[#This Row],[Protein wt%]]+Table2[[#This Row],[Carbs wt%]] =0,"",SUM(Table2[[#This Row],[Lipids wt%]],Table2[[#This Row],[Protein wt%]],Table2[[#This Row],[Carbs wt%]]))</f>
        <v>93.939393939393938</v>
      </c>
      <c r="M112" s="15">
        <v>6</v>
      </c>
      <c r="Z112" s="15"/>
      <c r="AA112" s="15"/>
      <c r="AB112" s="15"/>
      <c r="AC112" s="15"/>
      <c r="AD112" s="15"/>
      <c r="AE112" s="15"/>
      <c r="AF112" s="15"/>
      <c r="AG112" s="15">
        <v>1.67E-3</v>
      </c>
      <c r="AH112" s="15"/>
      <c r="AI112" s="15"/>
      <c r="AJ112" s="15">
        <v>15</v>
      </c>
      <c r="AM112" s="13"/>
      <c r="AO112" s="15">
        <f>290/60</f>
        <v>4.833333333333333</v>
      </c>
      <c r="AP112" s="15" t="e">
        <f>LN(25/Table2[[#This Row],[Temperature (C)]]/(1-SQRT((Table2[[#This Row],[Temperature (C)]]-5)/Table2[[#This Row],[Temperature (C)]])))/Table2[[#This Row],[b]]</f>
        <v>#DIV/0!</v>
      </c>
      <c r="AQ112" s="15">
        <f>IF(Table2[[#This Row],[b]]&lt;&gt;"",Table2[[#This Row],[T-5]], 0)</f>
        <v>0</v>
      </c>
      <c r="AT112" t="s">
        <v>503</v>
      </c>
      <c r="AU112">
        <v>250</v>
      </c>
      <c r="AV112" s="15">
        <v>24</v>
      </c>
      <c r="AW112" s="15">
        <v>24</v>
      </c>
      <c r="AX112" s="15">
        <v>39</v>
      </c>
      <c r="AY112" s="15">
        <v>5</v>
      </c>
      <c r="AZ112" s="15"/>
      <c r="BA112" s="15"/>
      <c r="BB112" s="15">
        <f>IF(OR(Table2[[#This Row],[Gas wt%]]&lt;&gt;"",Table2[[#This Row],[Loss]]&lt;&gt;""),Table2[[#This Row],[Gas wt%]]+Table2[[#This Row],[Loss]],"")</f>
        <v>5</v>
      </c>
      <c r="BC112" s="15"/>
      <c r="BD112" s="15"/>
      <c r="BE112" s="15"/>
      <c r="BF112" s="15"/>
      <c r="BG112" s="15">
        <v>7</v>
      </c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15"/>
      <c r="CU112" s="15"/>
      <c r="CV112" s="15"/>
      <c r="CW112" s="15"/>
      <c r="CX112" s="15"/>
      <c r="CY112" s="15"/>
      <c r="CZ112" s="15"/>
      <c r="DA112" s="15"/>
      <c r="DB112" s="15">
        <v>0</v>
      </c>
    </row>
    <row r="113" spans="1:106" x14ac:dyDescent="0.25">
      <c r="A113" t="s">
        <v>203</v>
      </c>
      <c r="B113" t="s">
        <v>204</v>
      </c>
      <c r="C113">
        <v>2016</v>
      </c>
      <c r="D113" s="16" t="s">
        <v>205</v>
      </c>
      <c r="E113">
        <v>0</v>
      </c>
      <c r="F113" s="15">
        <v>20.202020202020201</v>
      </c>
      <c r="G113" s="15"/>
      <c r="H113" s="15"/>
      <c r="I113" s="15">
        <v>59.595959595959599</v>
      </c>
      <c r="J113" s="15">
        <v>14.141414141414142</v>
      </c>
      <c r="K113" s="15"/>
      <c r="L113" s="15">
        <f>IF(Table2[[#This Row],[Lipids wt%]]+Table2[[#This Row],[Protein wt%]]+Table2[[#This Row],[Carbs wt%]] =0,"",SUM(Table2[[#This Row],[Lipids wt%]],Table2[[#This Row],[Protein wt%]],Table2[[#This Row],[Carbs wt%]]))</f>
        <v>93.939393939393938</v>
      </c>
      <c r="M113" s="15">
        <v>6</v>
      </c>
      <c r="Z113" s="15"/>
      <c r="AA113" s="15"/>
      <c r="AB113" s="15"/>
      <c r="AC113" s="15"/>
      <c r="AD113" s="15"/>
      <c r="AE113" s="15"/>
      <c r="AF113" s="15"/>
      <c r="AG113" s="15">
        <v>1.67E-3</v>
      </c>
      <c r="AH113" s="15"/>
      <c r="AI113" s="15"/>
      <c r="AJ113" s="15">
        <v>15</v>
      </c>
      <c r="AM113" s="13"/>
      <c r="AO113" s="15">
        <f>1185/60</f>
        <v>19.75</v>
      </c>
      <c r="AP113" s="15" t="e">
        <f>LN(25/Table2[[#This Row],[Temperature (C)]]/(1-SQRT((Table2[[#This Row],[Temperature (C)]]-5)/Table2[[#This Row],[Temperature (C)]])))/Table2[[#This Row],[b]]</f>
        <v>#DIV/0!</v>
      </c>
      <c r="AQ113" s="15">
        <f>IF(Table2[[#This Row],[b]]&lt;&gt;"",Table2[[#This Row],[T-5]], 0)</f>
        <v>0</v>
      </c>
      <c r="AT113" t="s">
        <v>503</v>
      </c>
      <c r="AU113">
        <v>250</v>
      </c>
      <c r="AV113" s="15">
        <v>7</v>
      </c>
      <c r="AW113" s="15">
        <v>33</v>
      </c>
      <c r="AX113" s="15">
        <v>36</v>
      </c>
      <c r="AY113" s="15">
        <v>12</v>
      </c>
      <c r="AZ113" s="15"/>
      <c r="BA113" s="15"/>
      <c r="BB113" s="15">
        <f>IF(OR(Table2[[#This Row],[Gas wt%]]&lt;&gt;"",Table2[[#This Row],[Loss]]&lt;&gt;""),Table2[[#This Row],[Gas wt%]]+Table2[[#This Row],[Loss]],"")</f>
        <v>12</v>
      </c>
      <c r="BC113" s="15"/>
      <c r="BD113" s="15"/>
      <c r="BE113" s="15"/>
      <c r="BF113" s="15"/>
      <c r="BG113" s="15">
        <v>13</v>
      </c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  <c r="CT113" s="15"/>
      <c r="CU113" s="15"/>
      <c r="CV113" s="15"/>
      <c r="CW113" s="15"/>
      <c r="CX113" s="15"/>
      <c r="CY113" s="15"/>
      <c r="CZ113" s="15"/>
      <c r="DA113" s="15"/>
      <c r="DB113" s="15">
        <v>0</v>
      </c>
    </row>
    <row r="114" spans="1:106" x14ac:dyDescent="0.25">
      <c r="A114" t="s">
        <v>203</v>
      </c>
      <c r="B114" t="s">
        <v>204</v>
      </c>
      <c r="C114">
        <v>2016</v>
      </c>
      <c r="D114" s="16" t="s">
        <v>205</v>
      </c>
      <c r="E114">
        <v>0</v>
      </c>
      <c r="F114" s="15">
        <v>20.202020202020201</v>
      </c>
      <c r="G114" s="15"/>
      <c r="H114" s="15"/>
      <c r="I114" s="15">
        <v>59.595959595959599</v>
      </c>
      <c r="J114" s="15">
        <v>14.141414141414142</v>
      </c>
      <c r="K114" s="15"/>
      <c r="L114" s="15">
        <f>IF(Table2[[#This Row],[Lipids wt%]]+Table2[[#This Row],[Protein wt%]]+Table2[[#This Row],[Carbs wt%]] =0,"",SUM(Table2[[#This Row],[Lipids wt%]],Table2[[#This Row],[Protein wt%]],Table2[[#This Row],[Carbs wt%]]))</f>
        <v>93.939393939393938</v>
      </c>
      <c r="M114" s="15">
        <v>6</v>
      </c>
      <c r="Z114" s="15"/>
      <c r="AA114" s="15"/>
      <c r="AB114" s="15"/>
      <c r="AC114" s="15"/>
      <c r="AD114" s="15"/>
      <c r="AE114" s="15"/>
      <c r="AF114" s="15"/>
      <c r="AG114" s="15">
        <v>1.67E-3</v>
      </c>
      <c r="AH114" s="15"/>
      <c r="AI114" s="15"/>
      <c r="AJ114" s="15">
        <v>15</v>
      </c>
      <c r="AM114" s="13"/>
      <c r="AO114" s="15">
        <f>3590/60</f>
        <v>59.833333333333336</v>
      </c>
      <c r="AP114" s="15" t="e">
        <f>LN(25/Table2[[#This Row],[Temperature (C)]]/(1-SQRT((Table2[[#This Row],[Temperature (C)]]-5)/Table2[[#This Row],[Temperature (C)]])))/Table2[[#This Row],[b]]</f>
        <v>#DIV/0!</v>
      </c>
      <c r="AQ114" s="15">
        <f>IF(Table2[[#This Row],[b]]&lt;&gt;"",Table2[[#This Row],[T-5]], 0)</f>
        <v>0</v>
      </c>
      <c r="AT114" t="s">
        <v>503</v>
      </c>
      <c r="AU114">
        <v>250</v>
      </c>
      <c r="AV114" s="15">
        <v>6</v>
      </c>
      <c r="AW114" s="15">
        <v>41</v>
      </c>
      <c r="AX114" s="15">
        <v>35</v>
      </c>
      <c r="AY114" s="15">
        <v>22</v>
      </c>
      <c r="AZ114" s="15"/>
      <c r="BA114" s="15"/>
      <c r="BB114" s="15">
        <f>IF(OR(Table2[[#This Row],[Gas wt%]]&lt;&gt;"",Table2[[#This Row],[Loss]]&lt;&gt;""),Table2[[#This Row],[Gas wt%]]+Table2[[#This Row],[Loss]],"")</f>
        <v>22</v>
      </c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/>
      <c r="CT114" s="15"/>
      <c r="CU114" s="15"/>
      <c r="CV114" s="15"/>
      <c r="CW114" s="15"/>
      <c r="CX114" s="15"/>
      <c r="CY114" s="15"/>
      <c r="CZ114" s="15"/>
      <c r="DA114" s="15"/>
      <c r="DB114" s="15">
        <v>0</v>
      </c>
    </row>
    <row r="115" spans="1:106" x14ac:dyDescent="0.25">
      <c r="A115" t="s">
        <v>203</v>
      </c>
      <c r="B115" t="s">
        <v>204</v>
      </c>
      <c r="C115">
        <v>2016</v>
      </c>
      <c r="D115" s="16" t="s">
        <v>205</v>
      </c>
      <c r="E115">
        <v>0</v>
      </c>
      <c r="F115" s="15">
        <v>20.202020202020201</v>
      </c>
      <c r="G115" s="15"/>
      <c r="H115" s="15"/>
      <c r="I115" s="15">
        <v>59.595959595959599</v>
      </c>
      <c r="J115" s="15">
        <v>14.141414141414142</v>
      </c>
      <c r="K115" s="15"/>
      <c r="L115" s="15">
        <f>IF(Table2[[#This Row],[Lipids wt%]]+Table2[[#This Row],[Protein wt%]]+Table2[[#This Row],[Carbs wt%]] =0,"",SUM(Table2[[#This Row],[Lipids wt%]],Table2[[#This Row],[Protein wt%]],Table2[[#This Row],[Carbs wt%]]))</f>
        <v>93.939393939393938</v>
      </c>
      <c r="M115" s="15">
        <v>6</v>
      </c>
      <c r="Z115" s="15"/>
      <c r="AA115" s="15"/>
      <c r="AB115" s="15"/>
      <c r="AC115" s="15"/>
      <c r="AD115" s="15"/>
      <c r="AE115" s="15"/>
      <c r="AF115" s="15"/>
      <c r="AG115" s="15">
        <v>1.67E-3</v>
      </c>
      <c r="AH115" s="15"/>
      <c r="AI115" s="15"/>
      <c r="AJ115" s="15">
        <v>15</v>
      </c>
      <c r="AM115" s="13"/>
      <c r="AO115" s="15">
        <v>0.25</v>
      </c>
      <c r="AP115" s="15" t="e">
        <f>LN(25/Table2[[#This Row],[Temperature (C)]]/(1-SQRT((Table2[[#This Row],[Temperature (C)]]-5)/Table2[[#This Row],[Temperature (C)]])))/Table2[[#This Row],[b]]</f>
        <v>#DIV/0!</v>
      </c>
      <c r="AQ115" s="15">
        <f>IF(Table2[[#This Row],[b]]&lt;&gt;"",Table2[[#This Row],[T-5]], 0)</f>
        <v>0</v>
      </c>
      <c r="AT115" t="s">
        <v>503</v>
      </c>
      <c r="AU115">
        <v>300</v>
      </c>
      <c r="AV115" s="15">
        <v>94</v>
      </c>
      <c r="AW115" s="15">
        <v>2</v>
      </c>
      <c r="AX115" s="15">
        <v>11</v>
      </c>
      <c r="AY115" s="15">
        <v>10</v>
      </c>
      <c r="AZ115" s="15"/>
      <c r="BA115" s="15"/>
      <c r="BB115" s="15">
        <f>IF(OR(Table2[[#This Row],[Gas wt%]]&lt;&gt;"",Table2[[#This Row],[Loss]]&lt;&gt;""),Table2[[#This Row],[Gas wt%]]+Table2[[#This Row],[Loss]],"")</f>
        <v>10</v>
      </c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>
        <v>0</v>
      </c>
    </row>
    <row r="116" spans="1:106" x14ac:dyDescent="0.25">
      <c r="A116" t="s">
        <v>203</v>
      </c>
      <c r="B116" t="s">
        <v>204</v>
      </c>
      <c r="C116">
        <v>2016</v>
      </c>
      <c r="D116" s="16" t="s">
        <v>205</v>
      </c>
      <c r="E116">
        <v>0</v>
      </c>
      <c r="F116" s="15">
        <v>20.202020202020201</v>
      </c>
      <c r="G116" s="15"/>
      <c r="H116" s="15"/>
      <c r="I116" s="15">
        <v>59.595959595959599</v>
      </c>
      <c r="J116" s="15">
        <v>14.141414141414142</v>
      </c>
      <c r="K116" s="15"/>
      <c r="L116" s="15">
        <f>IF(Table2[[#This Row],[Lipids wt%]]+Table2[[#This Row],[Protein wt%]]+Table2[[#This Row],[Carbs wt%]] =0,"",SUM(Table2[[#This Row],[Lipids wt%]],Table2[[#This Row],[Protein wt%]],Table2[[#This Row],[Carbs wt%]]))</f>
        <v>93.939393939393938</v>
      </c>
      <c r="M116" s="15">
        <v>6</v>
      </c>
      <c r="Z116" s="15"/>
      <c r="AA116" s="15"/>
      <c r="AB116" s="15"/>
      <c r="AC116" s="15"/>
      <c r="AD116" s="15"/>
      <c r="AE116" s="15"/>
      <c r="AF116" s="15"/>
      <c r="AG116" s="15">
        <v>1.67E-3</v>
      </c>
      <c r="AH116" s="15"/>
      <c r="AI116" s="15"/>
      <c r="AJ116" s="15">
        <v>15</v>
      </c>
      <c r="AM116" s="13"/>
      <c r="AO116" s="15">
        <v>0.41666666666666669</v>
      </c>
      <c r="AP116" s="15" t="e">
        <f>LN(25/Table2[[#This Row],[Temperature (C)]]/(1-SQRT((Table2[[#This Row],[Temperature (C)]]-5)/Table2[[#This Row],[Temperature (C)]])))/Table2[[#This Row],[b]]</f>
        <v>#DIV/0!</v>
      </c>
      <c r="AQ116" s="15">
        <f>IF(Table2[[#This Row],[b]]&lt;&gt;"",Table2[[#This Row],[T-5]], 0)</f>
        <v>0</v>
      </c>
      <c r="AT116" t="s">
        <v>503</v>
      </c>
      <c r="AU116">
        <v>300</v>
      </c>
      <c r="AV116" s="15">
        <v>87</v>
      </c>
      <c r="AW116" s="15">
        <v>2</v>
      </c>
      <c r="AX116" s="15">
        <v>10</v>
      </c>
      <c r="AY116" s="15">
        <v>3</v>
      </c>
      <c r="AZ116" s="15"/>
      <c r="BA116" s="15"/>
      <c r="BB116" s="15">
        <f>IF(OR(Table2[[#This Row],[Gas wt%]]&lt;&gt;"",Table2[[#This Row],[Loss]]&lt;&gt;""),Table2[[#This Row],[Gas wt%]]+Table2[[#This Row],[Loss]],"")</f>
        <v>3</v>
      </c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  <c r="CY116" s="15"/>
      <c r="CZ116" s="15"/>
      <c r="DA116" s="15"/>
      <c r="DB116" s="15">
        <v>0</v>
      </c>
    </row>
    <row r="117" spans="1:106" x14ac:dyDescent="0.25">
      <c r="A117" t="s">
        <v>203</v>
      </c>
      <c r="B117" t="s">
        <v>204</v>
      </c>
      <c r="C117">
        <v>2016</v>
      </c>
      <c r="D117" s="16" t="s">
        <v>205</v>
      </c>
      <c r="E117">
        <v>0</v>
      </c>
      <c r="F117" s="15">
        <v>20.202020202020201</v>
      </c>
      <c r="G117" s="15"/>
      <c r="H117" s="15"/>
      <c r="I117" s="15">
        <v>59.595959595959599</v>
      </c>
      <c r="J117" s="15">
        <v>14.141414141414142</v>
      </c>
      <c r="K117" s="15"/>
      <c r="L117" s="15">
        <f>IF(Table2[[#This Row],[Lipids wt%]]+Table2[[#This Row],[Protein wt%]]+Table2[[#This Row],[Carbs wt%]] =0,"",SUM(Table2[[#This Row],[Lipids wt%]],Table2[[#This Row],[Protein wt%]],Table2[[#This Row],[Carbs wt%]]))</f>
        <v>93.939393939393938</v>
      </c>
      <c r="M117" s="15">
        <v>6</v>
      </c>
      <c r="Z117" s="15"/>
      <c r="AA117" s="15"/>
      <c r="AB117" s="15"/>
      <c r="AC117" s="15"/>
      <c r="AD117" s="15"/>
      <c r="AE117" s="15"/>
      <c r="AF117" s="15"/>
      <c r="AG117" s="15">
        <v>1.67E-3</v>
      </c>
      <c r="AH117" s="15"/>
      <c r="AI117" s="15"/>
      <c r="AJ117" s="15">
        <v>15</v>
      </c>
      <c r="AM117" s="13"/>
      <c r="AO117" s="15">
        <v>0.58333333333333337</v>
      </c>
      <c r="AP117" s="15" t="e">
        <f>LN(25/Table2[[#This Row],[Temperature (C)]]/(1-SQRT((Table2[[#This Row],[Temperature (C)]]-5)/Table2[[#This Row],[Temperature (C)]])))/Table2[[#This Row],[b]]</f>
        <v>#DIV/0!</v>
      </c>
      <c r="AQ117" s="15">
        <f>IF(Table2[[#This Row],[b]]&lt;&gt;"",Table2[[#This Row],[T-5]], 0)</f>
        <v>0</v>
      </c>
      <c r="AT117" t="s">
        <v>503</v>
      </c>
      <c r="AU117">
        <v>300</v>
      </c>
      <c r="AV117" s="15">
        <v>83</v>
      </c>
      <c r="AW117" s="15">
        <v>2</v>
      </c>
      <c r="AX117" s="15">
        <v>17</v>
      </c>
      <c r="AY117" s="15">
        <v>7</v>
      </c>
      <c r="AZ117" s="15"/>
      <c r="BA117" s="15"/>
      <c r="BB117" s="15">
        <f>IF(OR(Table2[[#This Row],[Gas wt%]]&lt;&gt;"",Table2[[#This Row],[Loss]]&lt;&gt;""),Table2[[#This Row],[Gas wt%]]+Table2[[#This Row],[Loss]],"")</f>
        <v>7</v>
      </c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  <c r="CY117" s="15"/>
      <c r="CZ117" s="15"/>
      <c r="DA117" s="15"/>
      <c r="DB117" s="15">
        <v>0</v>
      </c>
    </row>
    <row r="118" spans="1:106" x14ac:dyDescent="0.25">
      <c r="A118" t="s">
        <v>203</v>
      </c>
      <c r="B118" t="s">
        <v>204</v>
      </c>
      <c r="C118">
        <v>2016</v>
      </c>
      <c r="D118" s="16" t="s">
        <v>205</v>
      </c>
      <c r="E118">
        <v>0</v>
      </c>
      <c r="F118" s="15">
        <v>20.202020202020201</v>
      </c>
      <c r="G118" s="15"/>
      <c r="H118" s="15"/>
      <c r="I118" s="15">
        <v>59.595959595959599</v>
      </c>
      <c r="J118" s="15">
        <v>14.141414141414142</v>
      </c>
      <c r="K118" s="15"/>
      <c r="L118" s="15">
        <f>IF(Table2[[#This Row],[Lipids wt%]]+Table2[[#This Row],[Protein wt%]]+Table2[[#This Row],[Carbs wt%]] =0,"",SUM(Table2[[#This Row],[Lipids wt%]],Table2[[#This Row],[Protein wt%]],Table2[[#This Row],[Carbs wt%]]))</f>
        <v>93.939393939393938</v>
      </c>
      <c r="M118" s="15">
        <v>6</v>
      </c>
      <c r="Z118" s="15"/>
      <c r="AA118" s="15"/>
      <c r="AB118" s="15"/>
      <c r="AC118" s="15"/>
      <c r="AD118" s="15"/>
      <c r="AE118" s="15"/>
      <c r="AF118" s="15"/>
      <c r="AG118" s="15">
        <v>1.67E-3</v>
      </c>
      <c r="AH118" s="15"/>
      <c r="AI118" s="15"/>
      <c r="AJ118" s="15">
        <v>15</v>
      </c>
      <c r="AM118" s="13"/>
      <c r="AO118" s="15">
        <v>1</v>
      </c>
      <c r="AP118" s="15" t="e">
        <f>LN(25/Table2[[#This Row],[Temperature (C)]]/(1-SQRT((Table2[[#This Row],[Temperature (C)]]-5)/Table2[[#This Row],[Temperature (C)]])))/Table2[[#This Row],[b]]</f>
        <v>#DIV/0!</v>
      </c>
      <c r="AQ118" s="15">
        <f>IF(Table2[[#This Row],[b]]&lt;&gt;"",Table2[[#This Row],[T-5]], 0)</f>
        <v>0</v>
      </c>
      <c r="AT118" t="s">
        <v>503</v>
      </c>
      <c r="AU118">
        <v>300</v>
      </c>
      <c r="AV118" s="15">
        <v>46</v>
      </c>
      <c r="AW118" s="15">
        <v>13</v>
      </c>
      <c r="AX118" s="15">
        <v>27</v>
      </c>
      <c r="AY118" s="15"/>
      <c r="AZ118" s="15"/>
      <c r="BA118" s="15"/>
      <c r="BB118" s="15" t="str">
        <f>IF(OR(Table2[[#This Row],[Gas wt%]]&lt;&gt;"",Table2[[#This Row],[Loss]]&lt;&gt;""),Table2[[#This Row],[Gas wt%]]+Table2[[#This Row],[Loss]],"")</f>
        <v/>
      </c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>
        <v>0</v>
      </c>
    </row>
    <row r="119" spans="1:106" x14ac:dyDescent="0.25">
      <c r="A119" t="s">
        <v>203</v>
      </c>
      <c r="B119" t="s">
        <v>204</v>
      </c>
      <c r="C119">
        <v>2016</v>
      </c>
      <c r="D119" s="16" t="s">
        <v>205</v>
      </c>
      <c r="E119">
        <v>0</v>
      </c>
      <c r="F119" s="15">
        <v>20.202020202020201</v>
      </c>
      <c r="G119" s="15"/>
      <c r="H119" s="15"/>
      <c r="I119" s="15">
        <v>59.595959595959599</v>
      </c>
      <c r="J119" s="15">
        <v>14.141414141414142</v>
      </c>
      <c r="K119" s="15"/>
      <c r="L119" s="15">
        <f>IF(Table2[[#This Row],[Lipids wt%]]+Table2[[#This Row],[Protein wt%]]+Table2[[#This Row],[Carbs wt%]] =0,"",SUM(Table2[[#This Row],[Lipids wt%]],Table2[[#This Row],[Protein wt%]],Table2[[#This Row],[Carbs wt%]]))</f>
        <v>93.939393939393938</v>
      </c>
      <c r="M119" s="15">
        <v>6</v>
      </c>
      <c r="Z119" s="15"/>
      <c r="AA119" s="15"/>
      <c r="AB119" s="15"/>
      <c r="AC119" s="15"/>
      <c r="AD119" s="15"/>
      <c r="AE119" s="15"/>
      <c r="AF119" s="15"/>
      <c r="AG119" s="15">
        <v>1.67E-3</v>
      </c>
      <c r="AH119" s="15"/>
      <c r="AI119" s="15"/>
      <c r="AJ119" s="15">
        <v>15</v>
      </c>
      <c r="AM119" s="13"/>
      <c r="AO119" s="15">
        <v>1.25</v>
      </c>
      <c r="AP119" s="15" t="e">
        <f>LN(25/Table2[[#This Row],[Temperature (C)]]/(1-SQRT((Table2[[#This Row],[Temperature (C)]]-5)/Table2[[#This Row],[Temperature (C)]])))/Table2[[#This Row],[b]]</f>
        <v>#DIV/0!</v>
      </c>
      <c r="AQ119" s="15">
        <f>IF(Table2[[#This Row],[b]]&lt;&gt;"",Table2[[#This Row],[T-5]], 0)</f>
        <v>0</v>
      </c>
      <c r="AT119" t="s">
        <v>503</v>
      </c>
      <c r="AU119">
        <v>300</v>
      </c>
      <c r="AV119" s="15">
        <v>40</v>
      </c>
      <c r="AW119" s="15">
        <v>18</v>
      </c>
      <c r="AX119" s="15">
        <v>32</v>
      </c>
      <c r="AY119" s="15">
        <v>4</v>
      </c>
      <c r="AZ119" s="15"/>
      <c r="BA119" s="15"/>
      <c r="BB119" s="15">
        <f>IF(OR(Table2[[#This Row],[Gas wt%]]&lt;&gt;"",Table2[[#This Row],[Loss]]&lt;&gt;""),Table2[[#This Row],[Gas wt%]]+Table2[[#This Row],[Loss]],"")</f>
        <v>4</v>
      </c>
      <c r="BC119" s="15"/>
      <c r="BD119" s="15"/>
      <c r="BE119" s="15"/>
      <c r="BF119" s="15"/>
      <c r="BG119" s="15">
        <v>6</v>
      </c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>
        <v>0</v>
      </c>
    </row>
    <row r="120" spans="1:106" x14ac:dyDescent="0.25">
      <c r="A120" t="s">
        <v>203</v>
      </c>
      <c r="B120" t="s">
        <v>204</v>
      </c>
      <c r="C120">
        <v>2016</v>
      </c>
      <c r="D120" s="16" t="s">
        <v>205</v>
      </c>
      <c r="E120">
        <v>0</v>
      </c>
      <c r="F120" s="15">
        <v>20.202020202020201</v>
      </c>
      <c r="G120" s="15"/>
      <c r="H120" s="15"/>
      <c r="I120" s="15">
        <v>59.595959595959599</v>
      </c>
      <c r="J120" s="15">
        <v>14.141414141414142</v>
      </c>
      <c r="K120" s="15"/>
      <c r="L120" s="15">
        <f>IF(Table2[[#This Row],[Lipids wt%]]+Table2[[#This Row],[Protein wt%]]+Table2[[#This Row],[Carbs wt%]] =0,"",SUM(Table2[[#This Row],[Lipids wt%]],Table2[[#This Row],[Protein wt%]],Table2[[#This Row],[Carbs wt%]]))</f>
        <v>93.939393939393938</v>
      </c>
      <c r="M120" s="15">
        <v>6</v>
      </c>
      <c r="Z120" s="15"/>
      <c r="AA120" s="15"/>
      <c r="AB120" s="15"/>
      <c r="AC120" s="15"/>
      <c r="AD120" s="15"/>
      <c r="AE120" s="15"/>
      <c r="AF120" s="15"/>
      <c r="AG120" s="15">
        <v>1.67E-3</v>
      </c>
      <c r="AH120" s="15"/>
      <c r="AI120" s="15"/>
      <c r="AJ120" s="15">
        <v>15</v>
      </c>
      <c r="AM120" s="13"/>
      <c r="AO120" s="15">
        <v>1.75</v>
      </c>
      <c r="AP120" s="15" t="e">
        <f>LN(25/Table2[[#This Row],[Temperature (C)]]/(1-SQRT((Table2[[#This Row],[Temperature (C)]]-5)/Table2[[#This Row],[Temperature (C)]])))/Table2[[#This Row],[b]]</f>
        <v>#DIV/0!</v>
      </c>
      <c r="AQ120" s="15">
        <f>IF(Table2[[#This Row],[b]]&lt;&gt;"",Table2[[#This Row],[T-5]], 0)</f>
        <v>0</v>
      </c>
      <c r="AT120" t="s">
        <v>503</v>
      </c>
      <c r="AU120">
        <v>300</v>
      </c>
      <c r="AV120" s="15">
        <v>30</v>
      </c>
      <c r="AW120" s="15">
        <v>26</v>
      </c>
      <c r="AX120" s="15">
        <v>32</v>
      </c>
      <c r="AY120" s="15">
        <v>6</v>
      </c>
      <c r="AZ120" s="15"/>
      <c r="BA120" s="15"/>
      <c r="BB120" s="15">
        <f>IF(OR(Table2[[#This Row],[Gas wt%]]&lt;&gt;"",Table2[[#This Row],[Loss]]&lt;&gt;""),Table2[[#This Row],[Gas wt%]]+Table2[[#This Row],[Loss]],"")</f>
        <v>6</v>
      </c>
      <c r="BC120" s="15"/>
      <c r="BD120" s="15"/>
      <c r="BE120" s="15"/>
      <c r="BF120" s="15"/>
      <c r="BG120" s="15">
        <v>5</v>
      </c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>
        <v>0</v>
      </c>
    </row>
    <row r="121" spans="1:106" x14ac:dyDescent="0.25">
      <c r="A121" t="s">
        <v>203</v>
      </c>
      <c r="B121" t="s">
        <v>204</v>
      </c>
      <c r="C121">
        <v>2016</v>
      </c>
      <c r="D121" s="16" t="s">
        <v>205</v>
      </c>
      <c r="E121">
        <v>0</v>
      </c>
      <c r="F121" s="15">
        <v>20.202020202020201</v>
      </c>
      <c r="G121" s="15"/>
      <c r="H121" s="15"/>
      <c r="I121" s="15">
        <v>59.595959595959599</v>
      </c>
      <c r="J121" s="15">
        <v>14.141414141414142</v>
      </c>
      <c r="K121" s="15"/>
      <c r="L121" s="15">
        <f>IF(Table2[[#This Row],[Lipids wt%]]+Table2[[#This Row],[Protein wt%]]+Table2[[#This Row],[Carbs wt%]] =0,"",SUM(Table2[[#This Row],[Lipids wt%]],Table2[[#This Row],[Protein wt%]],Table2[[#This Row],[Carbs wt%]]))</f>
        <v>93.939393939393938</v>
      </c>
      <c r="M121" s="15">
        <v>6</v>
      </c>
      <c r="Z121" s="15"/>
      <c r="AA121" s="15"/>
      <c r="AB121" s="15"/>
      <c r="AC121" s="15"/>
      <c r="AD121" s="15"/>
      <c r="AE121" s="15"/>
      <c r="AF121" s="15"/>
      <c r="AG121" s="15">
        <v>1.67E-3</v>
      </c>
      <c r="AH121" s="15"/>
      <c r="AI121" s="15"/>
      <c r="AJ121" s="15">
        <v>15</v>
      </c>
      <c r="AM121" s="13"/>
      <c r="AO121" s="15">
        <v>3.1666666666666665</v>
      </c>
      <c r="AP121" s="15" t="e">
        <f>LN(25/Table2[[#This Row],[Temperature (C)]]/(1-SQRT((Table2[[#This Row],[Temperature (C)]]-5)/Table2[[#This Row],[Temperature (C)]])))/Table2[[#This Row],[b]]</f>
        <v>#DIV/0!</v>
      </c>
      <c r="AQ121" s="15">
        <f>IF(Table2[[#This Row],[b]]&lt;&gt;"",Table2[[#This Row],[T-5]], 0)</f>
        <v>0</v>
      </c>
      <c r="AT121" t="s">
        <v>503</v>
      </c>
      <c r="AU121">
        <v>300</v>
      </c>
      <c r="AV121" s="15">
        <v>10</v>
      </c>
      <c r="AW121" s="15">
        <v>39</v>
      </c>
      <c r="AX121" s="15">
        <v>34</v>
      </c>
      <c r="AY121" s="15">
        <v>17</v>
      </c>
      <c r="AZ121" s="15"/>
      <c r="BA121" s="15"/>
      <c r="BB121" s="15">
        <f>IF(OR(Table2[[#This Row],[Gas wt%]]&lt;&gt;"",Table2[[#This Row],[Loss]]&lt;&gt;""),Table2[[#This Row],[Gas wt%]]+Table2[[#This Row],[Loss]],"")</f>
        <v>17</v>
      </c>
      <c r="BC121" s="15"/>
      <c r="BD121" s="15"/>
      <c r="BE121" s="15"/>
      <c r="BF121" s="15"/>
      <c r="BG121" s="15">
        <v>8</v>
      </c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/>
      <c r="CT121" s="15"/>
      <c r="CU121" s="15"/>
      <c r="CV121" s="15"/>
      <c r="CW121" s="15"/>
      <c r="CX121" s="15"/>
      <c r="CY121" s="15"/>
      <c r="CZ121" s="15"/>
      <c r="DA121" s="15"/>
      <c r="DB121" s="15">
        <v>0</v>
      </c>
    </row>
    <row r="122" spans="1:106" x14ac:dyDescent="0.25">
      <c r="A122" t="s">
        <v>203</v>
      </c>
      <c r="B122" t="s">
        <v>204</v>
      </c>
      <c r="C122">
        <v>2016</v>
      </c>
      <c r="D122" s="16" t="s">
        <v>205</v>
      </c>
      <c r="E122">
        <v>0</v>
      </c>
      <c r="F122" s="15">
        <v>20.202020202020201</v>
      </c>
      <c r="G122" s="15"/>
      <c r="H122" s="15"/>
      <c r="I122" s="15">
        <v>59.595959595959599</v>
      </c>
      <c r="J122" s="15">
        <v>14.141414141414142</v>
      </c>
      <c r="K122" s="15"/>
      <c r="L122" s="15">
        <f>IF(Table2[[#This Row],[Lipids wt%]]+Table2[[#This Row],[Protein wt%]]+Table2[[#This Row],[Carbs wt%]] =0,"",SUM(Table2[[#This Row],[Lipids wt%]],Table2[[#This Row],[Protein wt%]],Table2[[#This Row],[Carbs wt%]]))</f>
        <v>93.939393939393938</v>
      </c>
      <c r="M122" s="15">
        <v>6</v>
      </c>
      <c r="Z122" s="15"/>
      <c r="AA122" s="15"/>
      <c r="AB122" s="15"/>
      <c r="AC122" s="15"/>
      <c r="AD122" s="15"/>
      <c r="AE122" s="15"/>
      <c r="AF122" s="15"/>
      <c r="AG122" s="15">
        <v>1.67E-3</v>
      </c>
      <c r="AH122" s="15"/>
      <c r="AI122" s="15"/>
      <c r="AJ122" s="15">
        <v>15</v>
      </c>
      <c r="AM122" s="13"/>
      <c r="AO122" s="15">
        <v>8</v>
      </c>
      <c r="AP122" s="15" t="e">
        <f>LN(25/Table2[[#This Row],[Temperature (C)]]/(1-SQRT((Table2[[#This Row],[Temperature (C)]]-5)/Table2[[#This Row],[Temperature (C)]])))/Table2[[#This Row],[b]]</f>
        <v>#DIV/0!</v>
      </c>
      <c r="AQ122" s="15">
        <f>IF(Table2[[#This Row],[b]]&lt;&gt;"",Table2[[#This Row],[T-5]], 0)</f>
        <v>0</v>
      </c>
      <c r="AT122" t="s">
        <v>503</v>
      </c>
      <c r="AU122">
        <v>300</v>
      </c>
      <c r="AV122" s="15">
        <v>7</v>
      </c>
      <c r="AW122" s="15">
        <v>42</v>
      </c>
      <c r="AX122" s="15">
        <v>33</v>
      </c>
      <c r="AY122" s="15">
        <v>11</v>
      </c>
      <c r="AZ122" s="15"/>
      <c r="BA122" s="15"/>
      <c r="BB122" s="15">
        <f>IF(OR(Table2[[#This Row],[Gas wt%]]&lt;&gt;"",Table2[[#This Row],[Loss]]&lt;&gt;""),Table2[[#This Row],[Gas wt%]]+Table2[[#This Row],[Loss]],"")</f>
        <v>11</v>
      </c>
      <c r="BC122" s="15"/>
      <c r="BD122" s="15"/>
      <c r="BE122" s="15"/>
      <c r="BF122" s="15"/>
      <c r="BG122" s="15">
        <v>7</v>
      </c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>
        <v>0</v>
      </c>
    </row>
    <row r="123" spans="1:106" x14ac:dyDescent="0.25">
      <c r="A123" t="s">
        <v>203</v>
      </c>
      <c r="B123" t="s">
        <v>204</v>
      </c>
      <c r="C123">
        <v>2016</v>
      </c>
      <c r="D123" s="16" t="s">
        <v>205</v>
      </c>
      <c r="E123">
        <v>0</v>
      </c>
      <c r="F123" s="15">
        <v>20.202020202020201</v>
      </c>
      <c r="G123" s="15"/>
      <c r="H123" s="15"/>
      <c r="I123" s="15">
        <v>59.595959595959599</v>
      </c>
      <c r="J123" s="15">
        <v>14.141414141414142</v>
      </c>
      <c r="K123" s="15"/>
      <c r="L123" s="15">
        <f>IF(Table2[[#This Row],[Lipids wt%]]+Table2[[#This Row],[Protein wt%]]+Table2[[#This Row],[Carbs wt%]] =0,"",SUM(Table2[[#This Row],[Lipids wt%]],Table2[[#This Row],[Protein wt%]],Table2[[#This Row],[Carbs wt%]]))</f>
        <v>93.939393939393938</v>
      </c>
      <c r="M123" s="15">
        <v>6</v>
      </c>
      <c r="Z123" s="15"/>
      <c r="AA123" s="15"/>
      <c r="AB123" s="15"/>
      <c r="AC123" s="15"/>
      <c r="AD123" s="15"/>
      <c r="AE123" s="15"/>
      <c r="AF123" s="15"/>
      <c r="AG123" s="15">
        <v>1.67E-3</v>
      </c>
      <c r="AH123" s="15"/>
      <c r="AI123" s="15"/>
      <c r="AJ123" s="15">
        <v>15</v>
      </c>
      <c r="AM123" s="13"/>
      <c r="AO123" s="15">
        <v>14.833333333333334</v>
      </c>
      <c r="AP123" s="15" t="e">
        <f>LN(25/Table2[[#This Row],[Temperature (C)]]/(1-SQRT((Table2[[#This Row],[Temperature (C)]]-5)/Table2[[#This Row],[Temperature (C)]])))/Table2[[#This Row],[b]]</f>
        <v>#DIV/0!</v>
      </c>
      <c r="AQ123" s="15">
        <f>IF(Table2[[#This Row],[b]]&lt;&gt;"",Table2[[#This Row],[T-5]], 0)</f>
        <v>0</v>
      </c>
      <c r="AT123" t="s">
        <v>503</v>
      </c>
      <c r="AU123">
        <v>300</v>
      </c>
      <c r="AV123" s="15">
        <v>5</v>
      </c>
      <c r="AW123" s="15">
        <v>43</v>
      </c>
      <c r="AX123" s="15">
        <v>28</v>
      </c>
      <c r="AY123" s="15">
        <v>11</v>
      </c>
      <c r="AZ123" s="15"/>
      <c r="BA123" s="15"/>
      <c r="BB123" s="15">
        <f>IF(OR(Table2[[#This Row],[Gas wt%]]&lt;&gt;"",Table2[[#This Row],[Loss]]&lt;&gt;""),Table2[[#This Row],[Gas wt%]]+Table2[[#This Row],[Loss]],"")</f>
        <v>11</v>
      </c>
      <c r="BC123" s="15"/>
      <c r="BD123" s="15"/>
      <c r="BE123" s="15"/>
      <c r="BF123" s="15"/>
      <c r="BG123" s="15">
        <v>13</v>
      </c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15"/>
      <c r="CU123" s="15"/>
      <c r="CV123" s="15"/>
      <c r="CW123" s="15"/>
      <c r="CX123" s="15"/>
      <c r="CY123" s="15"/>
      <c r="CZ123" s="15"/>
      <c r="DA123" s="15"/>
      <c r="DB123" s="15">
        <v>0</v>
      </c>
    </row>
    <row r="124" spans="1:106" x14ac:dyDescent="0.25">
      <c r="A124" t="s">
        <v>203</v>
      </c>
      <c r="B124" t="s">
        <v>204</v>
      </c>
      <c r="C124">
        <v>2016</v>
      </c>
      <c r="D124" s="16" t="s">
        <v>205</v>
      </c>
      <c r="E124">
        <v>0</v>
      </c>
      <c r="F124" s="15">
        <v>20.202020202020201</v>
      </c>
      <c r="G124" s="15"/>
      <c r="H124" s="15"/>
      <c r="I124" s="15">
        <v>59.595959595959599</v>
      </c>
      <c r="J124" s="15">
        <v>14.141414141414142</v>
      </c>
      <c r="K124" s="15"/>
      <c r="L124" s="15">
        <f>IF(Table2[[#This Row],[Lipids wt%]]+Table2[[#This Row],[Protein wt%]]+Table2[[#This Row],[Carbs wt%]] =0,"",SUM(Table2[[#This Row],[Lipids wt%]],Table2[[#This Row],[Protein wt%]],Table2[[#This Row],[Carbs wt%]]))</f>
        <v>93.939393939393938</v>
      </c>
      <c r="M124" s="15">
        <v>6</v>
      </c>
      <c r="Z124" s="15"/>
      <c r="AA124" s="15"/>
      <c r="AB124" s="15"/>
      <c r="AC124" s="15"/>
      <c r="AD124" s="15"/>
      <c r="AE124" s="15"/>
      <c r="AF124" s="15"/>
      <c r="AG124" s="15">
        <v>1.67E-3</v>
      </c>
      <c r="AH124" s="15"/>
      <c r="AI124" s="15"/>
      <c r="AJ124" s="15">
        <v>15</v>
      </c>
      <c r="AM124" s="13"/>
      <c r="AO124" s="15">
        <v>39.666666666666664</v>
      </c>
      <c r="AP124" s="15" t="e">
        <f>LN(25/Table2[[#This Row],[Temperature (C)]]/(1-SQRT((Table2[[#This Row],[Temperature (C)]]-5)/Table2[[#This Row],[Temperature (C)]])))/Table2[[#This Row],[b]]</f>
        <v>#DIV/0!</v>
      </c>
      <c r="AQ124" s="15">
        <f>IF(Table2[[#This Row],[b]]&lt;&gt;"",Table2[[#This Row],[T-5]], 0)</f>
        <v>0</v>
      </c>
      <c r="AT124" t="s">
        <v>503</v>
      </c>
      <c r="AU124">
        <v>300</v>
      </c>
      <c r="AV124" s="15">
        <v>11</v>
      </c>
      <c r="AW124" s="15">
        <v>38</v>
      </c>
      <c r="AX124" s="15">
        <v>23</v>
      </c>
      <c r="AY124" s="15">
        <v>13</v>
      </c>
      <c r="AZ124" s="15"/>
      <c r="BA124" s="15"/>
      <c r="BB124" s="15">
        <f>IF(OR(Table2[[#This Row],[Gas wt%]]&lt;&gt;"",Table2[[#This Row],[Loss]]&lt;&gt;""),Table2[[#This Row],[Gas wt%]]+Table2[[#This Row],[Loss]],"")</f>
        <v>13</v>
      </c>
      <c r="BC124" s="15"/>
      <c r="BD124" s="15"/>
      <c r="BE124" s="15"/>
      <c r="BF124" s="15"/>
      <c r="BG124" s="15">
        <v>16</v>
      </c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  <c r="CS124" s="15"/>
      <c r="CT124" s="15"/>
      <c r="CU124" s="15"/>
      <c r="CV124" s="15"/>
      <c r="CW124" s="15"/>
      <c r="CX124" s="15"/>
      <c r="CY124" s="15"/>
      <c r="CZ124" s="15"/>
      <c r="DA124" s="15"/>
      <c r="DB124" s="15">
        <v>0</v>
      </c>
    </row>
    <row r="125" spans="1:106" x14ac:dyDescent="0.25">
      <c r="A125" t="s">
        <v>203</v>
      </c>
      <c r="B125" t="s">
        <v>204</v>
      </c>
      <c r="C125">
        <v>2016</v>
      </c>
      <c r="D125" s="16" t="s">
        <v>205</v>
      </c>
      <c r="E125">
        <v>0</v>
      </c>
      <c r="F125" s="15">
        <v>20.202020202020201</v>
      </c>
      <c r="G125" s="15"/>
      <c r="H125" s="15"/>
      <c r="I125" s="15">
        <v>59.595959595959599</v>
      </c>
      <c r="J125" s="15">
        <v>14.141414141414142</v>
      </c>
      <c r="K125" s="15"/>
      <c r="L125" s="15">
        <f>IF(Table2[[#This Row],[Lipids wt%]]+Table2[[#This Row],[Protein wt%]]+Table2[[#This Row],[Carbs wt%]] =0,"",SUM(Table2[[#This Row],[Lipids wt%]],Table2[[#This Row],[Protein wt%]],Table2[[#This Row],[Carbs wt%]]))</f>
        <v>93.939393939393938</v>
      </c>
      <c r="M125" s="15">
        <v>6</v>
      </c>
      <c r="Z125" s="15"/>
      <c r="AA125" s="15"/>
      <c r="AB125" s="15"/>
      <c r="AC125" s="15"/>
      <c r="AD125" s="15"/>
      <c r="AE125" s="15"/>
      <c r="AF125" s="15"/>
      <c r="AG125" s="15">
        <v>1.67E-3</v>
      </c>
      <c r="AH125" s="15"/>
      <c r="AI125" s="15"/>
      <c r="AJ125" s="15">
        <v>15</v>
      </c>
      <c r="AM125" s="13"/>
      <c r="AO125" s="15">
        <v>0.16666666666666666</v>
      </c>
      <c r="AP125" s="15" t="e">
        <f>LN(25/Table2[[#This Row],[Temperature (C)]]/(1-SQRT((Table2[[#This Row],[Temperature (C)]]-5)/Table2[[#This Row],[Temperature (C)]])))/Table2[[#This Row],[b]]</f>
        <v>#DIV/0!</v>
      </c>
      <c r="AQ125" s="15">
        <f>IF(Table2[[#This Row],[b]]&lt;&gt;"",Table2[[#This Row],[T-5]], 0)</f>
        <v>0</v>
      </c>
      <c r="AT125" t="s">
        <v>503</v>
      </c>
      <c r="AU125">
        <v>350</v>
      </c>
      <c r="AV125" s="15">
        <v>76</v>
      </c>
      <c r="AW125" s="15">
        <v>2</v>
      </c>
      <c r="AX125" s="15">
        <v>13</v>
      </c>
      <c r="AY125" s="15">
        <v>9</v>
      </c>
      <c r="AZ125" s="15"/>
      <c r="BA125" s="15"/>
      <c r="BB125" s="15">
        <f>IF(OR(Table2[[#This Row],[Gas wt%]]&lt;&gt;"",Table2[[#This Row],[Loss]]&lt;&gt;""),Table2[[#This Row],[Gas wt%]]+Table2[[#This Row],[Loss]],"")</f>
        <v>9</v>
      </c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5"/>
      <c r="CT125" s="15"/>
      <c r="CU125" s="15"/>
      <c r="CV125" s="15"/>
      <c r="CW125" s="15"/>
      <c r="CX125" s="15"/>
      <c r="CY125" s="15"/>
      <c r="CZ125" s="15"/>
      <c r="DA125" s="15"/>
      <c r="DB125" s="15">
        <v>0</v>
      </c>
    </row>
    <row r="126" spans="1:106" x14ac:dyDescent="0.25">
      <c r="A126" t="s">
        <v>203</v>
      </c>
      <c r="B126" t="s">
        <v>204</v>
      </c>
      <c r="C126">
        <v>2016</v>
      </c>
      <c r="D126" s="16" t="s">
        <v>205</v>
      </c>
      <c r="E126">
        <v>0</v>
      </c>
      <c r="F126" s="15">
        <v>20.202020202020201</v>
      </c>
      <c r="G126" s="15"/>
      <c r="H126" s="15"/>
      <c r="I126" s="15">
        <v>59.595959595959599</v>
      </c>
      <c r="J126" s="15">
        <v>14.141414141414142</v>
      </c>
      <c r="K126" s="15"/>
      <c r="L126" s="15">
        <f>IF(Table2[[#This Row],[Lipids wt%]]+Table2[[#This Row],[Protein wt%]]+Table2[[#This Row],[Carbs wt%]] =0,"",SUM(Table2[[#This Row],[Lipids wt%]],Table2[[#This Row],[Protein wt%]],Table2[[#This Row],[Carbs wt%]]))</f>
        <v>93.939393939393938</v>
      </c>
      <c r="M126" s="15">
        <v>6</v>
      </c>
      <c r="Z126" s="15"/>
      <c r="AA126" s="15"/>
      <c r="AB126" s="15"/>
      <c r="AC126" s="15"/>
      <c r="AD126" s="15"/>
      <c r="AE126" s="15"/>
      <c r="AF126" s="15"/>
      <c r="AG126" s="15">
        <v>1.67E-3</v>
      </c>
      <c r="AH126" s="15"/>
      <c r="AI126" s="15"/>
      <c r="AJ126" s="15">
        <v>15</v>
      </c>
      <c r="AM126" s="13"/>
      <c r="AO126" s="15">
        <v>1.1666666666666667</v>
      </c>
      <c r="AP126" s="15" t="e">
        <f>LN(25/Table2[[#This Row],[Temperature (C)]]/(1-SQRT((Table2[[#This Row],[Temperature (C)]]-5)/Table2[[#This Row],[Temperature (C)]])))/Table2[[#This Row],[b]]</f>
        <v>#DIV/0!</v>
      </c>
      <c r="AQ126" s="15">
        <f>IF(Table2[[#This Row],[b]]&lt;&gt;"",Table2[[#This Row],[T-5]], 0)</f>
        <v>0</v>
      </c>
      <c r="AT126" t="s">
        <v>503</v>
      </c>
      <c r="AU126">
        <v>350</v>
      </c>
      <c r="AV126" s="15">
        <v>24</v>
      </c>
      <c r="AW126" s="15">
        <v>27</v>
      </c>
      <c r="AX126" s="15">
        <v>40</v>
      </c>
      <c r="AY126" s="15">
        <v>6</v>
      </c>
      <c r="AZ126" s="15"/>
      <c r="BA126" s="15"/>
      <c r="BB126" s="15">
        <f>IF(OR(Table2[[#This Row],[Gas wt%]]&lt;&gt;"",Table2[[#This Row],[Loss]]&lt;&gt;""),Table2[[#This Row],[Gas wt%]]+Table2[[#This Row],[Loss]],"")</f>
        <v>6</v>
      </c>
      <c r="BC126" s="15"/>
      <c r="BD126" s="15"/>
      <c r="BE126" s="15"/>
      <c r="BF126" s="15"/>
      <c r="BG126" s="15">
        <v>4</v>
      </c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  <c r="CS126" s="15"/>
      <c r="CT126" s="15"/>
      <c r="CU126" s="15"/>
      <c r="CV126" s="15"/>
      <c r="CW126" s="15"/>
      <c r="CX126" s="15"/>
      <c r="CY126" s="15"/>
      <c r="CZ126" s="15"/>
      <c r="DA126" s="15"/>
      <c r="DB126" s="15">
        <v>0</v>
      </c>
    </row>
    <row r="127" spans="1:106" x14ac:dyDescent="0.25">
      <c r="A127" t="s">
        <v>203</v>
      </c>
      <c r="B127" t="s">
        <v>204</v>
      </c>
      <c r="C127">
        <v>2016</v>
      </c>
      <c r="D127" s="16" t="s">
        <v>205</v>
      </c>
      <c r="E127">
        <v>0</v>
      </c>
      <c r="F127" s="15">
        <v>20.202020202020201</v>
      </c>
      <c r="G127" s="15"/>
      <c r="H127" s="15"/>
      <c r="I127" s="15">
        <v>59.595959595959599</v>
      </c>
      <c r="J127" s="15">
        <v>14.141414141414142</v>
      </c>
      <c r="K127" s="15"/>
      <c r="L127" s="15">
        <f>IF(Table2[[#This Row],[Lipids wt%]]+Table2[[#This Row],[Protein wt%]]+Table2[[#This Row],[Carbs wt%]] =0,"",SUM(Table2[[#This Row],[Lipids wt%]],Table2[[#This Row],[Protein wt%]],Table2[[#This Row],[Carbs wt%]]))</f>
        <v>93.939393939393938</v>
      </c>
      <c r="M127" s="15">
        <v>6</v>
      </c>
      <c r="Z127" s="15"/>
      <c r="AA127" s="15"/>
      <c r="AB127" s="15"/>
      <c r="AC127" s="15"/>
      <c r="AD127" s="15"/>
      <c r="AE127" s="15"/>
      <c r="AF127" s="15"/>
      <c r="AG127" s="15">
        <v>1.67E-3</v>
      </c>
      <c r="AH127" s="15"/>
      <c r="AI127" s="15"/>
      <c r="AJ127" s="15">
        <v>15</v>
      </c>
      <c r="AM127" s="13"/>
      <c r="AO127" s="15">
        <v>2.0833333333333335</v>
      </c>
      <c r="AP127" s="15" t="e">
        <f>LN(25/Table2[[#This Row],[Temperature (C)]]/(1-SQRT((Table2[[#This Row],[Temperature (C)]]-5)/Table2[[#This Row],[Temperature (C)]])))/Table2[[#This Row],[b]]</f>
        <v>#DIV/0!</v>
      </c>
      <c r="AQ127" s="15">
        <f>IF(Table2[[#This Row],[b]]&lt;&gt;"",Table2[[#This Row],[T-5]], 0)</f>
        <v>0</v>
      </c>
      <c r="AT127" t="s">
        <v>503</v>
      </c>
      <c r="AU127">
        <v>350</v>
      </c>
      <c r="AV127" s="15">
        <v>10</v>
      </c>
      <c r="AW127" s="15">
        <v>37</v>
      </c>
      <c r="AX127" s="15">
        <v>35</v>
      </c>
      <c r="AY127" s="15">
        <v>13</v>
      </c>
      <c r="AZ127" s="15"/>
      <c r="BA127" s="15"/>
      <c r="BB127" s="15">
        <f>IF(OR(Table2[[#This Row],[Gas wt%]]&lt;&gt;"",Table2[[#This Row],[Loss]]&lt;&gt;""),Table2[[#This Row],[Gas wt%]]+Table2[[#This Row],[Loss]],"")</f>
        <v>13</v>
      </c>
      <c r="BC127" s="15"/>
      <c r="BD127" s="15"/>
      <c r="BE127" s="15"/>
      <c r="BF127" s="15"/>
      <c r="BG127" s="15">
        <v>5</v>
      </c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/>
      <c r="DB127" s="15">
        <v>0</v>
      </c>
    </row>
    <row r="128" spans="1:106" x14ac:dyDescent="0.25">
      <c r="A128" t="s">
        <v>203</v>
      </c>
      <c r="B128" t="s">
        <v>204</v>
      </c>
      <c r="C128">
        <v>2016</v>
      </c>
      <c r="D128" s="16" t="s">
        <v>205</v>
      </c>
      <c r="E128">
        <v>0</v>
      </c>
      <c r="F128" s="15">
        <v>20.202020202020201</v>
      </c>
      <c r="G128" s="15"/>
      <c r="H128" s="15"/>
      <c r="I128" s="15">
        <v>59.595959595959599</v>
      </c>
      <c r="J128" s="15">
        <v>14.141414141414142</v>
      </c>
      <c r="K128" s="15"/>
      <c r="L128" s="15">
        <f>IF(Table2[[#This Row],[Lipids wt%]]+Table2[[#This Row],[Protein wt%]]+Table2[[#This Row],[Carbs wt%]] =0,"",SUM(Table2[[#This Row],[Lipids wt%]],Table2[[#This Row],[Protein wt%]],Table2[[#This Row],[Carbs wt%]]))</f>
        <v>93.939393939393938</v>
      </c>
      <c r="M128" s="15">
        <v>6</v>
      </c>
      <c r="Z128" s="15"/>
      <c r="AA128" s="15"/>
      <c r="AB128" s="15"/>
      <c r="AC128" s="15"/>
      <c r="AD128" s="15"/>
      <c r="AE128" s="15"/>
      <c r="AF128" s="15"/>
      <c r="AG128" s="15">
        <v>1.67E-3</v>
      </c>
      <c r="AH128" s="15"/>
      <c r="AI128" s="15"/>
      <c r="AJ128" s="15">
        <v>15</v>
      </c>
      <c r="AM128" s="13"/>
      <c r="AO128" s="15">
        <v>4.333333333333333</v>
      </c>
      <c r="AP128" s="15" t="e">
        <f>LN(25/Table2[[#This Row],[Temperature (C)]]/(1-SQRT((Table2[[#This Row],[Temperature (C)]]-5)/Table2[[#This Row],[Temperature (C)]])))/Table2[[#This Row],[b]]</f>
        <v>#DIV/0!</v>
      </c>
      <c r="AQ128" s="15">
        <f>IF(Table2[[#This Row],[b]]&lt;&gt;"",Table2[[#This Row],[T-5]], 0)</f>
        <v>0</v>
      </c>
      <c r="AT128" t="s">
        <v>503</v>
      </c>
      <c r="AU128">
        <v>350</v>
      </c>
      <c r="AV128" s="15">
        <v>4</v>
      </c>
      <c r="AW128" s="15">
        <v>42</v>
      </c>
      <c r="AX128" s="15">
        <v>23</v>
      </c>
      <c r="AY128" s="15">
        <v>18</v>
      </c>
      <c r="AZ128" s="15"/>
      <c r="BA128" s="15"/>
      <c r="BB128" s="15">
        <f>IF(OR(Table2[[#This Row],[Gas wt%]]&lt;&gt;"",Table2[[#This Row],[Loss]]&lt;&gt;""),Table2[[#This Row],[Gas wt%]]+Table2[[#This Row],[Loss]],"")</f>
        <v>18</v>
      </c>
      <c r="BC128" s="15"/>
      <c r="BD128" s="15"/>
      <c r="BE128" s="15"/>
      <c r="BF128" s="15"/>
      <c r="BG128" s="15">
        <v>13</v>
      </c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5"/>
      <c r="CT128" s="15"/>
      <c r="CU128" s="15"/>
      <c r="CV128" s="15"/>
      <c r="CW128" s="15"/>
      <c r="CX128" s="15"/>
      <c r="CY128" s="15"/>
      <c r="CZ128" s="15"/>
      <c r="DA128" s="15"/>
      <c r="DB128" s="15">
        <v>0</v>
      </c>
    </row>
    <row r="129" spans="1:106" x14ac:dyDescent="0.25">
      <c r="A129" t="s">
        <v>203</v>
      </c>
      <c r="B129" t="s">
        <v>204</v>
      </c>
      <c r="C129">
        <v>2016</v>
      </c>
      <c r="D129" s="16" t="s">
        <v>205</v>
      </c>
      <c r="E129">
        <v>0</v>
      </c>
      <c r="F129" s="15">
        <v>20.202020202020201</v>
      </c>
      <c r="G129" s="15"/>
      <c r="H129" s="15"/>
      <c r="I129" s="15">
        <v>59.595959595959599</v>
      </c>
      <c r="J129" s="15">
        <v>14.141414141414142</v>
      </c>
      <c r="K129" s="15"/>
      <c r="L129" s="15">
        <f>IF(Table2[[#This Row],[Lipids wt%]]+Table2[[#This Row],[Protein wt%]]+Table2[[#This Row],[Carbs wt%]] =0,"",SUM(Table2[[#This Row],[Lipids wt%]],Table2[[#This Row],[Protein wt%]],Table2[[#This Row],[Carbs wt%]]))</f>
        <v>93.939393939393938</v>
      </c>
      <c r="M129" s="15">
        <v>6</v>
      </c>
      <c r="Z129" s="15"/>
      <c r="AA129" s="15"/>
      <c r="AB129" s="15"/>
      <c r="AC129" s="15"/>
      <c r="AD129" s="15"/>
      <c r="AE129" s="15"/>
      <c r="AF129" s="15"/>
      <c r="AG129" s="15">
        <v>1.67E-3</v>
      </c>
      <c r="AH129" s="15"/>
      <c r="AI129" s="15"/>
      <c r="AJ129" s="15">
        <v>15</v>
      </c>
      <c r="AM129" s="13"/>
      <c r="AO129" s="15">
        <v>6.666666666666667</v>
      </c>
      <c r="AP129" s="15" t="e">
        <f>LN(25/Table2[[#This Row],[Temperature (C)]]/(1-SQRT((Table2[[#This Row],[Temperature (C)]]-5)/Table2[[#This Row],[Temperature (C)]])))/Table2[[#This Row],[b]]</f>
        <v>#DIV/0!</v>
      </c>
      <c r="AQ129" s="15">
        <f>IF(Table2[[#This Row],[b]]&lt;&gt;"",Table2[[#This Row],[T-5]], 0)</f>
        <v>0</v>
      </c>
      <c r="AT129" t="s">
        <v>503</v>
      </c>
      <c r="AU129">
        <v>350</v>
      </c>
      <c r="AV129" s="15">
        <v>5</v>
      </c>
      <c r="AW129" s="15">
        <v>40</v>
      </c>
      <c r="AX129" s="15">
        <v>18</v>
      </c>
      <c r="AY129" s="15">
        <v>6</v>
      </c>
      <c r="AZ129" s="15"/>
      <c r="BA129" s="15"/>
      <c r="BB129" s="15">
        <f>IF(OR(Table2[[#This Row],[Gas wt%]]&lt;&gt;"",Table2[[#This Row],[Loss]]&lt;&gt;""),Table2[[#This Row],[Gas wt%]]+Table2[[#This Row],[Loss]],"")</f>
        <v>6</v>
      </c>
      <c r="BC129" s="15"/>
      <c r="BD129" s="15"/>
      <c r="BE129" s="15"/>
      <c r="BF129" s="15"/>
      <c r="BG129" s="15">
        <v>31</v>
      </c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  <c r="CX129" s="15"/>
      <c r="CY129" s="15"/>
      <c r="CZ129" s="15"/>
      <c r="DA129" s="15"/>
      <c r="DB129" s="15">
        <v>0</v>
      </c>
    </row>
    <row r="130" spans="1:106" x14ac:dyDescent="0.25">
      <c r="A130" t="s">
        <v>203</v>
      </c>
      <c r="B130" t="s">
        <v>204</v>
      </c>
      <c r="C130">
        <v>2016</v>
      </c>
      <c r="D130" s="16" t="s">
        <v>205</v>
      </c>
      <c r="E130">
        <v>0</v>
      </c>
      <c r="F130" s="15">
        <v>20.202020202020201</v>
      </c>
      <c r="G130" s="15"/>
      <c r="H130" s="15"/>
      <c r="I130" s="15">
        <v>59.595959595959599</v>
      </c>
      <c r="J130" s="15">
        <v>14.141414141414142</v>
      </c>
      <c r="K130" s="15"/>
      <c r="L130" s="15">
        <f>IF(Table2[[#This Row],[Lipids wt%]]+Table2[[#This Row],[Protein wt%]]+Table2[[#This Row],[Carbs wt%]] =0,"",SUM(Table2[[#This Row],[Lipids wt%]],Table2[[#This Row],[Protein wt%]],Table2[[#This Row],[Carbs wt%]]))</f>
        <v>93.939393939393938</v>
      </c>
      <c r="M130" s="15">
        <v>6</v>
      </c>
      <c r="Z130" s="15"/>
      <c r="AA130" s="15"/>
      <c r="AB130" s="15"/>
      <c r="AC130" s="15"/>
      <c r="AD130" s="15"/>
      <c r="AE130" s="15"/>
      <c r="AF130" s="15"/>
      <c r="AG130" s="15">
        <v>1.67E-3</v>
      </c>
      <c r="AH130" s="15"/>
      <c r="AI130" s="15"/>
      <c r="AJ130" s="15">
        <v>15</v>
      </c>
      <c r="AM130" s="13"/>
      <c r="AO130" s="15">
        <v>9</v>
      </c>
      <c r="AP130" s="15" t="e">
        <f>LN(25/Table2[[#This Row],[Temperature (C)]]/(1-SQRT((Table2[[#This Row],[Temperature (C)]]-5)/Table2[[#This Row],[Temperature (C)]])))/Table2[[#This Row],[b]]</f>
        <v>#DIV/0!</v>
      </c>
      <c r="AQ130" s="15">
        <f>IF(Table2[[#This Row],[b]]&lt;&gt;"",Table2[[#This Row],[T-5]], 0)</f>
        <v>0</v>
      </c>
      <c r="AT130" t="s">
        <v>503</v>
      </c>
      <c r="AU130">
        <v>350</v>
      </c>
      <c r="AV130" s="15">
        <v>4</v>
      </c>
      <c r="AW130" s="15">
        <v>43</v>
      </c>
      <c r="AX130" s="15">
        <v>19</v>
      </c>
      <c r="AY130" s="15">
        <v>7</v>
      </c>
      <c r="AZ130" s="15"/>
      <c r="BA130" s="15"/>
      <c r="BB130" s="15">
        <f>IF(OR(Table2[[#This Row],[Gas wt%]]&lt;&gt;"",Table2[[#This Row],[Loss]]&lt;&gt;""),Table2[[#This Row],[Gas wt%]]+Table2[[#This Row],[Loss]],"")</f>
        <v>7</v>
      </c>
      <c r="BC130" s="15"/>
      <c r="BD130" s="15"/>
      <c r="BE130" s="15"/>
      <c r="BF130" s="15"/>
      <c r="BG130" s="15">
        <v>26</v>
      </c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/>
      <c r="CQ130" s="15"/>
      <c r="CR130" s="15"/>
      <c r="CS130" s="15"/>
      <c r="CT130" s="15"/>
      <c r="CU130" s="15"/>
      <c r="CV130" s="15"/>
      <c r="CW130" s="15"/>
      <c r="CX130" s="15"/>
      <c r="CY130" s="15"/>
      <c r="CZ130" s="15"/>
      <c r="DA130" s="15"/>
      <c r="DB130" s="15">
        <v>0</v>
      </c>
    </row>
    <row r="131" spans="1:106" x14ac:dyDescent="0.25">
      <c r="A131" t="s">
        <v>203</v>
      </c>
      <c r="B131" t="s">
        <v>204</v>
      </c>
      <c r="C131">
        <v>2016</v>
      </c>
      <c r="D131" s="16" t="s">
        <v>205</v>
      </c>
      <c r="E131">
        <v>0</v>
      </c>
      <c r="F131" s="15">
        <v>20.202020202020201</v>
      </c>
      <c r="G131" s="15"/>
      <c r="H131" s="15"/>
      <c r="I131" s="15">
        <v>59.595959595959599</v>
      </c>
      <c r="J131" s="15">
        <v>14.141414141414142</v>
      </c>
      <c r="K131" s="15"/>
      <c r="L131" s="15">
        <f>IF(Table2[[#This Row],[Lipids wt%]]+Table2[[#This Row],[Protein wt%]]+Table2[[#This Row],[Carbs wt%]] =0,"",SUM(Table2[[#This Row],[Lipids wt%]],Table2[[#This Row],[Protein wt%]],Table2[[#This Row],[Carbs wt%]]))</f>
        <v>93.939393939393938</v>
      </c>
      <c r="M131" s="15">
        <v>6</v>
      </c>
      <c r="Z131" s="15"/>
      <c r="AA131" s="15"/>
      <c r="AB131" s="15"/>
      <c r="AC131" s="15"/>
      <c r="AD131" s="15"/>
      <c r="AE131" s="15"/>
      <c r="AF131" s="15"/>
      <c r="AG131" s="15">
        <v>1.67E-3</v>
      </c>
      <c r="AH131" s="15"/>
      <c r="AI131" s="15"/>
      <c r="AJ131" s="15">
        <v>15</v>
      </c>
      <c r="AM131" s="13"/>
      <c r="AO131" s="15">
        <v>24.666666666666668</v>
      </c>
      <c r="AP131" s="15" t="e">
        <f>LN(25/Table2[[#This Row],[Temperature (C)]]/(1-SQRT((Table2[[#This Row],[Temperature (C)]]-5)/Table2[[#This Row],[Temperature (C)]])))/Table2[[#This Row],[b]]</f>
        <v>#DIV/0!</v>
      </c>
      <c r="AQ131" s="15">
        <f>IF(Table2[[#This Row],[b]]&lt;&gt;"",Table2[[#This Row],[T-5]], 0)</f>
        <v>0</v>
      </c>
      <c r="AT131" t="s">
        <v>503</v>
      </c>
      <c r="AU131">
        <v>350</v>
      </c>
      <c r="AV131" s="15">
        <v>3</v>
      </c>
      <c r="AW131" s="15">
        <v>42</v>
      </c>
      <c r="AX131" s="15">
        <v>12</v>
      </c>
      <c r="AY131" s="15">
        <v>26</v>
      </c>
      <c r="AZ131" s="15"/>
      <c r="BA131" s="15"/>
      <c r="BB131" s="15">
        <f>IF(OR(Table2[[#This Row],[Gas wt%]]&lt;&gt;"",Table2[[#This Row],[Loss]]&lt;&gt;""),Table2[[#This Row],[Gas wt%]]+Table2[[#This Row],[Loss]],"")</f>
        <v>26</v>
      </c>
      <c r="BC131" s="15"/>
      <c r="BD131" s="15"/>
      <c r="BE131" s="15"/>
      <c r="BF131" s="15"/>
      <c r="BG131" s="15">
        <v>17</v>
      </c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/>
      <c r="CT131" s="15"/>
      <c r="CU131" s="15"/>
      <c r="CV131" s="15"/>
      <c r="CW131" s="15"/>
      <c r="CX131" s="15"/>
      <c r="CY131" s="15"/>
      <c r="CZ131" s="15"/>
      <c r="DA131" s="15"/>
      <c r="DB131" s="15">
        <v>0</v>
      </c>
    </row>
    <row r="132" spans="1:106" x14ac:dyDescent="0.25">
      <c r="A132" t="s">
        <v>203</v>
      </c>
      <c r="B132" t="s">
        <v>204</v>
      </c>
      <c r="C132">
        <v>2016</v>
      </c>
      <c r="D132" s="16" t="s">
        <v>205</v>
      </c>
      <c r="E132">
        <v>0</v>
      </c>
      <c r="F132" s="15">
        <v>20.202020202020201</v>
      </c>
      <c r="G132" s="15"/>
      <c r="H132" s="15"/>
      <c r="I132" s="15">
        <v>59.595959595959599</v>
      </c>
      <c r="J132" s="15">
        <v>14.141414141414142</v>
      </c>
      <c r="K132" s="15"/>
      <c r="L132" s="15">
        <f>IF(Table2[[#This Row],[Lipids wt%]]+Table2[[#This Row],[Protein wt%]]+Table2[[#This Row],[Carbs wt%]] =0,"",SUM(Table2[[#This Row],[Lipids wt%]],Table2[[#This Row],[Protein wt%]],Table2[[#This Row],[Carbs wt%]]))</f>
        <v>93.939393939393938</v>
      </c>
      <c r="M132" s="15">
        <v>6</v>
      </c>
      <c r="Z132" s="15"/>
      <c r="AA132" s="15"/>
      <c r="AB132" s="15"/>
      <c r="AC132" s="15"/>
      <c r="AD132" s="15"/>
      <c r="AE132" s="15"/>
      <c r="AF132" s="15"/>
      <c r="AG132" s="15">
        <v>1.67E-3</v>
      </c>
      <c r="AH132" s="15"/>
      <c r="AI132" s="15"/>
      <c r="AJ132" s="15">
        <v>15</v>
      </c>
      <c r="AM132" s="13"/>
      <c r="AO132" s="15">
        <v>59.75</v>
      </c>
      <c r="AP132" s="15" t="e">
        <f>LN(25/Table2[[#This Row],[Temperature (C)]]/(1-SQRT((Table2[[#This Row],[Temperature (C)]]-5)/Table2[[#This Row],[Temperature (C)]])))/Table2[[#This Row],[b]]</f>
        <v>#DIV/0!</v>
      </c>
      <c r="AQ132" s="15">
        <f>IF(Table2[[#This Row],[b]]&lt;&gt;"",Table2[[#This Row],[T-5]], 0)</f>
        <v>0</v>
      </c>
      <c r="AT132" t="s">
        <v>503</v>
      </c>
      <c r="AU132">
        <v>350</v>
      </c>
      <c r="AV132" s="15">
        <v>7</v>
      </c>
      <c r="AW132" s="15">
        <v>39</v>
      </c>
      <c r="AX132" s="15">
        <v>12</v>
      </c>
      <c r="AY132" s="15">
        <v>24</v>
      </c>
      <c r="AZ132" s="15"/>
      <c r="BA132" s="15"/>
      <c r="BB132" s="15">
        <f>IF(OR(Table2[[#This Row],[Gas wt%]]&lt;&gt;"",Table2[[#This Row],[Loss]]&lt;&gt;""),Table2[[#This Row],[Gas wt%]]+Table2[[#This Row],[Loss]],"")</f>
        <v>24</v>
      </c>
      <c r="BC132" s="15"/>
      <c r="BD132" s="15"/>
      <c r="BE132" s="15"/>
      <c r="BF132" s="15"/>
      <c r="BG132" s="15">
        <v>19</v>
      </c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  <c r="CS132" s="15"/>
      <c r="CT132" s="15"/>
      <c r="CU132" s="15"/>
      <c r="CV132" s="15"/>
      <c r="CW132" s="15"/>
      <c r="CX132" s="15"/>
      <c r="CY132" s="15"/>
      <c r="CZ132" s="15"/>
      <c r="DA132" s="15"/>
      <c r="DB132" s="15">
        <v>0</v>
      </c>
    </row>
    <row r="133" spans="1:106" x14ac:dyDescent="0.25">
      <c r="A133" t="s">
        <v>203</v>
      </c>
      <c r="B133" t="s">
        <v>204</v>
      </c>
      <c r="C133">
        <v>2016</v>
      </c>
      <c r="D133" s="16" t="s">
        <v>205</v>
      </c>
      <c r="E133">
        <v>0</v>
      </c>
      <c r="F133" s="15">
        <v>20.202020202020201</v>
      </c>
      <c r="G133" s="15"/>
      <c r="H133" s="15"/>
      <c r="I133" s="15">
        <v>59.595959595959599</v>
      </c>
      <c r="J133" s="15">
        <v>14.141414141414142</v>
      </c>
      <c r="K133" s="15"/>
      <c r="L133" s="15">
        <f>IF(Table2[[#This Row],[Lipids wt%]]+Table2[[#This Row],[Protein wt%]]+Table2[[#This Row],[Carbs wt%]] =0,"",SUM(Table2[[#This Row],[Lipids wt%]],Table2[[#This Row],[Protein wt%]],Table2[[#This Row],[Carbs wt%]]))</f>
        <v>93.939393939393938</v>
      </c>
      <c r="M133" s="15">
        <v>6</v>
      </c>
      <c r="Z133" s="15"/>
      <c r="AA133" s="15"/>
      <c r="AB133" s="15"/>
      <c r="AC133" s="15"/>
      <c r="AD133" s="15"/>
      <c r="AE133" s="15"/>
      <c r="AF133" s="15"/>
      <c r="AG133" s="15">
        <v>1.67E-3</v>
      </c>
      <c r="AH133" s="15"/>
      <c r="AI133" s="15"/>
      <c r="AJ133" s="15">
        <v>15</v>
      </c>
      <c r="AM133" s="13"/>
      <c r="AO133" s="15">
        <v>0.25</v>
      </c>
      <c r="AP133" s="15" t="e">
        <f>LN(25/Table2[[#This Row],[Temperature (C)]]/(1-SQRT((Table2[[#This Row],[Temperature (C)]]-5)/Table2[[#This Row],[Temperature (C)]])))/Table2[[#This Row],[b]]</f>
        <v>#DIV/0!</v>
      </c>
      <c r="AQ133" s="15">
        <f>IF(Table2[[#This Row],[b]]&lt;&gt;"",Table2[[#This Row],[T-5]], 0)</f>
        <v>0</v>
      </c>
      <c r="AT133" t="s">
        <v>503</v>
      </c>
      <c r="AU133">
        <v>400</v>
      </c>
      <c r="AV133" s="15">
        <v>87</v>
      </c>
      <c r="AW133" s="15">
        <v>2</v>
      </c>
      <c r="AX133" s="15">
        <v>8</v>
      </c>
      <c r="AY133" s="15">
        <v>6</v>
      </c>
      <c r="AZ133" s="15"/>
      <c r="BA133" s="15"/>
      <c r="BB133" s="15">
        <f>IF(OR(Table2[[#This Row],[Gas wt%]]&lt;&gt;"",Table2[[#This Row],[Loss]]&lt;&gt;""),Table2[[#This Row],[Gas wt%]]+Table2[[#This Row],[Loss]],"")</f>
        <v>6</v>
      </c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/>
      <c r="CT133" s="15"/>
      <c r="CU133" s="15"/>
      <c r="CV133" s="15"/>
      <c r="CW133" s="15"/>
      <c r="CX133" s="15"/>
      <c r="CY133" s="15"/>
      <c r="CZ133" s="15"/>
      <c r="DA133" s="15"/>
      <c r="DB133" s="15">
        <v>0</v>
      </c>
    </row>
    <row r="134" spans="1:106" x14ac:dyDescent="0.25">
      <c r="A134" t="s">
        <v>203</v>
      </c>
      <c r="B134" t="s">
        <v>204</v>
      </c>
      <c r="C134">
        <v>2016</v>
      </c>
      <c r="D134" s="16" t="s">
        <v>205</v>
      </c>
      <c r="E134">
        <v>0</v>
      </c>
      <c r="F134" s="15">
        <v>20.202020202020201</v>
      </c>
      <c r="G134" s="15"/>
      <c r="H134" s="15"/>
      <c r="I134" s="15">
        <v>59.595959595959599</v>
      </c>
      <c r="J134" s="15">
        <v>14.141414141414142</v>
      </c>
      <c r="K134" s="15"/>
      <c r="L134" s="15">
        <f>IF(Table2[[#This Row],[Lipids wt%]]+Table2[[#This Row],[Protein wt%]]+Table2[[#This Row],[Carbs wt%]] =0,"",SUM(Table2[[#This Row],[Lipids wt%]],Table2[[#This Row],[Protein wt%]],Table2[[#This Row],[Carbs wt%]]))</f>
        <v>93.939393939393938</v>
      </c>
      <c r="M134" s="15">
        <v>6</v>
      </c>
      <c r="Z134" s="15"/>
      <c r="AA134" s="15"/>
      <c r="AB134" s="15"/>
      <c r="AC134" s="15"/>
      <c r="AD134" s="15"/>
      <c r="AE134" s="15"/>
      <c r="AF134" s="15"/>
      <c r="AG134" s="15">
        <v>1.67E-3</v>
      </c>
      <c r="AH134" s="15"/>
      <c r="AI134" s="15"/>
      <c r="AJ134" s="15">
        <v>15</v>
      </c>
      <c r="AM134" s="13"/>
      <c r="AO134" s="15">
        <v>0.41666666666666669</v>
      </c>
      <c r="AP134" s="15" t="e">
        <f>LN(25/Table2[[#This Row],[Temperature (C)]]/(1-SQRT((Table2[[#This Row],[Temperature (C)]]-5)/Table2[[#This Row],[Temperature (C)]])))/Table2[[#This Row],[b]]</f>
        <v>#DIV/0!</v>
      </c>
      <c r="AQ134" s="15">
        <f>IF(Table2[[#This Row],[b]]&lt;&gt;"",Table2[[#This Row],[T-5]], 0)</f>
        <v>0</v>
      </c>
      <c r="AT134" t="s">
        <v>503</v>
      </c>
      <c r="AU134">
        <v>400</v>
      </c>
      <c r="AV134" s="15">
        <v>61</v>
      </c>
      <c r="AW134" s="15">
        <v>2</v>
      </c>
      <c r="AX134" s="15">
        <v>18</v>
      </c>
      <c r="AY134" s="15">
        <v>8</v>
      </c>
      <c r="AZ134" s="15"/>
      <c r="BA134" s="15"/>
      <c r="BB134" s="15">
        <f>IF(OR(Table2[[#This Row],[Gas wt%]]&lt;&gt;"",Table2[[#This Row],[Loss]]&lt;&gt;""),Table2[[#This Row],[Gas wt%]]+Table2[[#This Row],[Loss]],"")</f>
        <v>8</v>
      </c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  <c r="CU134" s="15"/>
      <c r="CV134" s="15"/>
      <c r="CW134" s="15"/>
      <c r="CX134" s="15"/>
      <c r="CY134" s="15"/>
      <c r="CZ134" s="15"/>
      <c r="DA134" s="15"/>
      <c r="DB134" s="15">
        <v>0</v>
      </c>
    </row>
    <row r="135" spans="1:106" x14ac:dyDescent="0.25">
      <c r="A135" t="s">
        <v>203</v>
      </c>
      <c r="B135" t="s">
        <v>204</v>
      </c>
      <c r="C135">
        <v>2016</v>
      </c>
      <c r="D135" s="16" t="s">
        <v>205</v>
      </c>
      <c r="E135">
        <v>0</v>
      </c>
      <c r="F135" s="15">
        <v>20.202020202020201</v>
      </c>
      <c r="G135" s="15"/>
      <c r="H135" s="15"/>
      <c r="I135" s="15">
        <v>59.595959595959599</v>
      </c>
      <c r="J135" s="15">
        <v>14.141414141414142</v>
      </c>
      <c r="K135" s="15"/>
      <c r="L135" s="15">
        <f>IF(Table2[[#This Row],[Lipids wt%]]+Table2[[#This Row],[Protein wt%]]+Table2[[#This Row],[Carbs wt%]] =0,"",SUM(Table2[[#This Row],[Lipids wt%]],Table2[[#This Row],[Protein wt%]],Table2[[#This Row],[Carbs wt%]]))</f>
        <v>93.939393939393938</v>
      </c>
      <c r="M135" s="15">
        <v>6</v>
      </c>
      <c r="Z135" s="15"/>
      <c r="AA135" s="15"/>
      <c r="AB135" s="15"/>
      <c r="AC135" s="15"/>
      <c r="AD135" s="15"/>
      <c r="AE135" s="15"/>
      <c r="AF135" s="15"/>
      <c r="AG135" s="15">
        <v>1.67E-3</v>
      </c>
      <c r="AH135" s="15"/>
      <c r="AI135" s="15"/>
      <c r="AJ135" s="15">
        <v>15</v>
      </c>
      <c r="AM135" s="13"/>
      <c r="AO135" s="15">
        <v>0.83333333333333337</v>
      </c>
      <c r="AP135" s="15" t="e">
        <f>LN(25/Table2[[#This Row],[Temperature (C)]]/(1-SQRT((Table2[[#This Row],[Temperature (C)]]-5)/Table2[[#This Row],[Temperature (C)]])))/Table2[[#This Row],[b]]</f>
        <v>#DIV/0!</v>
      </c>
      <c r="AQ135" s="15">
        <f>IF(Table2[[#This Row],[b]]&lt;&gt;"",Table2[[#This Row],[T-5]], 0)</f>
        <v>0</v>
      </c>
      <c r="AT135" t="s">
        <v>503</v>
      </c>
      <c r="AU135">
        <v>400</v>
      </c>
      <c r="AV135" s="15">
        <v>29</v>
      </c>
      <c r="AW135" s="15">
        <v>25</v>
      </c>
      <c r="AX135" s="15">
        <v>41</v>
      </c>
      <c r="AY135" s="15">
        <v>4</v>
      </c>
      <c r="AZ135" s="15"/>
      <c r="BA135" s="15"/>
      <c r="BB135" s="15">
        <f>IF(OR(Table2[[#This Row],[Gas wt%]]&lt;&gt;"",Table2[[#This Row],[Loss]]&lt;&gt;""),Table2[[#This Row],[Gas wt%]]+Table2[[#This Row],[Loss]],"")</f>
        <v>4</v>
      </c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  <c r="CM135" s="15"/>
      <c r="CN135" s="15"/>
      <c r="CO135" s="15"/>
      <c r="CP135" s="15"/>
      <c r="CQ135" s="15"/>
      <c r="CR135" s="15"/>
      <c r="CS135" s="15"/>
      <c r="CT135" s="15"/>
      <c r="CU135" s="15"/>
      <c r="CV135" s="15"/>
      <c r="CW135" s="15"/>
      <c r="CX135" s="15"/>
      <c r="CY135" s="15"/>
      <c r="CZ135" s="15"/>
      <c r="DA135" s="15"/>
      <c r="DB135" s="15">
        <v>0</v>
      </c>
    </row>
    <row r="136" spans="1:106" x14ac:dyDescent="0.25">
      <c r="A136" t="s">
        <v>203</v>
      </c>
      <c r="B136" t="s">
        <v>204</v>
      </c>
      <c r="C136">
        <v>2016</v>
      </c>
      <c r="D136" s="16" t="s">
        <v>205</v>
      </c>
      <c r="E136">
        <v>0</v>
      </c>
      <c r="F136" s="15">
        <v>20.202020202020201</v>
      </c>
      <c r="G136" s="15"/>
      <c r="H136" s="15"/>
      <c r="I136" s="15">
        <v>59.595959595959599</v>
      </c>
      <c r="J136" s="15">
        <v>14.141414141414142</v>
      </c>
      <c r="K136" s="15"/>
      <c r="L136" s="15">
        <f>IF(Table2[[#This Row],[Lipids wt%]]+Table2[[#This Row],[Protein wt%]]+Table2[[#This Row],[Carbs wt%]] =0,"",SUM(Table2[[#This Row],[Lipids wt%]],Table2[[#This Row],[Protein wt%]],Table2[[#This Row],[Carbs wt%]]))</f>
        <v>93.939393939393938</v>
      </c>
      <c r="M136" s="15">
        <v>6</v>
      </c>
      <c r="Z136" s="15"/>
      <c r="AA136" s="15"/>
      <c r="AB136" s="15"/>
      <c r="AC136" s="15"/>
      <c r="AD136" s="15"/>
      <c r="AE136" s="15"/>
      <c r="AF136" s="15"/>
      <c r="AG136" s="15">
        <v>1.67E-3</v>
      </c>
      <c r="AH136" s="15"/>
      <c r="AI136" s="15"/>
      <c r="AJ136" s="15">
        <v>15</v>
      </c>
      <c r="AM136" s="13"/>
      <c r="AO136" s="15">
        <v>1.5</v>
      </c>
      <c r="AP136" s="15" t="e">
        <f>LN(25/Table2[[#This Row],[Temperature (C)]]/(1-SQRT((Table2[[#This Row],[Temperature (C)]]-5)/Table2[[#This Row],[Temperature (C)]])))/Table2[[#This Row],[b]]</f>
        <v>#DIV/0!</v>
      </c>
      <c r="AQ136" s="15">
        <f>IF(Table2[[#This Row],[b]]&lt;&gt;"",Table2[[#This Row],[T-5]], 0)</f>
        <v>0</v>
      </c>
      <c r="AT136" t="s">
        <v>503</v>
      </c>
      <c r="AU136">
        <v>400</v>
      </c>
      <c r="AV136" s="15">
        <v>11</v>
      </c>
      <c r="AW136" s="15">
        <v>38</v>
      </c>
      <c r="AX136" s="15">
        <v>38</v>
      </c>
      <c r="AY136" s="15">
        <v>11</v>
      </c>
      <c r="AZ136" s="15"/>
      <c r="BA136" s="15"/>
      <c r="BB136" s="15">
        <f>IF(OR(Table2[[#This Row],[Gas wt%]]&lt;&gt;"",Table2[[#This Row],[Loss]]&lt;&gt;""),Table2[[#This Row],[Gas wt%]]+Table2[[#This Row],[Loss]],"")</f>
        <v>11</v>
      </c>
      <c r="BC136" s="15"/>
      <c r="BD136" s="15"/>
      <c r="BE136" s="15"/>
      <c r="BF136" s="15"/>
      <c r="BG136" s="15">
        <v>1</v>
      </c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  <c r="CI136" s="15"/>
      <c r="CJ136" s="15"/>
      <c r="CK136" s="15"/>
      <c r="CL136" s="15"/>
      <c r="CM136" s="15"/>
      <c r="CN136" s="15"/>
      <c r="CO136" s="15"/>
      <c r="CP136" s="15"/>
      <c r="CQ136" s="15"/>
      <c r="CR136" s="15"/>
      <c r="CS136" s="15"/>
      <c r="CT136" s="15"/>
      <c r="CU136" s="15"/>
      <c r="CV136" s="15"/>
      <c r="CW136" s="15"/>
      <c r="CX136" s="15"/>
      <c r="CY136" s="15"/>
      <c r="CZ136" s="15"/>
      <c r="DA136" s="15"/>
      <c r="DB136" s="15">
        <v>0</v>
      </c>
    </row>
    <row r="137" spans="1:106" x14ac:dyDescent="0.25">
      <c r="A137" t="s">
        <v>203</v>
      </c>
      <c r="B137" t="s">
        <v>204</v>
      </c>
      <c r="C137">
        <v>2016</v>
      </c>
      <c r="D137" s="16" t="s">
        <v>205</v>
      </c>
      <c r="E137">
        <v>0</v>
      </c>
      <c r="F137" s="15">
        <v>20.202020202020201</v>
      </c>
      <c r="G137" s="15"/>
      <c r="H137" s="15"/>
      <c r="I137" s="15">
        <v>59.595959595959599</v>
      </c>
      <c r="J137" s="15">
        <v>14.141414141414142</v>
      </c>
      <c r="K137" s="15"/>
      <c r="L137" s="15">
        <f>IF(Table2[[#This Row],[Lipids wt%]]+Table2[[#This Row],[Protein wt%]]+Table2[[#This Row],[Carbs wt%]] =0,"",SUM(Table2[[#This Row],[Lipids wt%]],Table2[[#This Row],[Protein wt%]],Table2[[#This Row],[Carbs wt%]]))</f>
        <v>93.939393939393938</v>
      </c>
      <c r="M137" s="15">
        <v>6</v>
      </c>
      <c r="Z137" s="15"/>
      <c r="AA137" s="15"/>
      <c r="AB137" s="15"/>
      <c r="AC137" s="15"/>
      <c r="AD137" s="15"/>
      <c r="AE137" s="15"/>
      <c r="AF137" s="15"/>
      <c r="AG137" s="15">
        <v>1.67E-3</v>
      </c>
      <c r="AH137" s="15"/>
      <c r="AI137" s="15"/>
      <c r="AJ137" s="15">
        <v>15</v>
      </c>
      <c r="AM137" s="13"/>
      <c r="AO137" s="15">
        <v>2.0833333333333335</v>
      </c>
      <c r="AP137" s="15" t="e">
        <f>LN(25/Table2[[#This Row],[Temperature (C)]]/(1-SQRT((Table2[[#This Row],[Temperature (C)]]-5)/Table2[[#This Row],[Temperature (C)]])))/Table2[[#This Row],[b]]</f>
        <v>#DIV/0!</v>
      </c>
      <c r="AQ137" s="15">
        <f>IF(Table2[[#This Row],[b]]&lt;&gt;"",Table2[[#This Row],[T-5]], 0)</f>
        <v>0</v>
      </c>
      <c r="AT137" t="s">
        <v>503</v>
      </c>
      <c r="AU137">
        <v>400</v>
      </c>
      <c r="AV137" s="15">
        <v>7</v>
      </c>
      <c r="AW137" s="15">
        <v>40</v>
      </c>
      <c r="AX137" s="15">
        <v>17</v>
      </c>
      <c r="AY137" s="15">
        <v>20</v>
      </c>
      <c r="AZ137" s="15"/>
      <c r="BA137" s="15"/>
      <c r="BB137" s="15">
        <f>IF(OR(Table2[[#This Row],[Gas wt%]]&lt;&gt;"",Table2[[#This Row],[Loss]]&lt;&gt;""),Table2[[#This Row],[Gas wt%]]+Table2[[#This Row],[Loss]],"")</f>
        <v>20</v>
      </c>
      <c r="BC137" s="15"/>
      <c r="BD137" s="15"/>
      <c r="BE137" s="15"/>
      <c r="BF137" s="15"/>
      <c r="BG137" s="15">
        <v>26</v>
      </c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15"/>
      <c r="CL137" s="15"/>
      <c r="CM137" s="15"/>
      <c r="CN137" s="15"/>
      <c r="CO137" s="15"/>
      <c r="CP137" s="15"/>
      <c r="CQ137" s="15"/>
      <c r="CR137" s="15"/>
      <c r="CS137" s="15"/>
      <c r="CT137" s="15"/>
      <c r="CU137" s="15"/>
      <c r="CV137" s="15"/>
      <c r="CW137" s="15"/>
      <c r="CX137" s="15"/>
      <c r="CY137" s="15"/>
      <c r="CZ137" s="15"/>
      <c r="DA137" s="15"/>
      <c r="DB137" s="15">
        <v>0</v>
      </c>
    </row>
    <row r="138" spans="1:106" x14ac:dyDescent="0.25">
      <c r="A138" t="s">
        <v>203</v>
      </c>
      <c r="B138" t="s">
        <v>204</v>
      </c>
      <c r="C138">
        <v>2016</v>
      </c>
      <c r="D138" s="16" t="s">
        <v>205</v>
      </c>
      <c r="E138">
        <v>0</v>
      </c>
      <c r="F138" s="15">
        <v>20.202020202020201</v>
      </c>
      <c r="G138" s="15"/>
      <c r="H138" s="15"/>
      <c r="I138" s="15">
        <v>59.595959595959599</v>
      </c>
      <c r="J138" s="15">
        <v>14.141414141414142</v>
      </c>
      <c r="K138" s="15"/>
      <c r="L138" s="15">
        <f>IF(Table2[[#This Row],[Lipids wt%]]+Table2[[#This Row],[Protein wt%]]+Table2[[#This Row],[Carbs wt%]] =0,"",SUM(Table2[[#This Row],[Lipids wt%]],Table2[[#This Row],[Protein wt%]],Table2[[#This Row],[Carbs wt%]]))</f>
        <v>93.939393939393938</v>
      </c>
      <c r="M138" s="15">
        <v>6</v>
      </c>
      <c r="Z138" s="15"/>
      <c r="AA138" s="15"/>
      <c r="AB138" s="15"/>
      <c r="AC138" s="15"/>
      <c r="AD138" s="15"/>
      <c r="AE138" s="15"/>
      <c r="AF138" s="15"/>
      <c r="AG138" s="15">
        <v>1.67E-3</v>
      </c>
      <c r="AH138" s="15"/>
      <c r="AI138" s="15"/>
      <c r="AJ138" s="15">
        <v>15</v>
      </c>
      <c r="AM138" s="13"/>
      <c r="AO138" s="15">
        <v>3.4166666666666665</v>
      </c>
      <c r="AP138" s="15" t="e">
        <f>LN(25/Table2[[#This Row],[Temperature (C)]]/(1-SQRT((Table2[[#This Row],[Temperature (C)]]-5)/Table2[[#This Row],[Temperature (C)]])))/Table2[[#This Row],[b]]</f>
        <v>#DIV/0!</v>
      </c>
      <c r="AQ138" s="15">
        <f>IF(Table2[[#This Row],[b]]&lt;&gt;"",Table2[[#This Row],[T-5]], 0)</f>
        <v>0</v>
      </c>
      <c r="AT138" t="s">
        <v>503</v>
      </c>
      <c r="AU138">
        <v>400</v>
      </c>
      <c r="AV138" s="15">
        <v>4</v>
      </c>
      <c r="AW138" s="15">
        <v>45</v>
      </c>
      <c r="AX138" s="15">
        <v>18</v>
      </c>
      <c r="AY138" s="15">
        <v>10</v>
      </c>
      <c r="AZ138" s="15"/>
      <c r="BA138" s="15"/>
      <c r="BB138" s="15">
        <f>IF(OR(Table2[[#This Row],[Gas wt%]]&lt;&gt;"",Table2[[#This Row],[Loss]]&lt;&gt;""),Table2[[#This Row],[Gas wt%]]+Table2[[#This Row],[Loss]],"")</f>
        <v>10</v>
      </c>
      <c r="BC138" s="15"/>
      <c r="BD138" s="15"/>
      <c r="BE138" s="15"/>
      <c r="BF138" s="15"/>
      <c r="BG138" s="15">
        <v>23</v>
      </c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5"/>
      <c r="BZ138" s="15"/>
      <c r="CA138" s="15"/>
      <c r="CB138" s="15"/>
      <c r="CC138" s="15"/>
      <c r="CD138" s="15"/>
      <c r="CE138" s="15"/>
      <c r="CF138" s="15"/>
      <c r="CG138" s="15"/>
      <c r="CH138" s="15"/>
      <c r="CI138" s="15"/>
      <c r="CJ138" s="15"/>
      <c r="CK138" s="15"/>
      <c r="CL138" s="15"/>
      <c r="CM138" s="15"/>
      <c r="CN138" s="15"/>
      <c r="CO138" s="15"/>
      <c r="CP138" s="15"/>
      <c r="CQ138" s="15"/>
      <c r="CR138" s="15"/>
      <c r="CS138" s="15"/>
      <c r="CT138" s="15"/>
      <c r="CU138" s="15"/>
      <c r="CV138" s="15"/>
      <c r="CW138" s="15"/>
      <c r="CX138" s="15"/>
      <c r="CY138" s="15"/>
      <c r="CZ138" s="15"/>
      <c r="DA138" s="15"/>
      <c r="DB138" s="15">
        <v>0</v>
      </c>
    </row>
    <row r="139" spans="1:106" x14ac:dyDescent="0.25">
      <c r="A139" t="s">
        <v>203</v>
      </c>
      <c r="B139" t="s">
        <v>204</v>
      </c>
      <c r="C139">
        <v>2016</v>
      </c>
      <c r="D139" s="16" t="s">
        <v>205</v>
      </c>
      <c r="E139">
        <v>0</v>
      </c>
      <c r="F139" s="15">
        <v>20.202020202020201</v>
      </c>
      <c r="G139" s="15"/>
      <c r="H139" s="15"/>
      <c r="I139" s="15">
        <v>59.595959595959599</v>
      </c>
      <c r="J139" s="15">
        <v>14.141414141414142</v>
      </c>
      <c r="K139" s="15"/>
      <c r="L139" s="15">
        <f>IF(Table2[[#This Row],[Lipids wt%]]+Table2[[#This Row],[Protein wt%]]+Table2[[#This Row],[Carbs wt%]] =0,"",SUM(Table2[[#This Row],[Lipids wt%]],Table2[[#This Row],[Protein wt%]],Table2[[#This Row],[Carbs wt%]]))</f>
        <v>93.939393939393938</v>
      </c>
      <c r="M139" s="15">
        <v>6</v>
      </c>
      <c r="Z139" s="15"/>
      <c r="AA139" s="15"/>
      <c r="AB139" s="15"/>
      <c r="AC139" s="15"/>
      <c r="AD139" s="15"/>
      <c r="AE139" s="15"/>
      <c r="AF139" s="15"/>
      <c r="AG139" s="15">
        <v>1.67E-3</v>
      </c>
      <c r="AH139" s="15"/>
      <c r="AI139" s="15"/>
      <c r="AJ139" s="15">
        <v>15</v>
      </c>
      <c r="AM139" s="13"/>
      <c r="AO139" s="15">
        <v>5.833333333333333</v>
      </c>
      <c r="AP139" s="15" t="e">
        <f>LN(25/Table2[[#This Row],[Temperature (C)]]/(1-SQRT((Table2[[#This Row],[Temperature (C)]]-5)/Table2[[#This Row],[Temperature (C)]])))/Table2[[#This Row],[b]]</f>
        <v>#DIV/0!</v>
      </c>
      <c r="AQ139" s="15">
        <f>IF(Table2[[#This Row],[b]]&lt;&gt;"",Table2[[#This Row],[T-5]], 0)</f>
        <v>0</v>
      </c>
      <c r="AT139" t="s">
        <v>503</v>
      </c>
      <c r="AU139">
        <v>400</v>
      </c>
      <c r="AV139" s="15">
        <v>3</v>
      </c>
      <c r="AW139" s="15">
        <v>40</v>
      </c>
      <c r="AX139" s="15">
        <v>14</v>
      </c>
      <c r="AY139" s="15">
        <v>7</v>
      </c>
      <c r="AZ139" s="15"/>
      <c r="BA139" s="15"/>
      <c r="BB139" s="15">
        <f>IF(OR(Table2[[#This Row],[Gas wt%]]&lt;&gt;"",Table2[[#This Row],[Loss]]&lt;&gt;""),Table2[[#This Row],[Gas wt%]]+Table2[[#This Row],[Loss]],"")</f>
        <v>7</v>
      </c>
      <c r="BC139" s="15"/>
      <c r="BD139" s="15"/>
      <c r="BE139" s="15"/>
      <c r="BF139" s="15"/>
      <c r="BG139" s="15">
        <v>36</v>
      </c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  <c r="CS139" s="15"/>
      <c r="CT139" s="15"/>
      <c r="CU139" s="15"/>
      <c r="CV139" s="15"/>
      <c r="CW139" s="15"/>
      <c r="CX139" s="15"/>
      <c r="CY139" s="15"/>
      <c r="CZ139" s="15"/>
      <c r="DA139" s="15"/>
      <c r="DB139" s="15">
        <v>0</v>
      </c>
    </row>
    <row r="140" spans="1:106" x14ac:dyDescent="0.25">
      <c r="A140" t="s">
        <v>203</v>
      </c>
      <c r="B140" t="s">
        <v>204</v>
      </c>
      <c r="C140">
        <v>2016</v>
      </c>
      <c r="D140" s="16" t="s">
        <v>205</v>
      </c>
      <c r="E140">
        <v>0</v>
      </c>
      <c r="F140" s="15">
        <v>20.202020202020201</v>
      </c>
      <c r="G140" s="15"/>
      <c r="H140" s="15"/>
      <c r="I140" s="15">
        <v>59.595959595959599</v>
      </c>
      <c r="J140" s="15">
        <v>14.141414141414142</v>
      </c>
      <c r="K140" s="15"/>
      <c r="L140" s="15">
        <f>IF(Table2[[#This Row],[Lipids wt%]]+Table2[[#This Row],[Protein wt%]]+Table2[[#This Row],[Carbs wt%]] =0,"",SUM(Table2[[#This Row],[Lipids wt%]],Table2[[#This Row],[Protein wt%]],Table2[[#This Row],[Carbs wt%]]))</f>
        <v>93.939393939393938</v>
      </c>
      <c r="M140" s="15">
        <v>6</v>
      </c>
      <c r="Z140" s="15"/>
      <c r="AA140" s="15"/>
      <c r="AB140" s="15"/>
      <c r="AC140" s="15"/>
      <c r="AD140" s="15"/>
      <c r="AE140" s="15"/>
      <c r="AF140" s="15"/>
      <c r="AG140" s="15">
        <v>1.67E-3</v>
      </c>
      <c r="AH140" s="15"/>
      <c r="AI140" s="15"/>
      <c r="AJ140" s="15">
        <v>15</v>
      </c>
      <c r="AM140" s="13"/>
      <c r="AO140" s="15">
        <v>8.1666666666666661</v>
      </c>
      <c r="AP140" s="15" t="e">
        <f>LN(25/Table2[[#This Row],[Temperature (C)]]/(1-SQRT((Table2[[#This Row],[Temperature (C)]]-5)/Table2[[#This Row],[Temperature (C)]])))/Table2[[#This Row],[b]]</f>
        <v>#DIV/0!</v>
      </c>
      <c r="AQ140" s="15">
        <f>IF(Table2[[#This Row],[b]]&lt;&gt;"",Table2[[#This Row],[T-5]], 0)</f>
        <v>0</v>
      </c>
      <c r="AT140" t="s">
        <v>503</v>
      </c>
      <c r="AU140">
        <v>400</v>
      </c>
      <c r="AV140" s="15">
        <v>4</v>
      </c>
      <c r="AW140" s="15">
        <v>43</v>
      </c>
      <c r="AX140" s="15">
        <v>10</v>
      </c>
      <c r="AY140" s="15">
        <v>13</v>
      </c>
      <c r="AZ140" s="15"/>
      <c r="BA140" s="15"/>
      <c r="BB140" s="15">
        <f>IF(OR(Table2[[#This Row],[Gas wt%]]&lt;&gt;"",Table2[[#This Row],[Loss]]&lt;&gt;""),Table2[[#This Row],[Gas wt%]]+Table2[[#This Row],[Loss]],"")</f>
        <v>13</v>
      </c>
      <c r="BC140" s="15"/>
      <c r="BD140" s="15"/>
      <c r="BE140" s="15"/>
      <c r="BF140" s="15"/>
      <c r="BG140" s="15">
        <v>31</v>
      </c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  <c r="CS140" s="15"/>
      <c r="CT140" s="15"/>
      <c r="CU140" s="15"/>
      <c r="CV140" s="15"/>
      <c r="CW140" s="15"/>
      <c r="CX140" s="15"/>
      <c r="CY140" s="15"/>
      <c r="CZ140" s="15"/>
      <c r="DA140" s="15"/>
      <c r="DB140" s="15">
        <v>0</v>
      </c>
    </row>
    <row r="141" spans="1:106" x14ac:dyDescent="0.25">
      <c r="A141" t="s">
        <v>203</v>
      </c>
      <c r="B141" t="s">
        <v>204</v>
      </c>
      <c r="C141">
        <v>2016</v>
      </c>
      <c r="D141" s="16" t="s">
        <v>205</v>
      </c>
      <c r="E141">
        <v>0</v>
      </c>
      <c r="F141" s="15">
        <v>20.202020202020201</v>
      </c>
      <c r="G141" s="15"/>
      <c r="H141" s="15"/>
      <c r="I141" s="15">
        <v>59.595959595959599</v>
      </c>
      <c r="J141" s="15">
        <v>14.141414141414142</v>
      </c>
      <c r="K141" s="15"/>
      <c r="L141" s="15">
        <f>IF(Table2[[#This Row],[Lipids wt%]]+Table2[[#This Row],[Protein wt%]]+Table2[[#This Row],[Carbs wt%]] =0,"",SUM(Table2[[#This Row],[Lipids wt%]],Table2[[#This Row],[Protein wt%]],Table2[[#This Row],[Carbs wt%]]))</f>
        <v>93.939393939393938</v>
      </c>
      <c r="M141" s="15">
        <v>6</v>
      </c>
      <c r="Z141" s="15"/>
      <c r="AA141" s="15"/>
      <c r="AB141" s="15"/>
      <c r="AC141" s="15"/>
      <c r="AD141" s="15"/>
      <c r="AE141" s="15"/>
      <c r="AF141" s="15"/>
      <c r="AG141" s="15">
        <v>1.67E-3</v>
      </c>
      <c r="AH141" s="15"/>
      <c r="AI141" s="15"/>
      <c r="AJ141" s="15">
        <v>15</v>
      </c>
      <c r="AM141" s="13"/>
      <c r="AO141" s="15">
        <v>14.833333333333334</v>
      </c>
      <c r="AP141" s="15" t="e">
        <f>LN(25/Table2[[#This Row],[Temperature (C)]]/(1-SQRT((Table2[[#This Row],[Temperature (C)]]-5)/Table2[[#This Row],[Temperature (C)]])))/Table2[[#This Row],[b]]</f>
        <v>#DIV/0!</v>
      </c>
      <c r="AQ141" s="15">
        <f>IF(Table2[[#This Row],[b]]&lt;&gt;"",Table2[[#This Row],[T-5]], 0)</f>
        <v>0</v>
      </c>
      <c r="AT141" t="s">
        <v>503</v>
      </c>
      <c r="AU141">
        <v>400</v>
      </c>
      <c r="AV141" s="15">
        <v>3</v>
      </c>
      <c r="AW141" s="15">
        <v>36</v>
      </c>
      <c r="AX141" s="15">
        <v>9</v>
      </c>
      <c r="AY141" s="15">
        <v>13</v>
      </c>
      <c r="AZ141" s="15"/>
      <c r="BA141" s="15"/>
      <c r="BB141" s="15">
        <f>IF(OR(Table2[[#This Row],[Gas wt%]]&lt;&gt;"",Table2[[#This Row],[Loss]]&lt;&gt;""),Table2[[#This Row],[Gas wt%]]+Table2[[#This Row],[Loss]],"")</f>
        <v>13</v>
      </c>
      <c r="BC141" s="15"/>
      <c r="BD141" s="15"/>
      <c r="BE141" s="15"/>
      <c r="BF141" s="15"/>
      <c r="BG141" s="15">
        <v>39</v>
      </c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  <c r="CS141" s="15"/>
      <c r="CT141" s="15"/>
      <c r="CU141" s="15"/>
      <c r="CV141" s="15"/>
      <c r="CW141" s="15"/>
      <c r="CX141" s="15"/>
      <c r="CY141" s="15"/>
      <c r="CZ141" s="15"/>
      <c r="DA141" s="15"/>
      <c r="DB141" s="15">
        <v>0</v>
      </c>
    </row>
    <row r="142" spans="1:106" x14ac:dyDescent="0.25">
      <c r="A142" t="s">
        <v>203</v>
      </c>
      <c r="B142" t="s">
        <v>204</v>
      </c>
      <c r="C142">
        <v>2016</v>
      </c>
      <c r="D142" s="16" t="s">
        <v>205</v>
      </c>
      <c r="E142">
        <v>0</v>
      </c>
      <c r="F142" s="15">
        <v>20.202020202020201</v>
      </c>
      <c r="G142" s="15"/>
      <c r="H142" s="15"/>
      <c r="I142" s="15">
        <v>59.595959595959599</v>
      </c>
      <c r="J142" s="15">
        <v>14.141414141414142</v>
      </c>
      <c r="K142" s="15"/>
      <c r="L142" s="15">
        <f>IF(Table2[[#This Row],[Lipids wt%]]+Table2[[#This Row],[Protein wt%]]+Table2[[#This Row],[Carbs wt%]] =0,"",SUM(Table2[[#This Row],[Lipids wt%]],Table2[[#This Row],[Protein wt%]],Table2[[#This Row],[Carbs wt%]]))</f>
        <v>93.939393939393938</v>
      </c>
      <c r="M142" s="15">
        <v>6</v>
      </c>
      <c r="Z142" s="15"/>
      <c r="AA142" s="15"/>
      <c r="AB142" s="15"/>
      <c r="AC142" s="15"/>
      <c r="AD142" s="15"/>
      <c r="AE142" s="15"/>
      <c r="AF142" s="15"/>
      <c r="AG142" s="15">
        <v>1.67E-3</v>
      </c>
      <c r="AH142" s="15"/>
      <c r="AI142" s="15"/>
      <c r="AJ142" s="15">
        <v>15</v>
      </c>
      <c r="AM142" s="13"/>
      <c r="AO142" s="15">
        <v>39.833333333333336</v>
      </c>
      <c r="AP142" s="15" t="e">
        <f>LN(25/Table2[[#This Row],[Temperature (C)]]/(1-SQRT((Table2[[#This Row],[Temperature (C)]]-5)/Table2[[#This Row],[Temperature (C)]])))/Table2[[#This Row],[b]]</f>
        <v>#DIV/0!</v>
      </c>
      <c r="AQ142" s="15">
        <f>IF(Table2[[#This Row],[b]]&lt;&gt;"",Table2[[#This Row],[T-5]], 0)</f>
        <v>0</v>
      </c>
      <c r="AT142" t="s">
        <v>503</v>
      </c>
      <c r="AU142">
        <v>400</v>
      </c>
      <c r="AV142" s="15">
        <v>3</v>
      </c>
      <c r="AW142" s="15">
        <v>33</v>
      </c>
      <c r="AX142" s="15">
        <v>10</v>
      </c>
      <c r="AY142" s="15">
        <v>16</v>
      </c>
      <c r="AZ142" s="15"/>
      <c r="BA142" s="15"/>
      <c r="BB142" s="15">
        <f>IF(OR(Table2[[#This Row],[Gas wt%]]&lt;&gt;"",Table2[[#This Row],[Loss]]&lt;&gt;""),Table2[[#This Row],[Gas wt%]]+Table2[[#This Row],[Loss]],"")</f>
        <v>16</v>
      </c>
      <c r="BC142" s="15"/>
      <c r="BD142" s="15"/>
      <c r="BE142" s="15"/>
      <c r="BF142" s="15"/>
      <c r="BG142" s="15">
        <v>38</v>
      </c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  <c r="BY142" s="15"/>
      <c r="BZ142" s="15"/>
      <c r="CA142" s="15"/>
      <c r="CB142" s="15"/>
      <c r="CC142" s="15"/>
      <c r="CD142" s="15"/>
      <c r="CE142" s="15"/>
      <c r="CF142" s="15"/>
      <c r="CG142" s="15"/>
      <c r="CH142" s="15"/>
      <c r="CI142" s="15"/>
      <c r="CJ142" s="15"/>
      <c r="CK142" s="15"/>
      <c r="CL142" s="15"/>
      <c r="CM142" s="15"/>
      <c r="CN142" s="15"/>
      <c r="CO142" s="15"/>
      <c r="CP142" s="15"/>
      <c r="CQ142" s="15"/>
      <c r="CR142" s="15"/>
      <c r="CS142" s="15"/>
      <c r="CT142" s="15"/>
      <c r="CU142" s="15"/>
      <c r="CV142" s="15"/>
      <c r="CW142" s="15"/>
      <c r="CX142" s="15"/>
      <c r="CY142" s="15"/>
      <c r="CZ142" s="15"/>
      <c r="DA142" s="15"/>
      <c r="DB142" s="15">
        <v>0</v>
      </c>
    </row>
    <row r="143" spans="1:106" x14ac:dyDescent="0.25">
      <c r="A143" t="s">
        <v>203</v>
      </c>
      <c r="B143" t="s">
        <v>204</v>
      </c>
      <c r="C143">
        <v>2016</v>
      </c>
      <c r="D143" s="16" t="s">
        <v>205</v>
      </c>
      <c r="E143">
        <v>0</v>
      </c>
      <c r="F143" s="15">
        <v>20.202020202020201</v>
      </c>
      <c r="G143" s="15"/>
      <c r="H143" s="15"/>
      <c r="I143" s="15">
        <v>59.595959595959599</v>
      </c>
      <c r="J143" s="15">
        <v>14.141414141414142</v>
      </c>
      <c r="K143" s="15"/>
      <c r="L143" s="15">
        <f>IF(Table2[[#This Row],[Lipids wt%]]+Table2[[#This Row],[Protein wt%]]+Table2[[#This Row],[Carbs wt%]] =0,"",SUM(Table2[[#This Row],[Lipids wt%]],Table2[[#This Row],[Protein wt%]],Table2[[#This Row],[Carbs wt%]]))</f>
        <v>93.939393939393938</v>
      </c>
      <c r="M143" s="15">
        <v>6</v>
      </c>
      <c r="Z143" s="15"/>
      <c r="AA143" s="15"/>
      <c r="AB143" s="15"/>
      <c r="AC143" s="15"/>
      <c r="AD143" s="15"/>
      <c r="AE143" s="15"/>
      <c r="AF143" s="15"/>
      <c r="AG143" s="15">
        <v>1.67E-3</v>
      </c>
      <c r="AH143" s="15"/>
      <c r="AI143" s="15"/>
      <c r="AJ143" s="15">
        <v>15</v>
      </c>
      <c r="AM143" s="13"/>
      <c r="AO143" s="15">
        <v>0.58333333333333337</v>
      </c>
      <c r="AP143" s="15" t="e">
        <f>LN(25/Table2[[#This Row],[Temperature (C)]]/(1-SQRT((Table2[[#This Row],[Temperature (C)]]-5)/Table2[[#This Row],[Temperature (C)]])))/Table2[[#This Row],[b]]</f>
        <v>#DIV/0!</v>
      </c>
      <c r="AQ143" s="15">
        <f>IF(Table2[[#This Row],[b]]&lt;&gt;"",Table2[[#This Row],[T-5]], 0)</f>
        <v>0</v>
      </c>
      <c r="AT143" t="s">
        <v>503</v>
      </c>
      <c r="AU143">
        <v>450</v>
      </c>
      <c r="AV143" s="15">
        <v>42</v>
      </c>
      <c r="AW143" s="15">
        <v>20</v>
      </c>
      <c r="AX143" s="15">
        <v>32</v>
      </c>
      <c r="AY143" s="15">
        <v>1</v>
      </c>
      <c r="AZ143" s="15"/>
      <c r="BA143" s="15"/>
      <c r="BB143" s="15">
        <f>IF(OR(Table2[[#This Row],[Gas wt%]]&lt;&gt;"",Table2[[#This Row],[Loss]]&lt;&gt;""),Table2[[#This Row],[Gas wt%]]+Table2[[#This Row],[Loss]],"")</f>
        <v>1</v>
      </c>
      <c r="BC143" s="15"/>
      <c r="BD143" s="15"/>
      <c r="BE143" s="15"/>
      <c r="BF143" s="15"/>
      <c r="BG143" s="15">
        <v>6</v>
      </c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  <c r="CO143" s="15"/>
      <c r="CP143" s="15"/>
      <c r="CQ143" s="15"/>
      <c r="CR143" s="15"/>
      <c r="CS143" s="15"/>
      <c r="CT143" s="15"/>
      <c r="CU143" s="15"/>
      <c r="CV143" s="15"/>
      <c r="CW143" s="15"/>
      <c r="CX143" s="15"/>
      <c r="CY143" s="15"/>
      <c r="CZ143" s="15"/>
      <c r="DA143" s="15"/>
      <c r="DB143" s="15">
        <v>0</v>
      </c>
    </row>
    <row r="144" spans="1:106" x14ac:dyDescent="0.25">
      <c r="A144" t="s">
        <v>203</v>
      </c>
      <c r="B144" t="s">
        <v>204</v>
      </c>
      <c r="C144">
        <v>2016</v>
      </c>
      <c r="D144" s="16" t="s">
        <v>205</v>
      </c>
      <c r="E144">
        <v>0</v>
      </c>
      <c r="F144" s="15">
        <v>20.202020202020201</v>
      </c>
      <c r="G144" s="15"/>
      <c r="H144" s="15"/>
      <c r="I144" s="15">
        <v>59.595959595959599</v>
      </c>
      <c r="J144" s="15">
        <v>14.141414141414142</v>
      </c>
      <c r="K144" s="15"/>
      <c r="L144" s="15">
        <f>IF(Table2[[#This Row],[Lipids wt%]]+Table2[[#This Row],[Protein wt%]]+Table2[[#This Row],[Carbs wt%]] =0,"",SUM(Table2[[#This Row],[Lipids wt%]],Table2[[#This Row],[Protein wt%]],Table2[[#This Row],[Carbs wt%]]))</f>
        <v>93.939393939393938</v>
      </c>
      <c r="M144" s="15">
        <v>6</v>
      </c>
      <c r="Z144" s="15"/>
      <c r="AA144" s="15"/>
      <c r="AB144" s="15"/>
      <c r="AC144" s="15"/>
      <c r="AD144" s="15"/>
      <c r="AE144" s="15"/>
      <c r="AF144" s="15"/>
      <c r="AG144" s="15">
        <v>1.67E-3</v>
      </c>
      <c r="AH144" s="15"/>
      <c r="AI144" s="15"/>
      <c r="AJ144" s="15">
        <v>15</v>
      </c>
      <c r="AM144" s="13"/>
      <c r="AO144" s="15">
        <v>0.91666666666666663</v>
      </c>
      <c r="AP144" s="15" t="e">
        <f>LN(25/Table2[[#This Row],[Temperature (C)]]/(1-SQRT((Table2[[#This Row],[Temperature (C)]]-5)/Table2[[#This Row],[Temperature (C)]])))/Table2[[#This Row],[b]]</f>
        <v>#DIV/0!</v>
      </c>
      <c r="AQ144" s="15">
        <f>IF(Table2[[#This Row],[b]]&lt;&gt;"",Table2[[#This Row],[T-5]], 0)</f>
        <v>0</v>
      </c>
      <c r="AT144" t="s">
        <v>503</v>
      </c>
      <c r="AU144">
        <v>450</v>
      </c>
      <c r="AV144" s="15">
        <v>15</v>
      </c>
      <c r="AW144" s="15">
        <v>33</v>
      </c>
      <c r="AX144" s="15">
        <v>39</v>
      </c>
      <c r="AY144" s="15">
        <v>9</v>
      </c>
      <c r="AZ144" s="15"/>
      <c r="BA144" s="15"/>
      <c r="BB144" s="15">
        <f>IF(OR(Table2[[#This Row],[Gas wt%]]&lt;&gt;"",Table2[[#This Row],[Loss]]&lt;&gt;""),Table2[[#This Row],[Gas wt%]]+Table2[[#This Row],[Loss]],"")</f>
        <v>9</v>
      </c>
      <c r="BC144" s="15"/>
      <c r="BD144" s="15"/>
      <c r="BE144" s="15"/>
      <c r="BF144" s="15"/>
      <c r="BG144" s="15">
        <v>4</v>
      </c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  <c r="CR144" s="15"/>
      <c r="CS144" s="15"/>
      <c r="CT144" s="15"/>
      <c r="CU144" s="15"/>
      <c r="CV144" s="15"/>
      <c r="CW144" s="15"/>
      <c r="CX144" s="15"/>
      <c r="CY144" s="15"/>
      <c r="CZ144" s="15"/>
      <c r="DA144" s="15"/>
      <c r="DB144" s="15">
        <v>0</v>
      </c>
    </row>
    <row r="145" spans="1:106" x14ac:dyDescent="0.25">
      <c r="A145" t="s">
        <v>203</v>
      </c>
      <c r="B145" t="s">
        <v>204</v>
      </c>
      <c r="C145">
        <v>2016</v>
      </c>
      <c r="D145" s="16" t="s">
        <v>205</v>
      </c>
      <c r="E145">
        <v>0</v>
      </c>
      <c r="F145" s="15">
        <v>20.202020202020201</v>
      </c>
      <c r="G145" s="15"/>
      <c r="H145" s="15"/>
      <c r="I145" s="15">
        <v>59.595959595959599</v>
      </c>
      <c r="J145" s="15">
        <v>14.141414141414142</v>
      </c>
      <c r="K145" s="15"/>
      <c r="L145" s="15">
        <f>IF(Table2[[#This Row],[Lipids wt%]]+Table2[[#This Row],[Protein wt%]]+Table2[[#This Row],[Carbs wt%]] =0,"",SUM(Table2[[#This Row],[Lipids wt%]],Table2[[#This Row],[Protein wt%]],Table2[[#This Row],[Carbs wt%]]))</f>
        <v>93.939393939393938</v>
      </c>
      <c r="M145" s="15">
        <v>6</v>
      </c>
      <c r="Z145" s="15"/>
      <c r="AA145" s="15"/>
      <c r="AB145" s="15"/>
      <c r="AC145" s="15"/>
      <c r="AD145" s="15"/>
      <c r="AE145" s="15"/>
      <c r="AF145" s="15"/>
      <c r="AG145" s="15">
        <v>1.67E-3</v>
      </c>
      <c r="AH145" s="15"/>
      <c r="AI145" s="15"/>
      <c r="AJ145" s="15">
        <v>15</v>
      </c>
      <c r="AM145" s="13"/>
      <c r="AO145" s="15">
        <v>0.16666666666666666</v>
      </c>
      <c r="AP145" s="15" t="e">
        <f>LN(25/Table2[[#This Row],[Temperature (C)]]/(1-SQRT((Table2[[#This Row],[Temperature (C)]]-5)/Table2[[#This Row],[Temperature (C)]])))/Table2[[#This Row],[b]]</f>
        <v>#DIV/0!</v>
      </c>
      <c r="AQ145" s="15">
        <f>IF(Table2[[#This Row],[b]]&lt;&gt;"",Table2[[#This Row],[T-5]], 0)</f>
        <v>0</v>
      </c>
      <c r="AT145" t="s">
        <v>503</v>
      </c>
      <c r="AU145">
        <v>500</v>
      </c>
      <c r="AV145" s="15">
        <v>82</v>
      </c>
      <c r="AW145" s="15">
        <v>1</v>
      </c>
      <c r="AX145" s="15">
        <v>13</v>
      </c>
      <c r="AY145" s="15">
        <v>8</v>
      </c>
      <c r="AZ145" s="15"/>
      <c r="BA145" s="15"/>
      <c r="BB145" s="15">
        <f>IF(OR(Table2[[#This Row],[Gas wt%]]&lt;&gt;"",Table2[[#This Row],[Loss]]&lt;&gt;""),Table2[[#This Row],[Gas wt%]]+Table2[[#This Row],[Loss]],"")</f>
        <v>8</v>
      </c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  <c r="CR145" s="15"/>
      <c r="CS145" s="15"/>
      <c r="CT145" s="15"/>
      <c r="CU145" s="15"/>
      <c r="CV145" s="15"/>
      <c r="CW145" s="15"/>
      <c r="CX145" s="15"/>
      <c r="CY145" s="15"/>
      <c r="CZ145" s="15"/>
      <c r="DA145" s="15"/>
      <c r="DB145" s="15">
        <v>0</v>
      </c>
    </row>
    <row r="146" spans="1:106" x14ac:dyDescent="0.25">
      <c r="A146" t="s">
        <v>203</v>
      </c>
      <c r="B146" t="s">
        <v>204</v>
      </c>
      <c r="C146">
        <v>2016</v>
      </c>
      <c r="D146" s="16" t="s">
        <v>205</v>
      </c>
      <c r="E146">
        <v>0</v>
      </c>
      <c r="F146" s="15">
        <v>20.202020202020201</v>
      </c>
      <c r="G146" s="15"/>
      <c r="H146" s="15"/>
      <c r="I146" s="15">
        <v>59.595959595959599</v>
      </c>
      <c r="J146" s="15">
        <v>14.141414141414142</v>
      </c>
      <c r="K146" s="15"/>
      <c r="L146" s="15">
        <f>IF(Table2[[#This Row],[Lipids wt%]]+Table2[[#This Row],[Protein wt%]]+Table2[[#This Row],[Carbs wt%]] =0,"",SUM(Table2[[#This Row],[Lipids wt%]],Table2[[#This Row],[Protein wt%]],Table2[[#This Row],[Carbs wt%]]))</f>
        <v>93.939393939393938</v>
      </c>
      <c r="M146" s="15">
        <v>6</v>
      </c>
      <c r="Z146" s="15"/>
      <c r="AA146" s="15"/>
      <c r="AB146" s="15"/>
      <c r="AC146" s="15"/>
      <c r="AD146" s="15"/>
      <c r="AE146" s="15"/>
      <c r="AF146" s="15"/>
      <c r="AG146" s="15">
        <v>1.67E-3</v>
      </c>
      <c r="AH146" s="15"/>
      <c r="AI146" s="15"/>
      <c r="AJ146" s="15">
        <v>15</v>
      </c>
      <c r="AM146" s="13"/>
      <c r="AO146" s="15">
        <v>0.25</v>
      </c>
      <c r="AP146" s="15" t="e">
        <f>LN(25/Table2[[#This Row],[Temperature (C)]]/(1-SQRT((Table2[[#This Row],[Temperature (C)]]-5)/Table2[[#This Row],[Temperature (C)]])))/Table2[[#This Row],[b]]</f>
        <v>#DIV/0!</v>
      </c>
      <c r="AQ146" s="15">
        <f>IF(Table2[[#This Row],[b]]&lt;&gt;"",Table2[[#This Row],[T-5]], 0)</f>
        <v>0</v>
      </c>
      <c r="AT146" t="s">
        <v>503</v>
      </c>
      <c r="AU146">
        <v>500</v>
      </c>
      <c r="AV146" s="15">
        <v>78</v>
      </c>
      <c r="AW146" s="15">
        <v>1</v>
      </c>
      <c r="AX146" s="15">
        <v>10</v>
      </c>
      <c r="AY146" s="15">
        <v>5</v>
      </c>
      <c r="AZ146" s="15"/>
      <c r="BA146" s="15"/>
      <c r="BB146" s="15">
        <f>IF(OR(Table2[[#This Row],[Gas wt%]]&lt;&gt;"",Table2[[#This Row],[Loss]]&lt;&gt;""),Table2[[#This Row],[Gas wt%]]+Table2[[#This Row],[Loss]],"")</f>
        <v>5</v>
      </c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  <c r="CI146" s="15"/>
      <c r="CJ146" s="15"/>
      <c r="CK146" s="15"/>
      <c r="CL146" s="15"/>
      <c r="CM146" s="15"/>
      <c r="CN146" s="15"/>
      <c r="CO146" s="15"/>
      <c r="CP146" s="15"/>
      <c r="CQ146" s="15"/>
      <c r="CR146" s="15"/>
      <c r="CS146" s="15"/>
      <c r="CT146" s="15"/>
      <c r="CU146" s="15"/>
      <c r="CV146" s="15"/>
      <c r="CW146" s="15"/>
      <c r="CX146" s="15"/>
      <c r="CY146" s="15"/>
      <c r="CZ146" s="15"/>
      <c r="DA146" s="15"/>
      <c r="DB146" s="15">
        <v>0</v>
      </c>
    </row>
    <row r="147" spans="1:106" x14ac:dyDescent="0.25">
      <c r="A147" t="s">
        <v>203</v>
      </c>
      <c r="B147" t="s">
        <v>204</v>
      </c>
      <c r="C147">
        <v>2016</v>
      </c>
      <c r="D147" s="16" t="s">
        <v>205</v>
      </c>
      <c r="E147">
        <v>0</v>
      </c>
      <c r="F147" s="15">
        <v>20.202020202020201</v>
      </c>
      <c r="G147" s="15"/>
      <c r="H147" s="15"/>
      <c r="I147" s="15">
        <v>59.595959595959599</v>
      </c>
      <c r="J147" s="15">
        <v>14.141414141414142</v>
      </c>
      <c r="K147" s="15"/>
      <c r="L147" s="15">
        <f>IF(Table2[[#This Row],[Lipids wt%]]+Table2[[#This Row],[Protein wt%]]+Table2[[#This Row],[Carbs wt%]] =0,"",SUM(Table2[[#This Row],[Lipids wt%]],Table2[[#This Row],[Protein wt%]],Table2[[#This Row],[Carbs wt%]]))</f>
        <v>93.939393939393938</v>
      </c>
      <c r="M147" s="15">
        <v>6</v>
      </c>
      <c r="Z147" s="15"/>
      <c r="AA147" s="15"/>
      <c r="AB147" s="15"/>
      <c r="AC147" s="15"/>
      <c r="AD147" s="15"/>
      <c r="AE147" s="15"/>
      <c r="AF147" s="15"/>
      <c r="AG147" s="15">
        <v>1.67E-3</v>
      </c>
      <c r="AH147" s="15"/>
      <c r="AI147" s="15"/>
      <c r="AJ147" s="15">
        <v>15</v>
      </c>
      <c r="AM147" s="13"/>
      <c r="AO147" s="15">
        <v>0.41666666666666669</v>
      </c>
      <c r="AP147" s="15" t="e">
        <f>LN(25/Table2[[#This Row],[Temperature (C)]]/(1-SQRT((Table2[[#This Row],[Temperature (C)]]-5)/Table2[[#This Row],[Temperature (C)]])))/Table2[[#This Row],[b]]</f>
        <v>#DIV/0!</v>
      </c>
      <c r="AQ147" s="15">
        <f>IF(Table2[[#This Row],[b]]&lt;&gt;"",Table2[[#This Row],[T-5]], 0)</f>
        <v>0</v>
      </c>
      <c r="AT147" t="s">
        <v>503</v>
      </c>
      <c r="AU147">
        <v>500</v>
      </c>
      <c r="AV147" s="15">
        <v>47</v>
      </c>
      <c r="AW147" s="15">
        <v>20</v>
      </c>
      <c r="AX147" s="15">
        <v>33</v>
      </c>
      <c r="AY147" s="15">
        <v>13</v>
      </c>
      <c r="AZ147" s="15"/>
      <c r="BA147" s="15"/>
      <c r="BB147" s="15">
        <f>IF(OR(Table2[[#This Row],[Gas wt%]]&lt;&gt;"",Table2[[#This Row],[Loss]]&lt;&gt;""),Table2[[#This Row],[Gas wt%]]+Table2[[#This Row],[Loss]],"")</f>
        <v>13</v>
      </c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/>
      <c r="CO147" s="15"/>
      <c r="CP147" s="15"/>
      <c r="CQ147" s="15"/>
      <c r="CR147" s="15"/>
      <c r="CS147" s="15"/>
      <c r="CT147" s="15"/>
      <c r="CU147" s="15"/>
      <c r="CV147" s="15"/>
      <c r="CW147" s="15"/>
      <c r="CX147" s="15"/>
      <c r="CY147" s="15"/>
      <c r="CZ147" s="15"/>
      <c r="DA147" s="15"/>
      <c r="DB147" s="15">
        <v>0</v>
      </c>
    </row>
    <row r="148" spans="1:106" x14ac:dyDescent="0.25">
      <c r="A148" t="s">
        <v>203</v>
      </c>
      <c r="B148" t="s">
        <v>204</v>
      </c>
      <c r="C148">
        <v>2016</v>
      </c>
      <c r="D148" s="16" t="s">
        <v>205</v>
      </c>
      <c r="E148">
        <v>0</v>
      </c>
      <c r="F148" s="15">
        <v>20.202020202020201</v>
      </c>
      <c r="G148" s="15"/>
      <c r="H148" s="15"/>
      <c r="I148" s="15">
        <v>59.595959595959599</v>
      </c>
      <c r="J148" s="15">
        <v>14.141414141414142</v>
      </c>
      <c r="K148" s="15"/>
      <c r="L148" s="15">
        <f>IF(Table2[[#This Row],[Lipids wt%]]+Table2[[#This Row],[Protein wt%]]+Table2[[#This Row],[Carbs wt%]] =0,"",SUM(Table2[[#This Row],[Lipids wt%]],Table2[[#This Row],[Protein wt%]],Table2[[#This Row],[Carbs wt%]]))</f>
        <v>93.939393939393938</v>
      </c>
      <c r="M148" s="15">
        <v>6</v>
      </c>
      <c r="Z148" s="15"/>
      <c r="AA148" s="15"/>
      <c r="AB148" s="15"/>
      <c r="AC148" s="15"/>
      <c r="AD148" s="15"/>
      <c r="AE148" s="15"/>
      <c r="AF148" s="15"/>
      <c r="AG148" s="15">
        <v>1.67E-3</v>
      </c>
      <c r="AH148" s="15"/>
      <c r="AI148" s="15"/>
      <c r="AJ148" s="15">
        <v>15</v>
      </c>
      <c r="AM148" s="13"/>
      <c r="AO148" s="15">
        <v>8.3333333333333329E-2</v>
      </c>
      <c r="AP148" s="15" t="e">
        <f>LN(25/Table2[[#This Row],[Temperature (C)]]/(1-SQRT((Table2[[#This Row],[Temperature (C)]]-5)/Table2[[#This Row],[Temperature (C)]])))/Table2[[#This Row],[b]]</f>
        <v>#DIV/0!</v>
      </c>
      <c r="AQ148" s="15">
        <f>IF(Table2[[#This Row],[b]]&lt;&gt;"",Table2[[#This Row],[T-5]], 0)</f>
        <v>0</v>
      </c>
      <c r="AT148" t="s">
        <v>503</v>
      </c>
      <c r="AU148">
        <v>600</v>
      </c>
      <c r="AV148" s="15">
        <v>81</v>
      </c>
      <c r="AW148" s="15">
        <v>2</v>
      </c>
      <c r="AX148" s="15">
        <v>15</v>
      </c>
      <c r="AY148" s="15">
        <v>8</v>
      </c>
      <c r="AZ148" s="15"/>
      <c r="BA148" s="15"/>
      <c r="BB148" s="15">
        <f>IF(OR(Table2[[#This Row],[Gas wt%]]&lt;&gt;"",Table2[[#This Row],[Loss]]&lt;&gt;""),Table2[[#This Row],[Gas wt%]]+Table2[[#This Row],[Loss]],"")</f>
        <v>8</v>
      </c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  <c r="BY148" s="15"/>
      <c r="BZ148" s="15"/>
      <c r="CA148" s="15"/>
      <c r="CB148" s="15"/>
      <c r="CC148" s="15"/>
      <c r="CD148" s="15"/>
      <c r="CE148" s="15"/>
      <c r="CF148" s="15"/>
      <c r="CG148" s="15"/>
      <c r="CH148" s="15"/>
      <c r="CI148" s="15"/>
      <c r="CJ148" s="15"/>
      <c r="CK148" s="15"/>
      <c r="CL148" s="15"/>
      <c r="CM148" s="15"/>
      <c r="CN148" s="15"/>
      <c r="CO148" s="15"/>
      <c r="CP148" s="15"/>
      <c r="CQ148" s="15"/>
      <c r="CR148" s="15"/>
      <c r="CS148" s="15"/>
      <c r="CT148" s="15"/>
      <c r="CU148" s="15"/>
      <c r="CV148" s="15"/>
      <c r="CW148" s="15"/>
      <c r="CX148" s="15"/>
      <c r="CY148" s="15"/>
      <c r="CZ148" s="15"/>
      <c r="DA148" s="15"/>
      <c r="DB148" s="15">
        <v>0</v>
      </c>
    </row>
    <row r="149" spans="1:106" x14ac:dyDescent="0.25">
      <c r="A149" t="s">
        <v>203</v>
      </c>
      <c r="B149" t="s">
        <v>204</v>
      </c>
      <c r="C149">
        <v>2016</v>
      </c>
      <c r="D149" s="16" t="s">
        <v>205</v>
      </c>
      <c r="E149">
        <v>0</v>
      </c>
      <c r="F149" s="15">
        <v>20.202020202020201</v>
      </c>
      <c r="G149" s="15"/>
      <c r="H149" s="15"/>
      <c r="I149" s="15">
        <v>59.595959595959599</v>
      </c>
      <c r="J149" s="15">
        <v>14.141414141414142</v>
      </c>
      <c r="K149" s="15"/>
      <c r="L149" s="15">
        <f>IF(Table2[[#This Row],[Lipids wt%]]+Table2[[#This Row],[Protein wt%]]+Table2[[#This Row],[Carbs wt%]] =0,"",SUM(Table2[[#This Row],[Lipids wt%]],Table2[[#This Row],[Protein wt%]],Table2[[#This Row],[Carbs wt%]]))</f>
        <v>93.939393939393938</v>
      </c>
      <c r="M149" s="15">
        <v>6</v>
      </c>
      <c r="Z149" s="15"/>
      <c r="AA149" s="15"/>
      <c r="AB149" s="15"/>
      <c r="AC149" s="15"/>
      <c r="AD149" s="15"/>
      <c r="AE149" s="15"/>
      <c r="AF149" s="15"/>
      <c r="AG149" s="15">
        <v>1.67E-3</v>
      </c>
      <c r="AH149" s="15"/>
      <c r="AI149" s="15"/>
      <c r="AJ149" s="15">
        <v>15</v>
      </c>
      <c r="AM149" s="13"/>
      <c r="AO149" s="15">
        <v>0.25</v>
      </c>
      <c r="AP149" s="15" t="e">
        <f>LN(25/Table2[[#This Row],[Temperature (C)]]/(1-SQRT((Table2[[#This Row],[Temperature (C)]]-5)/Table2[[#This Row],[Temperature (C)]])))/Table2[[#This Row],[b]]</f>
        <v>#DIV/0!</v>
      </c>
      <c r="AQ149" s="15">
        <f>IF(Table2[[#This Row],[b]]&lt;&gt;"",Table2[[#This Row],[T-5]], 0)</f>
        <v>0</v>
      </c>
      <c r="AT149" t="s">
        <v>503</v>
      </c>
      <c r="AU149">
        <v>600</v>
      </c>
      <c r="AV149" s="15">
        <v>60</v>
      </c>
      <c r="AW149" s="15">
        <v>4</v>
      </c>
      <c r="AX149" s="15">
        <v>15</v>
      </c>
      <c r="AY149" s="15">
        <v>8</v>
      </c>
      <c r="AZ149" s="15"/>
      <c r="BA149" s="15"/>
      <c r="BB149" s="15">
        <f>IF(OR(Table2[[#This Row],[Gas wt%]]&lt;&gt;"",Table2[[#This Row],[Loss]]&lt;&gt;""),Table2[[#This Row],[Gas wt%]]+Table2[[#This Row],[Loss]],"")</f>
        <v>8</v>
      </c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  <c r="CR149" s="15"/>
      <c r="CS149" s="15"/>
      <c r="CT149" s="15"/>
      <c r="CU149" s="15"/>
      <c r="CV149" s="15"/>
      <c r="CW149" s="15"/>
      <c r="CX149" s="15"/>
      <c r="CY149" s="15"/>
      <c r="CZ149" s="15"/>
      <c r="DA149" s="15"/>
      <c r="DB149" s="15">
        <v>0</v>
      </c>
    </row>
    <row r="150" spans="1:106" x14ac:dyDescent="0.25">
      <c r="A150" t="s">
        <v>208</v>
      </c>
      <c r="B150" t="s">
        <v>209</v>
      </c>
      <c r="C150">
        <v>2016</v>
      </c>
      <c r="D150" s="16" t="s">
        <v>206</v>
      </c>
      <c r="E150">
        <v>0</v>
      </c>
      <c r="F150" s="15">
        <v>56.975697569756967</v>
      </c>
      <c r="G150" s="15"/>
      <c r="H150" s="15"/>
      <c r="I150" s="15">
        <v>14.26142614261426</v>
      </c>
      <c r="J150" s="15">
        <v>21.762176217621761</v>
      </c>
      <c r="K150" s="15"/>
      <c r="L150" s="15">
        <f>IF(Table2[[#This Row],[Lipids wt%]]+Table2[[#This Row],[Protein wt%]]+Table2[[#This Row],[Carbs wt%]] =0,"",SUM(Table2[[#This Row],[Lipids wt%]],Table2[[#This Row],[Protein wt%]],Table2[[#This Row],[Carbs wt%]]))</f>
        <v>92.999299929992986</v>
      </c>
      <c r="M150" s="15">
        <v>7</v>
      </c>
      <c r="P150">
        <v>79.599999999999994</v>
      </c>
      <c r="Z150" s="15"/>
      <c r="AA150" s="15"/>
      <c r="AB150" s="15"/>
      <c r="AC150" s="15"/>
      <c r="AD150" s="15"/>
      <c r="AE150" s="15"/>
      <c r="AF150" s="15">
        <v>25</v>
      </c>
      <c r="AG150" s="15"/>
      <c r="AH150" s="15"/>
      <c r="AI150" s="15"/>
      <c r="AJ150" s="15">
        <v>10</v>
      </c>
      <c r="AM150" s="13"/>
      <c r="AO150" s="15"/>
      <c r="AP150" s="15" t="e">
        <f>LN(25/Table2[[#This Row],[Temperature (C)]]/(1-SQRT((Table2[[#This Row],[Temperature (C)]]-5)/Table2[[#This Row],[Temperature (C)]])))/Table2[[#This Row],[b]]</f>
        <v>#DIV/0!</v>
      </c>
      <c r="AQ150" s="15">
        <f>IF(Table2[[#This Row],[b]]&lt;&gt;"",Table2[[#This Row],[T-5]], 0)</f>
        <v>0</v>
      </c>
      <c r="AT150" t="s">
        <v>503</v>
      </c>
      <c r="AU150">
        <v>180</v>
      </c>
      <c r="AV150" s="15">
        <v>62.1592442645074</v>
      </c>
      <c r="AW150" s="15">
        <v>16.8151147098515</v>
      </c>
      <c r="AX150" s="15">
        <v>22.9554655870445</v>
      </c>
      <c r="AY150" s="15"/>
      <c r="AZ150" s="15"/>
      <c r="BA150" s="15"/>
      <c r="BB150" s="15" t="str">
        <f>IF(OR(Table2[[#This Row],[Gas wt%]]&lt;&gt;"",Table2[[#This Row],[Loss]]&lt;&gt;""),Table2[[#This Row],[Gas wt%]]+Table2[[#This Row],[Loss]],"")</f>
        <v/>
      </c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>
        <v>71.989999999999995</v>
      </c>
      <c r="BP150" s="15"/>
      <c r="BQ150" s="15"/>
      <c r="BR150" s="15"/>
      <c r="BS150" s="15"/>
      <c r="BT150" s="15"/>
      <c r="BU150" s="15"/>
      <c r="BV150" s="15"/>
      <c r="BW150" s="15"/>
      <c r="BX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15"/>
      <c r="CR150" s="15"/>
      <c r="CS150" s="15"/>
      <c r="CT150" s="15"/>
      <c r="CU150" s="15"/>
      <c r="CV150" s="15"/>
      <c r="CW150" s="15"/>
      <c r="CX150" s="15"/>
      <c r="CY150" s="15"/>
      <c r="CZ150" s="15"/>
      <c r="DA150" s="15"/>
      <c r="DB150" s="15">
        <v>0</v>
      </c>
    </row>
    <row r="151" spans="1:106" x14ac:dyDescent="0.25">
      <c r="A151" t="s">
        <v>208</v>
      </c>
      <c r="B151" t="s">
        <v>209</v>
      </c>
      <c r="C151">
        <v>2016</v>
      </c>
      <c r="D151" s="16" t="s">
        <v>206</v>
      </c>
      <c r="E151">
        <v>0</v>
      </c>
      <c r="F151" s="15">
        <v>56.975697569756967</v>
      </c>
      <c r="G151" s="15"/>
      <c r="H151" s="15"/>
      <c r="I151" s="15">
        <v>14.26142614261426</v>
      </c>
      <c r="J151" s="15">
        <v>21.762176217621761</v>
      </c>
      <c r="K151" s="15"/>
      <c r="L151" s="15">
        <f>IF(Table2[[#This Row],[Lipids wt%]]+Table2[[#This Row],[Protein wt%]]+Table2[[#This Row],[Carbs wt%]] =0,"",SUM(Table2[[#This Row],[Lipids wt%]],Table2[[#This Row],[Protein wt%]],Table2[[#This Row],[Carbs wt%]]))</f>
        <v>92.999299929992986</v>
      </c>
      <c r="M151" s="15">
        <v>7</v>
      </c>
      <c r="P151">
        <v>79.599999999999994</v>
      </c>
      <c r="Z151" s="15"/>
      <c r="AA151" s="15"/>
      <c r="AB151" s="15"/>
      <c r="AC151" s="15"/>
      <c r="AD151" s="15"/>
      <c r="AE151" s="15"/>
      <c r="AF151" s="15">
        <v>25</v>
      </c>
      <c r="AG151" s="15"/>
      <c r="AH151" s="15"/>
      <c r="AI151" s="15"/>
      <c r="AJ151" s="15">
        <v>10</v>
      </c>
      <c r="AM151" s="13"/>
      <c r="AO151" s="15"/>
      <c r="AP151" s="15" t="e">
        <f>LN(25/Table2[[#This Row],[Temperature (C)]]/(1-SQRT((Table2[[#This Row],[Temperature (C)]]-5)/Table2[[#This Row],[Temperature (C)]])))/Table2[[#This Row],[b]]</f>
        <v>#DIV/0!</v>
      </c>
      <c r="AQ151" s="15">
        <f>IF(Table2[[#This Row],[b]]&lt;&gt;"",Table2[[#This Row],[T-5]], 0)</f>
        <v>0</v>
      </c>
      <c r="AT151" t="s">
        <v>503</v>
      </c>
      <c r="AU151">
        <v>200</v>
      </c>
      <c r="AV151" s="15">
        <v>55.4520917678812</v>
      </c>
      <c r="AW151" s="15">
        <v>21.160593792172701</v>
      </c>
      <c r="AX151" s="15">
        <v>23.9946018893387</v>
      </c>
      <c r="AY151" s="15"/>
      <c r="AZ151" s="15"/>
      <c r="BA151" s="15"/>
      <c r="BB151" s="15" t="str">
        <f>IF(OR(Table2[[#This Row],[Gas wt%]]&lt;&gt;"",Table2[[#This Row],[Loss]]&lt;&gt;""),Table2[[#This Row],[Gas wt%]]+Table2[[#This Row],[Loss]],"")</f>
        <v/>
      </c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>
        <v>73.180000000000007</v>
      </c>
      <c r="BP151" s="15"/>
      <c r="BQ151" s="15"/>
      <c r="BR151" s="15"/>
      <c r="BS151" s="15"/>
      <c r="BT151" s="15"/>
      <c r="BU151" s="15"/>
      <c r="BV151" s="15"/>
      <c r="BW151" s="15"/>
      <c r="BX151" s="15"/>
      <c r="BY151" s="15"/>
      <c r="BZ151" s="15"/>
      <c r="CA151" s="15"/>
      <c r="CB151" s="15"/>
      <c r="CC151" s="15"/>
      <c r="CD151" s="15"/>
      <c r="CE151" s="15"/>
      <c r="CF151" s="15"/>
      <c r="CG151" s="15"/>
      <c r="CH151" s="15"/>
      <c r="CI151" s="15"/>
      <c r="CJ151" s="15"/>
      <c r="CK151" s="15"/>
      <c r="CL151" s="15"/>
      <c r="CM151" s="15"/>
      <c r="CN151" s="15"/>
      <c r="CO151" s="15"/>
      <c r="CP151" s="15"/>
      <c r="CQ151" s="15"/>
      <c r="CR151" s="15"/>
      <c r="CS151" s="15"/>
      <c r="CT151" s="15"/>
      <c r="CU151" s="15"/>
      <c r="CV151" s="15"/>
      <c r="CW151" s="15"/>
      <c r="CX151" s="15"/>
      <c r="CY151" s="15"/>
      <c r="CZ151" s="15"/>
      <c r="DA151" s="15"/>
      <c r="DB151" s="15">
        <v>0</v>
      </c>
    </row>
    <row r="152" spans="1:106" x14ac:dyDescent="0.25">
      <c r="A152" t="s">
        <v>208</v>
      </c>
      <c r="B152" t="s">
        <v>209</v>
      </c>
      <c r="C152">
        <v>2016</v>
      </c>
      <c r="D152" s="16" t="s">
        <v>206</v>
      </c>
      <c r="E152">
        <v>0</v>
      </c>
      <c r="F152" s="15">
        <v>56.975697569756967</v>
      </c>
      <c r="G152" s="15"/>
      <c r="H152" s="15"/>
      <c r="I152" s="15">
        <v>14.26142614261426</v>
      </c>
      <c r="J152" s="15">
        <v>21.762176217621761</v>
      </c>
      <c r="K152" s="15"/>
      <c r="L152" s="15">
        <f>IF(Table2[[#This Row],[Lipids wt%]]+Table2[[#This Row],[Protein wt%]]+Table2[[#This Row],[Carbs wt%]] =0,"",SUM(Table2[[#This Row],[Lipids wt%]],Table2[[#This Row],[Protein wt%]],Table2[[#This Row],[Carbs wt%]]))</f>
        <v>92.999299929992986</v>
      </c>
      <c r="M152" s="15">
        <v>7</v>
      </c>
      <c r="P152">
        <v>79.599999999999994</v>
      </c>
      <c r="Z152" s="15"/>
      <c r="AA152" s="15"/>
      <c r="AB152" s="15"/>
      <c r="AC152" s="15"/>
      <c r="AD152" s="15"/>
      <c r="AE152" s="15"/>
      <c r="AF152" s="15">
        <v>25</v>
      </c>
      <c r="AG152" s="15"/>
      <c r="AH152" s="15"/>
      <c r="AI152" s="15"/>
      <c r="AJ152" s="15">
        <v>10</v>
      </c>
      <c r="AM152" s="13"/>
      <c r="AO152" s="15"/>
      <c r="AP152" s="15" t="e">
        <f>LN(25/Table2[[#This Row],[Temperature (C)]]/(1-SQRT((Table2[[#This Row],[Temperature (C)]]-5)/Table2[[#This Row],[Temperature (C)]])))/Table2[[#This Row],[b]]</f>
        <v>#DIV/0!</v>
      </c>
      <c r="AQ152" s="15">
        <f>IF(Table2[[#This Row],[b]]&lt;&gt;"",Table2[[#This Row],[T-5]], 0)</f>
        <v>0</v>
      </c>
      <c r="AT152" t="s">
        <v>503</v>
      </c>
      <c r="AU152">
        <v>225</v>
      </c>
      <c r="AV152" s="15">
        <v>45.816464237516797</v>
      </c>
      <c r="AW152" s="15">
        <v>25.883940620782699</v>
      </c>
      <c r="AX152" s="15">
        <v>25.600539811066099</v>
      </c>
      <c r="AY152" s="15">
        <v>2.83400809716598</v>
      </c>
      <c r="AZ152" s="15"/>
      <c r="BA152" s="15"/>
      <c r="BB152" s="15">
        <f>IF(OR(Table2[[#This Row],[Gas wt%]]&lt;&gt;"",Table2[[#This Row],[Loss]]&lt;&gt;""),Table2[[#This Row],[Gas wt%]]+Table2[[#This Row],[Loss]],"")</f>
        <v>2.83400809716598</v>
      </c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>
        <v>74.14</v>
      </c>
      <c r="BP152" s="15"/>
      <c r="BQ152" s="15"/>
      <c r="BR152" s="15"/>
      <c r="BS152" s="15"/>
      <c r="BT152" s="15"/>
      <c r="BU152" s="15"/>
      <c r="BV152" s="15"/>
      <c r="BW152" s="15"/>
      <c r="BX152" s="15"/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  <c r="CI152" s="15"/>
      <c r="CJ152" s="15"/>
      <c r="CK152" s="15"/>
      <c r="CL152" s="15"/>
      <c r="CM152" s="15"/>
      <c r="CN152" s="15"/>
      <c r="CO152" s="15"/>
      <c r="CP152" s="15"/>
      <c r="CQ152" s="15"/>
      <c r="CR152" s="15"/>
      <c r="CS152" s="15"/>
      <c r="CT152" s="15"/>
      <c r="CU152" s="15"/>
      <c r="CV152" s="15"/>
      <c r="CW152" s="15"/>
      <c r="CX152" s="15"/>
      <c r="CY152" s="15"/>
      <c r="CZ152" s="15"/>
      <c r="DA152" s="15"/>
      <c r="DB152" s="15">
        <v>0</v>
      </c>
    </row>
    <row r="153" spans="1:106" x14ac:dyDescent="0.25">
      <c r="A153" t="s">
        <v>208</v>
      </c>
      <c r="B153" t="s">
        <v>209</v>
      </c>
      <c r="C153">
        <v>2016</v>
      </c>
      <c r="D153" s="16" t="s">
        <v>206</v>
      </c>
      <c r="E153">
        <v>0</v>
      </c>
      <c r="F153" s="15">
        <v>56.975697569756967</v>
      </c>
      <c r="G153" s="15"/>
      <c r="H153" s="15"/>
      <c r="I153" s="15">
        <v>14.26142614261426</v>
      </c>
      <c r="J153" s="15">
        <v>21.762176217621761</v>
      </c>
      <c r="K153" s="15"/>
      <c r="L153" s="15">
        <f>IF(Table2[[#This Row],[Lipids wt%]]+Table2[[#This Row],[Protein wt%]]+Table2[[#This Row],[Carbs wt%]] =0,"",SUM(Table2[[#This Row],[Lipids wt%]],Table2[[#This Row],[Protein wt%]],Table2[[#This Row],[Carbs wt%]]))</f>
        <v>92.999299929992986</v>
      </c>
      <c r="M153" s="15">
        <v>7</v>
      </c>
      <c r="P153">
        <v>79.599999999999994</v>
      </c>
      <c r="Z153" s="15"/>
      <c r="AA153" s="15"/>
      <c r="AB153" s="15"/>
      <c r="AC153" s="15"/>
      <c r="AD153" s="15"/>
      <c r="AE153" s="15"/>
      <c r="AF153" s="15">
        <v>25</v>
      </c>
      <c r="AG153" s="15"/>
      <c r="AH153" s="15"/>
      <c r="AI153" s="15"/>
      <c r="AJ153" s="15">
        <v>10</v>
      </c>
      <c r="AM153" s="13"/>
      <c r="AO153" s="15"/>
      <c r="AP153" s="15" t="e">
        <f>LN(25/Table2[[#This Row],[Temperature (C)]]/(1-SQRT((Table2[[#This Row],[Temperature (C)]]-5)/Table2[[#This Row],[Temperature (C)]])))/Table2[[#This Row],[b]]</f>
        <v>#DIV/0!</v>
      </c>
      <c r="AQ153" s="15">
        <f>IF(Table2[[#This Row],[b]]&lt;&gt;"",Table2[[#This Row],[T-5]], 0)</f>
        <v>0</v>
      </c>
      <c r="AT153" t="s">
        <v>503</v>
      </c>
      <c r="AU153">
        <v>250</v>
      </c>
      <c r="AV153" s="15">
        <v>44.399460188933801</v>
      </c>
      <c r="AW153" s="15">
        <v>25.789473684210499</v>
      </c>
      <c r="AX153" s="15">
        <v>26.923076923076898</v>
      </c>
      <c r="AY153" s="15">
        <v>3.5897435897435801</v>
      </c>
      <c r="AZ153" s="15"/>
      <c r="BA153" s="15"/>
      <c r="BB153" s="15">
        <f>IF(OR(Table2[[#This Row],[Gas wt%]]&lt;&gt;"",Table2[[#This Row],[Loss]]&lt;&gt;""),Table2[[#This Row],[Gas wt%]]+Table2[[#This Row],[Loss]],"")</f>
        <v>3.5897435897435801</v>
      </c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>
        <v>76.36</v>
      </c>
      <c r="BP153" s="15"/>
      <c r="BQ153" s="15"/>
      <c r="BR153" s="15"/>
      <c r="BS153" s="15"/>
      <c r="BT153" s="15"/>
      <c r="BU153" s="15"/>
      <c r="BV153" s="15"/>
      <c r="BW153" s="15"/>
      <c r="BX153" s="15"/>
      <c r="BY153" s="15"/>
      <c r="BZ153" s="15"/>
      <c r="CA153" s="15"/>
      <c r="CB153" s="15"/>
      <c r="CC153" s="15"/>
      <c r="CD153" s="15"/>
      <c r="CE153" s="15"/>
      <c r="CF153" s="15"/>
      <c r="CG153" s="15"/>
      <c r="CH153" s="15"/>
      <c r="CI153" s="15"/>
      <c r="CJ153" s="15"/>
      <c r="CK153" s="15"/>
      <c r="CL153" s="15"/>
      <c r="CM153" s="15"/>
      <c r="CN153" s="15"/>
      <c r="CO153" s="15"/>
      <c r="CP153" s="15"/>
      <c r="CQ153" s="15"/>
      <c r="CR153" s="15"/>
      <c r="CS153" s="15"/>
      <c r="CT153" s="15"/>
      <c r="CU153" s="15"/>
      <c r="CV153" s="15"/>
      <c r="CW153" s="15"/>
      <c r="CX153" s="15"/>
      <c r="CY153" s="15"/>
      <c r="CZ153" s="15"/>
      <c r="DA153" s="15"/>
      <c r="DB153" s="15">
        <v>0</v>
      </c>
    </row>
    <row r="154" spans="1:106" x14ac:dyDescent="0.25">
      <c r="A154" t="s">
        <v>208</v>
      </c>
      <c r="B154" t="s">
        <v>209</v>
      </c>
      <c r="C154">
        <v>2016</v>
      </c>
      <c r="D154" s="16" t="s">
        <v>206</v>
      </c>
      <c r="E154">
        <v>0</v>
      </c>
      <c r="F154" s="15">
        <v>56.975697569756967</v>
      </c>
      <c r="G154" s="15"/>
      <c r="H154" s="15"/>
      <c r="I154" s="15">
        <v>14.26142614261426</v>
      </c>
      <c r="J154" s="15">
        <v>21.762176217621761</v>
      </c>
      <c r="K154" s="15"/>
      <c r="L154" s="15">
        <f>IF(Table2[[#This Row],[Lipids wt%]]+Table2[[#This Row],[Protein wt%]]+Table2[[#This Row],[Carbs wt%]] =0,"",SUM(Table2[[#This Row],[Lipids wt%]],Table2[[#This Row],[Protein wt%]],Table2[[#This Row],[Carbs wt%]]))</f>
        <v>92.999299929992986</v>
      </c>
      <c r="M154" s="15">
        <v>7</v>
      </c>
      <c r="P154">
        <v>79.599999999999994</v>
      </c>
      <c r="Z154" s="15"/>
      <c r="AA154" s="15"/>
      <c r="AB154" s="15"/>
      <c r="AC154" s="15"/>
      <c r="AD154" s="15"/>
      <c r="AE154" s="15"/>
      <c r="AF154" s="15">
        <v>25</v>
      </c>
      <c r="AG154" s="15"/>
      <c r="AH154" s="15"/>
      <c r="AI154" s="15"/>
      <c r="AJ154" s="15">
        <v>10</v>
      </c>
      <c r="AM154" s="13"/>
      <c r="AO154" s="15"/>
      <c r="AP154" s="15" t="e">
        <f>LN(25/Table2[[#This Row],[Temperature (C)]]/(1-SQRT((Table2[[#This Row],[Temperature (C)]]-5)/Table2[[#This Row],[Temperature (C)]])))/Table2[[#This Row],[b]]</f>
        <v>#DIV/0!</v>
      </c>
      <c r="AQ154" s="15">
        <f>IF(Table2[[#This Row],[b]]&lt;&gt;"",Table2[[#This Row],[T-5]], 0)</f>
        <v>0</v>
      </c>
      <c r="AT154" t="s">
        <v>503</v>
      </c>
      <c r="AU154">
        <v>275</v>
      </c>
      <c r="AV154" s="15">
        <v>42.132253711201002</v>
      </c>
      <c r="AW154" s="15">
        <v>27.584345479082302</v>
      </c>
      <c r="AX154" s="15">
        <v>20.877192982456101</v>
      </c>
      <c r="AY154" s="15">
        <v>9.6356275303643599</v>
      </c>
      <c r="AZ154" s="15"/>
      <c r="BA154" s="15"/>
      <c r="BB154" s="15">
        <f>IF(OR(Table2[[#This Row],[Gas wt%]]&lt;&gt;"",Table2[[#This Row],[Loss]]&lt;&gt;""),Table2[[#This Row],[Gas wt%]]+Table2[[#This Row],[Loss]],"")</f>
        <v>9.6356275303643599</v>
      </c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>
        <v>72.2</v>
      </c>
      <c r="BP154" s="15"/>
      <c r="BQ154" s="15"/>
      <c r="BR154" s="15"/>
      <c r="BS154" s="15"/>
      <c r="BT154" s="15"/>
      <c r="BU154" s="15"/>
      <c r="BV154" s="15"/>
      <c r="BW154" s="15"/>
      <c r="BX154" s="15"/>
      <c r="BY154" s="15"/>
      <c r="BZ154" s="15"/>
      <c r="CA154" s="15"/>
      <c r="CB154" s="15"/>
      <c r="CC154" s="15"/>
      <c r="CD154" s="15"/>
      <c r="CE154" s="15"/>
      <c r="CF154" s="15"/>
      <c r="CG154" s="15"/>
      <c r="CH154" s="15"/>
      <c r="CI154" s="15"/>
      <c r="CJ154" s="15"/>
      <c r="CK154" s="15"/>
      <c r="CL154" s="15"/>
      <c r="CM154" s="15"/>
      <c r="CN154" s="15"/>
      <c r="CO154" s="15"/>
      <c r="CP154" s="15"/>
      <c r="CQ154" s="15"/>
      <c r="CR154" s="15"/>
      <c r="CS154" s="15"/>
      <c r="CT154" s="15"/>
      <c r="CU154" s="15"/>
      <c r="CV154" s="15"/>
      <c r="CW154" s="15"/>
      <c r="CX154" s="15"/>
      <c r="CY154" s="15"/>
      <c r="CZ154" s="15"/>
      <c r="DA154" s="15"/>
      <c r="DB154" s="15">
        <v>0</v>
      </c>
    </row>
    <row r="155" spans="1:106" x14ac:dyDescent="0.25">
      <c r="A155" t="s">
        <v>208</v>
      </c>
      <c r="B155" t="s">
        <v>209</v>
      </c>
      <c r="C155">
        <v>2016</v>
      </c>
      <c r="D155" s="16" t="s">
        <v>206</v>
      </c>
      <c r="E155">
        <v>0</v>
      </c>
      <c r="F155" s="15">
        <v>56.975697569756967</v>
      </c>
      <c r="G155" s="15"/>
      <c r="H155" s="15"/>
      <c r="I155" s="15">
        <v>14.26142614261426</v>
      </c>
      <c r="J155" s="15">
        <v>21.762176217621761</v>
      </c>
      <c r="K155" s="15"/>
      <c r="L155" s="15">
        <f>IF(Table2[[#This Row],[Lipids wt%]]+Table2[[#This Row],[Protein wt%]]+Table2[[#This Row],[Carbs wt%]] =0,"",SUM(Table2[[#This Row],[Lipids wt%]],Table2[[#This Row],[Protein wt%]],Table2[[#This Row],[Carbs wt%]]))</f>
        <v>92.999299929992986</v>
      </c>
      <c r="M155" s="15">
        <v>7</v>
      </c>
      <c r="P155">
        <v>79.599999999999994</v>
      </c>
      <c r="Z155" s="15"/>
      <c r="AA155" s="15"/>
      <c r="AB155" s="15"/>
      <c r="AC155" s="15"/>
      <c r="AD155" s="15"/>
      <c r="AE155" s="15"/>
      <c r="AF155" s="15">
        <v>25</v>
      </c>
      <c r="AG155" s="15"/>
      <c r="AH155" s="15"/>
      <c r="AI155" s="15"/>
      <c r="AJ155" s="15">
        <v>10</v>
      </c>
      <c r="AM155" s="13"/>
      <c r="AO155" s="15"/>
      <c r="AP155" s="15" t="e">
        <f>LN(25/Table2[[#This Row],[Temperature (C)]]/(1-SQRT((Table2[[#This Row],[Temperature (C)]]-5)/Table2[[#This Row],[Temperature (C)]])))/Table2[[#This Row],[b]]</f>
        <v>#DIV/0!</v>
      </c>
      <c r="AQ155" s="15">
        <f>IF(Table2[[#This Row],[b]]&lt;&gt;"",Table2[[#This Row],[T-5]], 0)</f>
        <v>0</v>
      </c>
      <c r="AT155" t="s">
        <v>503</v>
      </c>
      <c r="AU155">
        <v>300</v>
      </c>
      <c r="AV155" s="15">
        <v>23.049932523616601</v>
      </c>
      <c r="AW155" s="15">
        <v>47.800269905533</v>
      </c>
      <c r="AX155" s="15">
        <v>17.476383265856899</v>
      </c>
      <c r="AY155" s="15">
        <v>12.7530364372469</v>
      </c>
      <c r="AZ155" s="15"/>
      <c r="BA155" s="15"/>
      <c r="BB155" s="15">
        <f>IF(OR(Table2[[#This Row],[Gas wt%]]&lt;&gt;"",Table2[[#This Row],[Loss]]&lt;&gt;""),Table2[[#This Row],[Gas wt%]]+Table2[[#This Row],[Loss]],"")</f>
        <v>12.7530364372469</v>
      </c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>
        <v>78.39</v>
      </c>
      <c r="BP155" s="15"/>
      <c r="BQ155" s="15"/>
      <c r="BR155" s="15"/>
      <c r="BS155" s="15"/>
      <c r="BT155" s="15"/>
      <c r="BU155" s="15"/>
      <c r="BV155" s="15"/>
      <c r="BW155" s="15"/>
      <c r="BX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  <c r="CR155" s="15"/>
      <c r="CS155" s="15"/>
      <c r="CT155" s="15"/>
      <c r="CU155" s="15"/>
      <c r="CV155" s="15"/>
      <c r="CW155" s="15"/>
      <c r="CX155" s="15"/>
      <c r="CY155" s="15"/>
      <c r="CZ155" s="15"/>
      <c r="DA155" s="15"/>
      <c r="DB155" s="15">
        <v>0</v>
      </c>
    </row>
    <row r="156" spans="1:106" x14ac:dyDescent="0.25">
      <c r="A156" t="s">
        <v>208</v>
      </c>
      <c r="B156" t="s">
        <v>209</v>
      </c>
      <c r="C156">
        <v>2016</v>
      </c>
      <c r="D156" s="16" t="s">
        <v>206</v>
      </c>
      <c r="E156">
        <v>0</v>
      </c>
      <c r="F156" s="15">
        <v>56.975697569756967</v>
      </c>
      <c r="G156" s="15"/>
      <c r="H156" s="15"/>
      <c r="I156" s="15">
        <v>14.26142614261426</v>
      </c>
      <c r="J156" s="15">
        <v>21.762176217621761</v>
      </c>
      <c r="K156" s="15"/>
      <c r="L156" s="15">
        <f>IF(Table2[[#This Row],[Lipids wt%]]+Table2[[#This Row],[Protein wt%]]+Table2[[#This Row],[Carbs wt%]] =0,"",SUM(Table2[[#This Row],[Lipids wt%]],Table2[[#This Row],[Protein wt%]],Table2[[#This Row],[Carbs wt%]]))</f>
        <v>92.999299929992986</v>
      </c>
      <c r="M156" s="15">
        <v>7</v>
      </c>
      <c r="P156">
        <v>79.599999999999994</v>
      </c>
      <c r="Z156" s="15"/>
      <c r="AA156" s="15"/>
      <c r="AB156" s="15"/>
      <c r="AC156" s="15"/>
      <c r="AD156" s="15"/>
      <c r="AE156" s="15"/>
      <c r="AF156" s="15">
        <v>25</v>
      </c>
      <c r="AG156" s="15"/>
      <c r="AH156" s="15"/>
      <c r="AI156" s="15"/>
      <c r="AJ156" s="15">
        <v>10</v>
      </c>
      <c r="AM156" s="13"/>
      <c r="AO156" s="15"/>
      <c r="AP156" s="15" t="e">
        <f>LN(25/Table2[[#This Row],[Temperature (C)]]/(1-SQRT((Table2[[#This Row],[Temperature (C)]]-5)/Table2[[#This Row],[Temperature (C)]])))/Table2[[#This Row],[b]]</f>
        <v>#DIV/0!</v>
      </c>
      <c r="AQ156" s="15">
        <f>IF(Table2[[#This Row],[b]]&lt;&gt;"",Table2[[#This Row],[T-5]], 0)</f>
        <v>0</v>
      </c>
      <c r="AT156" t="s">
        <v>503</v>
      </c>
      <c r="AU156">
        <v>330</v>
      </c>
      <c r="AV156" s="15">
        <v>16.7206477732793</v>
      </c>
      <c r="AW156" s="15">
        <v>37.975708502024197</v>
      </c>
      <c r="AX156" s="15">
        <v>10.107962213225299</v>
      </c>
      <c r="AY156" s="15">
        <v>31.2685560053981</v>
      </c>
      <c r="AZ156" s="15"/>
      <c r="BA156" s="15"/>
      <c r="BB156" s="15">
        <f>IF(OR(Table2[[#This Row],[Gas wt%]]&lt;&gt;"",Table2[[#This Row],[Loss]]&lt;&gt;""),Table2[[#This Row],[Gas wt%]]+Table2[[#This Row],[Loss]],"")</f>
        <v>31.2685560053981</v>
      </c>
      <c r="BC156" s="15"/>
      <c r="BD156" s="15"/>
      <c r="BE156" s="15"/>
      <c r="BF156" s="15"/>
      <c r="BG156" s="15"/>
      <c r="BH156" s="15">
        <f>100-SUM(Table2[[#This Row],[Solids wt%]:[Gas wt%]])</f>
        <v>3.9271255060731107</v>
      </c>
      <c r="BI156" s="15"/>
      <c r="BJ156" s="15"/>
      <c r="BK156" s="15"/>
      <c r="BL156" s="15"/>
      <c r="BM156" s="15"/>
      <c r="BN156" s="15"/>
      <c r="BO156" s="15">
        <v>65.25</v>
      </c>
      <c r="BP156" s="15"/>
      <c r="BQ156" s="15"/>
      <c r="BR156" s="15"/>
      <c r="BS156" s="15"/>
      <c r="BT156" s="15"/>
      <c r="BU156" s="15"/>
      <c r="BV156" s="15"/>
      <c r="BW156" s="15"/>
      <c r="BX156" s="15"/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  <c r="CI156" s="15"/>
      <c r="CJ156" s="15"/>
      <c r="CK156" s="15"/>
      <c r="CL156" s="15"/>
      <c r="CM156" s="15"/>
      <c r="CN156" s="15"/>
      <c r="CO156" s="15"/>
      <c r="CP156" s="15"/>
      <c r="CQ156" s="15"/>
      <c r="CR156" s="15"/>
      <c r="CS156" s="15"/>
      <c r="CT156" s="15"/>
      <c r="CU156" s="15"/>
      <c r="CV156" s="15"/>
      <c r="CW156" s="15"/>
      <c r="CX156" s="15"/>
      <c r="CY156" s="15"/>
      <c r="CZ156" s="15"/>
      <c r="DA156" s="15"/>
      <c r="DB156" s="15">
        <v>0</v>
      </c>
    </row>
    <row r="157" spans="1:106" x14ac:dyDescent="0.25">
      <c r="A157" t="s">
        <v>208</v>
      </c>
      <c r="B157" t="s">
        <v>209</v>
      </c>
      <c r="C157">
        <v>2016</v>
      </c>
      <c r="D157" s="16" t="s">
        <v>207</v>
      </c>
      <c r="E157">
        <v>0</v>
      </c>
      <c r="F157" s="15">
        <v>42.581926514399214</v>
      </c>
      <c r="G157" s="15"/>
      <c r="H157" s="15"/>
      <c r="I157" s="15">
        <v>44.309831181727908</v>
      </c>
      <c r="J157" s="15">
        <v>10.625620655412117</v>
      </c>
      <c r="K157" s="15"/>
      <c r="L157" s="15">
        <f>IF(Table2[[#This Row],[Lipids wt%]]+Table2[[#This Row],[Protein wt%]]+Table2[[#This Row],[Carbs wt%]] =0,"",SUM(Table2[[#This Row],[Lipids wt%]],Table2[[#This Row],[Protein wt%]],Table2[[#This Row],[Carbs wt%]]))</f>
        <v>97.517378351539236</v>
      </c>
      <c r="M157" s="15">
        <v>2.5</v>
      </c>
      <c r="P157">
        <v>74</v>
      </c>
      <c r="Z157" s="15"/>
      <c r="AA157" s="15"/>
      <c r="AB157" s="15"/>
      <c r="AC157" s="15"/>
      <c r="AD157" s="15"/>
      <c r="AE157" s="15"/>
      <c r="AF157" s="15">
        <v>24.3</v>
      </c>
      <c r="AG157" s="15"/>
      <c r="AH157" s="15"/>
      <c r="AI157" s="15"/>
      <c r="AJ157" s="15">
        <v>10</v>
      </c>
      <c r="AM157" s="13"/>
      <c r="AO157" s="15"/>
      <c r="AP157" s="15" t="e">
        <f>LN(25/Table2[[#This Row],[Temperature (C)]]/(1-SQRT((Table2[[#This Row],[Temperature (C)]]-5)/Table2[[#This Row],[Temperature (C)]])))/Table2[[#This Row],[b]]</f>
        <v>#DIV/0!</v>
      </c>
      <c r="AQ157" s="15">
        <f>IF(Table2[[#This Row],[b]]&lt;&gt;"",Table2[[#This Row],[T-5]], 0)</f>
        <v>0</v>
      </c>
      <c r="AT157" t="s">
        <v>503</v>
      </c>
      <c r="AU157">
        <v>180</v>
      </c>
      <c r="AV157" s="15">
        <v>55.2232746955344</v>
      </c>
      <c r="AW157" s="15">
        <v>8.9986468200270693</v>
      </c>
      <c r="AX157" s="15">
        <v>20.270635994587199</v>
      </c>
      <c r="AY157" s="15">
        <v>15.155615696887599</v>
      </c>
      <c r="AZ157" s="15"/>
      <c r="BA157" s="15"/>
      <c r="BB157" s="15">
        <f>IF(OR(Table2[[#This Row],[Gas wt%]]&lt;&gt;"",Table2[[#This Row],[Loss]]&lt;&gt;""),Table2[[#This Row],[Gas wt%]]+Table2[[#This Row],[Loss]],"")</f>
        <v>15.155615696887599</v>
      </c>
      <c r="BC157" s="15"/>
      <c r="BD157" s="15"/>
      <c r="BE157" s="15"/>
      <c r="BF157" s="15"/>
      <c r="BG157" s="15"/>
      <c r="BH157" s="15">
        <f>100-SUM(Table2[[#This Row],[Solids wt%]:[Gas wt%]])</f>
        <v>0.35182679296374886</v>
      </c>
      <c r="BI157" s="15"/>
      <c r="BJ157" s="15"/>
      <c r="BK157" s="15"/>
      <c r="BL157" s="15"/>
      <c r="BM157" s="15"/>
      <c r="BN157" s="15"/>
      <c r="BO157" s="15">
        <v>59.3</v>
      </c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  <c r="CU157" s="15"/>
      <c r="CV157" s="15"/>
      <c r="CW157" s="15"/>
      <c r="CX157" s="15"/>
      <c r="CY157" s="15"/>
      <c r="CZ157" s="15"/>
      <c r="DA157" s="15"/>
      <c r="DB157" s="15">
        <v>0</v>
      </c>
    </row>
    <row r="158" spans="1:106" x14ac:dyDescent="0.25">
      <c r="A158" t="s">
        <v>208</v>
      </c>
      <c r="B158" t="s">
        <v>209</v>
      </c>
      <c r="C158">
        <v>2016</v>
      </c>
      <c r="D158" s="16" t="s">
        <v>207</v>
      </c>
      <c r="E158">
        <v>0</v>
      </c>
      <c r="F158" s="15">
        <v>42.581926514399214</v>
      </c>
      <c r="G158" s="15"/>
      <c r="H158" s="15"/>
      <c r="I158" s="15">
        <v>44.309831181727908</v>
      </c>
      <c r="J158" s="15">
        <v>10.625620655412117</v>
      </c>
      <c r="K158" s="15"/>
      <c r="L158" s="15">
        <f>IF(Table2[[#This Row],[Lipids wt%]]+Table2[[#This Row],[Protein wt%]]+Table2[[#This Row],[Carbs wt%]] =0,"",SUM(Table2[[#This Row],[Lipids wt%]],Table2[[#This Row],[Protein wt%]],Table2[[#This Row],[Carbs wt%]]))</f>
        <v>97.517378351539236</v>
      </c>
      <c r="M158" s="15">
        <v>2.5</v>
      </c>
      <c r="P158">
        <v>74</v>
      </c>
      <c r="Z158" s="15"/>
      <c r="AA158" s="15"/>
      <c r="AB158" s="15"/>
      <c r="AC158" s="15"/>
      <c r="AD158" s="15"/>
      <c r="AE158" s="15"/>
      <c r="AF158" s="15">
        <v>24.3</v>
      </c>
      <c r="AG158" s="15"/>
      <c r="AH158" s="15"/>
      <c r="AI158" s="15"/>
      <c r="AJ158" s="15">
        <v>10</v>
      </c>
      <c r="AM158" s="13"/>
      <c r="AO158" s="15"/>
      <c r="AP158" s="15" t="e">
        <f>LN(25/Table2[[#This Row],[Temperature (C)]]/(1-SQRT((Table2[[#This Row],[Temperature (C)]]-5)/Table2[[#This Row],[Temperature (C)]])))/Table2[[#This Row],[b]]</f>
        <v>#DIV/0!</v>
      </c>
      <c r="AQ158" s="15">
        <f>IF(Table2[[#This Row],[b]]&lt;&gt;"",Table2[[#This Row],[T-5]], 0)</f>
        <v>0</v>
      </c>
      <c r="AT158" t="s">
        <v>503</v>
      </c>
      <c r="AU158">
        <v>200</v>
      </c>
      <c r="AV158" s="15">
        <v>47.834912043301699</v>
      </c>
      <c r="AW158" s="15">
        <v>12.4086603518268</v>
      </c>
      <c r="AX158" s="15">
        <v>22.733423545331501</v>
      </c>
      <c r="AY158" s="15">
        <v>17.334235453315198</v>
      </c>
      <c r="AZ158" s="15"/>
      <c r="BA158" s="15"/>
      <c r="BB158" s="15">
        <f>IF(OR(Table2[[#This Row],[Gas wt%]]&lt;&gt;"",Table2[[#This Row],[Loss]]&lt;&gt;""),Table2[[#This Row],[Gas wt%]]+Table2[[#This Row],[Loss]],"")</f>
        <v>17.334235453315198</v>
      </c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>
        <v>61.3</v>
      </c>
      <c r="BP158" s="15"/>
      <c r="BQ158" s="15"/>
      <c r="BR158" s="15"/>
      <c r="BS158" s="15"/>
      <c r="BT158" s="15"/>
      <c r="BU158" s="15"/>
      <c r="BV158" s="15"/>
      <c r="BW158" s="15"/>
      <c r="BX158" s="15"/>
      <c r="BY158" s="15"/>
      <c r="BZ158" s="15"/>
      <c r="CA158" s="15"/>
      <c r="CB158" s="15"/>
      <c r="CC158" s="15"/>
      <c r="CD158" s="15"/>
      <c r="CE158" s="15"/>
      <c r="CF158" s="15"/>
      <c r="CG158" s="15"/>
      <c r="CH158" s="15"/>
      <c r="CI158" s="15"/>
      <c r="CJ158" s="15"/>
      <c r="CK158" s="15"/>
      <c r="CL158" s="15"/>
      <c r="CM158" s="15"/>
      <c r="CN158" s="15"/>
      <c r="CO158" s="15"/>
      <c r="CP158" s="15"/>
      <c r="CQ158" s="15"/>
      <c r="CR158" s="15"/>
      <c r="CS158" s="15"/>
      <c r="CT158" s="15"/>
      <c r="CU158" s="15"/>
      <c r="CV158" s="15"/>
      <c r="CW158" s="15"/>
      <c r="CX158" s="15"/>
      <c r="CY158" s="15"/>
      <c r="CZ158" s="15"/>
      <c r="DA158" s="15"/>
      <c r="DB158" s="15">
        <v>0</v>
      </c>
    </row>
    <row r="159" spans="1:106" x14ac:dyDescent="0.25">
      <c r="A159" t="s">
        <v>208</v>
      </c>
      <c r="B159" t="s">
        <v>209</v>
      </c>
      <c r="C159">
        <v>2016</v>
      </c>
      <c r="D159" s="16" t="s">
        <v>207</v>
      </c>
      <c r="E159">
        <v>0</v>
      </c>
      <c r="F159" s="15">
        <v>42.581926514399214</v>
      </c>
      <c r="G159" s="15"/>
      <c r="H159" s="15"/>
      <c r="I159" s="15">
        <v>44.309831181727908</v>
      </c>
      <c r="J159" s="15">
        <v>10.625620655412117</v>
      </c>
      <c r="K159" s="15"/>
      <c r="L159" s="15">
        <f>IF(Table2[[#This Row],[Lipids wt%]]+Table2[[#This Row],[Protein wt%]]+Table2[[#This Row],[Carbs wt%]] =0,"",SUM(Table2[[#This Row],[Lipids wt%]],Table2[[#This Row],[Protein wt%]],Table2[[#This Row],[Carbs wt%]]))</f>
        <v>97.517378351539236</v>
      </c>
      <c r="M159" s="15">
        <v>2.5</v>
      </c>
      <c r="P159">
        <v>74</v>
      </c>
      <c r="Z159" s="15"/>
      <c r="AA159" s="15"/>
      <c r="AB159" s="15"/>
      <c r="AC159" s="15"/>
      <c r="AD159" s="15"/>
      <c r="AE159" s="15"/>
      <c r="AF159" s="15">
        <v>24.3</v>
      </c>
      <c r="AG159" s="15"/>
      <c r="AH159" s="15"/>
      <c r="AI159" s="15"/>
      <c r="AJ159" s="15">
        <v>10</v>
      </c>
      <c r="AM159" s="13"/>
      <c r="AO159" s="15"/>
      <c r="AP159" s="15" t="e">
        <f>LN(25/Table2[[#This Row],[Temperature (C)]]/(1-SQRT((Table2[[#This Row],[Temperature (C)]]-5)/Table2[[#This Row],[Temperature (C)]])))/Table2[[#This Row],[b]]</f>
        <v>#DIV/0!</v>
      </c>
      <c r="AQ159" s="15">
        <f>IF(Table2[[#This Row],[b]]&lt;&gt;"",Table2[[#This Row],[T-5]], 0)</f>
        <v>0</v>
      </c>
      <c r="AT159" t="s">
        <v>503</v>
      </c>
      <c r="AU159">
        <v>225</v>
      </c>
      <c r="AV159" s="15">
        <v>30.974289580514199</v>
      </c>
      <c r="AW159" s="15">
        <v>20.1759133964817</v>
      </c>
      <c r="AX159" s="15">
        <v>23.964817320703599</v>
      </c>
      <c r="AY159" s="15">
        <v>25.5751014884979</v>
      </c>
      <c r="AZ159" s="15"/>
      <c r="BA159" s="15"/>
      <c r="BB159" s="15">
        <f>IF(OR(Table2[[#This Row],[Gas wt%]]&lt;&gt;"",Table2[[#This Row],[Loss]]&lt;&gt;""),Table2[[#This Row],[Gas wt%]]+Table2[[#This Row],[Loss]],"")</f>
        <v>25.5751014884979</v>
      </c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>
        <v>57.5</v>
      </c>
      <c r="BP159" s="15"/>
      <c r="BQ159" s="15"/>
      <c r="BR159" s="15"/>
      <c r="BS159" s="15"/>
      <c r="BT159" s="15"/>
      <c r="BU159" s="15"/>
      <c r="BV159" s="15"/>
      <c r="BW159" s="15"/>
      <c r="BX159" s="15"/>
      <c r="BY159" s="15"/>
      <c r="BZ159" s="15"/>
      <c r="CA159" s="15"/>
      <c r="CB159" s="15"/>
      <c r="CC159" s="15"/>
      <c r="CD159" s="15"/>
      <c r="CE159" s="15"/>
      <c r="CF159" s="15"/>
      <c r="CG159" s="15"/>
      <c r="CH159" s="15"/>
      <c r="CI159" s="15"/>
      <c r="CJ159" s="15"/>
      <c r="CK159" s="15"/>
      <c r="CL159" s="15"/>
      <c r="CM159" s="15"/>
      <c r="CN159" s="15"/>
      <c r="CO159" s="15"/>
      <c r="CP159" s="15"/>
      <c r="CQ159" s="15"/>
      <c r="CR159" s="15"/>
      <c r="CS159" s="15"/>
      <c r="CT159" s="15"/>
      <c r="CU159" s="15"/>
      <c r="CV159" s="15"/>
      <c r="CW159" s="15"/>
      <c r="CX159" s="15"/>
      <c r="CY159" s="15"/>
      <c r="CZ159" s="15"/>
      <c r="DA159" s="15"/>
      <c r="DB159" s="15">
        <v>0</v>
      </c>
    </row>
    <row r="160" spans="1:106" x14ac:dyDescent="0.25">
      <c r="A160" t="s">
        <v>208</v>
      </c>
      <c r="B160" t="s">
        <v>209</v>
      </c>
      <c r="C160">
        <v>2016</v>
      </c>
      <c r="D160" s="16" t="s">
        <v>207</v>
      </c>
      <c r="E160">
        <v>0</v>
      </c>
      <c r="F160" s="15">
        <v>42.581926514399214</v>
      </c>
      <c r="G160" s="15"/>
      <c r="H160" s="15"/>
      <c r="I160" s="15">
        <v>44.309831181727908</v>
      </c>
      <c r="J160" s="15">
        <v>10.625620655412117</v>
      </c>
      <c r="K160" s="15"/>
      <c r="L160" s="15">
        <f>IF(Table2[[#This Row],[Lipids wt%]]+Table2[[#This Row],[Protein wt%]]+Table2[[#This Row],[Carbs wt%]] =0,"",SUM(Table2[[#This Row],[Lipids wt%]],Table2[[#This Row],[Protein wt%]],Table2[[#This Row],[Carbs wt%]]))</f>
        <v>97.517378351539236</v>
      </c>
      <c r="M160" s="15">
        <v>2.5</v>
      </c>
      <c r="P160">
        <v>74</v>
      </c>
      <c r="Z160" s="15"/>
      <c r="AA160" s="15"/>
      <c r="AB160" s="15"/>
      <c r="AC160" s="15"/>
      <c r="AD160" s="15"/>
      <c r="AE160" s="15"/>
      <c r="AF160" s="15">
        <v>24.3</v>
      </c>
      <c r="AG160" s="15"/>
      <c r="AH160" s="15"/>
      <c r="AI160" s="15"/>
      <c r="AJ160" s="15">
        <v>10</v>
      </c>
      <c r="AM160" s="13"/>
      <c r="AO160" s="15"/>
      <c r="AP160" s="15" t="e">
        <f>LN(25/Table2[[#This Row],[Temperature (C)]]/(1-SQRT((Table2[[#This Row],[Temperature (C)]]-5)/Table2[[#This Row],[Temperature (C)]])))/Table2[[#This Row],[b]]</f>
        <v>#DIV/0!</v>
      </c>
      <c r="AQ160" s="15">
        <f>IF(Table2[[#This Row],[b]]&lt;&gt;"",Table2[[#This Row],[T-5]], 0)</f>
        <v>0</v>
      </c>
      <c r="AT160" t="s">
        <v>503</v>
      </c>
      <c r="AU160">
        <v>250</v>
      </c>
      <c r="AV160" s="15">
        <v>22.0703653585926</v>
      </c>
      <c r="AW160" s="15">
        <v>27.943166441136601</v>
      </c>
      <c r="AX160" s="15">
        <v>19.607577807848401</v>
      </c>
      <c r="AY160" s="15">
        <v>30.311231393775302</v>
      </c>
      <c r="AZ160" s="15"/>
      <c r="BA160" s="15"/>
      <c r="BB160" s="15">
        <f>IF(OR(Table2[[#This Row],[Gas wt%]]&lt;&gt;"",Table2[[#This Row],[Loss]]&lt;&gt;""),Table2[[#This Row],[Gas wt%]]+Table2[[#This Row],[Loss]],"")</f>
        <v>30.311231393775302</v>
      </c>
      <c r="BC160" s="15"/>
      <c r="BD160" s="15"/>
      <c r="BE160" s="15"/>
      <c r="BF160" s="15"/>
      <c r="BG160" s="15"/>
      <c r="BH160" s="15">
        <f>100-SUM(Table2[[#This Row],[Solids wt%]:[Gas wt%]])</f>
        <v>6.7658998647090129E-2</v>
      </c>
      <c r="BI160" s="15"/>
      <c r="BJ160" s="15"/>
      <c r="BK160" s="15"/>
      <c r="BL160" s="15"/>
      <c r="BM160" s="15"/>
      <c r="BN160" s="15"/>
      <c r="BO160" s="15">
        <v>53.7</v>
      </c>
      <c r="BP160" s="15"/>
      <c r="BQ160" s="15"/>
      <c r="BR160" s="15"/>
      <c r="BS160" s="15"/>
      <c r="BT160" s="15"/>
      <c r="BU160" s="15"/>
      <c r="BV160" s="15"/>
      <c r="BW160" s="15"/>
      <c r="BX160" s="15"/>
      <c r="BY160" s="15"/>
      <c r="BZ160" s="15"/>
      <c r="CA160" s="15"/>
      <c r="CB160" s="15"/>
      <c r="CC160" s="15"/>
      <c r="CD160" s="15"/>
      <c r="CE160" s="15"/>
      <c r="CF160" s="15"/>
      <c r="CG160" s="15"/>
      <c r="CH160" s="15"/>
      <c r="CI160" s="15"/>
      <c r="CJ160" s="15"/>
      <c r="CK160" s="15"/>
      <c r="CL160" s="15"/>
      <c r="CM160" s="15"/>
      <c r="CN160" s="15"/>
      <c r="CO160" s="15"/>
      <c r="CP160" s="15"/>
      <c r="CQ160" s="15"/>
      <c r="CR160" s="15"/>
      <c r="CS160" s="15"/>
      <c r="CT160" s="15"/>
      <c r="CU160" s="15"/>
      <c r="CV160" s="15"/>
      <c r="CW160" s="15"/>
      <c r="CX160" s="15"/>
      <c r="CY160" s="15"/>
      <c r="CZ160" s="15"/>
      <c r="DA160" s="15"/>
      <c r="DB160" s="15">
        <v>0</v>
      </c>
    </row>
    <row r="161" spans="1:116" x14ac:dyDescent="0.25">
      <c r="A161" t="s">
        <v>208</v>
      </c>
      <c r="B161" t="s">
        <v>209</v>
      </c>
      <c r="C161">
        <v>2016</v>
      </c>
      <c r="D161" s="16" t="s">
        <v>207</v>
      </c>
      <c r="E161">
        <v>0</v>
      </c>
      <c r="F161" s="15">
        <v>42.581926514399214</v>
      </c>
      <c r="G161" s="15"/>
      <c r="H161" s="15"/>
      <c r="I161" s="15">
        <v>44.309831181727908</v>
      </c>
      <c r="J161" s="15">
        <v>10.625620655412117</v>
      </c>
      <c r="K161" s="15"/>
      <c r="L161" s="15">
        <f>IF(Table2[[#This Row],[Lipids wt%]]+Table2[[#This Row],[Protein wt%]]+Table2[[#This Row],[Carbs wt%]] =0,"",SUM(Table2[[#This Row],[Lipids wt%]],Table2[[#This Row],[Protein wt%]],Table2[[#This Row],[Carbs wt%]]))</f>
        <v>97.517378351539236</v>
      </c>
      <c r="M161" s="15">
        <v>2.5</v>
      </c>
      <c r="P161">
        <v>74</v>
      </c>
      <c r="Z161" s="15"/>
      <c r="AA161" s="15"/>
      <c r="AB161" s="15"/>
      <c r="AC161" s="15"/>
      <c r="AD161" s="15"/>
      <c r="AE161" s="15"/>
      <c r="AF161" s="15">
        <v>24.3</v>
      </c>
      <c r="AG161" s="15"/>
      <c r="AH161" s="15"/>
      <c r="AI161" s="15"/>
      <c r="AJ161" s="15">
        <v>10</v>
      </c>
      <c r="AM161" s="13"/>
      <c r="AO161" s="15"/>
      <c r="AP161" s="15" t="e">
        <f>LN(25/Table2[[#This Row],[Temperature (C)]]/(1-SQRT((Table2[[#This Row],[Temperature (C)]]-5)/Table2[[#This Row],[Temperature (C)]])))/Table2[[#This Row],[b]]</f>
        <v>#DIV/0!</v>
      </c>
      <c r="AQ161" s="15">
        <f>IF(Table2[[#This Row],[b]]&lt;&gt;"",Table2[[#This Row],[T-5]], 0)</f>
        <v>0</v>
      </c>
      <c r="AT161" t="s">
        <v>503</v>
      </c>
      <c r="AU161">
        <v>275</v>
      </c>
      <c r="AV161" s="15">
        <v>16.102841677943101</v>
      </c>
      <c r="AW161" s="15">
        <v>32.868741542625102</v>
      </c>
      <c r="AX161" s="15">
        <v>12.219215155615601</v>
      </c>
      <c r="AY161" s="15">
        <v>39.783491204330097</v>
      </c>
      <c r="AZ161" s="15"/>
      <c r="BA161" s="15"/>
      <c r="BB161" s="15">
        <f>IF(OR(Table2[[#This Row],[Gas wt%]]&lt;&gt;"",Table2[[#This Row],[Loss]]&lt;&gt;""),Table2[[#This Row],[Gas wt%]]+Table2[[#This Row],[Loss]],"")</f>
        <v>39.783491204330097</v>
      </c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>
        <v>55.7</v>
      </c>
      <c r="BP161" s="15"/>
      <c r="BQ161" s="15"/>
      <c r="BR161" s="15"/>
      <c r="BS161" s="15"/>
      <c r="BT161" s="15"/>
      <c r="BU161" s="15"/>
      <c r="BV161" s="15"/>
      <c r="BW161" s="15"/>
      <c r="BX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  <c r="CS161" s="15"/>
      <c r="CT161" s="15"/>
      <c r="CU161" s="15"/>
      <c r="CV161" s="15"/>
      <c r="CW161" s="15"/>
      <c r="CX161" s="15"/>
      <c r="CY161" s="15"/>
      <c r="CZ161" s="15"/>
      <c r="DA161" s="15"/>
      <c r="DB161" s="15">
        <v>0</v>
      </c>
    </row>
    <row r="162" spans="1:116" x14ac:dyDescent="0.25">
      <c r="A162" t="s">
        <v>208</v>
      </c>
      <c r="B162" t="s">
        <v>209</v>
      </c>
      <c r="C162">
        <v>2016</v>
      </c>
      <c r="D162" s="16" t="s">
        <v>207</v>
      </c>
      <c r="E162">
        <v>0</v>
      </c>
      <c r="F162" s="15">
        <v>42.581926514399214</v>
      </c>
      <c r="G162" s="15"/>
      <c r="H162" s="15"/>
      <c r="I162" s="15">
        <v>44.309831181727908</v>
      </c>
      <c r="J162" s="15">
        <v>10.625620655412117</v>
      </c>
      <c r="K162" s="15"/>
      <c r="L162" s="15">
        <f>IF(Table2[[#This Row],[Lipids wt%]]+Table2[[#This Row],[Protein wt%]]+Table2[[#This Row],[Carbs wt%]] =0,"",SUM(Table2[[#This Row],[Lipids wt%]],Table2[[#This Row],[Protein wt%]],Table2[[#This Row],[Carbs wt%]]))</f>
        <v>97.517378351539236</v>
      </c>
      <c r="M162" s="15">
        <v>2.5</v>
      </c>
      <c r="P162">
        <v>74</v>
      </c>
      <c r="Z162" s="15"/>
      <c r="AA162" s="15"/>
      <c r="AB162" s="15"/>
      <c r="AC162" s="15"/>
      <c r="AD162" s="15"/>
      <c r="AE162" s="15"/>
      <c r="AF162" s="15">
        <v>24.3</v>
      </c>
      <c r="AG162" s="15"/>
      <c r="AH162" s="15"/>
      <c r="AI162" s="15"/>
      <c r="AJ162" s="15">
        <v>10</v>
      </c>
      <c r="AM162" s="13"/>
      <c r="AO162" s="15"/>
      <c r="AP162" s="15" t="e">
        <f>LN(25/Table2[[#This Row],[Temperature (C)]]/(1-SQRT((Table2[[#This Row],[Temperature (C)]]-5)/Table2[[#This Row],[Temperature (C)]])))/Table2[[#This Row],[b]]</f>
        <v>#DIV/0!</v>
      </c>
      <c r="AQ162" s="15">
        <f>IF(Table2[[#This Row],[b]]&lt;&gt;"",Table2[[#This Row],[T-5]], 0)</f>
        <v>0</v>
      </c>
      <c r="AT162" t="s">
        <v>503</v>
      </c>
      <c r="AU162">
        <v>300</v>
      </c>
      <c r="AV162" s="15">
        <v>15.439783491204301</v>
      </c>
      <c r="AW162" s="15">
        <v>32.774018944519597</v>
      </c>
      <c r="AX162" s="15">
        <v>4.9255751014884996</v>
      </c>
      <c r="AY162" s="15">
        <v>47.171853856562898</v>
      </c>
      <c r="AZ162" s="15"/>
      <c r="BA162" s="15"/>
      <c r="BB162" s="15">
        <f>IF(OR(Table2[[#This Row],[Gas wt%]]&lt;&gt;"",Table2[[#This Row],[Loss]]&lt;&gt;""),Table2[[#This Row],[Gas wt%]]+Table2[[#This Row],[Loss]],"")</f>
        <v>47.171853856562898</v>
      </c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>
        <v>56.8</v>
      </c>
      <c r="BP162" s="15"/>
      <c r="BQ162" s="15"/>
      <c r="BR162" s="15"/>
      <c r="BS162" s="15"/>
      <c r="BT162" s="15"/>
      <c r="BU162" s="15"/>
      <c r="BV162" s="15"/>
      <c r="BW162" s="15"/>
      <c r="BX162" s="15"/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/>
      <c r="CO162" s="15"/>
      <c r="CP162" s="15"/>
      <c r="CQ162" s="15"/>
      <c r="CR162" s="15"/>
      <c r="CS162" s="15"/>
      <c r="CT162" s="15"/>
      <c r="CU162" s="15"/>
      <c r="CV162" s="15"/>
      <c r="CW162" s="15"/>
      <c r="CX162" s="15"/>
      <c r="CY162" s="15"/>
      <c r="CZ162" s="15"/>
      <c r="DA162" s="15"/>
      <c r="DB162" s="15">
        <v>0</v>
      </c>
    </row>
    <row r="163" spans="1:116" x14ac:dyDescent="0.25">
      <c r="A163" t="s">
        <v>208</v>
      </c>
      <c r="B163" t="s">
        <v>209</v>
      </c>
      <c r="C163">
        <v>2016</v>
      </c>
      <c r="D163" s="16" t="s">
        <v>207</v>
      </c>
      <c r="E163">
        <v>0</v>
      </c>
      <c r="F163" s="15">
        <v>42.581926514399214</v>
      </c>
      <c r="G163" s="15"/>
      <c r="H163" s="15"/>
      <c r="I163" s="15">
        <v>44.309831181727908</v>
      </c>
      <c r="J163" s="15">
        <v>10.625620655412117</v>
      </c>
      <c r="K163" s="15"/>
      <c r="L163" s="15">
        <f>IF(Table2[[#This Row],[Lipids wt%]]+Table2[[#This Row],[Protein wt%]]+Table2[[#This Row],[Carbs wt%]] =0,"",SUM(Table2[[#This Row],[Lipids wt%]],Table2[[#This Row],[Protein wt%]],Table2[[#This Row],[Carbs wt%]]))</f>
        <v>97.517378351539236</v>
      </c>
      <c r="M163" s="15">
        <v>2.5</v>
      </c>
      <c r="P163">
        <v>74</v>
      </c>
      <c r="Z163" s="15"/>
      <c r="AA163" s="15"/>
      <c r="AB163" s="15"/>
      <c r="AC163" s="15"/>
      <c r="AD163" s="15"/>
      <c r="AE163" s="15"/>
      <c r="AF163" s="15">
        <v>24.3</v>
      </c>
      <c r="AG163" s="15"/>
      <c r="AH163" s="15"/>
      <c r="AI163" s="15"/>
      <c r="AJ163" s="15">
        <v>10</v>
      </c>
      <c r="AM163" s="13"/>
      <c r="AO163" s="15"/>
      <c r="AP163" s="15" t="e">
        <f>LN(25/Table2[[#This Row],[Temperature (C)]]/(1-SQRT((Table2[[#This Row],[Temperature (C)]]-5)/Table2[[#This Row],[Temperature (C)]])))/Table2[[#This Row],[b]]</f>
        <v>#DIV/0!</v>
      </c>
      <c r="AQ163" s="15">
        <f>IF(Table2[[#This Row],[b]]&lt;&gt;"",Table2[[#This Row],[T-5]], 0)</f>
        <v>0</v>
      </c>
      <c r="AT163" t="s">
        <v>503</v>
      </c>
      <c r="AU163">
        <v>330</v>
      </c>
      <c r="AV163" s="15">
        <v>13.2611637347767</v>
      </c>
      <c r="AW163" s="15">
        <v>30.595399188091999</v>
      </c>
      <c r="AX163" s="15">
        <v>3.5994587280108301</v>
      </c>
      <c r="AY163" s="15">
        <v>52.192151556156901</v>
      </c>
      <c r="AZ163" s="15"/>
      <c r="BA163" s="15"/>
      <c r="BB163" s="15">
        <f>IF(OR(Table2[[#This Row],[Gas wt%]]&lt;&gt;"",Table2[[#This Row],[Loss]]&lt;&gt;""),Table2[[#This Row],[Gas wt%]]+Table2[[#This Row],[Loss]],"")</f>
        <v>52.192151556156901</v>
      </c>
      <c r="BC163" s="15"/>
      <c r="BD163" s="15"/>
      <c r="BE163" s="15"/>
      <c r="BF163" s="15"/>
      <c r="BG163" s="15"/>
      <c r="BH163" s="15">
        <f>100-SUM(Table2[[#This Row],[Solids wt%]:[Gas wt%]])</f>
        <v>0.35182679296357833</v>
      </c>
      <c r="BI163" s="15"/>
      <c r="BJ163" s="15"/>
      <c r="BK163" s="15"/>
      <c r="BL163" s="15"/>
      <c r="BM163" s="15"/>
      <c r="BN163" s="15"/>
      <c r="BO163" s="15">
        <v>53.9</v>
      </c>
      <c r="BP163" s="15"/>
      <c r="BQ163" s="15"/>
      <c r="BR163" s="15"/>
      <c r="BS163" s="15"/>
      <c r="BT163" s="15"/>
      <c r="BU163" s="15"/>
      <c r="BV163" s="15"/>
      <c r="BW163" s="15"/>
      <c r="BX163" s="15"/>
      <c r="BY163" s="15"/>
      <c r="BZ163" s="15"/>
      <c r="CA163" s="15"/>
      <c r="CB163" s="15"/>
      <c r="CC163" s="15"/>
      <c r="CD163" s="15"/>
      <c r="CE163" s="15"/>
      <c r="CF163" s="15"/>
      <c r="CG163" s="15"/>
      <c r="CH163" s="15"/>
      <c r="CI163" s="15"/>
      <c r="CJ163" s="15"/>
      <c r="CK163" s="15"/>
      <c r="CL163" s="15"/>
      <c r="CM163" s="15"/>
      <c r="CN163" s="15"/>
      <c r="CO163" s="15"/>
      <c r="CP163" s="15"/>
      <c r="CQ163" s="15"/>
      <c r="CR163" s="15"/>
      <c r="CS163" s="15"/>
      <c r="CT163" s="15"/>
      <c r="CU163" s="15"/>
      <c r="CV163" s="15"/>
      <c r="CW163" s="15"/>
      <c r="CX163" s="15"/>
      <c r="CY163" s="15"/>
      <c r="CZ163" s="15"/>
      <c r="DA163" s="15"/>
      <c r="DB163" s="15">
        <v>0</v>
      </c>
    </row>
    <row r="164" spans="1:116" x14ac:dyDescent="0.25">
      <c r="A164" t="s">
        <v>213</v>
      </c>
      <c r="B164" t="s">
        <v>214</v>
      </c>
      <c r="C164">
        <v>2015</v>
      </c>
      <c r="D164" s="16" t="s">
        <v>210</v>
      </c>
      <c r="E164">
        <v>0</v>
      </c>
      <c r="F164" s="15">
        <v>9.5656836461126016</v>
      </c>
      <c r="G164" s="15"/>
      <c r="H164" s="15"/>
      <c r="I164" s="15">
        <v>67.335120643431637</v>
      </c>
      <c r="J164" s="15">
        <v>19.431635388739945</v>
      </c>
      <c r="K164" s="15"/>
      <c r="L164" s="15">
        <f>IF(Table2[[#This Row],[Lipids wt%]]+Table2[[#This Row],[Protein wt%]]+Table2[[#This Row],[Carbs wt%]] =0,"",SUM(Table2[[#This Row],[Lipids wt%]],Table2[[#This Row],[Protein wt%]],Table2[[#This Row],[Carbs wt%]]))</f>
        <v>96.332439678284189</v>
      </c>
      <c r="M164" s="15">
        <v>3.42</v>
      </c>
      <c r="P164">
        <v>68.88</v>
      </c>
      <c r="R164">
        <v>22.51</v>
      </c>
      <c r="Z164" s="15">
        <v>56.83</v>
      </c>
      <c r="AA164" s="15">
        <v>9.32</v>
      </c>
      <c r="AB164" s="15">
        <v>19.93</v>
      </c>
      <c r="AC164" s="15">
        <v>10.130000000000001</v>
      </c>
      <c r="AD164" s="15">
        <v>0.37</v>
      </c>
      <c r="AE164" s="15"/>
      <c r="AF164" s="15">
        <v>24.02</v>
      </c>
      <c r="AG164" s="15">
        <v>0.1</v>
      </c>
      <c r="AH164" s="15">
        <v>10</v>
      </c>
      <c r="AI164" s="15"/>
      <c r="AJ164" s="15">
        <v>14</v>
      </c>
      <c r="AL164">
        <v>30</v>
      </c>
      <c r="AM164" s="13">
        <v>0.193303</v>
      </c>
      <c r="AO164" s="15">
        <v>60</v>
      </c>
      <c r="AP164" s="15">
        <f>LN(25/Table2[[#This Row],[Temperature (C)]]/(1-SQRT((Table2[[#This Row],[Temperature (C)]]-5)/Table2[[#This Row],[Temperature (C)]])))/Table2[[#This Row],[b]]</f>
        <v>11.885729506415631</v>
      </c>
      <c r="AQ164" s="15">
        <f>IF(Table2[[#This Row],[b]]&lt;&gt;"",Table2[[#This Row],[T-5]], 0)</f>
        <v>11.885729506415631</v>
      </c>
      <c r="AR164">
        <f>Table2[[#This Row],[Temperature (C)]]/Table2[[#This Row],[Heating rate C/min]]+Table2[[#This Row],[Holding Time (min)]]</f>
        <v>68.333333333333329</v>
      </c>
      <c r="AT164" t="s">
        <v>503</v>
      </c>
      <c r="AU164">
        <v>250</v>
      </c>
      <c r="AV164" s="15">
        <v>32.304038004750595</v>
      </c>
      <c r="AW164" s="15">
        <v>28.741092636579499</v>
      </c>
      <c r="AX164" s="15">
        <v>27.315914489311204</v>
      </c>
      <c r="AY164" s="15">
        <v>6.413301662707795</v>
      </c>
      <c r="AZ164" s="15"/>
      <c r="BA164" s="15"/>
      <c r="BB164" s="15">
        <f>IF(OR(Table2[[#This Row],[Gas wt%]]&lt;&gt;"",Table2[[#This Row],[Loss]]&lt;&gt;""),Table2[[#This Row],[Gas wt%]]+Table2[[#This Row],[Loss]],"")</f>
        <v>6.413301662707795</v>
      </c>
      <c r="BC164" s="15"/>
      <c r="BD164" s="15"/>
      <c r="BE164" s="15"/>
      <c r="BF164" s="15"/>
      <c r="BG164" s="15"/>
      <c r="BH164" s="15">
        <f>100-SUM(Table2[[#This Row],[Solids wt%]:[Gas wt%]])</f>
        <v>5.225653206650918</v>
      </c>
      <c r="BI164" s="15">
        <v>72.55</v>
      </c>
      <c r="BJ164" s="15">
        <v>14.15</v>
      </c>
      <c r="BK164" s="15">
        <v>7.5</v>
      </c>
      <c r="BL164" s="15">
        <v>5.13</v>
      </c>
      <c r="BM164" s="15">
        <v>0.49</v>
      </c>
      <c r="BN164" s="15">
        <v>33.4</v>
      </c>
      <c r="BO164" s="15">
        <v>39.619999999999997</v>
      </c>
      <c r="BP164" s="15">
        <v>0.18</v>
      </c>
      <c r="BQ164" s="15">
        <f>Table2[[#This Row],[H% B]]/Table2[[#This Row],[C% B]]*100</f>
        <v>19.503790489317712</v>
      </c>
      <c r="BR164" s="15"/>
      <c r="BS164" s="15"/>
      <c r="BT164" s="15"/>
      <c r="BU164" s="15"/>
      <c r="BV164" s="15"/>
      <c r="BW164" s="15"/>
      <c r="BX164" s="15"/>
      <c r="BY164" s="15"/>
      <c r="BZ164" s="15"/>
      <c r="CA164" s="15"/>
      <c r="CB164" s="15"/>
      <c r="CC164" s="15"/>
      <c r="CD164" s="15"/>
      <c r="CE164" s="15"/>
      <c r="CF164" s="15">
        <v>66.680000000000007</v>
      </c>
      <c r="CG164" s="15">
        <v>9.23</v>
      </c>
      <c r="CH164" s="15">
        <v>13.16</v>
      </c>
      <c r="CI164" s="15">
        <v>4.59</v>
      </c>
      <c r="CJ164" s="15">
        <v>0.24</v>
      </c>
      <c r="CK164" s="15">
        <v>31.92</v>
      </c>
      <c r="CL164" s="15"/>
      <c r="CM164" s="15"/>
      <c r="CN164" s="15"/>
      <c r="CO164" s="15"/>
      <c r="CP164" s="15"/>
      <c r="CQ164" s="15"/>
      <c r="CR164" s="15"/>
      <c r="CS164" s="15">
        <v>59.05</v>
      </c>
      <c r="CT164" s="15">
        <v>14.9</v>
      </c>
      <c r="CU164" s="15"/>
      <c r="CV164" s="15"/>
      <c r="CW164" s="15"/>
      <c r="CX164" s="15"/>
      <c r="CY164" s="15"/>
      <c r="CZ164" s="15"/>
      <c r="DA164" s="15"/>
      <c r="DB164" s="15">
        <v>0</v>
      </c>
    </row>
    <row r="165" spans="1:116" x14ac:dyDescent="0.25">
      <c r="A165" t="s">
        <v>213</v>
      </c>
      <c r="B165" t="s">
        <v>214</v>
      </c>
      <c r="C165">
        <v>2015</v>
      </c>
      <c r="D165" s="16" t="s">
        <v>210</v>
      </c>
      <c r="E165">
        <v>0</v>
      </c>
      <c r="F165" s="15">
        <v>9.5656836461126016</v>
      </c>
      <c r="G165" s="15"/>
      <c r="H165" s="15"/>
      <c r="I165" s="15">
        <v>67.335120643431637</v>
      </c>
      <c r="J165" s="15">
        <v>19.431635388739945</v>
      </c>
      <c r="K165" s="15"/>
      <c r="L165" s="15">
        <f>IF(Table2[[#This Row],[Lipids wt%]]+Table2[[#This Row],[Protein wt%]]+Table2[[#This Row],[Carbs wt%]] =0,"",SUM(Table2[[#This Row],[Lipids wt%]],Table2[[#This Row],[Protein wt%]],Table2[[#This Row],[Carbs wt%]]))</f>
        <v>96.332439678284189</v>
      </c>
      <c r="M165" s="15">
        <v>3.42</v>
      </c>
      <c r="P165">
        <v>68.88</v>
      </c>
      <c r="R165">
        <v>22.51</v>
      </c>
      <c r="Z165" s="15">
        <v>56.83</v>
      </c>
      <c r="AA165" s="15">
        <v>9.32</v>
      </c>
      <c r="AB165" s="15">
        <v>19.93</v>
      </c>
      <c r="AC165" s="15">
        <v>10.130000000000001</v>
      </c>
      <c r="AD165" s="15">
        <v>0.37</v>
      </c>
      <c r="AE165" s="15"/>
      <c r="AF165" s="15">
        <v>24.02</v>
      </c>
      <c r="AG165" s="15">
        <v>0.1</v>
      </c>
      <c r="AH165" s="15">
        <v>10</v>
      </c>
      <c r="AI165" s="15"/>
      <c r="AJ165" s="15">
        <v>14</v>
      </c>
      <c r="AL165">
        <v>30</v>
      </c>
      <c r="AM165" s="13">
        <v>0.193303</v>
      </c>
      <c r="AO165" s="15">
        <v>60</v>
      </c>
      <c r="AP165" s="15">
        <f>LN(25/Table2[[#This Row],[Temperature (C)]]/(1-SQRT((Table2[[#This Row],[Temperature (C)]]-5)/Table2[[#This Row],[Temperature (C)]])))/Table2[[#This Row],[b]]</f>
        <v>11.890100727173307</v>
      </c>
      <c r="AQ165" s="15">
        <f>IF(Table2[[#This Row],[b]]&lt;&gt;"",Table2[[#This Row],[T-5]], 0)</f>
        <v>11.890100727173307</v>
      </c>
      <c r="AR165">
        <f>Table2[[#This Row],[Temperature (C)]]/Table2[[#This Row],[Heating rate C/min]]+Table2[[#This Row],[Holding Time (min)]]</f>
        <v>70</v>
      </c>
      <c r="AT165" t="s">
        <v>503</v>
      </c>
      <c r="AU165">
        <v>300</v>
      </c>
      <c r="AV165" s="15">
        <v>15.439429928741099</v>
      </c>
      <c r="AW165" s="15">
        <v>44.8931116389548</v>
      </c>
      <c r="AX165" s="15">
        <v>17.577197149643695</v>
      </c>
      <c r="AY165" s="15">
        <v>18.527315914489307</v>
      </c>
      <c r="AZ165" s="15"/>
      <c r="BA165" s="15"/>
      <c r="BB165" s="15">
        <f>IF(OR(Table2[[#This Row],[Gas wt%]]&lt;&gt;"",Table2[[#This Row],[Loss]]&lt;&gt;""),Table2[[#This Row],[Gas wt%]]+Table2[[#This Row],[Loss]],"")</f>
        <v>18.527315914489307</v>
      </c>
      <c r="BC165" s="15"/>
      <c r="BD165" s="15"/>
      <c r="BE165" s="15"/>
      <c r="BF165" s="15"/>
      <c r="BG165" s="15"/>
      <c r="BH165" s="15">
        <f>100-SUM(Table2[[#This Row],[Solids wt%]:[Gas wt%]])</f>
        <v>3.5629453681710999</v>
      </c>
      <c r="BI165" s="15">
        <v>77.34</v>
      </c>
      <c r="BJ165" s="15">
        <v>13.38</v>
      </c>
      <c r="BK165" s="15">
        <v>3.33</v>
      </c>
      <c r="BL165" s="15">
        <v>5.39</v>
      </c>
      <c r="BM165" s="15">
        <v>0.3</v>
      </c>
      <c r="BN165" s="15">
        <v>33.869999999999997</v>
      </c>
      <c r="BO165" s="15">
        <v>62.48</v>
      </c>
      <c r="BP165" s="15">
        <v>0.26</v>
      </c>
      <c r="BQ165" s="15">
        <f>Table2[[#This Row],[H% B]]/Table2[[#This Row],[C% B]]*100</f>
        <v>17.300232738557021</v>
      </c>
      <c r="BR165" s="15"/>
      <c r="BS165" s="15"/>
      <c r="BT165" s="15"/>
      <c r="BU165" s="15"/>
      <c r="BV165" s="15"/>
      <c r="BW165" s="15"/>
      <c r="BX165" s="15"/>
      <c r="BY165" s="15"/>
      <c r="BZ165" s="15"/>
      <c r="CA165" s="15"/>
      <c r="CB165" s="15"/>
      <c r="CC165" s="15"/>
      <c r="CD165" s="15"/>
      <c r="CE165" s="15"/>
      <c r="CF165" s="15">
        <v>55.63</v>
      </c>
      <c r="CG165" s="15">
        <v>7.83</v>
      </c>
      <c r="CH165" s="15">
        <v>12.04</v>
      </c>
      <c r="CI165" s="15">
        <v>3.76</v>
      </c>
      <c r="CJ165" s="15">
        <v>0.39</v>
      </c>
      <c r="CK165" s="15">
        <v>25.89</v>
      </c>
      <c r="CL165" s="15"/>
      <c r="CM165" s="15"/>
      <c r="CN165" s="15"/>
      <c r="CO165" s="15"/>
      <c r="CP165" s="15"/>
      <c r="CQ165" s="15"/>
      <c r="CR165" s="15"/>
      <c r="CS165" s="15">
        <v>33.79</v>
      </c>
      <c r="CT165" s="15">
        <v>6.69</v>
      </c>
      <c r="CU165" s="15"/>
      <c r="CV165" s="15"/>
      <c r="CW165" s="15"/>
      <c r="CX165" s="15"/>
      <c r="CY165" s="15"/>
      <c r="CZ165" s="15"/>
      <c r="DA165" s="15"/>
      <c r="DB165" s="15">
        <v>0</v>
      </c>
    </row>
    <row r="166" spans="1:116" x14ac:dyDescent="0.25">
      <c r="A166" t="s">
        <v>213</v>
      </c>
      <c r="B166" t="s">
        <v>214</v>
      </c>
      <c r="C166">
        <v>2015</v>
      </c>
      <c r="D166" s="16" t="s">
        <v>210</v>
      </c>
      <c r="E166">
        <v>0</v>
      </c>
      <c r="F166" s="15">
        <v>9.5656836461126016</v>
      </c>
      <c r="G166" s="15"/>
      <c r="H166" s="15"/>
      <c r="I166" s="15">
        <v>67.335120643431637</v>
      </c>
      <c r="J166" s="15">
        <v>19.431635388739945</v>
      </c>
      <c r="K166" s="15"/>
      <c r="L166" s="15">
        <f>IF(Table2[[#This Row],[Lipids wt%]]+Table2[[#This Row],[Protein wt%]]+Table2[[#This Row],[Carbs wt%]] =0,"",SUM(Table2[[#This Row],[Lipids wt%]],Table2[[#This Row],[Protein wt%]],Table2[[#This Row],[Carbs wt%]]))</f>
        <v>96.332439678284189</v>
      </c>
      <c r="M166" s="15">
        <v>3.42</v>
      </c>
      <c r="P166">
        <v>68.88</v>
      </c>
      <c r="R166">
        <v>22.51</v>
      </c>
      <c r="Z166" s="15">
        <v>56.83</v>
      </c>
      <c r="AA166" s="15">
        <v>9.32</v>
      </c>
      <c r="AB166" s="15">
        <v>19.93</v>
      </c>
      <c r="AC166" s="15">
        <v>10.130000000000001</v>
      </c>
      <c r="AD166" s="15">
        <v>0.37</v>
      </c>
      <c r="AE166" s="15"/>
      <c r="AF166" s="15">
        <v>24.02</v>
      </c>
      <c r="AG166" s="15">
        <v>0.1</v>
      </c>
      <c r="AH166" s="15">
        <v>10</v>
      </c>
      <c r="AI166" s="15"/>
      <c r="AJ166" s="15">
        <v>14</v>
      </c>
      <c r="AL166">
        <v>30</v>
      </c>
      <c r="AM166" s="13">
        <v>0.193303</v>
      </c>
      <c r="AO166" s="15">
        <v>60</v>
      </c>
      <c r="AP166" s="15">
        <f>LN(25/Table2[[#This Row],[Temperature (C)]]/(1-SQRT((Table2[[#This Row],[Temperature (C)]]-5)/Table2[[#This Row],[Temperature (C)]])))/Table2[[#This Row],[b]]</f>
        <v>11.893216238158484</v>
      </c>
      <c r="AQ166" s="15">
        <f>IF(Table2[[#This Row],[b]]&lt;&gt;"",Table2[[#This Row],[T-5]], 0)</f>
        <v>11.893216238158484</v>
      </c>
      <c r="AR166">
        <f>Table2[[#This Row],[Temperature (C)]]/Table2[[#This Row],[Heating rate C/min]]+Table2[[#This Row],[Holding Time (min)]]</f>
        <v>71.666666666666671</v>
      </c>
      <c r="AT166" t="s">
        <v>503</v>
      </c>
      <c r="AU166">
        <v>350</v>
      </c>
      <c r="AV166" s="15">
        <v>11.638954869358699</v>
      </c>
      <c r="AW166" s="15">
        <v>49.406175771971398</v>
      </c>
      <c r="AX166" s="15">
        <v>10.451306413301701</v>
      </c>
      <c r="AY166" s="15">
        <v>28.503562945368202</v>
      </c>
      <c r="AZ166" s="15"/>
      <c r="BA166" s="15"/>
      <c r="BB166" s="15">
        <f>IF(OR(Table2[[#This Row],[Gas wt%]]&lt;&gt;"",Table2[[#This Row],[Loss]]&lt;&gt;""),Table2[[#This Row],[Gas wt%]]+Table2[[#This Row],[Loss]],"")</f>
        <v>28.503562945368202</v>
      </c>
      <c r="BC166" s="15"/>
      <c r="BD166" s="15"/>
      <c r="BE166" s="15"/>
      <c r="BF166" s="15"/>
      <c r="BG166" s="15"/>
      <c r="BH166" s="15"/>
      <c r="BI166" s="15">
        <v>79.33</v>
      </c>
      <c r="BJ166" s="15">
        <v>11.96</v>
      </c>
      <c r="BK166" s="15">
        <v>3.01</v>
      </c>
      <c r="BL166" s="15">
        <v>5.26</v>
      </c>
      <c r="BM166" s="15">
        <v>0.17</v>
      </c>
      <c r="BN166" s="15">
        <v>34.82</v>
      </c>
      <c r="BO166" s="15">
        <v>70.56</v>
      </c>
      <c r="BP166" s="15">
        <v>0.26</v>
      </c>
      <c r="BQ166" s="15">
        <f>Table2[[#This Row],[H% B]]/Table2[[#This Row],[C% B]]*100</f>
        <v>15.076263708559184</v>
      </c>
      <c r="BR166" s="15"/>
      <c r="BS166" s="15"/>
      <c r="BT166" s="15"/>
      <c r="BU166" s="15"/>
      <c r="BV166" s="15"/>
      <c r="BW166" s="15"/>
      <c r="BX166" s="15"/>
      <c r="BY166" s="15"/>
      <c r="BZ166" s="15"/>
      <c r="CA166" s="15"/>
      <c r="CB166" s="15"/>
      <c r="CC166" s="15"/>
      <c r="CD166" s="15"/>
      <c r="CE166" s="15"/>
      <c r="CF166" s="15">
        <v>50.24</v>
      </c>
      <c r="CG166" s="15">
        <v>6.96</v>
      </c>
      <c r="CH166" s="15">
        <v>1.88</v>
      </c>
      <c r="CI166" s="15">
        <v>2.2200000000000002</v>
      </c>
      <c r="CJ166" s="15">
        <v>0.28000000000000003</v>
      </c>
      <c r="CK166" s="15">
        <v>21.41</v>
      </c>
      <c r="CL166" s="15"/>
      <c r="CM166" s="15"/>
      <c r="CN166" s="15"/>
      <c r="CO166" s="15"/>
      <c r="CP166" s="15"/>
      <c r="CQ166" s="15"/>
      <c r="CR166" s="15"/>
      <c r="CS166" s="15">
        <v>28.78</v>
      </c>
      <c r="CT166" s="15">
        <v>10.18</v>
      </c>
      <c r="CU166" s="15"/>
      <c r="CV166" s="15"/>
      <c r="CW166" s="15"/>
      <c r="CX166" s="15"/>
      <c r="CY166" s="15"/>
      <c r="CZ166" s="15"/>
      <c r="DA166" s="15"/>
      <c r="DB166" s="15">
        <v>0</v>
      </c>
    </row>
    <row r="167" spans="1:116" x14ac:dyDescent="0.25">
      <c r="A167" t="s">
        <v>213</v>
      </c>
      <c r="B167" t="s">
        <v>214</v>
      </c>
      <c r="C167">
        <v>2015</v>
      </c>
      <c r="D167" s="16" t="s">
        <v>211</v>
      </c>
      <c r="E167">
        <v>0</v>
      </c>
      <c r="F167" s="15">
        <v>30.339148336764548</v>
      </c>
      <c r="G167" s="15"/>
      <c r="H167" s="15"/>
      <c r="I167" s="15">
        <v>50.861415104561715</v>
      </c>
      <c r="J167" s="15">
        <v>15.039549246938998</v>
      </c>
      <c r="K167" s="15"/>
      <c r="L167" s="15">
        <f>IF(Table2[[#This Row],[Lipids wt%]]+Table2[[#This Row],[Protein wt%]]+Table2[[#This Row],[Carbs wt%]] =0,"",SUM(Table2[[#This Row],[Lipids wt%]],Table2[[#This Row],[Protein wt%]],Table2[[#This Row],[Carbs wt%]]))</f>
        <v>96.24011268826527</v>
      </c>
      <c r="M167" s="15">
        <v>3.47</v>
      </c>
      <c r="P167">
        <v>75.8</v>
      </c>
      <c r="R167">
        <v>17.739999999999998</v>
      </c>
      <c r="Z167" s="15">
        <v>54.34</v>
      </c>
      <c r="AA167" s="15">
        <v>8.69</v>
      </c>
      <c r="AB167" s="15">
        <v>24.01</v>
      </c>
      <c r="AC167" s="15">
        <v>8.67</v>
      </c>
      <c r="AD167" s="15">
        <v>0.82</v>
      </c>
      <c r="AE167" s="15"/>
      <c r="AF167" s="15">
        <v>22.69</v>
      </c>
      <c r="AG167" s="15">
        <v>0.1</v>
      </c>
      <c r="AH167" s="15">
        <v>10</v>
      </c>
      <c r="AI167" s="15"/>
      <c r="AJ167" s="15">
        <v>14</v>
      </c>
      <c r="AL167">
        <v>30</v>
      </c>
      <c r="AM167" s="13">
        <v>0.193303</v>
      </c>
      <c r="AO167" s="15">
        <v>60</v>
      </c>
      <c r="AP167" s="15">
        <f>LN(25/Table2[[#This Row],[Temperature (C)]]/(1-SQRT((Table2[[#This Row],[Temperature (C)]]-5)/Table2[[#This Row],[Temperature (C)]])))/Table2[[#This Row],[b]]</f>
        <v>11.885729506415631</v>
      </c>
      <c r="AQ167" s="15">
        <f>IF(Table2[[#This Row],[b]]&lt;&gt;"",Table2[[#This Row],[T-5]], 0)</f>
        <v>11.885729506415631</v>
      </c>
      <c r="AR167">
        <f>Table2[[#This Row],[Temperature (C)]]/Table2[[#This Row],[Heating rate C/min]]+Table2[[#This Row],[Holding Time (min)]]</f>
        <v>68.333333333333329</v>
      </c>
      <c r="AT167" t="s">
        <v>503</v>
      </c>
      <c r="AU167">
        <v>250</v>
      </c>
      <c r="AV167" s="15">
        <v>25.178147268408495</v>
      </c>
      <c r="AW167" s="15">
        <v>36.104513064133002</v>
      </c>
      <c r="AX167" s="15">
        <v>28.26603325415681</v>
      </c>
      <c r="AY167" s="15">
        <v>8.5510688836103981</v>
      </c>
      <c r="AZ167" s="15"/>
      <c r="BA167" s="15"/>
      <c r="BB167" s="15">
        <f>IF(OR(Table2[[#This Row],[Gas wt%]]&lt;&gt;"",Table2[[#This Row],[Loss]]&lt;&gt;""),Table2[[#This Row],[Gas wt%]]+Table2[[#This Row],[Loss]],"")</f>
        <v>8.5510688836103981</v>
      </c>
      <c r="BC167" s="15"/>
      <c r="BD167" s="15"/>
      <c r="BE167" s="15"/>
      <c r="BF167" s="15"/>
      <c r="BG167" s="15"/>
      <c r="BH167" s="15">
        <f>100-SUM(Table2[[#This Row],[Solids wt%]:[Gas wt%]])</f>
        <v>1.9002375296912959</v>
      </c>
      <c r="BI167" s="15">
        <v>79.75</v>
      </c>
      <c r="BJ167" s="15">
        <v>12.42</v>
      </c>
      <c r="BK167" s="15">
        <v>3.83</v>
      </c>
      <c r="BL167" s="15">
        <v>4.01</v>
      </c>
      <c r="BM167" s="15"/>
      <c r="BN167" s="15">
        <v>33.9</v>
      </c>
      <c r="BO167" s="15">
        <v>53.06</v>
      </c>
      <c r="BP167" s="15">
        <v>0.28999999999999998</v>
      </c>
      <c r="BQ167" s="15">
        <f>Table2[[#This Row],[H% B]]/Table2[[#This Row],[C% B]]*100</f>
        <v>15.573667711598747</v>
      </c>
      <c r="BR167" s="15"/>
      <c r="BS167" s="15"/>
      <c r="BT167" s="15"/>
      <c r="BU167" s="15"/>
      <c r="BV167" s="15"/>
      <c r="BW167" s="15"/>
      <c r="BX167" s="15"/>
      <c r="BY167" s="15"/>
      <c r="BZ167" s="15"/>
      <c r="CA167" s="15"/>
      <c r="CB167" s="15"/>
      <c r="CC167" s="15"/>
      <c r="CD167" s="15"/>
      <c r="CE167" s="15"/>
      <c r="CF167" s="15">
        <v>54.94</v>
      </c>
      <c r="CG167" s="15">
        <v>6.04</v>
      </c>
      <c r="CH167" s="15">
        <v>2.41</v>
      </c>
      <c r="CI167" s="15">
        <v>4.83</v>
      </c>
      <c r="CJ167" s="15">
        <v>0.2</v>
      </c>
      <c r="CK167" s="15">
        <v>24.57</v>
      </c>
      <c r="CL167" s="15"/>
      <c r="CM167" s="15"/>
      <c r="CN167" s="15"/>
      <c r="CO167" s="15"/>
      <c r="CP167" s="15"/>
      <c r="CQ167" s="15"/>
      <c r="CR167" s="15"/>
      <c r="CS167" s="15">
        <v>51.12</v>
      </c>
      <c r="CT167" s="15">
        <v>6.58</v>
      </c>
      <c r="CU167" s="15"/>
      <c r="CV167" s="15"/>
      <c r="CW167" s="15"/>
      <c r="CX167" s="15"/>
      <c r="CY167" s="15"/>
      <c r="CZ167" s="15"/>
      <c r="DA167" s="15"/>
      <c r="DB167" s="15">
        <v>0</v>
      </c>
    </row>
    <row r="168" spans="1:116" x14ac:dyDescent="0.25">
      <c r="A168" t="s">
        <v>213</v>
      </c>
      <c r="B168" t="s">
        <v>214</v>
      </c>
      <c r="C168">
        <v>2015</v>
      </c>
      <c r="D168" s="16" t="s">
        <v>211</v>
      </c>
      <c r="E168">
        <v>0</v>
      </c>
      <c r="F168" s="15">
        <v>30.339148336764548</v>
      </c>
      <c r="G168" s="15"/>
      <c r="H168" s="15"/>
      <c r="I168" s="15">
        <v>50.861415104561715</v>
      </c>
      <c r="J168" s="15">
        <v>15.039549246938998</v>
      </c>
      <c r="K168" s="15"/>
      <c r="L168" s="15">
        <f>IF(Table2[[#This Row],[Lipids wt%]]+Table2[[#This Row],[Protein wt%]]+Table2[[#This Row],[Carbs wt%]] =0,"",SUM(Table2[[#This Row],[Lipids wt%]],Table2[[#This Row],[Protein wt%]],Table2[[#This Row],[Carbs wt%]]))</f>
        <v>96.24011268826527</v>
      </c>
      <c r="M168" s="15">
        <v>3.47</v>
      </c>
      <c r="P168">
        <v>75.8</v>
      </c>
      <c r="R168">
        <v>17.739999999999998</v>
      </c>
      <c r="Z168" s="15">
        <v>54.34</v>
      </c>
      <c r="AA168" s="15">
        <v>8.69</v>
      </c>
      <c r="AB168" s="15">
        <v>24.01</v>
      </c>
      <c r="AC168" s="15">
        <v>8.67</v>
      </c>
      <c r="AD168" s="15">
        <v>0.82</v>
      </c>
      <c r="AE168" s="15"/>
      <c r="AF168" s="15">
        <v>22.69</v>
      </c>
      <c r="AG168" s="15">
        <v>0.1</v>
      </c>
      <c r="AH168" s="15">
        <v>10</v>
      </c>
      <c r="AI168" s="15"/>
      <c r="AJ168" s="15">
        <v>14</v>
      </c>
      <c r="AL168">
        <v>30</v>
      </c>
      <c r="AM168" s="13">
        <v>0.193303</v>
      </c>
      <c r="AO168" s="15">
        <v>60</v>
      </c>
      <c r="AP168" s="15">
        <f>LN(25/Table2[[#This Row],[Temperature (C)]]/(1-SQRT((Table2[[#This Row],[Temperature (C)]]-5)/Table2[[#This Row],[Temperature (C)]])))/Table2[[#This Row],[b]]</f>
        <v>11.890100727173307</v>
      </c>
      <c r="AQ168" s="15">
        <f>IF(Table2[[#This Row],[b]]&lt;&gt;"",Table2[[#This Row],[T-5]], 0)</f>
        <v>11.890100727173307</v>
      </c>
      <c r="AR168">
        <f>Table2[[#This Row],[Temperature (C)]]/Table2[[#This Row],[Heating rate C/min]]+Table2[[#This Row],[Holding Time (min)]]</f>
        <v>70</v>
      </c>
      <c r="AT168" t="s">
        <v>503</v>
      </c>
      <c r="AU168">
        <v>300</v>
      </c>
      <c r="AV168" s="15">
        <v>16.627078384798104</v>
      </c>
      <c r="AW168" s="15">
        <v>37.767220902612799</v>
      </c>
      <c r="AX168" s="15">
        <v>15.676959619952498</v>
      </c>
      <c r="AY168" s="15">
        <v>22.090261282660293</v>
      </c>
      <c r="AZ168" s="15"/>
      <c r="BA168" s="15"/>
      <c r="BB168" s="15">
        <f>IF(OR(Table2[[#This Row],[Gas wt%]]&lt;&gt;"",Table2[[#This Row],[Loss]]&lt;&gt;""),Table2[[#This Row],[Gas wt%]]+Table2[[#This Row],[Loss]],"")</f>
        <v>22.090261282660293</v>
      </c>
      <c r="BC168" s="15"/>
      <c r="BD168" s="15"/>
      <c r="BE168" s="15"/>
      <c r="BF168" s="15"/>
      <c r="BG168" s="15"/>
      <c r="BH168" s="15">
        <f>100-SUM(Table2[[#This Row],[Solids wt%]:[Gas wt%]])</f>
        <v>7.838479809976306</v>
      </c>
      <c r="BI168" s="15">
        <v>80.02</v>
      </c>
      <c r="BJ168" s="15">
        <v>13.21</v>
      </c>
      <c r="BK168" s="15">
        <v>1.0900000000000001</v>
      </c>
      <c r="BL168" s="15">
        <v>5.0199999999999996</v>
      </c>
      <c r="BM168" s="15">
        <v>0.46</v>
      </c>
      <c r="BN168" s="15">
        <v>34.159999999999997</v>
      </c>
      <c r="BO168" s="15">
        <v>56.6</v>
      </c>
      <c r="BP168" s="15">
        <v>0.2</v>
      </c>
      <c r="BQ168" s="15">
        <f>Table2[[#This Row],[H% B]]/Table2[[#This Row],[C% B]]*100</f>
        <v>16.508372906773307</v>
      </c>
      <c r="BR168" s="15"/>
      <c r="BS168" s="15"/>
      <c r="BT168" s="15"/>
      <c r="BU168" s="15"/>
      <c r="BV168" s="15"/>
      <c r="BW168" s="15"/>
      <c r="BX168" s="15"/>
      <c r="BY168" s="15"/>
      <c r="BZ168" s="15"/>
      <c r="CA168" s="15"/>
      <c r="CB168" s="15"/>
      <c r="CC168" s="15"/>
      <c r="CD168" s="15"/>
      <c r="CE168" s="15"/>
      <c r="CF168" s="15">
        <v>43.06</v>
      </c>
      <c r="CG168" s="15">
        <v>4.41</v>
      </c>
      <c r="CH168" s="15">
        <v>8.5399999999999991</v>
      </c>
      <c r="CI168" s="15">
        <v>3.19</v>
      </c>
      <c r="CJ168" s="15">
        <v>0.65</v>
      </c>
      <c r="CK168" s="15">
        <v>21.75</v>
      </c>
      <c r="CL168" s="15"/>
      <c r="CM168" s="15"/>
      <c r="CN168" s="15"/>
      <c r="CO168" s="15"/>
      <c r="CP168" s="15"/>
      <c r="CQ168" s="15"/>
      <c r="CR168" s="15"/>
      <c r="CS168" s="15">
        <v>37.15</v>
      </c>
      <c r="CT168" s="15">
        <v>8.48</v>
      </c>
      <c r="CU168" s="15"/>
      <c r="CV168" s="15"/>
      <c r="CW168" s="15"/>
      <c r="CX168" s="15"/>
      <c r="CY168" s="15"/>
      <c r="CZ168" s="15"/>
      <c r="DA168" s="15"/>
      <c r="DB168" s="15">
        <v>0</v>
      </c>
    </row>
    <row r="169" spans="1:116" x14ac:dyDescent="0.25">
      <c r="A169" t="s">
        <v>213</v>
      </c>
      <c r="B169" t="s">
        <v>214</v>
      </c>
      <c r="C169">
        <v>2015</v>
      </c>
      <c r="D169" s="16" t="s">
        <v>211</v>
      </c>
      <c r="E169">
        <v>0</v>
      </c>
      <c r="F169" s="15">
        <v>30.339148336764548</v>
      </c>
      <c r="G169" s="15"/>
      <c r="H169" s="15"/>
      <c r="I169" s="15">
        <v>50.861415104561715</v>
      </c>
      <c r="J169" s="15">
        <v>15.039549246938998</v>
      </c>
      <c r="K169" s="15"/>
      <c r="L169" s="15">
        <f>IF(Table2[[#This Row],[Lipids wt%]]+Table2[[#This Row],[Protein wt%]]+Table2[[#This Row],[Carbs wt%]] =0,"",SUM(Table2[[#This Row],[Lipids wt%]],Table2[[#This Row],[Protein wt%]],Table2[[#This Row],[Carbs wt%]]))</f>
        <v>96.24011268826527</v>
      </c>
      <c r="M169" s="15">
        <v>3.47</v>
      </c>
      <c r="P169">
        <v>75.8</v>
      </c>
      <c r="R169">
        <v>17.739999999999998</v>
      </c>
      <c r="Z169" s="15">
        <v>54.34</v>
      </c>
      <c r="AA169" s="15">
        <v>8.69</v>
      </c>
      <c r="AB169" s="15">
        <v>24.01</v>
      </c>
      <c r="AC169" s="15">
        <v>8.67</v>
      </c>
      <c r="AD169" s="15">
        <v>0.82</v>
      </c>
      <c r="AE169" s="15"/>
      <c r="AF169" s="15">
        <v>22.69</v>
      </c>
      <c r="AG169" s="15">
        <v>0.1</v>
      </c>
      <c r="AH169" s="15">
        <v>10</v>
      </c>
      <c r="AI169" s="15"/>
      <c r="AJ169" s="15">
        <v>14</v>
      </c>
      <c r="AL169">
        <v>30</v>
      </c>
      <c r="AM169" s="13">
        <v>0.193303</v>
      </c>
      <c r="AO169" s="15">
        <v>60</v>
      </c>
      <c r="AP169" s="15">
        <f>LN(25/Table2[[#This Row],[Temperature (C)]]/(1-SQRT((Table2[[#This Row],[Temperature (C)]]-5)/Table2[[#This Row],[Temperature (C)]])))/Table2[[#This Row],[b]]</f>
        <v>11.893216238158484</v>
      </c>
      <c r="AQ169" s="15">
        <f>IF(Table2[[#This Row],[b]]&lt;&gt;"",Table2[[#This Row],[T-5]], 0)</f>
        <v>11.893216238158484</v>
      </c>
      <c r="AR169">
        <f>Table2[[#This Row],[Temperature (C)]]/Table2[[#This Row],[Heating rate C/min]]+Table2[[#This Row],[Holding Time (min)]]</f>
        <v>71.666666666666671</v>
      </c>
      <c r="AT169" t="s">
        <v>503</v>
      </c>
      <c r="AU169">
        <v>350</v>
      </c>
      <c r="AV169" s="15">
        <v>15.201900237529699</v>
      </c>
      <c r="AW169" s="15">
        <v>40.6175771971496</v>
      </c>
      <c r="AX169" s="15">
        <v>5.7007125890736035</v>
      </c>
      <c r="AY169" s="15">
        <v>31.828978622327796</v>
      </c>
      <c r="AZ169" s="15"/>
      <c r="BA169" s="15"/>
      <c r="BB169" s="15">
        <f>IF(OR(Table2[[#This Row],[Gas wt%]]&lt;&gt;"",Table2[[#This Row],[Loss]]&lt;&gt;""),Table2[[#This Row],[Gas wt%]]+Table2[[#This Row],[Loss]],"")</f>
        <v>31.828978622327796</v>
      </c>
      <c r="BC169" s="15"/>
      <c r="BD169" s="15"/>
      <c r="BE169" s="15"/>
      <c r="BF169" s="15"/>
      <c r="BG169" s="15"/>
      <c r="BH169" s="15">
        <f>100-SUM(Table2[[#This Row],[Solids wt%]:[Gas wt%]])</f>
        <v>6.6508313539193011</v>
      </c>
      <c r="BI169" s="15">
        <v>78.3</v>
      </c>
      <c r="BJ169" s="15">
        <v>10.06</v>
      </c>
      <c r="BK169" s="15">
        <v>6.37</v>
      </c>
      <c r="BL169" s="15">
        <v>4.7</v>
      </c>
      <c r="BM169" s="15">
        <v>0.12</v>
      </c>
      <c r="BN169" s="15">
        <v>32.200000000000003</v>
      </c>
      <c r="BO169" s="15">
        <v>60.22</v>
      </c>
      <c r="BP169" s="15">
        <v>0.44</v>
      </c>
      <c r="BQ169" s="15">
        <f>Table2[[#This Row],[H% B]]/Table2[[#This Row],[C% B]]*100</f>
        <v>12.848020434227331</v>
      </c>
      <c r="BR169" s="15"/>
      <c r="BS169" s="15"/>
      <c r="BT169" s="15"/>
      <c r="BU169" s="15"/>
      <c r="BV169" s="15"/>
      <c r="BW169" s="15"/>
      <c r="BX169" s="15"/>
      <c r="BY169" s="15"/>
      <c r="BZ169" s="15"/>
      <c r="CA169" s="15"/>
      <c r="CB169" s="15"/>
      <c r="CC169" s="15"/>
      <c r="CD169" s="15"/>
      <c r="CE169" s="15"/>
      <c r="CF169" s="15">
        <v>37.35</v>
      </c>
      <c r="CG169" s="15">
        <v>3.58</v>
      </c>
      <c r="CH169" s="15">
        <v>12.75</v>
      </c>
      <c r="CI169" s="15">
        <v>2.58</v>
      </c>
      <c r="CJ169" s="15">
        <v>0.67</v>
      </c>
      <c r="CK169" s="15">
        <v>15.06</v>
      </c>
      <c r="CL169" s="15"/>
      <c r="CM169" s="15"/>
      <c r="CN169" s="15"/>
      <c r="CO169" s="15"/>
      <c r="CP169" s="15"/>
      <c r="CQ169" s="15"/>
      <c r="CR169" s="15"/>
      <c r="CS169" s="15">
        <v>28.94</v>
      </c>
      <c r="CT169" s="15">
        <v>10.220000000000001</v>
      </c>
      <c r="CU169" s="15"/>
      <c r="CV169" s="15"/>
      <c r="CW169" s="15"/>
      <c r="CX169" s="15"/>
      <c r="CY169" s="15"/>
      <c r="CZ169" s="15"/>
      <c r="DA169" s="15"/>
      <c r="DB169" s="15">
        <v>0</v>
      </c>
    </row>
    <row r="170" spans="1:116" x14ac:dyDescent="0.25">
      <c r="A170" t="s">
        <v>213</v>
      </c>
      <c r="B170" t="s">
        <v>214</v>
      </c>
      <c r="C170">
        <v>2015</v>
      </c>
      <c r="D170" s="16" t="s">
        <v>212</v>
      </c>
      <c r="E170">
        <v>0</v>
      </c>
      <c r="F170" s="15">
        <v>27.61687818635427</v>
      </c>
      <c r="G170" s="15"/>
      <c r="H170" s="15"/>
      <c r="I170" s="15">
        <v>48.118017138518276</v>
      </c>
      <c r="J170" s="15">
        <v>20.587916259898037</v>
      </c>
      <c r="K170" s="15"/>
      <c r="L170" s="15">
        <f>IF(Table2[[#This Row],[Lipids wt%]]+Table2[[#This Row],[Protein wt%]]+Table2[[#This Row],[Carbs wt%]] =0,"",SUM(Table2[[#This Row],[Lipids wt%]],Table2[[#This Row],[Protein wt%]],Table2[[#This Row],[Carbs wt%]]))</f>
        <v>96.322811584770577</v>
      </c>
      <c r="M170" s="15">
        <v>3.39</v>
      </c>
      <c r="P170">
        <v>73.930000000000007</v>
      </c>
      <c r="R170">
        <v>18.2</v>
      </c>
      <c r="Z170" s="15">
        <v>55.76</v>
      </c>
      <c r="AA170" s="15">
        <v>8.6999999999999993</v>
      </c>
      <c r="AB170" s="15">
        <v>23.57</v>
      </c>
      <c r="AC170" s="15">
        <v>7.96</v>
      </c>
      <c r="AD170" s="15">
        <v>0.62</v>
      </c>
      <c r="AE170" s="15"/>
      <c r="AF170" s="15">
        <v>22.97</v>
      </c>
      <c r="AG170" s="15">
        <v>0.1</v>
      </c>
      <c r="AH170" s="15">
        <v>10</v>
      </c>
      <c r="AI170" s="15"/>
      <c r="AJ170" s="15">
        <v>14</v>
      </c>
      <c r="AL170">
        <v>30</v>
      </c>
      <c r="AM170" s="13">
        <v>0.193303</v>
      </c>
      <c r="AO170" s="15">
        <v>60</v>
      </c>
      <c r="AP170" s="15">
        <f>LN(25/Table2[[#This Row],[Temperature (C)]]/(1-SQRT((Table2[[#This Row],[Temperature (C)]]-5)/Table2[[#This Row],[Temperature (C)]])))/Table2[[#This Row],[b]]</f>
        <v>11.885729506415631</v>
      </c>
      <c r="AQ170" s="15">
        <f>IF(Table2[[#This Row],[b]]&lt;&gt;"",Table2[[#This Row],[T-5]], 0)</f>
        <v>11.885729506415631</v>
      </c>
      <c r="AR170">
        <f>Table2[[#This Row],[Temperature (C)]]/Table2[[#This Row],[Heating rate C/min]]+Table2[[#This Row],[Holding Time (min)]]</f>
        <v>68.333333333333329</v>
      </c>
      <c r="AT170" t="s">
        <v>503</v>
      </c>
      <c r="AU170">
        <v>250</v>
      </c>
      <c r="AV170" s="15">
        <v>23.752969121140197</v>
      </c>
      <c r="AW170" s="15">
        <v>32.779097387173302</v>
      </c>
      <c r="AX170" s="15">
        <v>28.028503562945396</v>
      </c>
      <c r="AY170" s="15">
        <v>6.6508313539192017</v>
      </c>
      <c r="AZ170" s="15"/>
      <c r="BA170" s="15"/>
      <c r="BB170" s="15">
        <f>IF(OR(Table2[[#This Row],[Gas wt%]]&lt;&gt;"",Table2[[#This Row],[Loss]]&lt;&gt;""),Table2[[#This Row],[Gas wt%]]+Table2[[#This Row],[Loss]],"")</f>
        <v>6.6508313539192017</v>
      </c>
      <c r="BC170" s="15"/>
      <c r="BD170" s="15"/>
      <c r="BE170" s="15"/>
      <c r="BF170" s="15"/>
      <c r="BG170" s="15"/>
      <c r="BH170" s="15">
        <f>100-SUM(Table2[[#This Row],[Solids wt%]:[Gas wt%]])</f>
        <v>8.7885985748219042</v>
      </c>
      <c r="BI170" s="15">
        <v>75.23</v>
      </c>
      <c r="BJ170" s="15">
        <v>12.34</v>
      </c>
      <c r="BK170" s="15">
        <v>7.77</v>
      </c>
      <c r="BL170" s="15">
        <v>3.92</v>
      </c>
      <c r="BM170" s="15">
        <v>0.47</v>
      </c>
      <c r="BN170" s="15">
        <v>33.14</v>
      </c>
      <c r="BO170" s="15">
        <v>47.17</v>
      </c>
      <c r="BP170" s="15">
        <v>0.27</v>
      </c>
      <c r="BQ170" s="15">
        <f>Table2[[#This Row],[H% B]]/Table2[[#This Row],[C% B]]*100</f>
        <v>16.403030705835437</v>
      </c>
      <c r="BR170" s="15"/>
      <c r="BS170" s="15"/>
      <c r="BT170" s="15"/>
      <c r="BU170" s="15"/>
      <c r="BV170" s="15"/>
      <c r="BW170" s="15"/>
      <c r="BX170" s="15"/>
      <c r="BY170" s="15"/>
      <c r="BZ170" s="15"/>
      <c r="CA170" s="15"/>
      <c r="CB170" s="15"/>
      <c r="CC170" s="15"/>
      <c r="CD170" s="15"/>
      <c r="CE170" s="15"/>
      <c r="CF170" s="15">
        <v>62.8</v>
      </c>
      <c r="CG170" s="15">
        <v>9.49</v>
      </c>
      <c r="CH170" s="15">
        <v>34.799999999999997</v>
      </c>
      <c r="CI170" s="15">
        <v>3.29</v>
      </c>
      <c r="CJ170" s="15">
        <v>0.35</v>
      </c>
      <c r="CK170" s="15">
        <v>31.68</v>
      </c>
      <c r="CL170" s="15"/>
      <c r="CM170" s="15"/>
      <c r="CN170" s="15"/>
      <c r="CO170" s="15"/>
      <c r="CP170" s="15"/>
      <c r="CQ170" s="15"/>
      <c r="CR170" s="15"/>
      <c r="CS170" s="15">
        <v>15.8</v>
      </c>
      <c r="CT170" s="15">
        <v>4.76</v>
      </c>
      <c r="CU170" s="15"/>
      <c r="CV170" s="15"/>
      <c r="CW170" s="15"/>
      <c r="CX170" s="15"/>
      <c r="CY170" s="15"/>
      <c r="CZ170" s="15"/>
      <c r="DA170" s="15"/>
      <c r="DB170" s="15">
        <v>0</v>
      </c>
    </row>
    <row r="171" spans="1:116" x14ac:dyDescent="0.25">
      <c r="A171" t="s">
        <v>213</v>
      </c>
      <c r="B171" t="s">
        <v>214</v>
      </c>
      <c r="C171">
        <v>2015</v>
      </c>
      <c r="D171" s="16" t="s">
        <v>212</v>
      </c>
      <c r="E171">
        <v>0</v>
      </c>
      <c r="F171" s="15">
        <v>27.61687818635427</v>
      </c>
      <c r="G171" s="15"/>
      <c r="H171" s="15"/>
      <c r="I171" s="15">
        <v>48.118017138518276</v>
      </c>
      <c r="J171" s="15">
        <v>20.587916259898037</v>
      </c>
      <c r="K171" s="15"/>
      <c r="L171" s="15">
        <f>IF(Table2[[#This Row],[Lipids wt%]]+Table2[[#This Row],[Protein wt%]]+Table2[[#This Row],[Carbs wt%]] =0,"",SUM(Table2[[#This Row],[Lipids wt%]],Table2[[#This Row],[Protein wt%]],Table2[[#This Row],[Carbs wt%]]))</f>
        <v>96.322811584770577</v>
      </c>
      <c r="M171" s="15">
        <v>3.39</v>
      </c>
      <c r="P171">
        <v>73.930000000000007</v>
      </c>
      <c r="R171">
        <v>18.2</v>
      </c>
      <c r="Z171" s="15">
        <v>55.76</v>
      </c>
      <c r="AA171" s="15">
        <v>8.6999999999999993</v>
      </c>
      <c r="AB171" s="15">
        <v>23.57</v>
      </c>
      <c r="AC171" s="15">
        <v>7.96</v>
      </c>
      <c r="AD171" s="15">
        <v>0.62</v>
      </c>
      <c r="AE171" s="15"/>
      <c r="AF171" s="15">
        <v>22.97</v>
      </c>
      <c r="AG171" s="15">
        <v>0.1</v>
      </c>
      <c r="AH171" s="15">
        <v>10</v>
      </c>
      <c r="AI171" s="15"/>
      <c r="AJ171" s="15">
        <v>14</v>
      </c>
      <c r="AL171">
        <v>30</v>
      </c>
      <c r="AM171" s="13">
        <v>0.193303</v>
      </c>
      <c r="AO171" s="15">
        <v>60</v>
      </c>
      <c r="AP171" s="15">
        <f>LN(25/Table2[[#This Row],[Temperature (C)]]/(1-SQRT((Table2[[#This Row],[Temperature (C)]]-5)/Table2[[#This Row],[Temperature (C)]])))/Table2[[#This Row],[b]]</f>
        <v>11.890100727173307</v>
      </c>
      <c r="AQ171" s="15">
        <f>IF(Table2[[#This Row],[b]]&lt;&gt;"",Table2[[#This Row],[T-5]], 0)</f>
        <v>11.890100727173307</v>
      </c>
      <c r="AR171">
        <f>Table2[[#This Row],[Temperature (C)]]/Table2[[#This Row],[Heating rate C/min]]+Table2[[#This Row],[Holding Time (min)]]</f>
        <v>70</v>
      </c>
      <c r="AT171" t="s">
        <v>503</v>
      </c>
      <c r="AU171">
        <v>300</v>
      </c>
      <c r="AV171" s="15">
        <v>21.615201900237501</v>
      </c>
      <c r="AW171" s="15">
        <v>33.966745843230399</v>
      </c>
      <c r="AX171" s="15">
        <v>19.714964370546305</v>
      </c>
      <c r="AY171" s="15">
        <v>20.665083135391896</v>
      </c>
      <c r="AZ171" s="15"/>
      <c r="BA171" s="15"/>
      <c r="BB171" s="15">
        <f>IF(OR(Table2[[#This Row],[Gas wt%]]&lt;&gt;"",Table2[[#This Row],[Loss]]&lt;&gt;""),Table2[[#This Row],[Gas wt%]]+Table2[[#This Row],[Loss]],"")</f>
        <v>20.665083135391896</v>
      </c>
      <c r="BC171" s="15"/>
      <c r="BD171" s="15"/>
      <c r="BE171" s="15"/>
      <c r="BF171" s="15"/>
      <c r="BG171" s="15"/>
      <c r="BH171" s="15">
        <f>100-SUM(Table2[[#This Row],[Solids wt%]:[Gas wt%]])</f>
        <v>4.038004750593899</v>
      </c>
      <c r="BI171" s="15">
        <v>81.96</v>
      </c>
      <c r="BJ171" s="15">
        <v>12.23</v>
      </c>
      <c r="BK171" s="15">
        <v>0.75</v>
      </c>
      <c r="BL171" s="15">
        <v>4.42</v>
      </c>
      <c r="BM171" s="15">
        <v>0.37</v>
      </c>
      <c r="BN171" s="15">
        <v>34.659999999999997</v>
      </c>
      <c r="BO171" s="15">
        <v>51.02</v>
      </c>
      <c r="BP171" s="15">
        <v>0.27</v>
      </c>
      <c r="BQ171" s="15">
        <f>Table2[[#This Row],[H% B]]/Table2[[#This Row],[C% B]]*100</f>
        <v>14.921913128355296</v>
      </c>
      <c r="BR171" s="15"/>
      <c r="BS171" s="15"/>
      <c r="BT171" s="15"/>
      <c r="BU171" s="15"/>
      <c r="BV171" s="15"/>
      <c r="BW171" s="15"/>
      <c r="BX171" s="15"/>
      <c r="BY171" s="15"/>
      <c r="BZ171" s="15"/>
      <c r="CA171" s="15"/>
      <c r="CB171" s="15"/>
      <c r="CC171" s="15"/>
      <c r="CD171" s="15"/>
      <c r="CE171" s="15"/>
      <c r="CF171" s="15">
        <v>58.71</v>
      </c>
      <c r="CG171" s="15">
        <v>8.49</v>
      </c>
      <c r="CH171" s="15">
        <v>7.44</v>
      </c>
      <c r="CI171" s="15">
        <v>2.74</v>
      </c>
      <c r="CJ171" s="15">
        <v>0.28999999999999998</v>
      </c>
      <c r="CK171" s="15">
        <v>30.95</v>
      </c>
      <c r="CL171" s="15"/>
      <c r="CM171" s="15"/>
      <c r="CN171" s="15"/>
      <c r="CO171" s="15"/>
      <c r="CP171" s="15"/>
      <c r="CQ171" s="15"/>
      <c r="CR171" s="15"/>
      <c r="CS171" s="15">
        <v>41.53</v>
      </c>
      <c r="CT171" s="15">
        <v>6.85</v>
      </c>
      <c r="CU171" s="15"/>
      <c r="CV171" s="15"/>
      <c r="CW171" s="15"/>
      <c r="CX171" s="15"/>
      <c r="CY171" s="15"/>
      <c r="CZ171" s="15"/>
      <c r="DA171" s="15"/>
      <c r="DB171" s="15">
        <v>0</v>
      </c>
    </row>
    <row r="172" spans="1:116" x14ac:dyDescent="0.25">
      <c r="A172" t="s">
        <v>213</v>
      </c>
      <c r="B172" t="s">
        <v>214</v>
      </c>
      <c r="C172">
        <v>2015</v>
      </c>
      <c r="D172" s="16" t="s">
        <v>212</v>
      </c>
      <c r="E172">
        <v>0</v>
      </c>
      <c r="F172" s="15">
        <v>27.61687818635427</v>
      </c>
      <c r="G172" s="15"/>
      <c r="H172" s="15"/>
      <c r="I172" s="15">
        <v>48.118017138518276</v>
      </c>
      <c r="J172" s="15">
        <v>20.587916259898037</v>
      </c>
      <c r="K172" s="15"/>
      <c r="L172" s="15">
        <f>IF(Table2[[#This Row],[Lipids wt%]]+Table2[[#This Row],[Protein wt%]]+Table2[[#This Row],[Carbs wt%]] =0,"",SUM(Table2[[#This Row],[Lipids wt%]],Table2[[#This Row],[Protein wt%]],Table2[[#This Row],[Carbs wt%]]))</f>
        <v>96.322811584770577</v>
      </c>
      <c r="M172" s="15">
        <v>3.39</v>
      </c>
      <c r="P172">
        <v>73.930000000000007</v>
      </c>
      <c r="R172">
        <v>18.2</v>
      </c>
      <c r="Z172" s="15">
        <v>55.76</v>
      </c>
      <c r="AA172" s="15">
        <v>8.6999999999999993</v>
      </c>
      <c r="AB172" s="15">
        <v>23.57</v>
      </c>
      <c r="AC172" s="15">
        <v>7.96</v>
      </c>
      <c r="AD172" s="15">
        <v>0.62</v>
      </c>
      <c r="AE172" s="15"/>
      <c r="AF172" s="15">
        <v>22.97</v>
      </c>
      <c r="AG172" s="15">
        <v>0.1</v>
      </c>
      <c r="AH172" s="15">
        <v>10</v>
      </c>
      <c r="AI172" s="15"/>
      <c r="AJ172" s="15">
        <v>14</v>
      </c>
      <c r="AL172">
        <v>30</v>
      </c>
      <c r="AM172" s="13">
        <v>0.193303</v>
      </c>
      <c r="AO172" s="15">
        <v>60</v>
      </c>
      <c r="AP172" s="15">
        <f>LN(25/Table2[[#This Row],[Temperature (C)]]/(1-SQRT((Table2[[#This Row],[Temperature (C)]]-5)/Table2[[#This Row],[Temperature (C)]])))/Table2[[#This Row],[b]]</f>
        <v>11.893216238158484</v>
      </c>
      <c r="AQ172" s="15">
        <f>IF(Table2[[#This Row],[b]]&lt;&gt;"",Table2[[#This Row],[T-5]], 0)</f>
        <v>11.893216238158484</v>
      </c>
      <c r="AR172">
        <f>Table2[[#This Row],[Temperature (C)]]/Table2[[#This Row],[Heating rate C/min]]+Table2[[#This Row],[Holding Time (min)]]</f>
        <v>71.666666666666671</v>
      </c>
      <c r="AT172" t="s">
        <v>503</v>
      </c>
      <c r="AU172">
        <v>350</v>
      </c>
      <c r="AV172" s="15">
        <v>20.190023752969104</v>
      </c>
      <c r="AW172" s="15">
        <v>41.330166270783799</v>
      </c>
      <c r="AX172" s="15">
        <v>9.5011876484560958</v>
      </c>
      <c r="AY172" s="15">
        <v>23.515439429928705</v>
      </c>
      <c r="AZ172" s="15"/>
      <c r="BA172" s="15"/>
      <c r="BB172" s="15">
        <f>IF(OR(Table2[[#This Row],[Gas wt%]]&lt;&gt;"",Table2[[#This Row],[Loss]]&lt;&gt;""),Table2[[#This Row],[Gas wt%]]+Table2[[#This Row],[Loss]],"")</f>
        <v>23.515439429928705</v>
      </c>
      <c r="BC172" s="15"/>
      <c r="BD172" s="15"/>
      <c r="BE172" s="15"/>
      <c r="BF172" s="15"/>
      <c r="BG172" s="15"/>
      <c r="BH172" s="15">
        <f>100-SUM(Table2[[#This Row],[Solids wt%]:[Gas wt%]])</f>
        <v>5.4631828978622963</v>
      </c>
      <c r="BI172" s="15">
        <v>77.36</v>
      </c>
      <c r="BJ172" s="15">
        <v>11.24</v>
      </c>
      <c r="BK172" s="15">
        <v>6.39</v>
      </c>
      <c r="BL172" s="15">
        <v>4.3899999999999997</v>
      </c>
      <c r="BM172" s="15">
        <v>0.25</v>
      </c>
      <c r="BN172" s="15">
        <v>34.18</v>
      </c>
      <c r="BO172" s="15">
        <v>61.24</v>
      </c>
      <c r="BP172" s="15">
        <v>0.36</v>
      </c>
      <c r="BQ172" s="15">
        <f>Table2[[#This Row],[H% B]]/Table2[[#This Row],[C% B]]*100</f>
        <v>14.529472595656671</v>
      </c>
      <c r="BR172" s="15"/>
      <c r="BS172" s="15"/>
      <c r="BT172" s="15"/>
      <c r="BU172" s="15"/>
      <c r="BV172" s="15"/>
      <c r="BW172" s="15"/>
      <c r="BX172" s="15"/>
      <c r="BY172" s="15"/>
      <c r="BZ172" s="15"/>
      <c r="CA172" s="15"/>
      <c r="CB172" s="15"/>
      <c r="CC172" s="15"/>
      <c r="CD172" s="15"/>
      <c r="CE172" s="15"/>
      <c r="CF172" s="15">
        <v>41.5</v>
      </c>
      <c r="CG172" s="15">
        <v>5.88</v>
      </c>
      <c r="CH172" s="15">
        <v>0.04</v>
      </c>
      <c r="CI172" s="15">
        <v>2.12</v>
      </c>
      <c r="CJ172" s="15">
        <v>0.64</v>
      </c>
      <c r="CK172" s="15">
        <v>21.77</v>
      </c>
      <c r="CL172" s="15"/>
      <c r="CM172" s="15"/>
      <c r="CN172" s="15"/>
      <c r="CO172" s="15"/>
      <c r="CP172" s="15"/>
      <c r="CQ172" s="15"/>
      <c r="CR172" s="15"/>
      <c r="CS172" s="15">
        <v>17.239999999999998</v>
      </c>
      <c r="CT172" s="15">
        <v>8.08</v>
      </c>
      <c r="CU172" s="15"/>
      <c r="CV172" s="15"/>
      <c r="CW172" s="15"/>
      <c r="CX172" s="15"/>
      <c r="CY172" s="15"/>
      <c r="CZ172" s="15"/>
      <c r="DA172" s="15"/>
      <c r="DB172" s="15">
        <v>0</v>
      </c>
    </row>
    <row r="173" spans="1:116" x14ac:dyDescent="0.25">
      <c r="A173" t="s">
        <v>217</v>
      </c>
      <c r="B173" t="s">
        <v>216</v>
      </c>
      <c r="C173">
        <v>2015</v>
      </c>
      <c r="D173" s="16" t="s">
        <v>215</v>
      </c>
      <c r="E173">
        <v>0</v>
      </c>
      <c r="F173" s="15">
        <v>51.731448763250889</v>
      </c>
      <c r="G173" s="15"/>
      <c r="H173" s="15"/>
      <c r="I173" s="15">
        <v>17.526501766784452</v>
      </c>
      <c r="J173" s="15">
        <v>1.342756183745583</v>
      </c>
      <c r="K173" s="15"/>
      <c r="L173" s="15">
        <f>IF(Table2[[#This Row],[Lipids wt%]]+Table2[[#This Row],[Protein wt%]]+Table2[[#This Row],[Carbs wt%]] =0,"",SUM(Table2[[#This Row],[Lipids wt%]],Table2[[#This Row],[Protein wt%]],Table2[[#This Row],[Carbs wt%]]))</f>
        <v>70.600706713780923</v>
      </c>
      <c r="M173" s="15">
        <v>41.6</v>
      </c>
      <c r="Q173">
        <v>41.6</v>
      </c>
      <c r="R173">
        <v>44.5</v>
      </c>
      <c r="Z173" s="15">
        <v>23.7</v>
      </c>
      <c r="AA173" s="15">
        <v>4.5</v>
      </c>
      <c r="AB173" s="15">
        <v>25.6</v>
      </c>
      <c r="AC173" s="15">
        <v>3.3</v>
      </c>
      <c r="AD173" s="15"/>
      <c r="AE173" s="15"/>
      <c r="AF173" s="15">
        <v>9</v>
      </c>
      <c r="AG173" s="15"/>
      <c r="AH173" s="15"/>
      <c r="AI173" s="15"/>
      <c r="AJ173" s="15">
        <v>10</v>
      </c>
      <c r="AM173" s="13"/>
      <c r="AO173" s="15">
        <v>30</v>
      </c>
      <c r="AP173" s="15" t="e">
        <f>LN(25/Table2[[#This Row],[Temperature (C)]]/(1-SQRT((Table2[[#This Row],[Temperature (C)]]-5)/Table2[[#This Row],[Temperature (C)]])))/Table2[[#This Row],[b]]</f>
        <v>#DIV/0!</v>
      </c>
      <c r="AQ173" s="15">
        <f>IF(Table2[[#This Row],[b]]&lt;&gt;"",Table2[[#This Row],[T-5]], 0)</f>
        <v>0</v>
      </c>
      <c r="AT173" t="s">
        <v>503</v>
      </c>
      <c r="AU173">
        <v>260</v>
      </c>
      <c r="AV173" s="15">
        <v>27.2</v>
      </c>
      <c r="AW173" s="15">
        <v>11.6</v>
      </c>
      <c r="AX173" s="15">
        <v>59.7</v>
      </c>
      <c r="AY173" s="15">
        <v>1.5</v>
      </c>
      <c r="AZ173" s="15"/>
      <c r="BA173" s="15"/>
      <c r="BB173" s="15">
        <f>IF(OR(Table2[[#This Row],[Gas wt%]]&lt;&gt;"",Table2[[#This Row],[Loss]]&lt;&gt;""),Table2[[#This Row],[Gas wt%]]+Table2[[#This Row],[Loss]],"")</f>
        <v>1.5</v>
      </c>
      <c r="BC173" s="15"/>
      <c r="BD173" s="15"/>
      <c r="BE173" s="15"/>
      <c r="BF173" s="15"/>
      <c r="BG173" s="15"/>
      <c r="BH173" s="15"/>
      <c r="BI173" s="15">
        <v>71.3</v>
      </c>
      <c r="BJ173" s="15">
        <v>8.6300000000000008</v>
      </c>
      <c r="BK173" s="15">
        <v>13.95</v>
      </c>
      <c r="BL173" s="15">
        <v>6.12</v>
      </c>
      <c r="BM173" s="15"/>
      <c r="BN173" s="15">
        <v>33.94</v>
      </c>
      <c r="BO173" s="15"/>
      <c r="BP173" s="15"/>
      <c r="BQ173" s="15">
        <f>Table2[[#This Row],[H% B]]/Table2[[#This Row],[C% B]]*100</f>
        <v>12.103786816269286</v>
      </c>
      <c r="BR173" s="15"/>
      <c r="BS173" s="15"/>
      <c r="BT173" s="15"/>
      <c r="BU173" s="15"/>
      <c r="BV173" s="15"/>
      <c r="BW173" s="15"/>
      <c r="BX173" s="15"/>
      <c r="BY173" s="15"/>
      <c r="BZ173" s="15"/>
      <c r="CA173" s="15"/>
      <c r="CB173" s="15"/>
      <c r="CC173" s="15"/>
      <c r="CD173" s="15"/>
      <c r="CE173" s="15"/>
      <c r="CF173" s="15"/>
      <c r="CG173" s="15"/>
      <c r="CH173" s="15"/>
      <c r="CI173" s="15"/>
      <c r="CJ173" s="15"/>
      <c r="CK173" s="15"/>
      <c r="CL173" s="15"/>
      <c r="CM173" s="15"/>
      <c r="CN173" s="15"/>
      <c r="CO173" s="15"/>
      <c r="CP173" s="15"/>
      <c r="CQ173" s="15"/>
      <c r="CR173" s="15"/>
      <c r="CS173" s="15">
        <v>50.92</v>
      </c>
      <c r="CT173" s="15">
        <v>1973</v>
      </c>
      <c r="CU173" s="15"/>
      <c r="CV173" s="15"/>
      <c r="CW173" s="15"/>
      <c r="CX173" s="15"/>
      <c r="CY173" s="15"/>
      <c r="CZ173" s="15"/>
      <c r="DA173" s="15"/>
      <c r="DB173" s="15">
        <v>0</v>
      </c>
    </row>
    <row r="174" spans="1:116" x14ac:dyDescent="0.25">
      <c r="A174" t="s">
        <v>253</v>
      </c>
      <c r="B174" t="s">
        <v>252</v>
      </c>
      <c r="C174">
        <v>2022</v>
      </c>
      <c r="D174" s="16" t="s">
        <v>79</v>
      </c>
      <c r="E174">
        <v>0</v>
      </c>
      <c r="F174" s="15">
        <v>17.16</v>
      </c>
      <c r="G174" s="15"/>
      <c r="H174" s="15"/>
      <c r="I174" s="15">
        <v>65.2</v>
      </c>
      <c r="J174" s="15">
        <v>10.3</v>
      </c>
      <c r="K174" s="15"/>
      <c r="L174" s="15">
        <f>IF(Table2[[#This Row],[Lipids wt%]]+Table2[[#This Row],[Protein wt%]]+Table2[[#This Row],[Carbs wt%]] =0,"",SUM(Table2[[#This Row],[Lipids wt%]],Table2[[#This Row],[Protein wt%]],Table2[[#This Row],[Carbs wt%]]))</f>
        <v>92.66</v>
      </c>
      <c r="M174" s="15">
        <f>100-Table2[[#This Row],[Lipids wt%]]-Table2[[#This Row],[Protein wt%]]-Table2[[#This Row],[Carbs wt%]]</f>
        <v>7.34</v>
      </c>
      <c r="Z174" s="15"/>
      <c r="AA174" s="15"/>
      <c r="AB174" s="15"/>
      <c r="AC174" s="15"/>
      <c r="AD174" s="15"/>
      <c r="AE174" s="15"/>
      <c r="AF174" s="15"/>
      <c r="AG174" s="15">
        <v>0.35</v>
      </c>
      <c r="AH174" s="15">
        <v>10</v>
      </c>
      <c r="AI174" s="15">
        <v>100</v>
      </c>
      <c r="AJ174" s="15">
        <f>Table2[[#This Row],[Solids (g)]]/(Table2[[#This Row],[Solids (g)]]+Table2[[#This Row],[Water mL]])*100</f>
        <v>9.0909090909090917</v>
      </c>
      <c r="AK174">
        <v>17.8</v>
      </c>
      <c r="AM174" s="13"/>
      <c r="AO174" s="15">
        <v>60</v>
      </c>
      <c r="AP174" s="15" t="e">
        <f>LN(25/Table2[[#This Row],[Temperature (C)]]/(1-SQRT((Table2[[#This Row],[Temperature (C)]]-5)/Table2[[#This Row],[Temperature (C)]])))/Table2[[#This Row],[b]]</f>
        <v>#DIV/0!</v>
      </c>
      <c r="AQ174" s="15">
        <f>IF(Table2[[#This Row],[b]]&lt;&gt;"",Table2[[#This Row],[T-5]], 0)</f>
        <v>0</v>
      </c>
      <c r="AT174" t="s">
        <v>503</v>
      </c>
      <c r="AU174">
        <v>200</v>
      </c>
      <c r="AV174" s="15">
        <v>17.206132879045999</v>
      </c>
      <c r="AW174" s="15">
        <v>12.776831345826199</v>
      </c>
      <c r="AX174" s="15">
        <v>69.846678023850004</v>
      </c>
      <c r="AY174" s="15">
        <f>100-SUM(Table2[[#This Row],[Solids wt%]:[Aquous wt%]])</f>
        <v>0.17035775127780539</v>
      </c>
      <c r="AZ174" s="15"/>
      <c r="BA174" s="15"/>
      <c r="BB174" s="15">
        <f>IF(OR(Table2[[#This Row],[Gas wt%]]&lt;&gt;"",Table2[[#This Row],[Loss]]&lt;&gt;""),Table2[[#This Row],[Gas wt%]]+Table2[[#This Row],[Loss]],"")</f>
        <v>0.17035775127780539</v>
      </c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  <c r="BY174" s="15"/>
      <c r="BZ174" s="15"/>
      <c r="CA174" s="15"/>
      <c r="CB174" s="15"/>
      <c r="CC174" s="15"/>
      <c r="CD174" s="15"/>
      <c r="CE174" s="15"/>
      <c r="CF174" s="15"/>
      <c r="CG174" s="15"/>
      <c r="CH174" s="15"/>
      <c r="CI174" s="15"/>
      <c r="CJ174" s="15"/>
      <c r="CK174" s="15"/>
      <c r="CL174" s="15"/>
      <c r="CM174" s="15"/>
      <c r="CN174" s="15"/>
      <c r="CO174" s="15"/>
      <c r="CP174" s="15"/>
      <c r="CQ174" s="15"/>
      <c r="CR174" s="15"/>
      <c r="CS174" s="15"/>
      <c r="CT174" s="15"/>
      <c r="CU174" s="15"/>
      <c r="CV174" s="15"/>
      <c r="CW174" s="15"/>
      <c r="CX174" s="15"/>
      <c r="CY174" s="15"/>
      <c r="CZ174" s="15"/>
      <c r="DA174" s="15"/>
      <c r="DB174" s="15">
        <v>0</v>
      </c>
    </row>
    <row r="175" spans="1:116" x14ac:dyDescent="0.25">
      <c r="A175" t="s">
        <v>253</v>
      </c>
      <c r="B175" t="s">
        <v>252</v>
      </c>
      <c r="C175">
        <v>2022</v>
      </c>
      <c r="D175" s="16" t="s">
        <v>79</v>
      </c>
      <c r="E175">
        <v>0</v>
      </c>
      <c r="F175" s="15">
        <v>17.16</v>
      </c>
      <c r="G175" s="15"/>
      <c r="H175" s="15"/>
      <c r="I175" s="15">
        <v>65.2</v>
      </c>
      <c r="J175" s="15">
        <v>10.3</v>
      </c>
      <c r="K175" s="15"/>
      <c r="L175" s="15">
        <f>IF(Table2[[#This Row],[Lipids wt%]]+Table2[[#This Row],[Protein wt%]]+Table2[[#This Row],[Carbs wt%]] =0,"",SUM(Table2[[#This Row],[Lipids wt%]],Table2[[#This Row],[Protein wt%]],Table2[[#This Row],[Carbs wt%]]))</f>
        <v>92.66</v>
      </c>
      <c r="M175" s="15">
        <f>100-Table2[[#This Row],[Lipids wt%]]-Table2[[#This Row],[Protein wt%]]-Table2[[#This Row],[Carbs wt%]]</f>
        <v>7.34</v>
      </c>
      <c r="Z175" s="15"/>
      <c r="AA175" s="15"/>
      <c r="AB175" s="15"/>
      <c r="AC175" s="15"/>
      <c r="AD175" s="15"/>
      <c r="AE175" s="15"/>
      <c r="AF175" s="15"/>
      <c r="AG175" s="15">
        <v>0.35</v>
      </c>
      <c r="AH175" s="15">
        <v>10</v>
      </c>
      <c r="AI175" s="15">
        <v>100</v>
      </c>
      <c r="AJ175" s="15">
        <f>Table2[[#This Row],[Solids (g)]]/(Table2[[#This Row],[Solids (g)]]+Table2[[#This Row],[Water mL]])*100</f>
        <v>9.0909090909090917</v>
      </c>
      <c r="AK175">
        <v>17.8</v>
      </c>
      <c r="AM175" s="13"/>
      <c r="AO175" s="15">
        <v>60</v>
      </c>
      <c r="AP175" s="15" t="e">
        <f>LN(25/Table2[[#This Row],[Temperature (C)]]/(1-SQRT((Table2[[#This Row],[Temperature (C)]]-5)/Table2[[#This Row],[Temperature (C)]])))/Table2[[#This Row],[b]]</f>
        <v>#DIV/0!</v>
      </c>
      <c r="AQ175" s="15">
        <f>IF(Table2[[#This Row],[b]]&lt;&gt;"",Table2[[#This Row],[T-5]], 0)</f>
        <v>0</v>
      </c>
      <c r="AT175" t="s">
        <v>503</v>
      </c>
      <c r="AU175">
        <v>220</v>
      </c>
      <c r="AV175" s="15">
        <v>6.4735945485519597</v>
      </c>
      <c r="AW175" s="15">
        <v>19.2504258943781</v>
      </c>
      <c r="AX175" s="15">
        <v>74.105621805792097</v>
      </c>
      <c r="AY175" s="15">
        <f>100-SUM(Table2[[#This Row],[Solids wt%]:[Aquous wt%]])</f>
        <v>0.17035775127783381</v>
      </c>
      <c r="AZ175" s="15"/>
      <c r="BA175" s="15"/>
      <c r="BB175" s="15">
        <f>IF(OR(Table2[[#This Row],[Gas wt%]]&lt;&gt;"",Table2[[#This Row],[Loss]]&lt;&gt;""),Table2[[#This Row],[Gas wt%]]+Table2[[#This Row],[Loss]],"")</f>
        <v>0.17035775127783381</v>
      </c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  <c r="BX175" s="15"/>
      <c r="BY175" s="15"/>
      <c r="BZ175" s="15"/>
      <c r="CA175" s="15"/>
      <c r="CB175" s="15"/>
      <c r="CC175" s="15"/>
      <c r="CD175" s="15"/>
      <c r="CE175" s="15"/>
      <c r="CF175" s="15"/>
      <c r="CG175" s="15"/>
      <c r="CH175" s="15"/>
      <c r="CI175" s="15"/>
      <c r="CJ175" s="15"/>
      <c r="CK175" s="15"/>
      <c r="CL175" s="15"/>
      <c r="CM175" s="15"/>
      <c r="CN175" s="15"/>
      <c r="CO175" s="15"/>
      <c r="CP175" s="15"/>
      <c r="CQ175" s="15"/>
      <c r="CR175" s="15"/>
      <c r="CS175" s="15"/>
      <c r="CT175" s="15"/>
      <c r="CU175" s="15"/>
      <c r="CV175" s="15"/>
      <c r="CW175" s="15"/>
      <c r="CX175" s="15"/>
      <c r="CY175" s="15"/>
      <c r="CZ175" s="15"/>
      <c r="DA175" s="15"/>
      <c r="DB175" s="15">
        <v>0</v>
      </c>
    </row>
    <row r="176" spans="1:116" x14ac:dyDescent="0.25">
      <c r="A176" t="s">
        <v>253</v>
      </c>
      <c r="B176" t="s">
        <v>252</v>
      </c>
      <c r="C176">
        <v>2022</v>
      </c>
      <c r="D176" s="16" t="s">
        <v>79</v>
      </c>
      <c r="E176">
        <v>0</v>
      </c>
      <c r="F176" s="15">
        <v>17.16</v>
      </c>
      <c r="G176" s="15"/>
      <c r="H176" s="15"/>
      <c r="I176" s="15">
        <v>65.2</v>
      </c>
      <c r="J176" s="15">
        <v>10.3</v>
      </c>
      <c r="K176" s="15"/>
      <c r="L176" s="15">
        <f>IF(Table2[[#This Row],[Lipids wt%]]+Table2[[#This Row],[Protein wt%]]+Table2[[#This Row],[Carbs wt%]] =0,"",SUM(Table2[[#This Row],[Lipids wt%]],Table2[[#This Row],[Protein wt%]],Table2[[#This Row],[Carbs wt%]]))</f>
        <v>92.66</v>
      </c>
      <c r="M176" s="15">
        <f>100-Table2[[#This Row],[Lipids wt%]]-Table2[[#This Row],[Protein wt%]]-Table2[[#This Row],[Carbs wt%]]</f>
        <v>7.34</v>
      </c>
      <c r="Z176" s="15"/>
      <c r="AA176" s="15"/>
      <c r="AB176" s="15"/>
      <c r="AC176" s="15"/>
      <c r="AD176" s="15"/>
      <c r="AE176" s="15"/>
      <c r="AF176" s="15"/>
      <c r="AG176" s="15">
        <v>0.35</v>
      </c>
      <c r="AH176" s="15">
        <v>10</v>
      </c>
      <c r="AI176" s="15">
        <v>100</v>
      </c>
      <c r="AJ176" s="15">
        <f>Table2[[#This Row],[Solids (g)]]/(Table2[[#This Row],[Solids (g)]]+Table2[[#This Row],[Water mL]])*100</f>
        <v>9.0909090909090917</v>
      </c>
      <c r="AK176">
        <v>17.8</v>
      </c>
      <c r="AM176" s="13"/>
      <c r="AO176" s="15">
        <v>60</v>
      </c>
      <c r="AP176" s="15" t="e">
        <f>LN(25/Table2[[#This Row],[Temperature (C)]]/(1-SQRT((Table2[[#This Row],[Temperature (C)]]-5)/Table2[[#This Row],[Temperature (C)]])))/Table2[[#This Row],[b]]</f>
        <v>#DIV/0!</v>
      </c>
      <c r="AQ176" s="15">
        <f>IF(Table2[[#This Row],[b]]&lt;&gt;"",Table2[[#This Row],[T-5]], 0)</f>
        <v>0</v>
      </c>
      <c r="AT176" t="s">
        <v>503</v>
      </c>
      <c r="AU176">
        <v>240</v>
      </c>
      <c r="AV176" s="15">
        <v>2.5553662691652299</v>
      </c>
      <c r="AW176" s="15">
        <v>27.257240204429301</v>
      </c>
      <c r="AX176" s="15">
        <v>70.357751277683093</v>
      </c>
      <c r="AY176" s="15"/>
      <c r="AZ176" s="15"/>
      <c r="BA176" s="15"/>
      <c r="BB176" s="15" t="str">
        <f>IF(OR(Table2[[#This Row],[Gas wt%]]&lt;&gt;"",Table2[[#This Row],[Loss]]&lt;&gt;""),Table2[[#This Row],[Gas wt%]]+Table2[[#This Row],[Loss]],"")</f>
        <v/>
      </c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  <c r="BY176" s="15"/>
      <c r="BZ176" s="15"/>
      <c r="CA176" s="15"/>
      <c r="CB176" s="15"/>
      <c r="CC176" s="15"/>
      <c r="CD176" s="15"/>
      <c r="CE176" s="15"/>
      <c r="CF176" s="15"/>
      <c r="CG176" s="15"/>
      <c r="CH176" s="15"/>
      <c r="CI176" s="15"/>
      <c r="CJ176" s="15"/>
      <c r="CK176" s="15"/>
      <c r="CL176" s="15"/>
      <c r="CM176" s="15"/>
      <c r="CN176" s="15"/>
      <c r="CO176" s="15"/>
      <c r="CP176" s="15"/>
      <c r="CQ176" s="15"/>
      <c r="CR176" s="15"/>
      <c r="CS176" s="15"/>
      <c r="CT176" s="15"/>
      <c r="CU176" s="15"/>
      <c r="CV176" s="15"/>
      <c r="CW176" s="15"/>
      <c r="CX176" s="15"/>
      <c r="CY176" s="15"/>
      <c r="CZ176" s="15"/>
      <c r="DA176" s="15"/>
      <c r="DB176" s="15">
        <v>0</v>
      </c>
      <c r="DE176" s="6"/>
      <c r="DF176" s="5"/>
      <c r="DG176" s="2"/>
      <c r="DH176" s="2"/>
      <c r="DI176" s="2"/>
      <c r="DJ176" s="2"/>
      <c r="DK176" s="2"/>
      <c r="DL176" s="2"/>
    </row>
    <row r="177" spans="1:116" x14ac:dyDescent="0.25">
      <c r="A177" t="s">
        <v>253</v>
      </c>
      <c r="B177" t="s">
        <v>252</v>
      </c>
      <c r="C177">
        <v>2022</v>
      </c>
      <c r="D177" s="16" t="s">
        <v>79</v>
      </c>
      <c r="E177">
        <v>0</v>
      </c>
      <c r="F177" s="15">
        <v>17.16</v>
      </c>
      <c r="G177" s="15"/>
      <c r="H177" s="15"/>
      <c r="I177" s="15">
        <v>65.2</v>
      </c>
      <c r="J177" s="15">
        <v>10.3</v>
      </c>
      <c r="K177" s="15"/>
      <c r="L177" s="15">
        <f>IF(Table2[[#This Row],[Lipids wt%]]+Table2[[#This Row],[Protein wt%]]+Table2[[#This Row],[Carbs wt%]] =0,"",SUM(Table2[[#This Row],[Lipids wt%]],Table2[[#This Row],[Protein wt%]],Table2[[#This Row],[Carbs wt%]]))</f>
        <v>92.66</v>
      </c>
      <c r="M177" s="15">
        <f>100-Table2[[#This Row],[Lipids wt%]]-Table2[[#This Row],[Protein wt%]]-Table2[[#This Row],[Carbs wt%]]</f>
        <v>7.34</v>
      </c>
      <c r="Z177" s="15"/>
      <c r="AA177" s="15"/>
      <c r="AB177" s="15"/>
      <c r="AC177" s="15"/>
      <c r="AD177" s="15"/>
      <c r="AE177" s="15"/>
      <c r="AF177" s="15"/>
      <c r="AG177" s="15">
        <v>0.35</v>
      </c>
      <c r="AH177" s="15">
        <v>10</v>
      </c>
      <c r="AI177" s="15">
        <v>100</v>
      </c>
      <c r="AJ177" s="15">
        <f>Table2[[#This Row],[Solids (g)]]/(Table2[[#This Row],[Solids (g)]]+Table2[[#This Row],[Water mL]])*100</f>
        <v>9.0909090909090917</v>
      </c>
      <c r="AK177">
        <v>17.8</v>
      </c>
      <c r="AM177" s="13"/>
      <c r="AO177" s="15">
        <v>60</v>
      </c>
      <c r="AP177" s="15" t="e">
        <f>LN(25/Table2[[#This Row],[Temperature (C)]]/(1-SQRT((Table2[[#This Row],[Temperature (C)]]-5)/Table2[[#This Row],[Temperature (C)]])))/Table2[[#This Row],[b]]</f>
        <v>#DIV/0!</v>
      </c>
      <c r="AQ177" s="15">
        <f>IF(Table2[[#This Row],[b]]&lt;&gt;"",Table2[[#This Row],[T-5]], 0)</f>
        <v>0</v>
      </c>
      <c r="AT177" t="s">
        <v>503</v>
      </c>
      <c r="AU177">
        <v>260</v>
      </c>
      <c r="AV177" s="15"/>
      <c r="AW177" s="15">
        <v>34.0715502555366</v>
      </c>
      <c r="AX177" s="15">
        <v>66.098807495740999</v>
      </c>
      <c r="AY177" s="15"/>
      <c r="AZ177" s="15"/>
      <c r="BA177" s="15"/>
      <c r="BB177" s="15" t="str">
        <f>IF(OR(Table2[[#This Row],[Gas wt%]]&lt;&gt;"",Table2[[#This Row],[Loss]]&lt;&gt;""),Table2[[#This Row],[Gas wt%]]+Table2[[#This Row],[Loss]],"")</f>
        <v/>
      </c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  <c r="BX177" s="15"/>
      <c r="BY177" s="15"/>
      <c r="BZ177" s="15"/>
      <c r="CA177" s="15"/>
      <c r="CB177" s="15"/>
      <c r="CC177" s="15"/>
      <c r="CD177" s="15"/>
      <c r="CE177" s="15"/>
      <c r="CF177" s="15"/>
      <c r="CG177" s="15"/>
      <c r="CH177" s="15"/>
      <c r="CI177" s="15"/>
      <c r="CJ177" s="15"/>
      <c r="CK177" s="15"/>
      <c r="CL177" s="15"/>
      <c r="CM177" s="15"/>
      <c r="CN177" s="15"/>
      <c r="CO177" s="15"/>
      <c r="CP177" s="15"/>
      <c r="CQ177" s="15"/>
      <c r="CR177" s="15"/>
      <c r="CS177" s="15"/>
      <c r="CT177" s="15"/>
      <c r="CU177" s="15"/>
      <c r="CV177" s="15"/>
      <c r="CW177" s="15"/>
      <c r="CX177" s="15"/>
      <c r="CY177" s="15"/>
      <c r="CZ177" s="15"/>
      <c r="DA177" s="15"/>
      <c r="DB177" s="15">
        <v>0</v>
      </c>
      <c r="DE177" s="6"/>
      <c r="DF177" s="5"/>
      <c r="DG177" s="8"/>
      <c r="DH177" s="2"/>
      <c r="DI177" s="8"/>
      <c r="DJ177" s="2"/>
      <c r="DK177" s="2"/>
      <c r="DL177" s="2"/>
    </row>
    <row r="178" spans="1:116" ht="15.75" thickBot="1" x14ac:dyDescent="0.3">
      <c r="A178" t="s">
        <v>253</v>
      </c>
      <c r="B178" t="s">
        <v>252</v>
      </c>
      <c r="C178">
        <v>2022</v>
      </c>
      <c r="D178" s="16" t="s">
        <v>79</v>
      </c>
      <c r="E178">
        <v>0</v>
      </c>
      <c r="F178" s="15">
        <v>17.16</v>
      </c>
      <c r="G178" s="15"/>
      <c r="H178" s="15"/>
      <c r="I178" s="15">
        <v>65.2</v>
      </c>
      <c r="J178" s="15">
        <v>10.3</v>
      </c>
      <c r="K178" s="15"/>
      <c r="L178" s="15">
        <f>IF(Table2[[#This Row],[Lipids wt%]]+Table2[[#This Row],[Protein wt%]]+Table2[[#This Row],[Carbs wt%]] =0,"",SUM(Table2[[#This Row],[Lipids wt%]],Table2[[#This Row],[Protein wt%]],Table2[[#This Row],[Carbs wt%]]))</f>
        <v>92.66</v>
      </c>
      <c r="M178" s="15">
        <f>100-Table2[[#This Row],[Lipids wt%]]-Table2[[#This Row],[Protein wt%]]-Table2[[#This Row],[Carbs wt%]]</f>
        <v>7.34</v>
      </c>
      <c r="Z178" s="15"/>
      <c r="AA178" s="15"/>
      <c r="AB178" s="15"/>
      <c r="AC178" s="15"/>
      <c r="AD178" s="15"/>
      <c r="AE178" s="15"/>
      <c r="AF178" s="15"/>
      <c r="AG178" s="15">
        <v>0.35</v>
      </c>
      <c r="AH178" s="15">
        <v>10</v>
      </c>
      <c r="AI178" s="15">
        <v>100</v>
      </c>
      <c r="AJ178" s="15">
        <f>Table2[[#This Row],[Solids (g)]]/(Table2[[#This Row],[Solids (g)]]+Table2[[#This Row],[Water mL]])*100</f>
        <v>9.0909090909090917</v>
      </c>
      <c r="AK178">
        <v>17.8</v>
      </c>
      <c r="AM178" s="13"/>
      <c r="AO178" s="15">
        <v>60</v>
      </c>
      <c r="AP178" s="15" t="e">
        <f>LN(25/Table2[[#This Row],[Temperature (C)]]/(1-SQRT((Table2[[#This Row],[Temperature (C)]]-5)/Table2[[#This Row],[Temperature (C)]])))/Table2[[#This Row],[b]]</f>
        <v>#DIV/0!</v>
      </c>
      <c r="AQ178" s="15">
        <f>IF(Table2[[#This Row],[b]]&lt;&gt;"",Table2[[#This Row],[T-5]], 0)</f>
        <v>0</v>
      </c>
      <c r="AT178" t="s">
        <v>503</v>
      </c>
      <c r="AU178">
        <v>280</v>
      </c>
      <c r="AV178" s="15"/>
      <c r="AW178" s="15">
        <v>31.516183986371299</v>
      </c>
      <c r="AX178" s="15">
        <v>68.654173764906304</v>
      </c>
      <c r="AY178" s="15"/>
      <c r="AZ178" s="15"/>
      <c r="BA178" s="15"/>
      <c r="BB178" s="15" t="str">
        <f>IF(OR(Table2[[#This Row],[Gas wt%]]&lt;&gt;"",Table2[[#This Row],[Loss]]&lt;&gt;""),Table2[[#This Row],[Gas wt%]]+Table2[[#This Row],[Loss]],"")</f>
        <v/>
      </c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  <c r="BY178" s="15"/>
      <c r="BZ178" s="15"/>
      <c r="CA178" s="15"/>
      <c r="CB178" s="15"/>
      <c r="CC178" s="15"/>
      <c r="CD178" s="15"/>
      <c r="CE178" s="15"/>
      <c r="CF178" s="15"/>
      <c r="CG178" s="15"/>
      <c r="CH178" s="15"/>
      <c r="CI178" s="15"/>
      <c r="CJ178" s="15"/>
      <c r="CK178" s="15"/>
      <c r="CL178" s="15"/>
      <c r="CM178" s="15"/>
      <c r="CN178" s="15"/>
      <c r="CO178" s="15"/>
      <c r="CP178" s="15"/>
      <c r="CQ178" s="15"/>
      <c r="CR178" s="15"/>
      <c r="CS178" s="15"/>
      <c r="CT178" s="15"/>
      <c r="CU178" s="15"/>
      <c r="CV178" s="15"/>
      <c r="CW178" s="15"/>
      <c r="CX178" s="15"/>
      <c r="CY178" s="15"/>
      <c r="CZ178" s="15"/>
      <c r="DA178" s="15"/>
      <c r="DB178" s="15">
        <v>0</v>
      </c>
      <c r="DE178" s="7"/>
      <c r="DF178" s="4"/>
      <c r="DG178" s="3"/>
      <c r="DH178" s="3"/>
      <c r="DI178" s="3"/>
      <c r="DJ178" s="3"/>
      <c r="DK178" s="3"/>
      <c r="DL178" s="3"/>
    </row>
    <row r="179" spans="1:116" x14ac:dyDescent="0.25">
      <c r="A179" t="s">
        <v>253</v>
      </c>
      <c r="B179" t="s">
        <v>252</v>
      </c>
      <c r="C179">
        <v>2022</v>
      </c>
      <c r="D179" s="16" t="s">
        <v>79</v>
      </c>
      <c r="E179">
        <v>0</v>
      </c>
      <c r="F179" s="15">
        <v>17.16</v>
      </c>
      <c r="G179" s="15"/>
      <c r="H179" s="15"/>
      <c r="I179" s="15">
        <v>65.2</v>
      </c>
      <c r="J179" s="15">
        <v>10.3</v>
      </c>
      <c r="K179" s="15"/>
      <c r="L179" s="15">
        <f>IF(Table2[[#This Row],[Lipids wt%]]+Table2[[#This Row],[Protein wt%]]+Table2[[#This Row],[Carbs wt%]] =0,"",SUM(Table2[[#This Row],[Lipids wt%]],Table2[[#This Row],[Protein wt%]],Table2[[#This Row],[Carbs wt%]]))</f>
        <v>92.66</v>
      </c>
      <c r="M179" s="15">
        <f>100-Table2[[#This Row],[Lipids wt%]]-Table2[[#This Row],[Protein wt%]]-Table2[[#This Row],[Carbs wt%]]</f>
        <v>7.34</v>
      </c>
      <c r="Z179" s="15"/>
      <c r="AA179" s="15"/>
      <c r="AB179" s="15"/>
      <c r="AC179" s="15"/>
      <c r="AD179" s="15"/>
      <c r="AE179" s="15"/>
      <c r="AF179" s="15"/>
      <c r="AG179" s="15">
        <v>0.35</v>
      </c>
      <c r="AH179" s="15">
        <v>10</v>
      </c>
      <c r="AI179" s="15">
        <v>100</v>
      </c>
      <c r="AJ179" s="15">
        <f>Table2[[#This Row],[Solids (g)]]/(Table2[[#This Row],[Solids (g)]]+Table2[[#This Row],[Water mL]])*100</f>
        <v>9.0909090909090917</v>
      </c>
      <c r="AK179">
        <v>17.8</v>
      </c>
      <c r="AM179" s="13"/>
      <c r="AO179" s="15">
        <v>60</v>
      </c>
      <c r="AP179" s="15" t="e">
        <f>LN(25/Table2[[#This Row],[Temperature (C)]]/(1-SQRT((Table2[[#This Row],[Temperature (C)]]-5)/Table2[[#This Row],[Temperature (C)]])))/Table2[[#This Row],[b]]</f>
        <v>#DIV/0!</v>
      </c>
      <c r="AQ179" s="15">
        <f>IF(Table2[[#This Row],[b]]&lt;&gt;"",Table2[[#This Row],[T-5]], 0)</f>
        <v>0</v>
      </c>
      <c r="AT179" t="s">
        <v>503</v>
      </c>
      <c r="AU179">
        <v>300</v>
      </c>
      <c r="AV179" s="15"/>
      <c r="AW179" s="15">
        <v>31.3458262350936</v>
      </c>
      <c r="AX179" s="15">
        <v>68.313458262350906</v>
      </c>
      <c r="AY179" s="15">
        <f>100-SUM(Table2[[#This Row],[Solids wt%]:[Aquous wt%]])</f>
        <v>0.3407155025554971</v>
      </c>
      <c r="AZ179" s="15"/>
      <c r="BA179" s="15"/>
      <c r="BB179" s="15">
        <f>IF(OR(Table2[[#This Row],[Gas wt%]]&lt;&gt;"",Table2[[#This Row],[Loss]]&lt;&gt;""),Table2[[#This Row],[Gas wt%]]+Table2[[#This Row],[Loss]],"")</f>
        <v>0.3407155025554971</v>
      </c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/>
      <c r="CT179" s="15"/>
      <c r="CU179" s="15"/>
      <c r="CV179" s="15"/>
      <c r="CW179" s="15"/>
      <c r="CX179" s="15"/>
      <c r="CY179" s="15"/>
      <c r="CZ179" s="15"/>
      <c r="DA179" s="15"/>
      <c r="DB179" s="15">
        <v>0</v>
      </c>
    </row>
    <row r="180" spans="1:116" x14ac:dyDescent="0.25">
      <c r="A180" t="s">
        <v>253</v>
      </c>
      <c r="B180" t="s">
        <v>252</v>
      </c>
      <c r="C180">
        <v>2022</v>
      </c>
      <c r="D180" s="16" t="s">
        <v>79</v>
      </c>
      <c r="E180">
        <v>0</v>
      </c>
      <c r="F180" s="15">
        <v>17.16</v>
      </c>
      <c r="G180" s="15"/>
      <c r="H180" s="15"/>
      <c r="I180" s="15">
        <v>65.2</v>
      </c>
      <c r="J180" s="15">
        <v>10.3</v>
      </c>
      <c r="K180" s="15"/>
      <c r="L180" s="15">
        <f>IF(Table2[[#This Row],[Lipids wt%]]+Table2[[#This Row],[Protein wt%]]+Table2[[#This Row],[Carbs wt%]] =0,"",SUM(Table2[[#This Row],[Lipids wt%]],Table2[[#This Row],[Protein wt%]],Table2[[#This Row],[Carbs wt%]]))</f>
        <v>92.66</v>
      </c>
      <c r="M180" s="15">
        <f>100-Table2[[#This Row],[Lipids wt%]]-Table2[[#This Row],[Protein wt%]]-Table2[[#This Row],[Carbs wt%]]</f>
        <v>7.34</v>
      </c>
      <c r="Z180" s="15"/>
      <c r="AA180" s="15"/>
      <c r="AB180" s="15"/>
      <c r="AC180" s="15"/>
      <c r="AD180" s="15"/>
      <c r="AE180" s="15"/>
      <c r="AF180" s="15"/>
      <c r="AG180" s="15">
        <v>0.35</v>
      </c>
      <c r="AH180" s="15">
        <v>10</v>
      </c>
      <c r="AI180" s="15">
        <v>100</v>
      </c>
      <c r="AJ180" s="15">
        <f>Table2[[#This Row],[Solids (g)]]/(Table2[[#This Row],[Solids (g)]]+Table2[[#This Row],[Water mL]])*100</f>
        <v>9.0909090909090917</v>
      </c>
      <c r="AK180">
        <v>17.8</v>
      </c>
      <c r="AM180" s="13"/>
      <c r="AO180" s="15">
        <v>60</v>
      </c>
      <c r="AP180" s="15" t="e">
        <f>LN(25/Table2[[#This Row],[Temperature (C)]]/(1-SQRT((Table2[[#This Row],[Temperature (C)]]-5)/Table2[[#This Row],[Temperature (C)]])))/Table2[[#This Row],[b]]</f>
        <v>#DIV/0!</v>
      </c>
      <c r="AQ180" s="15">
        <f>IF(Table2[[#This Row],[b]]&lt;&gt;"",Table2[[#This Row],[T-5]], 0)</f>
        <v>0</v>
      </c>
      <c r="AT180" t="s">
        <v>503</v>
      </c>
      <c r="AU180">
        <v>320</v>
      </c>
      <c r="AV180" s="15"/>
      <c r="AW180" s="15">
        <v>26.9165247018739</v>
      </c>
      <c r="AX180" s="15">
        <v>73.083475298126004</v>
      </c>
      <c r="AY180" s="15"/>
      <c r="AZ180" s="15"/>
      <c r="BA180" s="15"/>
      <c r="BB180" s="15" t="str">
        <f>IF(OR(Table2[[#This Row],[Gas wt%]]&lt;&gt;"",Table2[[#This Row],[Loss]]&lt;&gt;""),Table2[[#This Row],[Gas wt%]]+Table2[[#This Row],[Loss]],"")</f>
        <v/>
      </c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  <c r="CS180" s="15"/>
      <c r="CT180" s="15"/>
      <c r="CU180" s="15"/>
      <c r="CV180" s="15"/>
      <c r="CW180" s="15"/>
      <c r="CX180" s="15"/>
      <c r="CY180" s="15"/>
      <c r="CZ180" s="15"/>
      <c r="DA180" s="15"/>
      <c r="DB180" s="15">
        <v>0</v>
      </c>
    </row>
    <row r="181" spans="1:116" x14ac:dyDescent="0.25">
      <c r="A181" t="s">
        <v>253</v>
      </c>
      <c r="B181" t="s">
        <v>252</v>
      </c>
      <c r="C181">
        <v>2022</v>
      </c>
      <c r="D181" s="16" t="s">
        <v>79</v>
      </c>
      <c r="E181">
        <v>0</v>
      </c>
      <c r="F181" s="15">
        <v>17.16</v>
      </c>
      <c r="G181" s="15"/>
      <c r="H181" s="15"/>
      <c r="I181" s="15">
        <v>65.2</v>
      </c>
      <c r="J181" s="15">
        <v>10.3</v>
      </c>
      <c r="K181" s="15"/>
      <c r="L181" s="15">
        <f>IF(Table2[[#This Row],[Lipids wt%]]+Table2[[#This Row],[Protein wt%]]+Table2[[#This Row],[Carbs wt%]] =0,"",SUM(Table2[[#This Row],[Lipids wt%]],Table2[[#This Row],[Protein wt%]],Table2[[#This Row],[Carbs wt%]]))</f>
        <v>92.66</v>
      </c>
      <c r="M181" s="15">
        <f>100-Table2[[#This Row],[Lipids wt%]]-Table2[[#This Row],[Protein wt%]]-Table2[[#This Row],[Carbs wt%]]</f>
        <v>7.34</v>
      </c>
      <c r="Z181" s="15"/>
      <c r="AA181" s="15"/>
      <c r="AB181" s="15"/>
      <c r="AC181" s="15"/>
      <c r="AD181" s="15"/>
      <c r="AE181" s="15"/>
      <c r="AF181" s="15"/>
      <c r="AG181" s="15">
        <v>0.35</v>
      </c>
      <c r="AH181" s="15">
        <v>10</v>
      </c>
      <c r="AI181" s="15">
        <v>100</v>
      </c>
      <c r="AJ181" s="15">
        <f>Table2[[#This Row],[Solids (g)]]/(Table2[[#This Row],[Solids (g)]]+Table2[[#This Row],[Water mL]])*100</f>
        <v>9.0909090909090917</v>
      </c>
      <c r="AK181">
        <v>17.8</v>
      </c>
      <c r="AM181" s="13"/>
      <c r="AO181" s="15">
        <v>60</v>
      </c>
      <c r="AP181" s="15" t="e">
        <f>LN(25/Table2[[#This Row],[Temperature (C)]]/(1-SQRT((Table2[[#This Row],[Temperature (C)]]-5)/Table2[[#This Row],[Temperature (C)]])))/Table2[[#This Row],[b]]</f>
        <v>#DIV/0!</v>
      </c>
      <c r="AQ181" s="15">
        <f>IF(Table2[[#This Row],[b]]&lt;&gt;"",Table2[[#This Row],[T-5]], 0)</f>
        <v>0</v>
      </c>
      <c r="AT181" t="s">
        <v>503</v>
      </c>
      <c r="AU181">
        <v>340</v>
      </c>
      <c r="AV181" s="15"/>
      <c r="AW181" s="15">
        <v>23.6797274275979</v>
      </c>
      <c r="AX181" s="15">
        <v>76.320272572402004</v>
      </c>
      <c r="AY181" s="15"/>
      <c r="AZ181" s="15"/>
      <c r="BA181" s="15"/>
      <c r="BB181" s="15" t="str">
        <f>IF(OR(Table2[[#This Row],[Gas wt%]]&lt;&gt;"",Table2[[#This Row],[Loss]]&lt;&gt;""),Table2[[#This Row],[Gas wt%]]+Table2[[#This Row],[Loss]],"")</f>
        <v/>
      </c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5"/>
      <c r="BY181" s="15"/>
      <c r="BZ181" s="15"/>
      <c r="CA181" s="15"/>
      <c r="CB181" s="15"/>
      <c r="CC181" s="15"/>
      <c r="CD181" s="15"/>
      <c r="CE181" s="15"/>
      <c r="CF181" s="15"/>
      <c r="CG181" s="15"/>
      <c r="CH181" s="15"/>
      <c r="CI181" s="15"/>
      <c r="CJ181" s="15"/>
      <c r="CK181" s="15"/>
      <c r="CL181" s="15"/>
      <c r="CM181" s="15"/>
      <c r="CN181" s="15"/>
      <c r="CO181" s="15"/>
      <c r="CP181" s="15"/>
      <c r="CQ181" s="15"/>
      <c r="CR181" s="15"/>
      <c r="CS181" s="15"/>
      <c r="CT181" s="15"/>
      <c r="CU181" s="15"/>
      <c r="CV181" s="15"/>
      <c r="CW181" s="15"/>
      <c r="CX181" s="15"/>
      <c r="CY181" s="15"/>
      <c r="CZ181" s="15"/>
      <c r="DA181" s="15"/>
      <c r="DB181" s="15">
        <v>0</v>
      </c>
    </row>
    <row r="182" spans="1:116" x14ac:dyDescent="0.25">
      <c r="A182" t="s">
        <v>264</v>
      </c>
      <c r="B182" t="s">
        <v>265</v>
      </c>
      <c r="C182">
        <v>2022</v>
      </c>
      <c r="D182" s="16" t="s">
        <v>132</v>
      </c>
      <c r="E182">
        <v>0</v>
      </c>
      <c r="F182" s="15">
        <v>20</v>
      </c>
      <c r="G182" s="15"/>
      <c r="H182" s="15"/>
      <c r="I182" s="15">
        <v>61.05263157894737</v>
      </c>
      <c r="J182" s="15">
        <v>12.105263157894736</v>
      </c>
      <c r="K182" s="15"/>
      <c r="L182" s="15">
        <f>IF(Table2[[#This Row],[Lipids wt%]]+Table2[[#This Row],[Protein wt%]]+Table2[[#This Row],[Carbs wt%]] =0,"",SUM(Table2[[#This Row],[Lipids wt%]],Table2[[#This Row],[Protein wt%]],Table2[[#This Row],[Carbs wt%]]))</f>
        <v>93.15789473684211</v>
      </c>
      <c r="M182" s="15">
        <v>6.5</v>
      </c>
      <c r="P182">
        <v>5</v>
      </c>
      <c r="Z182" s="15"/>
      <c r="AA182" s="15"/>
      <c r="AB182" s="15"/>
      <c r="AC182" s="15"/>
      <c r="AD182" s="15"/>
      <c r="AE182" s="15"/>
      <c r="AF182" s="15"/>
      <c r="AG182" s="15">
        <v>0.03</v>
      </c>
      <c r="AH182" s="15"/>
      <c r="AI182" s="15"/>
      <c r="AJ182" s="15">
        <v>13</v>
      </c>
      <c r="AM182" s="13"/>
      <c r="AO182" s="15">
        <v>40</v>
      </c>
      <c r="AP182" s="15" t="e">
        <f>LN(25/Table2[[#This Row],[Temperature (C)]]/(1-SQRT((Table2[[#This Row],[Temperature (C)]]-5)/Table2[[#This Row],[Temperature (C)]])))/Table2[[#This Row],[b]]</f>
        <v>#DIV/0!</v>
      </c>
      <c r="AQ182" s="15">
        <f>IF(Table2[[#This Row],[b]]&lt;&gt;"",Table2[[#This Row],[T-5]], 0)</f>
        <v>0</v>
      </c>
      <c r="AT182" t="s">
        <v>503</v>
      </c>
      <c r="AU182">
        <v>225</v>
      </c>
      <c r="AV182" s="15"/>
      <c r="AW182" s="15">
        <v>12.5</v>
      </c>
      <c r="AX182" s="15"/>
      <c r="AY182" s="15"/>
      <c r="AZ182" s="15"/>
      <c r="BA182" s="15"/>
      <c r="BB182" s="15" t="str">
        <f>IF(OR(Table2[[#This Row],[Gas wt%]]&lt;&gt;"",Table2[[#This Row],[Loss]]&lt;&gt;""),Table2[[#This Row],[Gas wt%]]+Table2[[#This Row],[Loss]],"")</f>
        <v/>
      </c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  <c r="BY182" s="15"/>
      <c r="BZ182" s="15"/>
      <c r="CA182" s="15"/>
      <c r="CB182" s="15"/>
      <c r="CC182" s="15"/>
      <c r="CD182" s="15"/>
      <c r="CE182" s="15"/>
      <c r="CF182" s="15"/>
      <c r="CG182" s="15"/>
      <c r="CH182" s="15"/>
      <c r="CI182" s="15"/>
      <c r="CJ182" s="15"/>
      <c r="CK182" s="15"/>
      <c r="CL182" s="15"/>
      <c r="CM182" s="15"/>
      <c r="CN182" s="15"/>
      <c r="CO182" s="15"/>
      <c r="CP182" s="15"/>
      <c r="CQ182" s="15"/>
      <c r="CR182" s="15"/>
      <c r="CS182" s="15"/>
      <c r="CT182" s="15"/>
      <c r="CU182" s="15"/>
      <c r="CV182" s="15"/>
      <c r="CW182" s="15"/>
      <c r="CX182" s="15"/>
      <c r="CY182" s="15"/>
      <c r="CZ182" s="15"/>
      <c r="DA182" s="15"/>
      <c r="DB182" s="15">
        <v>0</v>
      </c>
    </row>
    <row r="183" spans="1:116" x14ac:dyDescent="0.25">
      <c r="A183" t="s">
        <v>264</v>
      </c>
      <c r="B183" t="s">
        <v>265</v>
      </c>
      <c r="C183">
        <v>2022</v>
      </c>
      <c r="D183" s="16" t="s">
        <v>132</v>
      </c>
      <c r="E183">
        <v>0</v>
      </c>
      <c r="F183" s="15">
        <v>20</v>
      </c>
      <c r="G183" s="15"/>
      <c r="H183" s="15"/>
      <c r="I183" s="15">
        <v>61.05263157894737</v>
      </c>
      <c r="J183" s="15">
        <v>12.105263157894736</v>
      </c>
      <c r="K183" s="15"/>
      <c r="L183" s="15">
        <f>IF(Table2[[#This Row],[Lipids wt%]]+Table2[[#This Row],[Protein wt%]]+Table2[[#This Row],[Carbs wt%]] =0,"",SUM(Table2[[#This Row],[Lipids wt%]],Table2[[#This Row],[Protein wt%]],Table2[[#This Row],[Carbs wt%]]))</f>
        <v>93.15789473684211</v>
      </c>
      <c r="M183" s="15">
        <v>6.5</v>
      </c>
      <c r="P183">
        <v>5</v>
      </c>
      <c r="Z183" s="15"/>
      <c r="AA183" s="15"/>
      <c r="AB183" s="15"/>
      <c r="AC183" s="15"/>
      <c r="AD183" s="15"/>
      <c r="AE183" s="15"/>
      <c r="AF183" s="15"/>
      <c r="AG183" s="15">
        <v>0.03</v>
      </c>
      <c r="AH183" s="15"/>
      <c r="AI183" s="15"/>
      <c r="AJ183" s="15">
        <v>9</v>
      </c>
      <c r="AM183" s="13"/>
      <c r="AO183" s="15">
        <v>25</v>
      </c>
      <c r="AP183" s="15" t="e">
        <f>LN(25/Table2[[#This Row],[Temperature (C)]]/(1-SQRT((Table2[[#This Row],[Temperature (C)]]-5)/Table2[[#This Row],[Temperature (C)]])))/Table2[[#This Row],[b]]</f>
        <v>#DIV/0!</v>
      </c>
      <c r="AQ183" s="15">
        <f>IF(Table2[[#This Row],[b]]&lt;&gt;"",Table2[[#This Row],[T-5]], 0)</f>
        <v>0</v>
      </c>
      <c r="AT183" t="s">
        <v>503</v>
      </c>
      <c r="AU183">
        <v>250</v>
      </c>
      <c r="AV183" s="15"/>
      <c r="AW183" s="15">
        <v>12.087999999999999</v>
      </c>
      <c r="AX183" s="15"/>
      <c r="AY183" s="15"/>
      <c r="AZ183" s="15"/>
      <c r="BA183" s="15"/>
      <c r="BB183" s="15" t="str">
        <f>IF(OR(Table2[[#This Row],[Gas wt%]]&lt;&gt;"",Table2[[#This Row],[Loss]]&lt;&gt;""),Table2[[#This Row],[Gas wt%]]+Table2[[#This Row],[Loss]],"")</f>
        <v/>
      </c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  <c r="BY183" s="15"/>
      <c r="BZ183" s="15"/>
      <c r="CA183" s="15"/>
      <c r="CB183" s="15"/>
      <c r="CC183" s="15"/>
      <c r="CD183" s="15"/>
      <c r="CE183" s="15"/>
      <c r="CF183" s="15"/>
      <c r="CG183" s="15"/>
      <c r="CH183" s="15"/>
      <c r="CI183" s="15"/>
      <c r="CJ183" s="15"/>
      <c r="CK183" s="15"/>
      <c r="CL183" s="15"/>
      <c r="CM183" s="15"/>
      <c r="CN183" s="15"/>
      <c r="CO183" s="15"/>
      <c r="CP183" s="15"/>
      <c r="CQ183" s="15"/>
      <c r="CR183" s="15"/>
      <c r="CS183" s="15"/>
      <c r="CT183" s="15"/>
      <c r="CU183" s="15"/>
      <c r="CV183" s="15"/>
      <c r="CW183" s="15"/>
      <c r="CX183" s="15"/>
      <c r="CY183" s="15"/>
      <c r="CZ183" s="15"/>
      <c r="DA183" s="15"/>
      <c r="DB183" s="15">
        <v>0</v>
      </c>
    </row>
    <row r="184" spans="1:116" ht="15.75" customHeight="1" x14ac:dyDescent="0.25">
      <c r="A184" t="s">
        <v>264</v>
      </c>
      <c r="B184" t="s">
        <v>265</v>
      </c>
      <c r="C184">
        <v>2022</v>
      </c>
      <c r="D184" s="16" t="s">
        <v>132</v>
      </c>
      <c r="E184">
        <v>0</v>
      </c>
      <c r="F184" s="15">
        <v>20</v>
      </c>
      <c r="G184" s="15"/>
      <c r="H184" s="15"/>
      <c r="I184" s="15">
        <v>61.05263157894737</v>
      </c>
      <c r="J184" s="15">
        <v>12.105263157894736</v>
      </c>
      <c r="K184" s="15"/>
      <c r="L184" s="15">
        <f>IF(Table2[[#This Row],[Lipids wt%]]+Table2[[#This Row],[Protein wt%]]+Table2[[#This Row],[Carbs wt%]] =0,"",SUM(Table2[[#This Row],[Lipids wt%]],Table2[[#This Row],[Protein wt%]],Table2[[#This Row],[Carbs wt%]]))</f>
        <v>93.15789473684211</v>
      </c>
      <c r="M184" s="15">
        <v>6.5</v>
      </c>
      <c r="P184">
        <v>5</v>
      </c>
      <c r="Z184" s="15"/>
      <c r="AA184" s="15"/>
      <c r="AB184" s="15"/>
      <c r="AC184" s="15"/>
      <c r="AD184" s="15"/>
      <c r="AE184" s="15"/>
      <c r="AF184" s="15"/>
      <c r="AG184" s="15">
        <v>0.03</v>
      </c>
      <c r="AH184" s="15"/>
      <c r="AI184" s="15"/>
      <c r="AJ184" s="15">
        <v>17</v>
      </c>
      <c r="AM184" s="13"/>
      <c r="AO184" s="15">
        <v>25</v>
      </c>
      <c r="AP184" s="15" t="e">
        <f>LN(25/Table2[[#This Row],[Temperature (C)]]/(1-SQRT((Table2[[#This Row],[Temperature (C)]]-5)/Table2[[#This Row],[Temperature (C)]])))/Table2[[#This Row],[b]]</f>
        <v>#DIV/0!</v>
      </c>
      <c r="AQ184" s="15">
        <f>IF(Table2[[#This Row],[b]]&lt;&gt;"",Table2[[#This Row],[T-5]], 0)</f>
        <v>0</v>
      </c>
      <c r="AT184" t="s">
        <v>503</v>
      </c>
      <c r="AU184">
        <v>250</v>
      </c>
      <c r="AV184" s="15"/>
      <c r="AW184" s="15">
        <v>16.388000000000002</v>
      </c>
      <c r="AX184" s="15"/>
      <c r="AY184" s="15"/>
      <c r="AZ184" s="15"/>
      <c r="BA184" s="15"/>
      <c r="BB184" s="15" t="str">
        <f>IF(OR(Table2[[#This Row],[Gas wt%]]&lt;&gt;"",Table2[[#This Row],[Loss]]&lt;&gt;""),Table2[[#This Row],[Gas wt%]]+Table2[[#This Row],[Loss]],"")</f>
        <v/>
      </c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/>
      <c r="CS184" s="15"/>
      <c r="CT184" s="15"/>
      <c r="CU184" s="15"/>
      <c r="CV184" s="15"/>
      <c r="CW184" s="15"/>
      <c r="CX184" s="15"/>
      <c r="CY184" s="15"/>
      <c r="CZ184" s="15"/>
      <c r="DA184" s="15"/>
      <c r="DB184" s="15">
        <v>0</v>
      </c>
    </row>
    <row r="185" spans="1:116" x14ac:dyDescent="0.25">
      <c r="A185" t="s">
        <v>264</v>
      </c>
      <c r="B185" t="s">
        <v>265</v>
      </c>
      <c r="C185">
        <v>2022</v>
      </c>
      <c r="D185" s="16" t="s">
        <v>132</v>
      </c>
      <c r="E185">
        <v>0</v>
      </c>
      <c r="F185" s="15">
        <v>20</v>
      </c>
      <c r="G185" s="15"/>
      <c r="H185" s="15"/>
      <c r="I185" s="15">
        <v>61.05263157894737</v>
      </c>
      <c r="J185" s="15">
        <v>12.105263157894736</v>
      </c>
      <c r="K185" s="15"/>
      <c r="L185" s="15">
        <f>IF(Table2[[#This Row],[Lipids wt%]]+Table2[[#This Row],[Protein wt%]]+Table2[[#This Row],[Carbs wt%]] =0,"",SUM(Table2[[#This Row],[Lipids wt%]],Table2[[#This Row],[Protein wt%]],Table2[[#This Row],[Carbs wt%]]))</f>
        <v>93.15789473684211</v>
      </c>
      <c r="M185" s="15">
        <v>6.5</v>
      </c>
      <c r="P185">
        <v>5</v>
      </c>
      <c r="Z185" s="15"/>
      <c r="AA185" s="15"/>
      <c r="AB185" s="15"/>
      <c r="AC185" s="15"/>
      <c r="AD185" s="15"/>
      <c r="AE185" s="15"/>
      <c r="AF185" s="15"/>
      <c r="AG185" s="15">
        <v>0.03</v>
      </c>
      <c r="AH185" s="15"/>
      <c r="AI185" s="15"/>
      <c r="AJ185" s="15">
        <v>9</v>
      </c>
      <c r="AM185" s="13"/>
      <c r="AO185" s="15">
        <v>50</v>
      </c>
      <c r="AP185" s="15" t="e">
        <f>LN(25/Table2[[#This Row],[Temperature (C)]]/(1-SQRT((Table2[[#This Row],[Temperature (C)]]-5)/Table2[[#This Row],[Temperature (C)]])))/Table2[[#This Row],[b]]</f>
        <v>#DIV/0!</v>
      </c>
      <c r="AQ185" s="15">
        <f>IF(Table2[[#This Row],[b]]&lt;&gt;"",Table2[[#This Row],[T-5]], 0)</f>
        <v>0</v>
      </c>
      <c r="AT185" t="s">
        <v>503</v>
      </c>
      <c r="AU185">
        <v>250</v>
      </c>
      <c r="AV185" s="15"/>
      <c r="AW185" s="15">
        <v>23.222000000000001</v>
      </c>
      <c r="AX185" s="15"/>
      <c r="AY185" s="15"/>
      <c r="AZ185" s="15"/>
      <c r="BA185" s="15"/>
      <c r="BB185" s="15" t="str">
        <f>IF(OR(Table2[[#This Row],[Gas wt%]]&lt;&gt;"",Table2[[#This Row],[Loss]]&lt;&gt;""),Table2[[#This Row],[Gas wt%]]+Table2[[#This Row],[Loss]],"")</f>
        <v/>
      </c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  <c r="BY185" s="15"/>
      <c r="BZ185" s="15"/>
      <c r="CA185" s="15"/>
      <c r="CB185" s="15"/>
      <c r="CC185" s="15"/>
      <c r="CD185" s="15"/>
      <c r="CE185" s="15"/>
      <c r="CF185" s="15"/>
      <c r="CG185" s="15"/>
      <c r="CH185" s="15"/>
      <c r="CI185" s="15"/>
      <c r="CJ185" s="15"/>
      <c r="CK185" s="15"/>
      <c r="CL185" s="15"/>
      <c r="CM185" s="15"/>
      <c r="CN185" s="15"/>
      <c r="CO185" s="15"/>
      <c r="CP185" s="15"/>
      <c r="CQ185" s="15"/>
      <c r="CR185" s="15"/>
      <c r="CS185" s="15"/>
      <c r="CT185" s="15"/>
      <c r="CU185" s="15"/>
      <c r="CV185" s="15"/>
      <c r="CW185" s="15"/>
      <c r="CX185" s="15"/>
      <c r="CY185" s="15"/>
      <c r="CZ185" s="15"/>
      <c r="DA185" s="15"/>
      <c r="DB185" s="15">
        <v>0</v>
      </c>
    </row>
    <row r="186" spans="1:116" x14ac:dyDescent="0.25">
      <c r="A186" t="s">
        <v>264</v>
      </c>
      <c r="B186" t="s">
        <v>265</v>
      </c>
      <c r="C186">
        <v>2022</v>
      </c>
      <c r="D186" s="16" t="s">
        <v>132</v>
      </c>
      <c r="E186">
        <v>0</v>
      </c>
      <c r="F186" s="15">
        <v>20</v>
      </c>
      <c r="G186" s="15"/>
      <c r="H186" s="15"/>
      <c r="I186" s="15">
        <v>61.05263157894737</v>
      </c>
      <c r="J186" s="15">
        <v>12.105263157894736</v>
      </c>
      <c r="K186" s="15"/>
      <c r="L186" s="15">
        <f>IF(Table2[[#This Row],[Lipids wt%]]+Table2[[#This Row],[Protein wt%]]+Table2[[#This Row],[Carbs wt%]] =0,"",SUM(Table2[[#This Row],[Lipids wt%]],Table2[[#This Row],[Protein wt%]],Table2[[#This Row],[Carbs wt%]]))</f>
        <v>93.15789473684211</v>
      </c>
      <c r="M186" s="15">
        <v>6.5</v>
      </c>
      <c r="P186">
        <v>5</v>
      </c>
      <c r="Z186" s="15"/>
      <c r="AA186" s="15"/>
      <c r="AB186" s="15"/>
      <c r="AC186" s="15"/>
      <c r="AD186" s="15"/>
      <c r="AE186" s="15"/>
      <c r="AF186" s="15"/>
      <c r="AG186" s="15">
        <v>0.03</v>
      </c>
      <c r="AH186" s="15"/>
      <c r="AI186" s="15"/>
      <c r="AJ186" s="15">
        <v>17</v>
      </c>
      <c r="AM186" s="13"/>
      <c r="AO186" s="15">
        <v>50</v>
      </c>
      <c r="AP186" s="15" t="e">
        <f>LN(25/Table2[[#This Row],[Temperature (C)]]/(1-SQRT((Table2[[#This Row],[Temperature (C)]]-5)/Table2[[#This Row],[Temperature (C)]])))/Table2[[#This Row],[b]]</f>
        <v>#DIV/0!</v>
      </c>
      <c r="AQ186" s="15">
        <f>IF(Table2[[#This Row],[b]]&lt;&gt;"",Table2[[#This Row],[T-5]], 0)</f>
        <v>0</v>
      </c>
      <c r="AT186" t="s">
        <v>503</v>
      </c>
      <c r="AU186">
        <v>250</v>
      </c>
      <c r="AV186" s="15"/>
      <c r="AW186" s="15">
        <v>40.176000000000002</v>
      </c>
      <c r="AX186" s="15"/>
      <c r="AY186" s="15"/>
      <c r="AZ186" s="15"/>
      <c r="BA186" s="15"/>
      <c r="BB186" s="15" t="str">
        <f>IF(OR(Table2[[#This Row],[Gas wt%]]&lt;&gt;"",Table2[[#This Row],[Loss]]&lt;&gt;""),Table2[[#This Row],[Gas wt%]]+Table2[[#This Row],[Loss]],"")</f>
        <v/>
      </c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  <c r="BY186" s="15"/>
      <c r="BZ186" s="15"/>
      <c r="CA186" s="15"/>
      <c r="CB186" s="15"/>
      <c r="CC186" s="15"/>
      <c r="CD186" s="15"/>
      <c r="CE186" s="15"/>
      <c r="CF186" s="15"/>
      <c r="CG186" s="15"/>
      <c r="CH186" s="15"/>
      <c r="CI186" s="15"/>
      <c r="CJ186" s="15"/>
      <c r="CK186" s="15"/>
      <c r="CL186" s="15"/>
      <c r="CM186" s="15"/>
      <c r="CN186" s="15"/>
      <c r="CO186" s="15"/>
      <c r="CP186" s="15"/>
      <c r="CQ186" s="15"/>
      <c r="CR186" s="15"/>
      <c r="CS186" s="15"/>
      <c r="CT186" s="15"/>
      <c r="CU186" s="15"/>
      <c r="CV186" s="15"/>
      <c r="CW186" s="15"/>
      <c r="CX186" s="15"/>
      <c r="CY186" s="15"/>
      <c r="CZ186" s="15"/>
      <c r="DA186" s="15"/>
      <c r="DB186" s="15">
        <v>0</v>
      </c>
    </row>
    <row r="187" spans="1:116" ht="15" customHeight="1" x14ac:dyDescent="0.25">
      <c r="A187" t="s">
        <v>264</v>
      </c>
      <c r="B187" t="s">
        <v>265</v>
      </c>
      <c r="C187">
        <v>2022</v>
      </c>
      <c r="D187" s="16" t="s">
        <v>132</v>
      </c>
      <c r="E187">
        <v>0</v>
      </c>
      <c r="F187" s="15">
        <v>20</v>
      </c>
      <c r="G187" s="15"/>
      <c r="H187" s="15"/>
      <c r="I187" s="15">
        <v>61.05263157894737</v>
      </c>
      <c r="J187" s="15">
        <v>12.105263157894736</v>
      </c>
      <c r="K187" s="15"/>
      <c r="L187" s="15">
        <f>IF(Table2[[#This Row],[Lipids wt%]]+Table2[[#This Row],[Protein wt%]]+Table2[[#This Row],[Carbs wt%]] =0,"",SUM(Table2[[#This Row],[Lipids wt%]],Table2[[#This Row],[Protein wt%]],Table2[[#This Row],[Carbs wt%]]))</f>
        <v>93.15789473684211</v>
      </c>
      <c r="M187" s="15">
        <v>6.5</v>
      </c>
      <c r="P187">
        <v>5</v>
      </c>
      <c r="Z187" s="15"/>
      <c r="AA187" s="15"/>
      <c r="AB187" s="15"/>
      <c r="AC187" s="15"/>
      <c r="AD187" s="15"/>
      <c r="AE187" s="15"/>
      <c r="AF187" s="15"/>
      <c r="AG187" s="15">
        <v>0.03</v>
      </c>
      <c r="AH187" s="15"/>
      <c r="AI187" s="15"/>
      <c r="AJ187" s="15">
        <v>13</v>
      </c>
      <c r="AM187" s="13"/>
      <c r="AO187" s="15">
        <v>15</v>
      </c>
      <c r="AP187" s="15" t="e">
        <f>LN(25/Table2[[#This Row],[Temperature (C)]]/(1-SQRT((Table2[[#This Row],[Temperature (C)]]-5)/Table2[[#This Row],[Temperature (C)]])))/Table2[[#This Row],[b]]</f>
        <v>#DIV/0!</v>
      </c>
      <c r="AQ187" s="15">
        <f>IF(Table2[[#This Row],[b]]&lt;&gt;"",Table2[[#This Row],[T-5]], 0)</f>
        <v>0</v>
      </c>
      <c r="AT187" t="s">
        <v>503</v>
      </c>
      <c r="AU187">
        <v>287</v>
      </c>
      <c r="AV187" s="15"/>
      <c r="AW187" s="15">
        <v>32.807000000000002</v>
      </c>
      <c r="AX187" s="15"/>
      <c r="AY187" s="15"/>
      <c r="AZ187" s="15"/>
      <c r="BA187" s="15"/>
      <c r="BB187" s="15" t="str">
        <f>IF(OR(Table2[[#This Row],[Gas wt%]]&lt;&gt;"",Table2[[#This Row],[Loss]]&lt;&gt;""),Table2[[#This Row],[Gas wt%]]+Table2[[#This Row],[Loss]],"")</f>
        <v/>
      </c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  <c r="BY187" s="15"/>
      <c r="BZ187" s="15"/>
      <c r="CA187" s="15"/>
      <c r="CB187" s="15"/>
      <c r="CC187" s="15"/>
      <c r="CD187" s="15"/>
      <c r="CE187" s="15"/>
      <c r="CF187" s="15"/>
      <c r="CG187" s="15"/>
      <c r="CH187" s="15"/>
      <c r="CI187" s="15"/>
      <c r="CJ187" s="15"/>
      <c r="CK187" s="15"/>
      <c r="CL187" s="15"/>
      <c r="CM187" s="15"/>
      <c r="CN187" s="15"/>
      <c r="CO187" s="15"/>
      <c r="CP187" s="15"/>
      <c r="CQ187" s="15"/>
      <c r="CR187" s="15"/>
      <c r="CS187" s="15"/>
      <c r="CT187" s="15"/>
      <c r="CU187" s="15"/>
      <c r="CV187" s="15"/>
      <c r="CW187" s="15"/>
      <c r="CX187" s="15"/>
      <c r="CY187" s="15"/>
      <c r="CZ187" s="15"/>
      <c r="DA187" s="15"/>
      <c r="DB187" s="15">
        <v>0</v>
      </c>
    </row>
    <row r="188" spans="1:116" x14ac:dyDescent="0.25">
      <c r="A188" t="s">
        <v>264</v>
      </c>
      <c r="B188" t="s">
        <v>265</v>
      </c>
      <c r="C188">
        <v>2022</v>
      </c>
      <c r="D188" s="16" t="s">
        <v>132</v>
      </c>
      <c r="E188">
        <v>0</v>
      </c>
      <c r="F188" s="15">
        <v>20</v>
      </c>
      <c r="G188" s="15"/>
      <c r="H188" s="15"/>
      <c r="I188" s="15">
        <v>61.05263157894737</v>
      </c>
      <c r="J188" s="15">
        <v>12.105263157894736</v>
      </c>
      <c r="K188" s="15"/>
      <c r="L188" s="15">
        <f>IF(Table2[[#This Row],[Lipids wt%]]+Table2[[#This Row],[Protein wt%]]+Table2[[#This Row],[Carbs wt%]] =0,"",SUM(Table2[[#This Row],[Lipids wt%]],Table2[[#This Row],[Protein wt%]],Table2[[#This Row],[Carbs wt%]]))</f>
        <v>93.15789473684211</v>
      </c>
      <c r="M188" s="15">
        <v>6.5</v>
      </c>
      <c r="P188">
        <v>5</v>
      </c>
      <c r="Z188" s="15"/>
      <c r="AA188" s="15"/>
      <c r="AB188" s="15"/>
      <c r="AC188" s="15"/>
      <c r="AD188" s="15"/>
      <c r="AE188" s="15"/>
      <c r="AF188" s="15"/>
      <c r="AG188" s="15">
        <v>0.03</v>
      </c>
      <c r="AH188" s="15"/>
      <c r="AI188" s="15"/>
      <c r="AJ188" s="15">
        <v>13</v>
      </c>
      <c r="AM188" s="13"/>
      <c r="AO188" s="15">
        <v>40</v>
      </c>
      <c r="AP188" s="15" t="e">
        <f>LN(25/Table2[[#This Row],[Temperature (C)]]/(1-SQRT((Table2[[#This Row],[Temperature (C)]]-5)/Table2[[#This Row],[Temperature (C)]])))/Table2[[#This Row],[b]]</f>
        <v>#DIV/0!</v>
      </c>
      <c r="AQ188" s="15">
        <f>IF(Table2[[#This Row],[b]]&lt;&gt;"",Table2[[#This Row],[T-5]], 0)</f>
        <v>0</v>
      </c>
      <c r="AT188" t="s">
        <v>503</v>
      </c>
      <c r="AU188">
        <v>287</v>
      </c>
      <c r="AV188" s="15"/>
      <c r="AW188" s="15">
        <v>49.345999999999997</v>
      </c>
      <c r="AX188" s="15"/>
      <c r="AY188" s="15"/>
      <c r="AZ188" s="15"/>
      <c r="BA188" s="15"/>
      <c r="BB188" s="15" t="str">
        <f>IF(OR(Table2[[#This Row],[Gas wt%]]&lt;&gt;"",Table2[[#This Row],[Loss]]&lt;&gt;""),Table2[[#This Row],[Gas wt%]]+Table2[[#This Row],[Loss]],"")</f>
        <v/>
      </c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  <c r="BY188" s="15"/>
      <c r="BZ188" s="15"/>
      <c r="CA188" s="15"/>
      <c r="CB188" s="15"/>
      <c r="CC188" s="15"/>
      <c r="CD188" s="15"/>
      <c r="CE188" s="15"/>
      <c r="CF188" s="15"/>
      <c r="CG188" s="15"/>
      <c r="CH188" s="15"/>
      <c r="CI188" s="15"/>
      <c r="CJ188" s="15"/>
      <c r="CK188" s="15"/>
      <c r="CL188" s="15"/>
      <c r="CM188" s="15"/>
      <c r="CN188" s="15"/>
      <c r="CO188" s="15"/>
      <c r="CP188" s="15"/>
      <c r="CQ188" s="15"/>
      <c r="CR188" s="15"/>
      <c r="CS188" s="15"/>
      <c r="CT188" s="15"/>
      <c r="CU188" s="15"/>
      <c r="CV188" s="15"/>
      <c r="CW188" s="15"/>
      <c r="CX188" s="15"/>
      <c r="CY188" s="15"/>
      <c r="CZ188" s="15"/>
      <c r="DA188" s="15"/>
      <c r="DB188" s="15">
        <v>0</v>
      </c>
    </row>
    <row r="189" spans="1:116" x14ac:dyDescent="0.25">
      <c r="A189" t="s">
        <v>264</v>
      </c>
      <c r="B189" t="s">
        <v>265</v>
      </c>
      <c r="C189">
        <v>2022</v>
      </c>
      <c r="D189" s="16" t="s">
        <v>132</v>
      </c>
      <c r="E189">
        <v>0</v>
      </c>
      <c r="F189" s="15">
        <v>20</v>
      </c>
      <c r="G189" s="15"/>
      <c r="H189" s="15"/>
      <c r="I189" s="15">
        <v>61.05263157894737</v>
      </c>
      <c r="J189" s="15">
        <v>12.105263157894736</v>
      </c>
      <c r="K189" s="15"/>
      <c r="L189" s="15">
        <f>IF(Table2[[#This Row],[Lipids wt%]]+Table2[[#This Row],[Protein wt%]]+Table2[[#This Row],[Carbs wt%]] =0,"",SUM(Table2[[#This Row],[Lipids wt%]],Table2[[#This Row],[Protein wt%]],Table2[[#This Row],[Carbs wt%]]))</f>
        <v>93.15789473684211</v>
      </c>
      <c r="M189" s="15">
        <v>6.5</v>
      </c>
      <c r="P189">
        <v>5</v>
      </c>
      <c r="Z189" s="15"/>
      <c r="AA189" s="15"/>
      <c r="AB189" s="15"/>
      <c r="AC189" s="15"/>
      <c r="AD189" s="15"/>
      <c r="AE189" s="15"/>
      <c r="AF189" s="15"/>
      <c r="AG189" s="15">
        <v>0.03</v>
      </c>
      <c r="AH189" s="15"/>
      <c r="AI189" s="15"/>
      <c r="AJ189" s="15">
        <v>20</v>
      </c>
      <c r="AM189" s="13"/>
      <c r="AO189" s="15">
        <v>40</v>
      </c>
      <c r="AP189" s="15" t="e">
        <f>LN(25/Table2[[#This Row],[Temperature (C)]]/(1-SQRT((Table2[[#This Row],[Temperature (C)]]-5)/Table2[[#This Row],[Temperature (C)]])))/Table2[[#This Row],[b]]</f>
        <v>#DIV/0!</v>
      </c>
      <c r="AQ189" s="15">
        <f>IF(Table2[[#This Row],[b]]&lt;&gt;"",Table2[[#This Row],[T-5]], 0)</f>
        <v>0</v>
      </c>
      <c r="AT189" t="s">
        <v>503</v>
      </c>
      <c r="AU189">
        <v>287</v>
      </c>
      <c r="AV189" s="15"/>
      <c r="AW189" s="15">
        <v>51.960999999999999</v>
      </c>
      <c r="AX189" s="15"/>
      <c r="AY189" s="15"/>
      <c r="AZ189" s="15"/>
      <c r="BA189" s="15"/>
      <c r="BB189" s="15" t="str">
        <f>IF(OR(Table2[[#This Row],[Gas wt%]]&lt;&gt;"",Table2[[#This Row],[Loss]]&lt;&gt;""),Table2[[#This Row],[Gas wt%]]+Table2[[#This Row],[Loss]],"")</f>
        <v/>
      </c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  <c r="BY189" s="15"/>
      <c r="BZ189" s="15"/>
      <c r="CA189" s="15"/>
      <c r="CB189" s="15"/>
      <c r="CC189" s="15"/>
      <c r="CD189" s="15"/>
      <c r="CE189" s="15"/>
      <c r="CF189" s="15"/>
      <c r="CG189" s="15"/>
      <c r="CH189" s="15"/>
      <c r="CI189" s="15"/>
      <c r="CJ189" s="15"/>
      <c r="CK189" s="15"/>
      <c r="CL189" s="15"/>
      <c r="CM189" s="15"/>
      <c r="CN189" s="15"/>
      <c r="CO189" s="15"/>
      <c r="CP189" s="15"/>
      <c r="CQ189" s="15"/>
      <c r="CR189" s="15"/>
      <c r="CS189" s="15"/>
      <c r="CT189" s="15"/>
      <c r="CU189" s="15"/>
      <c r="CV189" s="15"/>
      <c r="CW189" s="15"/>
      <c r="CX189" s="15"/>
      <c r="CY189" s="15"/>
      <c r="CZ189" s="15"/>
      <c r="DA189" s="15"/>
      <c r="DB189" s="15">
        <v>0</v>
      </c>
    </row>
    <row r="190" spans="1:116" x14ac:dyDescent="0.25">
      <c r="A190" t="s">
        <v>264</v>
      </c>
      <c r="B190" t="s">
        <v>265</v>
      </c>
      <c r="C190">
        <v>2022</v>
      </c>
      <c r="D190" s="16" t="s">
        <v>132</v>
      </c>
      <c r="E190">
        <v>0</v>
      </c>
      <c r="F190" s="15">
        <v>20</v>
      </c>
      <c r="G190" s="15"/>
      <c r="H190" s="15"/>
      <c r="I190" s="15">
        <v>61.05263157894737</v>
      </c>
      <c r="J190" s="15">
        <v>12.105263157894736</v>
      </c>
      <c r="K190" s="15"/>
      <c r="L190" s="15">
        <f>IF(Table2[[#This Row],[Lipids wt%]]+Table2[[#This Row],[Protein wt%]]+Table2[[#This Row],[Carbs wt%]] =0,"",SUM(Table2[[#This Row],[Lipids wt%]],Table2[[#This Row],[Protein wt%]],Table2[[#This Row],[Carbs wt%]]))</f>
        <v>93.15789473684211</v>
      </c>
      <c r="M190" s="15">
        <v>6.5</v>
      </c>
      <c r="P190">
        <v>5</v>
      </c>
      <c r="Z190" s="15"/>
      <c r="AA190" s="15"/>
      <c r="AB190" s="15"/>
      <c r="AC190" s="15"/>
      <c r="AD190" s="15"/>
      <c r="AE190" s="15"/>
      <c r="AF190" s="15"/>
      <c r="AG190" s="15">
        <v>0.03</v>
      </c>
      <c r="AH190" s="15"/>
      <c r="AI190" s="15"/>
      <c r="AJ190" s="15">
        <v>7.0000000000000009</v>
      </c>
      <c r="AM190" s="13"/>
      <c r="AO190" s="15">
        <v>40</v>
      </c>
      <c r="AP190" s="15" t="e">
        <f>LN(25/Table2[[#This Row],[Temperature (C)]]/(1-SQRT((Table2[[#This Row],[Temperature (C)]]-5)/Table2[[#This Row],[Temperature (C)]])))/Table2[[#This Row],[b]]</f>
        <v>#DIV/0!</v>
      </c>
      <c r="AQ190" s="15">
        <f>IF(Table2[[#This Row],[b]]&lt;&gt;"",Table2[[#This Row],[T-5]], 0)</f>
        <v>0</v>
      </c>
      <c r="AT190" t="s">
        <v>503</v>
      </c>
      <c r="AU190">
        <v>287</v>
      </c>
      <c r="AV190" s="15"/>
      <c r="AW190" s="15">
        <v>56.213999999999999</v>
      </c>
      <c r="AX190" s="15"/>
      <c r="AY190" s="15"/>
      <c r="AZ190" s="15"/>
      <c r="BA190" s="15"/>
      <c r="BB190" s="15" t="str">
        <f>IF(OR(Table2[[#This Row],[Gas wt%]]&lt;&gt;"",Table2[[#This Row],[Loss]]&lt;&gt;""),Table2[[#This Row],[Gas wt%]]+Table2[[#This Row],[Loss]],"")</f>
        <v/>
      </c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  <c r="BY190" s="15"/>
      <c r="BZ190" s="15"/>
      <c r="CA190" s="15"/>
      <c r="CB190" s="15"/>
      <c r="CC190" s="15"/>
      <c r="CD190" s="15"/>
      <c r="CE190" s="15"/>
      <c r="CF190" s="15"/>
      <c r="CG190" s="15"/>
      <c r="CH190" s="15"/>
      <c r="CI190" s="15"/>
      <c r="CJ190" s="15"/>
      <c r="CK190" s="15"/>
      <c r="CL190" s="15"/>
      <c r="CM190" s="15"/>
      <c r="CN190" s="15"/>
      <c r="CO190" s="15"/>
      <c r="CP190" s="15"/>
      <c r="CQ190" s="15"/>
      <c r="CR190" s="15"/>
      <c r="CS190" s="15"/>
      <c r="CT190" s="15"/>
      <c r="CU190" s="15"/>
      <c r="CV190" s="15"/>
      <c r="CW190" s="15"/>
      <c r="CX190" s="15"/>
      <c r="CY190" s="15"/>
      <c r="CZ190" s="15"/>
      <c r="DA190" s="15"/>
      <c r="DB190" s="15">
        <v>0</v>
      </c>
    </row>
    <row r="191" spans="1:116" x14ac:dyDescent="0.25">
      <c r="A191" t="s">
        <v>264</v>
      </c>
      <c r="B191" t="s">
        <v>265</v>
      </c>
      <c r="C191">
        <v>2022</v>
      </c>
      <c r="D191" s="16" t="s">
        <v>132</v>
      </c>
      <c r="E191">
        <v>0</v>
      </c>
      <c r="F191" s="15">
        <v>20</v>
      </c>
      <c r="G191" s="15"/>
      <c r="H191" s="15"/>
      <c r="I191" s="15">
        <v>61.05263157894737</v>
      </c>
      <c r="J191" s="15">
        <v>12.105263157894736</v>
      </c>
      <c r="K191" s="15"/>
      <c r="L191" s="15">
        <f>IF(Table2[[#This Row],[Lipids wt%]]+Table2[[#This Row],[Protein wt%]]+Table2[[#This Row],[Carbs wt%]] =0,"",SUM(Table2[[#This Row],[Lipids wt%]],Table2[[#This Row],[Protein wt%]],Table2[[#This Row],[Carbs wt%]]))</f>
        <v>93.15789473684211</v>
      </c>
      <c r="M191" s="15">
        <v>6.5</v>
      </c>
      <c r="P191">
        <v>5</v>
      </c>
      <c r="Z191" s="15"/>
      <c r="AA191" s="15"/>
      <c r="AB191" s="15"/>
      <c r="AC191" s="15"/>
      <c r="AD191" s="15"/>
      <c r="AE191" s="15"/>
      <c r="AF191" s="15"/>
      <c r="AG191" s="15">
        <v>0.03</v>
      </c>
      <c r="AH191" s="15"/>
      <c r="AI191" s="15"/>
      <c r="AJ191" s="15">
        <v>13</v>
      </c>
      <c r="AM191" s="13"/>
      <c r="AO191" s="15">
        <v>40</v>
      </c>
      <c r="AP191" s="15" t="e">
        <f>LN(25/Table2[[#This Row],[Temperature (C)]]/(1-SQRT((Table2[[#This Row],[Temperature (C)]]-5)/Table2[[#This Row],[Temperature (C)]])))/Table2[[#This Row],[b]]</f>
        <v>#DIV/0!</v>
      </c>
      <c r="AQ191" s="15">
        <f>IF(Table2[[#This Row],[b]]&lt;&gt;"",Table2[[#This Row],[T-5]], 0)</f>
        <v>0</v>
      </c>
      <c r="AT191" t="s">
        <v>503</v>
      </c>
      <c r="AU191">
        <v>287</v>
      </c>
      <c r="AV191" s="15"/>
      <c r="AW191" s="15">
        <v>47.73</v>
      </c>
      <c r="AX191" s="15"/>
      <c r="AY191" s="15"/>
      <c r="AZ191" s="15"/>
      <c r="BA191" s="15"/>
      <c r="BB191" s="15" t="str">
        <f>IF(OR(Table2[[#This Row],[Gas wt%]]&lt;&gt;"",Table2[[#This Row],[Loss]]&lt;&gt;""),Table2[[#This Row],[Gas wt%]]+Table2[[#This Row],[Loss]],"")</f>
        <v/>
      </c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  <c r="BY191" s="15"/>
      <c r="BZ191" s="15"/>
      <c r="CA191" s="15"/>
      <c r="CB191" s="15"/>
      <c r="CC191" s="15"/>
      <c r="CD191" s="15"/>
      <c r="CE191" s="15"/>
      <c r="CF191" s="15"/>
      <c r="CG191" s="15"/>
      <c r="CH191" s="15"/>
      <c r="CI191" s="15"/>
      <c r="CJ191" s="15"/>
      <c r="CK191" s="15"/>
      <c r="CL191" s="15"/>
      <c r="CM191" s="15"/>
      <c r="CN191" s="15"/>
      <c r="CO191" s="15"/>
      <c r="CP191" s="15"/>
      <c r="CQ191" s="15"/>
      <c r="CR191" s="15"/>
      <c r="CS191" s="15"/>
      <c r="CT191" s="15"/>
      <c r="CU191" s="15"/>
      <c r="CV191" s="15"/>
      <c r="CW191" s="15"/>
      <c r="CX191" s="15"/>
      <c r="CY191" s="15"/>
      <c r="CZ191" s="15"/>
      <c r="DA191" s="15"/>
      <c r="DB191" s="15">
        <v>0</v>
      </c>
    </row>
    <row r="192" spans="1:116" x14ac:dyDescent="0.25">
      <c r="A192" t="s">
        <v>264</v>
      </c>
      <c r="B192" t="s">
        <v>265</v>
      </c>
      <c r="C192">
        <v>2022</v>
      </c>
      <c r="D192" s="16" t="s">
        <v>132</v>
      </c>
      <c r="E192">
        <v>0</v>
      </c>
      <c r="F192" s="15">
        <v>20</v>
      </c>
      <c r="G192" s="15"/>
      <c r="H192" s="15"/>
      <c r="I192" s="15">
        <v>61.05263157894737</v>
      </c>
      <c r="J192" s="15">
        <v>12.105263157894736</v>
      </c>
      <c r="K192" s="15"/>
      <c r="L192" s="15">
        <f>IF(Table2[[#This Row],[Lipids wt%]]+Table2[[#This Row],[Protein wt%]]+Table2[[#This Row],[Carbs wt%]] =0,"",SUM(Table2[[#This Row],[Lipids wt%]],Table2[[#This Row],[Protein wt%]],Table2[[#This Row],[Carbs wt%]]))</f>
        <v>93.15789473684211</v>
      </c>
      <c r="M192" s="15">
        <v>6.5</v>
      </c>
      <c r="P192">
        <v>5</v>
      </c>
      <c r="Z192" s="15"/>
      <c r="AA192" s="15"/>
      <c r="AB192" s="15"/>
      <c r="AC192" s="15"/>
      <c r="AD192" s="15"/>
      <c r="AE192" s="15"/>
      <c r="AF192" s="15"/>
      <c r="AG192" s="15">
        <v>0.03</v>
      </c>
      <c r="AH192" s="15"/>
      <c r="AI192" s="15"/>
      <c r="AJ192" s="15">
        <v>13</v>
      </c>
      <c r="AM192" s="13"/>
      <c r="AO192" s="15">
        <v>40</v>
      </c>
      <c r="AP192" s="15" t="e">
        <f>LN(25/Table2[[#This Row],[Temperature (C)]]/(1-SQRT((Table2[[#This Row],[Temperature (C)]]-5)/Table2[[#This Row],[Temperature (C)]])))/Table2[[#This Row],[b]]</f>
        <v>#DIV/0!</v>
      </c>
      <c r="AQ192" s="15">
        <f>IF(Table2[[#This Row],[b]]&lt;&gt;"",Table2[[#This Row],[T-5]], 0)</f>
        <v>0</v>
      </c>
      <c r="AT192" t="s">
        <v>503</v>
      </c>
      <c r="AU192">
        <v>287</v>
      </c>
      <c r="AV192" s="15"/>
      <c r="AW192" s="15">
        <v>46.9</v>
      </c>
      <c r="AX192" s="15"/>
      <c r="AY192" s="15"/>
      <c r="AZ192" s="15"/>
      <c r="BA192" s="15"/>
      <c r="BB192" s="15" t="str">
        <f>IF(OR(Table2[[#This Row],[Gas wt%]]&lt;&gt;"",Table2[[#This Row],[Loss]]&lt;&gt;""),Table2[[#This Row],[Gas wt%]]+Table2[[#This Row],[Loss]],"")</f>
        <v/>
      </c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/>
      <c r="BT192" s="15"/>
      <c r="BU192" s="15"/>
      <c r="BV192" s="15"/>
      <c r="BW192" s="15"/>
      <c r="BX192" s="15"/>
      <c r="BY192" s="15"/>
      <c r="BZ192" s="15"/>
      <c r="CA192" s="15"/>
      <c r="CB192" s="15"/>
      <c r="CC192" s="15"/>
      <c r="CD192" s="15"/>
      <c r="CE192" s="15"/>
      <c r="CF192" s="15"/>
      <c r="CG192" s="15"/>
      <c r="CH192" s="15"/>
      <c r="CI192" s="15"/>
      <c r="CJ192" s="15"/>
      <c r="CK192" s="15"/>
      <c r="CL192" s="15"/>
      <c r="CM192" s="15"/>
      <c r="CN192" s="15"/>
      <c r="CO192" s="15"/>
      <c r="CP192" s="15"/>
      <c r="CQ192" s="15"/>
      <c r="CR192" s="15"/>
      <c r="CS192" s="15"/>
      <c r="CT192" s="15"/>
      <c r="CU192" s="15"/>
      <c r="CV192" s="15"/>
      <c r="CW192" s="15"/>
      <c r="CX192" s="15"/>
      <c r="CY192" s="15"/>
      <c r="CZ192" s="15"/>
      <c r="DA192" s="15"/>
      <c r="DB192" s="15">
        <v>0</v>
      </c>
    </row>
    <row r="193" spans="1:106" ht="15.75" customHeight="1" x14ac:dyDescent="0.25">
      <c r="A193" t="s">
        <v>264</v>
      </c>
      <c r="B193" t="s">
        <v>265</v>
      </c>
      <c r="C193">
        <v>2022</v>
      </c>
      <c r="D193" s="16" t="s">
        <v>132</v>
      </c>
      <c r="E193">
        <v>0</v>
      </c>
      <c r="F193" s="15">
        <v>20</v>
      </c>
      <c r="G193" s="15"/>
      <c r="H193" s="15"/>
      <c r="I193" s="15">
        <v>61.05263157894737</v>
      </c>
      <c r="J193" s="15">
        <v>12.105263157894736</v>
      </c>
      <c r="K193" s="15"/>
      <c r="L193" s="15">
        <f>IF(Table2[[#This Row],[Lipids wt%]]+Table2[[#This Row],[Protein wt%]]+Table2[[#This Row],[Carbs wt%]] =0,"",SUM(Table2[[#This Row],[Lipids wt%]],Table2[[#This Row],[Protein wt%]],Table2[[#This Row],[Carbs wt%]]))</f>
        <v>93.15789473684211</v>
      </c>
      <c r="M193" s="15">
        <v>6.5</v>
      </c>
      <c r="P193">
        <v>5</v>
      </c>
      <c r="Z193" s="15"/>
      <c r="AA193" s="15"/>
      <c r="AB193" s="15"/>
      <c r="AC193" s="15"/>
      <c r="AD193" s="15"/>
      <c r="AE193" s="15"/>
      <c r="AF193" s="15"/>
      <c r="AG193" s="15">
        <v>0.03</v>
      </c>
      <c r="AH193" s="15"/>
      <c r="AI193" s="15"/>
      <c r="AJ193" s="15">
        <v>13</v>
      </c>
      <c r="AM193" s="13"/>
      <c r="AO193" s="15">
        <v>60</v>
      </c>
      <c r="AP193" s="15" t="e">
        <f>LN(25/Table2[[#This Row],[Temperature (C)]]/(1-SQRT((Table2[[#This Row],[Temperature (C)]]-5)/Table2[[#This Row],[Temperature (C)]])))/Table2[[#This Row],[b]]</f>
        <v>#DIV/0!</v>
      </c>
      <c r="AQ193" s="15">
        <f>IF(Table2[[#This Row],[b]]&lt;&gt;"",Table2[[#This Row],[T-5]], 0)</f>
        <v>0</v>
      </c>
      <c r="AT193" t="s">
        <v>503</v>
      </c>
      <c r="AU193">
        <v>287</v>
      </c>
      <c r="AV193" s="15"/>
      <c r="AW193" s="15">
        <v>43.274999999999999</v>
      </c>
      <c r="AX193" s="15"/>
      <c r="AY193" s="15"/>
      <c r="AZ193" s="15"/>
      <c r="BA193" s="15"/>
      <c r="BB193" s="15" t="str">
        <f>IF(OR(Table2[[#This Row],[Gas wt%]]&lt;&gt;"",Table2[[#This Row],[Loss]]&lt;&gt;""),Table2[[#This Row],[Gas wt%]]+Table2[[#This Row],[Loss]],"")</f>
        <v/>
      </c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  <c r="BX193" s="15"/>
      <c r="BY193" s="15"/>
      <c r="BZ193" s="15"/>
      <c r="CA193" s="15"/>
      <c r="CB193" s="15"/>
      <c r="CC193" s="15"/>
      <c r="CD193" s="15"/>
      <c r="CE193" s="15"/>
      <c r="CF193" s="15"/>
      <c r="CG193" s="15"/>
      <c r="CH193" s="15"/>
      <c r="CI193" s="15"/>
      <c r="CJ193" s="15"/>
      <c r="CK193" s="15"/>
      <c r="CL193" s="15"/>
      <c r="CM193" s="15"/>
      <c r="CN193" s="15"/>
      <c r="CO193" s="15"/>
      <c r="CP193" s="15"/>
      <c r="CQ193" s="15"/>
      <c r="CR193" s="15"/>
      <c r="CS193" s="15"/>
      <c r="CT193" s="15"/>
      <c r="CU193" s="15"/>
      <c r="CV193" s="15"/>
      <c r="CW193" s="15"/>
      <c r="CX193" s="15"/>
      <c r="CY193" s="15"/>
      <c r="CZ193" s="15"/>
      <c r="DA193" s="15"/>
      <c r="DB193" s="15">
        <v>0</v>
      </c>
    </row>
    <row r="194" spans="1:106" x14ac:dyDescent="0.25">
      <c r="A194" t="s">
        <v>264</v>
      </c>
      <c r="B194" t="s">
        <v>265</v>
      </c>
      <c r="C194">
        <v>2022</v>
      </c>
      <c r="D194" s="16" t="s">
        <v>132</v>
      </c>
      <c r="E194">
        <v>0</v>
      </c>
      <c r="F194" s="15">
        <v>20</v>
      </c>
      <c r="G194" s="15"/>
      <c r="H194" s="15"/>
      <c r="I194" s="15">
        <v>61.05263157894737</v>
      </c>
      <c r="J194" s="15">
        <v>12.105263157894736</v>
      </c>
      <c r="K194" s="15"/>
      <c r="L194" s="15">
        <f>IF(Table2[[#This Row],[Lipids wt%]]+Table2[[#This Row],[Protein wt%]]+Table2[[#This Row],[Carbs wt%]] =0,"",SUM(Table2[[#This Row],[Lipids wt%]],Table2[[#This Row],[Protein wt%]],Table2[[#This Row],[Carbs wt%]]))</f>
        <v>93.15789473684211</v>
      </c>
      <c r="M194" s="15">
        <v>6.5</v>
      </c>
      <c r="P194">
        <v>5</v>
      </c>
      <c r="Z194" s="15"/>
      <c r="AA194" s="15"/>
      <c r="AB194" s="15"/>
      <c r="AC194" s="15"/>
      <c r="AD194" s="15"/>
      <c r="AE194" s="15"/>
      <c r="AF194" s="15"/>
      <c r="AG194" s="15">
        <v>0.03</v>
      </c>
      <c r="AH194" s="15"/>
      <c r="AI194" s="15"/>
      <c r="AJ194" s="15">
        <v>9</v>
      </c>
      <c r="AM194" s="13"/>
      <c r="AO194" s="15">
        <v>25</v>
      </c>
      <c r="AP194" s="15" t="e">
        <f>LN(25/Table2[[#This Row],[Temperature (C)]]/(1-SQRT((Table2[[#This Row],[Temperature (C)]]-5)/Table2[[#This Row],[Temperature (C)]])))/Table2[[#This Row],[b]]</f>
        <v>#DIV/0!</v>
      </c>
      <c r="AQ194" s="15">
        <f>IF(Table2[[#This Row],[b]]&lt;&gt;"",Table2[[#This Row],[T-5]], 0)</f>
        <v>0</v>
      </c>
      <c r="AT194" t="s">
        <v>503</v>
      </c>
      <c r="AU194">
        <v>325</v>
      </c>
      <c r="AV194" s="15"/>
      <c r="AW194" s="15">
        <v>42.222999999999999</v>
      </c>
      <c r="AX194" s="15"/>
      <c r="AY194" s="15"/>
      <c r="AZ194" s="15"/>
      <c r="BA194" s="15"/>
      <c r="BB194" s="15" t="str">
        <f>IF(OR(Table2[[#This Row],[Gas wt%]]&lt;&gt;"",Table2[[#This Row],[Loss]]&lt;&gt;""),Table2[[#This Row],[Gas wt%]]+Table2[[#This Row],[Loss]],"")</f>
        <v/>
      </c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/>
      <c r="BT194" s="15"/>
      <c r="BU194" s="15"/>
      <c r="BV194" s="15"/>
      <c r="BW194" s="15"/>
      <c r="BX194" s="15"/>
      <c r="BY194" s="15"/>
      <c r="BZ194" s="15"/>
      <c r="CA194" s="15"/>
      <c r="CB194" s="15"/>
      <c r="CC194" s="15"/>
      <c r="CD194" s="15"/>
      <c r="CE194" s="15"/>
      <c r="CF194" s="15"/>
      <c r="CG194" s="15"/>
      <c r="CH194" s="15"/>
      <c r="CI194" s="15"/>
      <c r="CJ194" s="15"/>
      <c r="CK194" s="15"/>
      <c r="CL194" s="15"/>
      <c r="CM194" s="15"/>
      <c r="CN194" s="15"/>
      <c r="CO194" s="15"/>
      <c r="CP194" s="15"/>
      <c r="CQ194" s="15"/>
      <c r="CR194" s="15"/>
      <c r="CS194" s="15"/>
      <c r="CT194" s="15"/>
      <c r="CU194" s="15"/>
      <c r="CV194" s="15"/>
      <c r="CW194" s="15"/>
      <c r="CX194" s="15"/>
      <c r="CY194" s="15"/>
      <c r="CZ194" s="15"/>
      <c r="DA194" s="15"/>
      <c r="DB194" s="15">
        <v>0</v>
      </c>
    </row>
    <row r="195" spans="1:106" x14ac:dyDescent="0.25">
      <c r="A195" t="s">
        <v>264</v>
      </c>
      <c r="B195" t="s">
        <v>265</v>
      </c>
      <c r="C195">
        <v>2022</v>
      </c>
      <c r="D195" s="16" t="s">
        <v>132</v>
      </c>
      <c r="E195">
        <v>0</v>
      </c>
      <c r="F195" s="15">
        <v>20</v>
      </c>
      <c r="G195" s="15"/>
      <c r="H195" s="15"/>
      <c r="I195" s="15">
        <v>61.05263157894737</v>
      </c>
      <c r="J195" s="15">
        <v>12.105263157894736</v>
      </c>
      <c r="K195" s="15"/>
      <c r="L195" s="15">
        <f>IF(Table2[[#This Row],[Lipids wt%]]+Table2[[#This Row],[Protein wt%]]+Table2[[#This Row],[Carbs wt%]] =0,"",SUM(Table2[[#This Row],[Lipids wt%]],Table2[[#This Row],[Protein wt%]],Table2[[#This Row],[Carbs wt%]]))</f>
        <v>93.15789473684211</v>
      </c>
      <c r="M195" s="15">
        <v>6.5</v>
      </c>
      <c r="P195">
        <v>5</v>
      </c>
      <c r="Z195" s="15"/>
      <c r="AA195" s="15"/>
      <c r="AB195" s="15"/>
      <c r="AC195" s="15"/>
      <c r="AD195" s="15"/>
      <c r="AE195" s="15"/>
      <c r="AF195" s="15"/>
      <c r="AG195" s="15">
        <v>0.03</v>
      </c>
      <c r="AH195" s="15"/>
      <c r="AI195" s="15"/>
      <c r="AJ195" s="15">
        <v>17</v>
      </c>
      <c r="AM195" s="13"/>
      <c r="AO195" s="15">
        <v>25</v>
      </c>
      <c r="AP195" s="15" t="e">
        <f>LN(25/Table2[[#This Row],[Temperature (C)]]/(1-SQRT((Table2[[#This Row],[Temperature (C)]]-5)/Table2[[#This Row],[Temperature (C)]])))/Table2[[#This Row],[b]]</f>
        <v>#DIV/0!</v>
      </c>
      <c r="AQ195" s="15">
        <f>IF(Table2[[#This Row],[b]]&lt;&gt;"",Table2[[#This Row],[T-5]], 0)</f>
        <v>0</v>
      </c>
      <c r="AT195" t="s">
        <v>503</v>
      </c>
      <c r="AU195">
        <v>325</v>
      </c>
      <c r="AV195" s="15"/>
      <c r="AW195" s="15">
        <v>40.734999999999999</v>
      </c>
      <c r="AX195" s="15"/>
      <c r="AY195" s="15"/>
      <c r="AZ195" s="15"/>
      <c r="BA195" s="15"/>
      <c r="BB195" s="15" t="str">
        <f>IF(OR(Table2[[#This Row],[Gas wt%]]&lt;&gt;"",Table2[[#This Row],[Loss]]&lt;&gt;""),Table2[[#This Row],[Gas wt%]]+Table2[[#This Row],[Loss]],"")</f>
        <v/>
      </c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  <c r="BY195" s="15"/>
      <c r="BZ195" s="15"/>
      <c r="CA195" s="15"/>
      <c r="CB195" s="15"/>
      <c r="CC195" s="15"/>
      <c r="CD195" s="15"/>
      <c r="CE195" s="15"/>
      <c r="CF195" s="15"/>
      <c r="CG195" s="15"/>
      <c r="CH195" s="15"/>
      <c r="CI195" s="15"/>
      <c r="CJ195" s="15"/>
      <c r="CK195" s="15"/>
      <c r="CL195" s="15"/>
      <c r="CM195" s="15"/>
      <c r="CN195" s="15"/>
      <c r="CO195" s="15"/>
      <c r="CP195" s="15"/>
      <c r="CQ195" s="15"/>
      <c r="CR195" s="15"/>
      <c r="CS195" s="15"/>
      <c r="CT195" s="15"/>
      <c r="CU195" s="15"/>
      <c r="CV195" s="15"/>
      <c r="CW195" s="15"/>
      <c r="CX195" s="15"/>
      <c r="CY195" s="15"/>
      <c r="CZ195" s="15"/>
      <c r="DA195" s="15"/>
      <c r="DB195" s="15">
        <v>0</v>
      </c>
    </row>
    <row r="196" spans="1:106" x14ac:dyDescent="0.25">
      <c r="A196" t="s">
        <v>264</v>
      </c>
      <c r="B196" t="s">
        <v>265</v>
      </c>
      <c r="C196">
        <v>2022</v>
      </c>
      <c r="D196" s="16" t="s">
        <v>132</v>
      </c>
      <c r="E196">
        <v>0</v>
      </c>
      <c r="F196" s="15">
        <v>20</v>
      </c>
      <c r="G196" s="15"/>
      <c r="H196" s="15"/>
      <c r="I196" s="15">
        <v>61.05263157894737</v>
      </c>
      <c r="J196" s="15">
        <v>12.105263157894736</v>
      </c>
      <c r="K196" s="15"/>
      <c r="L196" s="15">
        <f>IF(Table2[[#This Row],[Lipids wt%]]+Table2[[#This Row],[Protein wt%]]+Table2[[#This Row],[Carbs wt%]] =0,"",SUM(Table2[[#This Row],[Lipids wt%]],Table2[[#This Row],[Protein wt%]],Table2[[#This Row],[Carbs wt%]]))</f>
        <v>93.15789473684211</v>
      </c>
      <c r="M196" s="15">
        <v>6.5</v>
      </c>
      <c r="P196">
        <v>5</v>
      </c>
      <c r="Z196" s="15"/>
      <c r="AA196" s="15"/>
      <c r="AB196" s="15"/>
      <c r="AC196" s="15"/>
      <c r="AD196" s="15"/>
      <c r="AE196" s="15"/>
      <c r="AF196" s="15"/>
      <c r="AG196" s="15">
        <v>0.03</v>
      </c>
      <c r="AH196" s="15"/>
      <c r="AI196" s="15"/>
      <c r="AJ196" s="15">
        <v>9</v>
      </c>
      <c r="AM196" s="13"/>
      <c r="AO196" s="15">
        <v>50</v>
      </c>
      <c r="AP196" s="15" t="e">
        <f>LN(25/Table2[[#This Row],[Temperature (C)]]/(1-SQRT((Table2[[#This Row],[Temperature (C)]]-5)/Table2[[#This Row],[Temperature (C)]])))/Table2[[#This Row],[b]]</f>
        <v>#DIV/0!</v>
      </c>
      <c r="AQ196" s="15">
        <f>IF(Table2[[#This Row],[b]]&lt;&gt;"",Table2[[#This Row],[T-5]], 0)</f>
        <v>0</v>
      </c>
      <c r="AT196" t="s">
        <v>503</v>
      </c>
      <c r="AU196">
        <v>325</v>
      </c>
      <c r="AV196" s="15"/>
      <c r="AW196" s="15">
        <v>47.055</v>
      </c>
      <c r="AX196" s="15"/>
      <c r="AY196" s="15"/>
      <c r="AZ196" s="15"/>
      <c r="BA196" s="15"/>
      <c r="BB196" s="15" t="str">
        <f>IF(OR(Table2[[#This Row],[Gas wt%]]&lt;&gt;"",Table2[[#This Row],[Loss]]&lt;&gt;""),Table2[[#This Row],[Gas wt%]]+Table2[[#This Row],[Loss]],"")</f>
        <v/>
      </c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  <c r="BY196" s="15"/>
      <c r="BZ196" s="15"/>
      <c r="CA196" s="15"/>
      <c r="CB196" s="15"/>
      <c r="CC196" s="15"/>
      <c r="CD196" s="15"/>
      <c r="CE196" s="15"/>
      <c r="CF196" s="15"/>
      <c r="CG196" s="15"/>
      <c r="CH196" s="15"/>
      <c r="CI196" s="15"/>
      <c r="CJ196" s="15"/>
      <c r="CK196" s="15"/>
      <c r="CL196" s="15"/>
      <c r="CM196" s="15"/>
      <c r="CN196" s="15"/>
      <c r="CO196" s="15"/>
      <c r="CP196" s="15"/>
      <c r="CQ196" s="15"/>
      <c r="CR196" s="15"/>
      <c r="CS196" s="15"/>
      <c r="CT196" s="15"/>
      <c r="CU196" s="15"/>
      <c r="CV196" s="15"/>
      <c r="CW196" s="15"/>
      <c r="CX196" s="15"/>
      <c r="CY196" s="15"/>
      <c r="CZ196" s="15"/>
      <c r="DA196" s="15"/>
      <c r="DB196" s="15">
        <v>0</v>
      </c>
    </row>
    <row r="197" spans="1:106" x14ac:dyDescent="0.25">
      <c r="A197" t="s">
        <v>264</v>
      </c>
      <c r="B197" t="s">
        <v>265</v>
      </c>
      <c r="C197">
        <v>2022</v>
      </c>
      <c r="D197" s="16" t="s">
        <v>132</v>
      </c>
      <c r="E197">
        <v>0</v>
      </c>
      <c r="F197" s="15">
        <v>20</v>
      </c>
      <c r="G197" s="15"/>
      <c r="H197" s="15"/>
      <c r="I197" s="15">
        <v>61.05263157894737</v>
      </c>
      <c r="J197" s="15">
        <v>12.105263157894736</v>
      </c>
      <c r="K197" s="15"/>
      <c r="L197" s="15">
        <f>IF(Table2[[#This Row],[Lipids wt%]]+Table2[[#This Row],[Protein wt%]]+Table2[[#This Row],[Carbs wt%]] =0,"",SUM(Table2[[#This Row],[Lipids wt%]],Table2[[#This Row],[Protein wt%]],Table2[[#This Row],[Carbs wt%]]))</f>
        <v>93.15789473684211</v>
      </c>
      <c r="M197" s="15">
        <v>6.5</v>
      </c>
      <c r="P197">
        <v>5</v>
      </c>
      <c r="Z197" s="15"/>
      <c r="AA197" s="15"/>
      <c r="AB197" s="15"/>
      <c r="AC197" s="15"/>
      <c r="AD197" s="15"/>
      <c r="AE197" s="15"/>
      <c r="AF197" s="15"/>
      <c r="AG197" s="15">
        <v>0.03</v>
      </c>
      <c r="AH197" s="15"/>
      <c r="AI197" s="15"/>
      <c r="AJ197" s="15">
        <v>17</v>
      </c>
      <c r="AM197" s="13"/>
      <c r="AO197" s="15">
        <v>50</v>
      </c>
      <c r="AP197" s="15" t="e">
        <f>LN(25/Table2[[#This Row],[Temperature (C)]]/(1-SQRT((Table2[[#This Row],[Temperature (C)]]-5)/Table2[[#This Row],[Temperature (C)]])))/Table2[[#This Row],[b]]</f>
        <v>#DIV/0!</v>
      </c>
      <c r="AQ197" s="15">
        <f>IF(Table2[[#This Row],[b]]&lt;&gt;"",Table2[[#This Row],[T-5]], 0)</f>
        <v>0</v>
      </c>
      <c r="AT197" t="s">
        <v>503</v>
      </c>
      <c r="AU197">
        <v>325</v>
      </c>
      <c r="AV197" s="15"/>
      <c r="AW197" s="15">
        <v>45.616999999999997</v>
      </c>
      <c r="AX197" s="15"/>
      <c r="AY197" s="15"/>
      <c r="AZ197" s="15"/>
      <c r="BA197" s="15"/>
      <c r="BB197" s="15" t="str">
        <f>IF(OR(Table2[[#This Row],[Gas wt%]]&lt;&gt;"",Table2[[#This Row],[Loss]]&lt;&gt;""),Table2[[#This Row],[Gas wt%]]+Table2[[#This Row],[Loss]],"")</f>
        <v/>
      </c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  <c r="BY197" s="15"/>
      <c r="BZ197" s="15"/>
      <c r="CA197" s="15"/>
      <c r="CB197" s="15"/>
      <c r="CC197" s="15"/>
      <c r="CD197" s="15"/>
      <c r="CE197" s="15"/>
      <c r="CF197" s="15"/>
      <c r="CG197" s="15"/>
      <c r="CH197" s="15"/>
      <c r="CI197" s="15"/>
      <c r="CJ197" s="15"/>
      <c r="CK197" s="15"/>
      <c r="CL197" s="15"/>
      <c r="CM197" s="15"/>
      <c r="CN197" s="15"/>
      <c r="CO197" s="15"/>
      <c r="CP197" s="15"/>
      <c r="CQ197" s="15"/>
      <c r="CR197" s="15"/>
      <c r="CS197" s="15"/>
      <c r="CT197" s="15"/>
      <c r="CU197" s="15"/>
      <c r="CV197" s="15"/>
      <c r="CW197" s="15"/>
      <c r="CX197" s="15"/>
      <c r="CY197" s="15"/>
      <c r="CZ197" s="15"/>
      <c r="DA197" s="15"/>
      <c r="DB197" s="15">
        <v>0</v>
      </c>
    </row>
    <row r="198" spans="1:106" x14ac:dyDescent="0.25">
      <c r="A198" t="s">
        <v>264</v>
      </c>
      <c r="B198" t="s">
        <v>265</v>
      </c>
      <c r="C198">
        <v>2022</v>
      </c>
      <c r="D198" s="16" t="s">
        <v>132</v>
      </c>
      <c r="E198">
        <v>0</v>
      </c>
      <c r="F198" s="15">
        <v>20</v>
      </c>
      <c r="G198" s="15"/>
      <c r="H198" s="15"/>
      <c r="I198" s="15">
        <v>61.05263157894737</v>
      </c>
      <c r="J198" s="15">
        <v>12.105263157894736</v>
      </c>
      <c r="K198" s="15"/>
      <c r="L198" s="15">
        <f>IF(Table2[[#This Row],[Lipids wt%]]+Table2[[#This Row],[Protein wt%]]+Table2[[#This Row],[Carbs wt%]] =0,"",SUM(Table2[[#This Row],[Lipids wt%]],Table2[[#This Row],[Protein wt%]],Table2[[#This Row],[Carbs wt%]]))</f>
        <v>93.15789473684211</v>
      </c>
      <c r="M198" s="15">
        <v>6.5</v>
      </c>
      <c r="P198">
        <v>5</v>
      </c>
      <c r="Z198" s="15"/>
      <c r="AA198" s="15"/>
      <c r="AB198" s="15"/>
      <c r="AC198" s="15"/>
      <c r="AD198" s="15"/>
      <c r="AE198" s="15"/>
      <c r="AF198" s="15"/>
      <c r="AG198" s="15">
        <v>0.03</v>
      </c>
      <c r="AH198" s="15"/>
      <c r="AI198" s="15"/>
      <c r="AJ198" s="15">
        <v>13</v>
      </c>
      <c r="AM198" s="13"/>
      <c r="AO198" s="15">
        <v>40</v>
      </c>
      <c r="AP198" s="15" t="e">
        <f>LN(25/Table2[[#This Row],[Temperature (C)]]/(1-SQRT((Table2[[#This Row],[Temperature (C)]]-5)/Table2[[#This Row],[Temperature (C)]])))/Table2[[#This Row],[b]]</f>
        <v>#DIV/0!</v>
      </c>
      <c r="AQ198" s="15">
        <f>IF(Table2[[#This Row],[b]]&lt;&gt;"",Table2[[#This Row],[T-5]], 0)</f>
        <v>0</v>
      </c>
      <c r="AT198" t="s">
        <v>503</v>
      </c>
      <c r="AU198">
        <v>350</v>
      </c>
      <c r="AV198" s="15"/>
      <c r="AW198" s="15">
        <v>41.807000000000002</v>
      </c>
      <c r="AX198" s="15"/>
      <c r="AY198" s="15"/>
      <c r="AZ198" s="15"/>
      <c r="BA198" s="15"/>
      <c r="BB198" s="15" t="str">
        <f>IF(OR(Table2[[#This Row],[Gas wt%]]&lt;&gt;"",Table2[[#This Row],[Loss]]&lt;&gt;""),Table2[[#This Row],[Gas wt%]]+Table2[[#This Row],[Loss]],"")</f>
        <v/>
      </c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  <c r="BY198" s="15"/>
      <c r="BZ198" s="15"/>
      <c r="CA198" s="15"/>
      <c r="CB198" s="15"/>
      <c r="CC198" s="15"/>
      <c r="CD198" s="15"/>
      <c r="CE198" s="15"/>
      <c r="CF198" s="15"/>
      <c r="CG198" s="15"/>
      <c r="CH198" s="15"/>
      <c r="CI198" s="15"/>
      <c r="CJ198" s="15"/>
      <c r="CK198" s="15"/>
      <c r="CL198" s="15"/>
      <c r="CM198" s="15"/>
      <c r="CN198" s="15"/>
      <c r="CO198" s="15"/>
      <c r="CP198" s="15"/>
      <c r="CQ198" s="15"/>
      <c r="CR198" s="15"/>
      <c r="CS198" s="15"/>
      <c r="CT198" s="15"/>
      <c r="CU198" s="15"/>
      <c r="CV198" s="15"/>
      <c r="CW198" s="15"/>
      <c r="CX198" s="15"/>
      <c r="CY198" s="15"/>
      <c r="CZ198" s="15"/>
      <c r="DA198" s="15"/>
      <c r="DB198" s="15">
        <v>0</v>
      </c>
    </row>
    <row r="199" spans="1:106" x14ac:dyDescent="0.25">
      <c r="A199" t="s">
        <v>266</v>
      </c>
      <c r="B199" t="s">
        <v>156</v>
      </c>
      <c r="C199">
        <v>2022</v>
      </c>
      <c r="D199" s="16" t="s">
        <v>267</v>
      </c>
      <c r="E199">
        <v>0</v>
      </c>
      <c r="F199" s="15">
        <v>22.1</v>
      </c>
      <c r="G199" s="15"/>
      <c r="H199" s="15"/>
      <c r="I199" s="15">
        <v>36.799999999999997</v>
      </c>
      <c r="J199" s="15">
        <v>1.2</v>
      </c>
      <c r="K199" s="15"/>
      <c r="L199" s="15">
        <f>IF(Table2[[#This Row],[Lipids wt%]]+Table2[[#This Row],[Protein wt%]]+Table2[[#This Row],[Carbs wt%]] =0,"",SUM(Table2[[#This Row],[Lipids wt%]],Table2[[#This Row],[Protein wt%]],Table2[[#This Row],[Carbs wt%]]))</f>
        <v>60.1</v>
      </c>
      <c r="M199" s="15">
        <f>100-Table2[[#This Row],[Lipids wt%]]-Table2[[#This Row],[Protein wt%]]-Table2[[#This Row],[Carbs wt%]]</f>
        <v>39.9</v>
      </c>
      <c r="Z199" s="15">
        <v>25.1</v>
      </c>
      <c r="AA199" s="15">
        <v>4.2</v>
      </c>
      <c r="AB199" s="15">
        <f>100-(Table2[[#This Row],[C%]]+Table2[[#This Row],[H%]]+Table2[[#This Row],[N%]]+Table2[[#This Row],[S%]])</f>
        <v>61.9</v>
      </c>
      <c r="AC199" s="15">
        <v>8.8000000000000007</v>
      </c>
      <c r="AD199" s="15"/>
      <c r="AE199" s="15"/>
      <c r="AF199" s="15">
        <f>(33.5*Table2[[#This Row],[C%]]+142.3*Table2[[#This Row],[H%]]-15.4*Table2[[#This Row],[O%]]-14.5*Table2[[#This Row],[N%]])/100</f>
        <v>3.576500000000002</v>
      </c>
      <c r="AG199" s="15">
        <v>0.05</v>
      </c>
      <c r="AH199" s="15">
        <v>4</v>
      </c>
      <c r="AI199" s="15">
        <v>40</v>
      </c>
      <c r="AJ199" s="15">
        <f>Table2[[#This Row],[Solids (g)]]/(Table2[[#This Row],[Solids (g)]]+Table2[[#This Row],[Water mL]])*100</f>
        <v>9.0909090909090917</v>
      </c>
      <c r="AM199" s="13"/>
      <c r="AO199" s="15"/>
      <c r="AP199" s="15" t="e">
        <f>LN(25/Table2[[#This Row],[Temperature (C)]]/(1-SQRT((Table2[[#This Row],[Temperature (C)]]-5)/Table2[[#This Row],[Temperature (C)]])))/Table2[[#This Row],[b]]</f>
        <v>#DIV/0!</v>
      </c>
      <c r="AQ199" s="15">
        <f>IF(Table2[[#This Row],[b]]&lt;&gt;"",Table2[[#This Row],[T-5]], 0)</f>
        <v>0</v>
      </c>
      <c r="AR199">
        <v>30</v>
      </c>
      <c r="AT199" t="s">
        <v>503</v>
      </c>
      <c r="AU199">
        <v>300</v>
      </c>
      <c r="AV199" s="15">
        <v>10.606060606060595</v>
      </c>
      <c r="AW199" s="15">
        <v>15.2680652680652</v>
      </c>
      <c r="AX199" s="15">
        <v>44.4055944055944</v>
      </c>
      <c r="AY199" s="15"/>
      <c r="AZ199" s="15"/>
      <c r="BA199" s="15"/>
      <c r="BB199" s="15" t="str">
        <f>IF(OR(Table2[[#This Row],[Gas wt%]]&lt;&gt;"",Table2[[#This Row],[Loss]]&lt;&gt;""),Table2[[#This Row],[Gas wt%]]+Table2[[#This Row],[Loss]],"")</f>
        <v/>
      </c>
      <c r="BC199" s="15"/>
      <c r="BD199" s="15"/>
      <c r="BE199" s="15"/>
      <c r="BF199" s="15"/>
      <c r="BG199" s="15"/>
      <c r="BH199" s="15">
        <v>29.720279720279805</v>
      </c>
      <c r="BI199" s="15">
        <v>73.3</v>
      </c>
      <c r="BJ199" s="15">
        <v>4.0999999999999996</v>
      </c>
      <c r="BK199" s="15">
        <f>100-Table2[[#This Row],[C% B]]-Table2[[#This Row],[H% B]]-Table2[[#This Row],[N% B]]</f>
        <v>14.3</v>
      </c>
      <c r="BL199" s="15">
        <v>8.3000000000000007</v>
      </c>
      <c r="BM199" s="15"/>
      <c r="BN199" s="15">
        <f>(33.5*Table2[[#This Row],[C% B]]+142.3*Table2[[#This Row],[H% B]]-15.4*Table2[[#This Row],[O% B]]-14.5*Table2[[#This Row],[N% B]])/100</f>
        <v>26.984099999999994</v>
      </c>
      <c r="BO199" s="15"/>
      <c r="BP199" s="15"/>
      <c r="BQ199" s="15">
        <f>Table2[[#This Row],[H% B]]/Table2[[#This Row],[C% B]]*100</f>
        <v>5.5934515688949515</v>
      </c>
      <c r="BR199" s="15"/>
      <c r="BS199" s="15"/>
      <c r="BT199" s="15"/>
      <c r="BU199" s="15"/>
      <c r="BV199" s="15"/>
      <c r="BW199" s="15"/>
      <c r="BX199" s="15"/>
      <c r="BY199" s="15"/>
      <c r="BZ199" s="15"/>
      <c r="CA199" s="15"/>
      <c r="CB199" s="15"/>
      <c r="CC199" s="15"/>
      <c r="CD199" s="15"/>
      <c r="CE199" s="15"/>
      <c r="CF199" s="15">
        <v>35.5</v>
      </c>
      <c r="CG199" s="15">
        <v>4.0999999999999996</v>
      </c>
      <c r="CH199" s="15"/>
      <c r="CI199" s="15">
        <v>4.4000000000000004</v>
      </c>
      <c r="CJ199" s="15"/>
      <c r="CK199" s="15"/>
      <c r="CL199" s="15"/>
      <c r="CM199" s="15">
        <v>39</v>
      </c>
      <c r="CN199" s="15">
        <v>6</v>
      </c>
      <c r="CO199" s="15"/>
      <c r="CP199" s="15">
        <v>9.3000000000000007</v>
      </c>
      <c r="CQ199" s="15"/>
      <c r="CR199" s="15"/>
      <c r="CS199" s="15"/>
      <c r="CT199" s="15"/>
      <c r="CU199" s="15"/>
      <c r="CV199" s="15"/>
      <c r="CW199" s="15"/>
      <c r="CX199" s="15"/>
      <c r="CY199" s="15"/>
      <c r="CZ199" s="15"/>
      <c r="DA199" s="15"/>
      <c r="DB199" s="15">
        <v>0</v>
      </c>
    </row>
    <row r="200" spans="1:106" x14ac:dyDescent="0.25">
      <c r="A200" t="s">
        <v>266</v>
      </c>
      <c r="B200" t="s">
        <v>156</v>
      </c>
      <c r="C200">
        <v>2022</v>
      </c>
      <c r="D200" s="16" t="s">
        <v>132</v>
      </c>
      <c r="E200">
        <v>0</v>
      </c>
      <c r="F200" s="15">
        <v>11</v>
      </c>
      <c r="G200" s="15"/>
      <c r="H200" s="15"/>
      <c r="I200" s="15">
        <v>53.12</v>
      </c>
      <c r="J200" s="15">
        <v>15.2</v>
      </c>
      <c r="K200" s="15"/>
      <c r="L200" s="15">
        <f>IF(Table2[[#This Row],[Lipids wt%]]+Table2[[#This Row],[Protein wt%]]+Table2[[#This Row],[Carbs wt%]] =0,"",SUM(Table2[[#This Row],[Lipids wt%]],Table2[[#This Row],[Protein wt%]],Table2[[#This Row],[Carbs wt%]]))</f>
        <v>79.319999999999993</v>
      </c>
      <c r="M200" s="15">
        <f>100-Table2[[#This Row],[Lipids wt%]]-Table2[[#This Row],[Protein wt%]]-Table2[[#This Row],[Carbs wt%]]</f>
        <v>20.68</v>
      </c>
      <c r="Z200" s="15">
        <v>49.9</v>
      </c>
      <c r="AA200" s="15">
        <v>7.1</v>
      </c>
      <c r="AB200" s="15">
        <f>100-(Table2[[#This Row],[C%]]+Table2[[#This Row],[H%]]+Table2[[#This Row],[N%]]+Table2[[#This Row],[S%]])</f>
        <v>33.099999999999994</v>
      </c>
      <c r="AC200" s="15">
        <v>9.9</v>
      </c>
      <c r="AD200" s="15"/>
      <c r="AE200" s="15"/>
      <c r="AF200" s="15">
        <f>(33.5*Table2[[#This Row],[C%]]+142.3*Table2[[#This Row],[H%]]-15.4*Table2[[#This Row],[O%]]-14.5*Table2[[#This Row],[N%]])/100</f>
        <v>20.286900000000003</v>
      </c>
      <c r="AG200" s="15">
        <v>0.05</v>
      </c>
      <c r="AH200" s="15">
        <v>4</v>
      </c>
      <c r="AI200" s="15">
        <v>40</v>
      </c>
      <c r="AJ200" s="15">
        <f>Table2[[#This Row],[Solids (g)]]/(Table2[[#This Row],[Solids (g)]]+Table2[[#This Row],[Water mL]])*100</f>
        <v>9.0909090909090917</v>
      </c>
      <c r="AM200" s="13"/>
      <c r="AO200" s="15"/>
      <c r="AP200" s="15" t="e">
        <f>LN(25/Table2[[#This Row],[Temperature (C)]]/(1-SQRT((Table2[[#This Row],[Temperature (C)]]-5)/Table2[[#This Row],[Temperature (C)]])))/Table2[[#This Row],[b]]</f>
        <v>#DIV/0!</v>
      </c>
      <c r="AQ200" s="15">
        <f>IF(Table2[[#This Row],[b]]&lt;&gt;"",Table2[[#This Row],[T-5]], 0)</f>
        <v>0</v>
      </c>
      <c r="AR200">
        <v>30</v>
      </c>
      <c r="AT200" t="s">
        <v>503</v>
      </c>
      <c r="AU200">
        <v>300</v>
      </c>
      <c r="AV200" s="15">
        <v>6.8764568764568992</v>
      </c>
      <c r="AW200" s="15">
        <v>29.254079254079201</v>
      </c>
      <c r="AX200" s="15">
        <v>37.762237762237802</v>
      </c>
      <c r="AY200" s="15"/>
      <c r="AZ200" s="15"/>
      <c r="BA200" s="15"/>
      <c r="BB200" s="15" t="str">
        <f>IF(OR(Table2[[#This Row],[Gas wt%]]&lt;&gt;"",Table2[[#This Row],[Loss]]&lt;&gt;""),Table2[[#This Row],[Gas wt%]]+Table2[[#This Row],[Loss]],"")</f>
        <v/>
      </c>
      <c r="BC200" s="15"/>
      <c r="BD200" s="15"/>
      <c r="BE200" s="15"/>
      <c r="BF200" s="15"/>
      <c r="BG200" s="15"/>
      <c r="BH200" s="15">
        <v>26.107226107226097</v>
      </c>
      <c r="BI200" s="15">
        <v>64.34</v>
      </c>
      <c r="BJ200" s="15">
        <v>7.7</v>
      </c>
      <c r="BK200" s="15">
        <f>100-Table2[[#This Row],[C% B]]-Table2[[#This Row],[H% B]]-Table2[[#This Row],[N% B]]</f>
        <v>19.619999999999997</v>
      </c>
      <c r="BL200" s="15">
        <v>8.34</v>
      </c>
      <c r="BM200" s="15"/>
      <c r="BN200" s="15">
        <f>(33.5*Table2[[#This Row],[C% B]]+142.3*Table2[[#This Row],[H% B]]-15.4*Table2[[#This Row],[O% B]]-14.5*Table2[[#This Row],[N% B]])/100</f>
        <v>28.280220000000003</v>
      </c>
      <c r="BO200" s="15"/>
      <c r="BP200" s="15"/>
      <c r="BQ200" s="15">
        <f>Table2[[#This Row],[H% B]]/Table2[[#This Row],[C% B]]*100</f>
        <v>11.967671743860739</v>
      </c>
      <c r="BR200" s="15"/>
      <c r="BS200" s="15"/>
      <c r="BT200" s="15"/>
      <c r="BU200" s="15"/>
      <c r="BV200" s="15"/>
      <c r="BW200" s="15"/>
      <c r="BX200" s="15"/>
      <c r="BY200" s="15"/>
      <c r="BZ200" s="15"/>
      <c r="CA200" s="15"/>
      <c r="CB200" s="15"/>
      <c r="CC200" s="15"/>
      <c r="CD200" s="15"/>
      <c r="CE200" s="15"/>
      <c r="CF200" s="15">
        <v>16.600000000000001</v>
      </c>
      <c r="CG200" s="15"/>
      <c r="CH200" s="15"/>
      <c r="CI200" s="15">
        <v>2.1</v>
      </c>
      <c r="CJ200" s="15"/>
      <c r="CK200" s="15"/>
      <c r="CL200" s="15"/>
      <c r="CM200" s="15">
        <v>15</v>
      </c>
      <c r="CN200" s="15">
        <v>3.6</v>
      </c>
      <c r="CO200" s="15"/>
      <c r="CP200" s="15">
        <v>4.5</v>
      </c>
      <c r="CQ200" s="15"/>
      <c r="CR200" s="15"/>
      <c r="CS200" s="15"/>
      <c r="CT200" s="15"/>
      <c r="CU200" s="15"/>
      <c r="CV200" s="15"/>
      <c r="CW200" s="15"/>
      <c r="CX200" s="15"/>
      <c r="CY200" s="15"/>
      <c r="CZ200" s="15"/>
      <c r="DA200" s="15"/>
      <c r="DB200" s="15">
        <v>0</v>
      </c>
    </row>
    <row r="201" spans="1:106" x14ac:dyDescent="0.25">
      <c r="A201" t="s">
        <v>266</v>
      </c>
      <c r="B201" t="s">
        <v>156</v>
      </c>
      <c r="C201">
        <v>2022</v>
      </c>
      <c r="D201" s="16" t="s">
        <v>268</v>
      </c>
      <c r="E201">
        <v>0</v>
      </c>
      <c r="F201" s="15">
        <v>19.325000000000003</v>
      </c>
      <c r="G201" s="15"/>
      <c r="H201" s="15"/>
      <c r="I201" s="15">
        <v>40.879999999999995</v>
      </c>
      <c r="J201" s="15">
        <v>4.6999999999999993</v>
      </c>
      <c r="K201" s="15"/>
      <c r="L201" s="15">
        <f>IF(Table2[[#This Row],[Lipids wt%]]+Table2[[#This Row],[Protein wt%]]+Table2[[#This Row],[Carbs wt%]] =0,"",SUM(Table2[[#This Row],[Lipids wt%]],Table2[[#This Row],[Protein wt%]],Table2[[#This Row],[Carbs wt%]]))</f>
        <v>64.905000000000001</v>
      </c>
      <c r="M201" s="15">
        <f>100-Table2[[#This Row],[Lipids wt%]]-Table2[[#This Row],[Protein wt%]]-Table2[[#This Row],[Carbs wt%]]</f>
        <v>35.094999999999999</v>
      </c>
      <c r="Z201" s="15"/>
      <c r="AA201" s="15"/>
      <c r="AB201" s="15"/>
      <c r="AC201" s="15"/>
      <c r="AD201" s="15"/>
      <c r="AE201" s="15"/>
      <c r="AF201" s="15"/>
      <c r="AG201" s="15">
        <v>0.05</v>
      </c>
      <c r="AH201" s="15">
        <v>4</v>
      </c>
      <c r="AI201" s="15">
        <v>40</v>
      </c>
      <c r="AJ201" s="15">
        <f>Table2[[#This Row],[Solids (g)]]/(Table2[[#This Row],[Solids (g)]]+Table2[[#This Row],[Water mL]])*100</f>
        <v>9.0909090909090917</v>
      </c>
      <c r="AM201" s="13"/>
      <c r="AO201" s="15"/>
      <c r="AP201" s="15" t="e">
        <f>LN(25/Table2[[#This Row],[Temperature (C)]]/(1-SQRT((Table2[[#This Row],[Temperature (C)]]-5)/Table2[[#This Row],[Temperature (C)]])))/Table2[[#This Row],[b]]</f>
        <v>#DIV/0!</v>
      </c>
      <c r="AQ201" s="15">
        <f>IF(Table2[[#This Row],[b]]&lt;&gt;"",Table2[[#This Row],[T-5]], 0)</f>
        <v>0</v>
      </c>
      <c r="AR201">
        <v>30</v>
      </c>
      <c r="AT201" t="s">
        <v>503</v>
      </c>
      <c r="AU201">
        <v>300</v>
      </c>
      <c r="AV201" s="15">
        <v>7.8088578088577947</v>
      </c>
      <c r="AW201" s="15">
        <v>26.806526806526801</v>
      </c>
      <c r="AX201" s="15">
        <v>37.5291375291375</v>
      </c>
      <c r="AY201" s="15"/>
      <c r="AZ201" s="15"/>
      <c r="BA201" s="15"/>
      <c r="BB201" s="15" t="str">
        <f>IF(OR(Table2[[#This Row],[Gas wt%]]&lt;&gt;"",Table2[[#This Row],[Loss]]&lt;&gt;""),Table2[[#This Row],[Gas wt%]]+Table2[[#This Row],[Loss]],"")</f>
        <v/>
      </c>
      <c r="BC201" s="15"/>
      <c r="BD201" s="15"/>
      <c r="BE201" s="15"/>
      <c r="BF201" s="15"/>
      <c r="BG201" s="15"/>
      <c r="BH201" s="15">
        <v>27.855477855477901</v>
      </c>
      <c r="BI201" s="15">
        <v>73.599999999999994</v>
      </c>
      <c r="BJ201" s="15">
        <v>7.6</v>
      </c>
      <c r="BK201" s="15">
        <f>100-Table2[[#This Row],[C% B]]-Table2[[#This Row],[H% B]]-Table2[[#This Row],[N% B]]</f>
        <v>10.900000000000004</v>
      </c>
      <c r="BL201" s="15">
        <v>7.9</v>
      </c>
      <c r="BM201" s="15"/>
      <c r="BN201" s="15">
        <f>(33.5*Table2[[#This Row],[C% B]]+142.3*Table2[[#This Row],[H% B]]-15.4*Table2[[#This Row],[O% B]]-14.5*Table2[[#This Row],[N% B]])/100</f>
        <v>32.646699999999996</v>
      </c>
      <c r="BO201" s="15"/>
      <c r="BP201" s="15"/>
      <c r="BQ201" s="15">
        <f>Table2[[#This Row],[H% B]]/Table2[[#This Row],[C% B]]*100</f>
        <v>10.326086956521738</v>
      </c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>
        <v>30.8</v>
      </c>
      <c r="CG201" s="15">
        <v>3.6</v>
      </c>
      <c r="CH201" s="15"/>
      <c r="CI201" s="15">
        <v>2.7</v>
      </c>
      <c r="CJ201" s="15"/>
      <c r="CK201" s="15"/>
      <c r="CL201" s="15"/>
      <c r="CM201" s="15">
        <v>14.5</v>
      </c>
      <c r="CN201" s="15">
        <v>3.1</v>
      </c>
      <c r="CO201" s="15"/>
      <c r="CP201" s="15">
        <v>3.4</v>
      </c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>
        <v>0</v>
      </c>
    </row>
    <row r="202" spans="1:106" x14ac:dyDescent="0.25">
      <c r="A202" t="s">
        <v>266</v>
      </c>
      <c r="B202" t="s">
        <v>156</v>
      </c>
      <c r="C202">
        <v>2022</v>
      </c>
      <c r="D202" s="16" t="s">
        <v>269</v>
      </c>
      <c r="E202">
        <v>0</v>
      </c>
      <c r="F202" s="15">
        <v>18.400000000000002</v>
      </c>
      <c r="G202" s="15"/>
      <c r="H202" s="15"/>
      <c r="I202" s="15">
        <v>42.239999999999988</v>
      </c>
      <c r="J202" s="15">
        <v>5.8666666666666663</v>
      </c>
      <c r="K202" s="15"/>
      <c r="L202" s="15">
        <f>IF(Table2[[#This Row],[Lipids wt%]]+Table2[[#This Row],[Protein wt%]]+Table2[[#This Row],[Carbs wt%]] =0,"",SUM(Table2[[#This Row],[Lipids wt%]],Table2[[#This Row],[Protein wt%]],Table2[[#This Row],[Carbs wt%]]))</f>
        <v>66.506666666666661</v>
      </c>
      <c r="M202" s="15">
        <f>100-Table2[[#This Row],[Lipids wt%]]-Table2[[#This Row],[Protein wt%]]-Table2[[#This Row],[Carbs wt%]]</f>
        <v>33.493333333333354</v>
      </c>
      <c r="Z202" s="15"/>
      <c r="AA202" s="15"/>
      <c r="AB202" s="15"/>
      <c r="AC202" s="15"/>
      <c r="AD202" s="15"/>
      <c r="AE202" s="15"/>
      <c r="AF202" s="15"/>
      <c r="AG202" s="15">
        <v>0.05</v>
      </c>
      <c r="AH202" s="15">
        <v>4</v>
      </c>
      <c r="AI202" s="15">
        <v>40</v>
      </c>
      <c r="AJ202" s="15">
        <f>Table2[[#This Row],[Solids (g)]]/(Table2[[#This Row],[Solids (g)]]+Table2[[#This Row],[Water mL]])*100</f>
        <v>9.0909090909090917</v>
      </c>
      <c r="AM202" s="13"/>
      <c r="AO202" s="15"/>
      <c r="AP202" s="15" t="e">
        <f>LN(25/Table2[[#This Row],[Temperature (C)]]/(1-SQRT((Table2[[#This Row],[Temperature (C)]]-5)/Table2[[#This Row],[Temperature (C)]])))/Table2[[#This Row],[b]]</f>
        <v>#DIV/0!</v>
      </c>
      <c r="AQ202" s="15">
        <f>IF(Table2[[#This Row],[b]]&lt;&gt;"",Table2[[#This Row],[T-5]], 0)</f>
        <v>0</v>
      </c>
      <c r="AR202">
        <v>30</v>
      </c>
      <c r="AT202" t="s">
        <v>503</v>
      </c>
      <c r="AU202">
        <v>300</v>
      </c>
      <c r="AV202" s="15">
        <v>13.403263403263409</v>
      </c>
      <c r="AW202" s="15">
        <v>32.517482517482499</v>
      </c>
      <c r="AX202" s="15">
        <v>37.645687645687595</v>
      </c>
      <c r="AY202" s="15"/>
      <c r="AZ202" s="15"/>
      <c r="BA202" s="15"/>
      <c r="BB202" s="15" t="str">
        <f>IF(OR(Table2[[#This Row],[Gas wt%]]&lt;&gt;"",Table2[[#This Row],[Loss]]&lt;&gt;""),Table2[[#This Row],[Gas wt%]]+Table2[[#This Row],[Loss]],"")</f>
        <v/>
      </c>
      <c r="BC202" s="15"/>
      <c r="BD202" s="15"/>
      <c r="BE202" s="15"/>
      <c r="BF202" s="15"/>
      <c r="BG202" s="15"/>
      <c r="BH202" s="15">
        <v>16.433566433566497</v>
      </c>
      <c r="BI202" s="15">
        <v>73.7</v>
      </c>
      <c r="BJ202" s="15">
        <v>7.7</v>
      </c>
      <c r="BK202" s="15">
        <f>100-Table2[[#This Row],[C% B]]-Table2[[#This Row],[H% B]]-Table2[[#This Row],[N% B]]</f>
        <v>10.599999999999998</v>
      </c>
      <c r="BL202" s="15">
        <v>8</v>
      </c>
      <c r="BM202" s="15"/>
      <c r="BN202" s="15">
        <f>(33.5*Table2[[#This Row],[C% B]]+142.3*Table2[[#This Row],[H% B]]-15.4*Table2[[#This Row],[O% B]]-14.5*Table2[[#This Row],[N% B]])/100</f>
        <v>32.854200000000006</v>
      </c>
      <c r="BO202" s="15"/>
      <c r="BP202" s="15"/>
      <c r="BQ202" s="15">
        <f>Table2[[#This Row],[H% B]]/Table2[[#This Row],[C% B]]*100</f>
        <v>10.44776119402985</v>
      </c>
      <c r="BR202" s="15"/>
      <c r="BS202" s="15"/>
      <c r="BT202" s="15"/>
      <c r="BU202" s="15"/>
      <c r="BV202" s="15"/>
      <c r="BW202" s="15"/>
      <c r="BX202" s="15"/>
      <c r="BY202" s="15"/>
      <c r="BZ202" s="15"/>
      <c r="CA202" s="15"/>
      <c r="CB202" s="15"/>
      <c r="CC202" s="15"/>
      <c r="CD202" s="15"/>
      <c r="CE202" s="15"/>
      <c r="CF202" s="15">
        <v>26.6</v>
      </c>
      <c r="CG202" s="15">
        <v>3.8</v>
      </c>
      <c r="CH202" s="15"/>
      <c r="CI202" s="15">
        <v>2.5</v>
      </c>
      <c r="CJ202" s="15"/>
      <c r="CK202" s="15"/>
      <c r="CL202" s="15"/>
      <c r="CM202" s="15">
        <v>17</v>
      </c>
      <c r="CN202" s="15">
        <v>3.4</v>
      </c>
      <c r="CO202" s="15"/>
      <c r="CP202" s="15">
        <v>4.5</v>
      </c>
      <c r="CQ202" s="15"/>
      <c r="CR202" s="15"/>
      <c r="CS202" s="15"/>
      <c r="CT202" s="15"/>
      <c r="CU202" s="15"/>
      <c r="CV202" s="15"/>
      <c r="CW202" s="15"/>
      <c r="CX202" s="15"/>
      <c r="CY202" s="15"/>
      <c r="CZ202" s="15"/>
      <c r="DA202" s="15"/>
      <c r="DB202" s="15">
        <v>0</v>
      </c>
    </row>
    <row r="203" spans="1:106" x14ac:dyDescent="0.25">
      <c r="A203" t="s">
        <v>266</v>
      </c>
      <c r="B203" t="s">
        <v>156</v>
      </c>
      <c r="C203">
        <v>2022</v>
      </c>
      <c r="D203" s="16" t="s">
        <v>270</v>
      </c>
      <c r="E203">
        <v>0</v>
      </c>
      <c r="F203" s="15">
        <v>16.550000000000004</v>
      </c>
      <c r="G203" s="15"/>
      <c r="H203" s="15"/>
      <c r="I203" s="15">
        <v>44.959999999999994</v>
      </c>
      <c r="J203" s="15">
        <v>8.1999999999999993</v>
      </c>
      <c r="K203" s="15"/>
      <c r="L203" s="15">
        <f>IF(Table2[[#This Row],[Lipids wt%]]+Table2[[#This Row],[Protein wt%]]+Table2[[#This Row],[Carbs wt%]] =0,"",SUM(Table2[[#This Row],[Lipids wt%]],Table2[[#This Row],[Protein wt%]],Table2[[#This Row],[Carbs wt%]]))</f>
        <v>69.710000000000008</v>
      </c>
      <c r="M203" s="15">
        <f>100-Table2[[#This Row],[Lipids wt%]]-Table2[[#This Row],[Protein wt%]]-Table2[[#This Row],[Carbs wt%]]</f>
        <v>30.29</v>
      </c>
      <c r="Z203" s="15"/>
      <c r="AA203" s="15"/>
      <c r="AB203" s="15"/>
      <c r="AC203" s="15"/>
      <c r="AD203" s="15"/>
      <c r="AE203" s="15"/>
      <c r="AF203" s="15"/>
      <c r="AG203" s="15">
        <v>0.05</v>
      </c>
      <c r="AH203" s="15">
        <v>4</v>
      </c>
      <c r="AI203" s="15">
        <v>40</v>
      </c>
      <c r="AJ203" s="15">
        <f>Table2[[#This Row],[Solids (g)]]/(Table2[[#This Row],[Solids (g)]]+Table2[[#This Row],[Water mL]])*100</f>
        <v>9.0909090909090917</v>
      </c>
      <c r="AM203" s="13"/>
      <c r="AO203" s="15"/>
      <c r="AP203" s="15" t="e">
        <f>LN(25/Table2[[#This Row],[Temperature (C)]]/(1-SQRT((Table2[[#This Row],[Temperature (C)]]-5)/Table2[[#This Row],[Temperature (C)]])))/Table2[[#This Row],[b]]</f>
        <v>#DIV/0!</v>
      </c>
      <c r="AQ203" s="15">
        <f>IF(Table2[[#This Row],[b]]&lt;&gt;"",Table2[[#This Row],[T-5]], 0)</f>
        <v>0</v>
      </c>
      <c r="AR203">
        <v>30</v>
      </c>
      <c r="AT203" t="s">
        <v>503</v>
      </c>
      <c r="AU203">
        <v>300</v>
      </c>
      <c r="AV203" s="15">
        <v>10.955710955710899</v>
      </c>
      <c r="AW203" s="15">
        <v>37.296037296037298</v>
      </c>
      <c r="AX203" s="15">
        <v>40.792540792540805</v>
      </c>
      <c r="AY203" s="15"/>
      <c r="AZ203" s="15"/>
      <c r="BA203" s="15"/>
      <c r="BB203" s="15" t="str">
        <f>IF(OR(Table2[[#This Row],[Gas wt%]]&lt;&gt;"",Table2[[#This Row],[Loss]]&lt;&gt;""),Table2[[#This Row],[Gas wt%]]+Table2[[#This Row],[Loss]],"")</f>
        <v/>
      </c>
      <c r="BC203" s="15"/>
      <c r="BD203" s="15"/>
      <c r="BE203" s="15"/>
      <c r="BF203" s="15"/>
      <c r="BG203" s="15"/>
      <c r="BH203" s="15">
        <v>10.955710955710998</v>
      </c>
      <c r="BI203" s="15">
        <v>68.599999999999994</v>
      </c>
      <c r="BJ203" s="15">
        <v>7.4</v>
      </c>
      <c r="BK203" s="15">
        <f>100-Table2[[#This Row],[C% B]]-Table2[[#This Row],[H% B]]-Table2[[#This Row],[N% B]]</f>
        <v>15.200000000000006</v>
      </c>
      <c r="BL203" s="15">
        <v>8.8000000000000007</v>
      </c>
      <c r="BM203" s="15"/>
      <c r="BN203" s="15">
        <f>(33.5*Table2[[#This Row],[C% B]]+142.3*Table2[[#This Row],[H% B]]-15.4*Table2[[#This Row],[O% B]]-14.5*Table2[[#This Row],[N% B]])/100</f>
        <v>29.894400000000001</v>
      </c>
      <c r="BO203" s="15"/>
      <c r="BP203" s="15"/>
      <c r="BQ203" s="15">
        <f>Table2[[#This Row],[H% B]]/Table2[[#This Row],[C% B]]*100</f>
        <v>10.787172011661809</v>
      </c>
      <c r="BR203" s="15"/>
      <c r="BS203" s="15"/>
      <c r="BT203" s="15"/>
      <c r="BU203" s="15"/>
      <c r="BV203" s="15"/>
      <c r="BW203" s="15"/>
      <c r="BX203" s="15"/>
      <c r="BY203" s="15"/>
      <c r="BZ203" s="15"/>
      <c r="CA203" s="15"/>
      <c r="CB203" s="15"/>
      <c r="CC203" s="15"/>
      <c r="CD203" s="15"/>
      <c r="CE203" s="15"/>
      <c r="CF203" s="15">
        <v>28.5</v>
      </c>
      <c r="CG203" s="15">
        <v>3.7</v>
      </c>
      <c r="CH203" s="15"/>
      <c r="CI203" s="15">
        <v>2.8</v>
      </c>
      <c r="CJ203" s="15"/>
      <c r="CK203" s="15"/>
      <c r="CL203" s="15"/>
      <c r="CM203" s="15">
        <v>15.9</v>
      </c>
      <c r="CN203" s="15">
        <v>3.9</v>
      </c>
      <c r="CO203" s="15"/>
      <c r="CP203" s="15">
        <v>4.5</v>
      </c>
      <c r="CQ203" s="15"/>
      <c r="CR203" s="15"/>
      <c r="CS203" s="15"/>
      <c r="CT203" s="15"/>
      <c r="CU203" s="15"/>
      <c r="CV203" s="15"/>
      <c r="CW203" s="15"/>
      <c r="CX203" s="15"/>
      <c r="CY203" s="15"/>
      <c r="CZ203" s="15"/>
      <c r="DA203" s="15"/>
      <c r="DB203" s="15">
        <v>0</v>
      </c>
    </row>
    <row r="204" spans="1:106" x14ac:dyDescent="0.25">
      <c r="A204" t="s">
        <v>266</v>
      </c>
      <c r="B204" t="s">
        <v>156</v>
      </c>
      <c r="C204">
        <v>2022</v>
      </c>
      <c r="D204" s="16" t="s">
        <v>271</v>
      </c>
      <c r="E204">
        <v>0</v>
      </c>
      <c r="F204" s="15">
        <v>14.699999999999996</v>
      </c>
      <c r="G204" s="15"/>
      <c r="H204" s="15"/>
      <c r="I204" s="15">
        <v>47.679999999999993</v>
      </c>
      <c r="J204" s="15">
        <v>10.533333333333331</v>
      </c>
      <c r="K204" s="15"/>
      <c r="L204" s="15">
        <f>IF(Table2[[#This Row],[Lipids wt%]]+Table2[[#This Row],[Protein wt%]]+Table2[[#This Row],[Carbs wt%]] =0,"",SUM(Table2[[#This Row],[Lipids wt%]],Table2[[#This Row],[Protein wt%]],Table2[[#This Row],[Carbs wt%]]))</f>
        <v>72.913333333333327</v>
      </c>
      <c r="M204" s="15">
        <f>100-Table2[[#This Row],[Lipids wt%]]-Table2[[#This Row],[Protein wt%]]-Table2[[#This Row],[Carbs wt%]]</f>
        <v>27.08666666666668</v>
      </c>
      <c r="Z204" s="15"/>
      <c r="AA204" s="15"/>
      <c r="AB204" s="15"/>
      <c r="AC204" s="15"/>
      <c r="AD204" s="15"/>
      <c r="AE204" s="15"/>
      <c r="AF204" s="15"/>
      <c r="AG204" s="15">
        <v>0.05</v>
      </c>
      <c r="AH204" s="15">
        <v>4</v>
      </c>
      <c r="AI204" s="15">
        <v>40</v>
      </c>
      <c r="AJ204" s="15">
        <f>Table2[[#This Row],[Solids (g)]]/(Table2[[#This Row],[Solids (g)]]+Table2[[#This Row],[Water mL]])*100</f>
        <v>9.0909090909090917</v>
      </c>
      <c r="AM204" s="13"/>
      <c r="AO204" s="15"/>
      <c r="AP204" s="15" t="e">
        <f>LN(25/Table2[[#This Row],[Temperature (C)]]/(1-SQRT((Table2[[#This Row],[Temperature (C)]]-5)/Table2[[#This Row],[Temperature (C)]])))/Table2[[#This Row],[b]]</f>
        <v>#DIV/0!</v>
      </c>
      <c r="AQ204" s="15">
        <f>IF(Table2[[#This Row],[b]]&lt;&gt;"",Table2[[#This Row],[T-5]], 0)</f>
        <v>0</v>
      </c>
      <c r="AR204">
        <v>30</v>
      </c>
      <c r="AT204" t="s">
        <v>503</v>
      </c>
      <c r="AU204">
        <v>300</v>
      </c>
      <c r="AV204" s="15">
        <v>11.888111888111894</v>
      </c>
      <c r="AW204" s="15">
        <v>36.480186480186397</v>
      </c>
      <c r="AX204" s="15">
        <v>46.969696969697004</v>
      </c>
      <c r="AY204" s="15"/>
      <c r="AZ204" s="15"/>
      <c r="BA204" s="15"/>
      <c r="BB204" s="15" t="str">
        <f>IF(OR(Table2[[#This Row],[Gas wt%]]&lt;&gt;"",Table2[[#This Row],[Loss]]&lt;&gt;""),Table2[[#This Row],[Gas wt%]]+Table2[[#This Row],[Loss]],"")</f>
        <v/>
      </c>
      <c r="BC204" s="15"/>
      <c r="BD204" s="15"/>
      <c r="BE204" s="15"/>
      <c r="BF204" s="15"/>
      <c r="BG204" s="15"/>
      <c r="BH204" s="15">
        <v>4.6620046620047049</v>
      </c>
      <c r="BI204" s="15">
        <v>68</v>
      </c>
      <c r="BJ204" s="15">
        <v>7.3</v>
      </c>
      <c r="BK204" s="15">
        <f>100-Table2[[#This Row],[C% B]]-Table2[[#This Row],[H% B]]-Table2[[#This Row],[N% B]]</f>
        <v>16.100000000000001</v>
      </c>
      <c r="BL204" s="15">
        <v>8.6</v>
      </c>
      <c r="BM204" s="15"/>
      <c r="BN204" s="15">
        <f>(33.5*Table2[[#This Row],[C% B]]+142.3*Table2[[#This Row],[H% B]]-15.4*Table2[[#This Row],[O% B]]-14.5*Table2[[#This Row],[N% B]])/100</f>
        <v>29.441500000000001</v>
      </c>
      <c r="BO204" s="15"/>
      <c r="BP204" s="15"/>
      <c r="BQ204" s="15">
        <f>Table2[[#This Row],[H% B]]/Table2[[#This Row],[C% B]]*100</f>
        <v>10.735294117647058</v>
      </c>
      <c r="BR204" s="15"/>
      <c r="BS204" s="15"/>
      <c r="BT204" s="15"/>
      <c r="BU204" s="15"/>
      <c r="BV204" s="15"/>
      <c r="BW204" s="15"/>
      <c r="BX204" s="15"/>
      <c r="BY204" s="15"/>
      <c r="BZ204" s="15"/>
      <c r="CA204" s="15"/>
      <c r="CB204" s="15"/>
      <c r="CC204" s="15"/>
      <c r="CD204" s="15"/>
      <c r="CE204" s="15"/>
      <c r="CF204" s="15">
        <v>27.6</v>
      </c>
      <c r="CG204" s="15">
        <v>3.9</v>
      </c>
      <c r="CH204" s="15"/>
      <c r="CI204" s="15">
        <v>2.9</v>
      </c>
      <c r="CJ204" s="15"/>
      <c r="CK204" s="15"/>
      <c r="CL204" s="15"/>
      <c r="CM204" s="15">
        <v>20.399999999999999</v>
      </c>
      <c r="CN204" s="15">
        <v>3.7</v>
      </c>
      <c r="CO204" s="15"/>
      <c r="CP204" s="15">
        <v>4.5999999999999996</v>
      </c>
      <c r="CQ204" s="15"/>
      <c r="CR204" s="15"/>
      <c r="CS204" s="15"/>
      <c r="CT204" s="15"/>
      <c r="CU204" s="15"/>
      <c r="CV204" s="15"/>
      <c r="CW204" s="15"/>
      <c r="CX204" s="15"/>
      <c r="CY204" s="15"/>
      <c r="CZ204" s="15"/>
      <c r="DA204" s="15"/>
      <c r="DB204" s="15">
        <v>0</v>
      </c>
    </row>
    <row r="205" spans="1:106" x14ac:dyDescent="0.25">
      <c r="A205" t="s">
        <v>266</v>
      </c>
      <c r="B205" t="s">
        <v>156</v>
      </c>
      <c r="C205">
        <v>2022</v>
      </c>
      <c r="D205" s="16" t="s">
        <v>272</v>
      </c>
      <c r="E205">
        <v>0</v>
      </c>
      <c r="F205" s="15">
        <v>13.775</v>
      </c>
      <c r="G205" s="15"/>
      <c r="H205" s="15"/>
      <c r="I205" s="15">
        <v>49.039999999999992</v>
      </c>
      <c r="J205" s="15">
        <v>11.7</v>
      </c>
      <c r="K205" s="15"/>
      <c r="L205" s="15">
        <f>IF(Table2[[#This Row],[Lipids wt%]]+Table2[[#This Row],[Protein wt%]]+Table2[[#This Row],[Carbs wt%]] =0,"",SUM(Table2[[#This Row],[Lipids wt%]],Table2[[#This Row],[Protein wt%]],Table2[[#This Row],[Carbs wt%]]))</f>
        <v>74.515000000000001</v>
      </c>
      <c r="M205" s="15">
        <f>100-Table2[[#This Row],[Lipids wt%]]-Table2[[#This Row],[Protein wt%]]-Table2[[#This Row],[Carbs wt%]]</f>
        <v>25.485000000000007</v>
      </c>
      <c r="Z205" s="15"/>
      <c r="AA205" s="15"/>
      <c r="AB205" s="15"/>
      <c r="AC205" s="15"/>
      <c r="AD205" s="15"/>
      <c r="AE205" s="15"/>
      <c r="AF205" s="15"/>
      <c r="AG205" s="15">
        <v>0.05</v>
      </c>
      <c r="AH205" s="15">
        <v>4</v>
      </c>
      <c r="AI205" s="15">
        <v>40</v>
      </c>
      <c r="AJ205" s="15">
        <f>Table2[[#This Row],[Solids (g)]]/(Table2[[#This Row],[Solids (g)]]+Table2[[#This Row],[Water mL]])*100</f>
        <v>9.0909090909090917</v>
      </c>
      <c r="AM205" s="13"/>
      <c r="AO205" s="15"/>
      <c r="AP205" s="15" t="e">
        <f>LN(25/Table2[[#This Row],[Temperature (C)]]/(1-SQRT((Table2[[#This Row],[Temperature (C)]]-5)/Table2[[#This Row],[Temperature (C)]])))/Table2[[#This Row],[b]]</f>
        <v>#DIV/0!</v>
      </c>
      <c r="AQ205" s="15">
        <f>IF(Table2[[#This Row],[b]]&lt;&gt;"",Table2[[#This Row],[T-5]], 0)</f>
        <v>0</v>
      </c>
      <c r="AR205">
        <v>30</v>
      </c>
      <c r="AT205" t="s">
        <v>503</v>
      </c>
      <c r="AU205">
        <v>300</v>
      </c>
      <c r="AV205" s="15">
        <v>6.9930069930070005</v>
      </c>
      <c r="AW205" s="15">
        <v>30.069930069929999</v>
      </c>
      <c r="AX205" s="15">
        <v>44.5221445221446</v>
      </c>
      <c r="AY205" s="15"/>
      <c r="AZ205" s="15"/>
      <c r="BA205" s="15"/>
      <c r="BB205" s="15" t="str">
        <f>IF(OR(Table2[[#This Row],[Gas wt%]]&lt;&gt;"",Table2[[#This Row],[Loss]]&lt;&gt;""),Table2[[#This Row],[Gas wt%]]+Table2[[#This Row],[Loss]],"")</f>
        <v/>
      </c>
      <c r="BC205" s="15"/>
      <c r="BD205" s="15"/>
      <c r="BE205" s="15"/>
      <c r="BF205" s="15"/>
      <c r="BG205" s="15"/>
      <c r="BH205" s="15">
        <v>18.414918414918404</v>
      </c>
      <c r="BI205" s="15">
        <v>67.400000000000006</v>
      </c>
      <c r="BJ205" s="15">
        <v>7.4</v>
      </c>
      <c r="BK205" s="15">
        <f>100-Table2[[#This Row],[C% B]]-Table2[[#This Row],[H% B]]-Table2[[#This Row],[N% B]]</f>
        <v>16.399999999999995</v>
      </c>
      <c r="BL205" s="15">
        <v>8.8000000000000007</v>
      </c>
      <c r="BM205" s="15"/>
      <c r="BN205" s="15">
        <f>(33.5*Table2[[#This Row],[C% B]]+142.3*Table2[[#This Row],[H% B]]-15.4*Table2[[#This Row],[O% B]]-14.5*Table2[[#This Row],[N% B]])/100</f>
        <v>29.307600000000001</v>
      </c>
      <c r="BO205" s="15"/>
      <c r="BP205" s="15"/>
      <c r="BQ205" s="15">
        <f>Table2[[#This Row],[H% B]]/Table2[[#This Row],[C% B]]*100</f>
        <v>10.979228486646884</v>
      </c>
      <c r="BR205" s="15"/>
      <c r="BS205" s="15"/>
      <c r="BT205" s="15"/>
      <c r="BU205" s="15"/>
      <c r="BV205" s="15"/>
      <c r="BW205" s="15"/>
      <c r="BX205" s="15"/>
      <c r="BY205" s="15"/>
      <c r="BZ205" s="15"/>
      <c r="CA205" s="15"/>
      <c r="CB205" s="15"/>
      <c r="CC205" s="15"/>
      <c r="CD205" s="15"/>
      <c r="CE205" s="15"/>
      <c r="CF205" s="15">
        <v>27.7</v>
      </c>
      <c r="CG205" s="15">
        <v>3.6</v>
      </c>
      <c r="CH205" s="15"/>
      <c r="CI205" s="15">
        <v>2.8</v>
      </c>
      <c r="CJ205" s="15"/>
      <c r="CK205" s="15"/>
      <c r="CL205" s="15"/>
      <c r="CM205" s="15">
        <v>17.3</v>
      </c>
      <c r="CN205" s="15">
        <v>3.2</v>
      </c>
      <c r="CO205" s="15"/>
      <c r="CP205" s="15">
        <v>4.7</v>
      </c>
      <c r="CQ205" s="15"/>
      <c r="CR205" s="15"/>
      <c r="CS205" s="15"/>
      <c r="CT205" s="15"/>
      <c r="CU205" s="15"/>
      <c r="CV205" s="15"/>
      <c r="CW205" s="15"/>
      <c r="CX205" s="15"/>
      <c r="CY205" s="15"/>
      <c r="CZ205" s="15"/>
      <c r="DA205" s="15"/>
      <c r="DB205" s="15">
        <v>0</v>
      </c>
    </row>
    <row r="206" spans="1:106" x14ac:dyDescent="0.25">
      <c r="A206" t="s">
        <v>294</v>
      </c>
      <c r="B206" t="s">
        <v>295</v>
      </c>
      <c r="C206">
        <v>2022</v>
      </c>
      <c r="D206" s="16" t="s">
        <v>210</v>
      </c>
      <c r="E206">
        <v>0</v>
      </c>
      <c r="F206" s="15">
        <v>16.156351791530945</v>
      </c>
      <c r="G206" s="15"/>
      <c r="H206" s="15"/>
      <c r="I206" s="15">
        <v>47.426710097719869</v>
      </c>
      <c r="J206" s="15">
        <v>24.820846905537458</v>
      </c>
      <c r="K206" s="15"/>
      <c r="L206" s="15">
        <f>IF(Table2[[#This Row],[Lipids wt%]]+Table2[[#This Row],[Protein wt%]]+Table2[[#This Row],[Carbs wt%]] =0,"",SUM(Table2[[#This Row],[Lipids wt%]],Table2[[#This Row],[Protein wt%]],Table2[[#This Row],[Carbs wt%]]))</f>
        <v>88.403908794788265</v>
      </c>
      <c r="M206" s="15">
        <v>8.9</v>
      </c>
      <c r="P206">
        <v>23.25</v>
      </c>
      <c r="Z206" s="15">
        <v>49.27</v>
      </c>
      <c r="AA206" s="15">
        <v>7.27</v>
      </c>
      <c r="AB206" s="15">
        <v>36.340000000000003</v>
      </c>
      <c r="AC206" s="15">
        <v>6.29</v>
      </c>
      <c r="AD206" s="15">
        <v>0.83</v>
      </c>
      <c r="AE206" s="15"/>
      <c r="AF206" s="15">
        <v>22.14</v>
      </c>
      <c r="AG206" s="15">
        <v>0.05</v>
      </c>
      <c r="AH206" s="15">
        <v>3</v>
      </c>
      <c r="AI206" s="15">
        <v>10</v>
      </c>
      <c r="AJ206" s="15">
        <f>Table2[[#This Row],[Solids (g)]]/(Table2[[#This Row],[Solids (g)]]+Table2[[#This Row],[Water mL]])*100</f>
        <v>23.076923076923077</v>
      </c>
      <c r="AM206" s="13">
        <v>4.6272799999999998</v>
      </c>
      <c r="AN206">
        <v>1</v>
      </c>
      <c r="AO206" s="15"/>
      <c r="AP206" s="15">
        <f>LN(25/Table2[[#This Row],[Temperature (C)]]/(1-SQRT((Table2[[#This Row],[Temperature (C)]]-5)/Table2[[#This Row],[Temperature (C)]])))/Table2[[#This Row],[b]]</f>
        <v>0.49647645961976544</v>
      </c>
      <c r="AQ206" s="15">
        <f>IF(Table2[[#This Row],[b]]&lt;&gt;"",Table2[[#This Row],[T-5]], 0)</f>
        <v>0.49647645961976544</v>
      </c>
      <c r="AR206">
        <v>3</v>
      </c>
      <c r="AT206" t="s">
        <v>503</v>
      </c>
      <c r="AU206">
        <v>240</v>
      </c>
      <c r="AV206" s="15">
        <v>12.339743589743501</v>
      </c>
      <c r="AW206" s="15">
        <v>26.773504273504201</v>
      </c>
      <c r="AX206" s="15">
        <v>1.72008547008546</v>
      </c>
      <c r="AY206" s="15"/>
      <c r="AZ206" s="15"/>
      <c r="BA206" s="15"/>
      <c r="BB206" s="15" t="str">
        <f>IF(OR(Table2[[#This Row],[Gas wt%]]&lt;&gt;"",Table2[[#This Row],[Loss]]&lt;&gt;""),Table2[[#This Row],[Gas wt%]]+Table2[[#This Row],[Loss]],"")</f>
        <v/>
      </c>
      <c r="BC206" s="15"/>
      <c r="BD206" s="15"/>
      <c r="BE206" s="15"/>
      <c r="BF206" s="15"/>
      <c r="BG206" s="15"/>
      <c r="BH206" s="15">
        <f>100-Table2[[#This Row],[Solids wt%]]-Table2[[#This Row],[Biocrude wt%]]-Table2[[#This Row],[Aquous wt%]]</f>
        <v>59.166666666666835</v>
      </c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>
        <v>0</v>
      </c>
    </row>
    <row r="207" spans="1:106" x14ac:dyDescent="0.25">
      <c r="A207" t="s">
        <v>294</v>
      </c>
      <c r="B207" t="s">
        <v>295</v>
      </c>
      <c r="C207">
        <v>2022</v>
      </c>
      <c r="D207" s="16" t="s">
        <v>210</v>
      </c>
      <c r="E207">
        <v>0</v>
      </c>
      <c r="F207" s="15">
        <v>16.156351791530945</v>
      </c>
      <c r="G207" s="15"/>
      <c r="H207" s="15"/>
      <c r="I207" s="15">
        <v>47.426710097719869</v>
      </c>
      <c r="J207" s="15">
        <v>24.820846905537458</v>
      </c>
      <c r="K207" s="15"/>
      <c r="L207" s="15">
        <f>IF(Table2[[#This Row],[Lipids wt%]]+Table2[[#This Row],[Protein wt%]]+Table2[[#This Row],[Carbs wt%]] =0,"",SUM(Table2[[#This Row],[Lipids wt%]],Table2[[#This Row],[Protein wt%]],Table2[[#This Row],[Carbs wt%]]))</f>
        <v>88.403908794788265</v>
      </c>
      <c r="M207" s="15">
        <v>8.9</v>
      </c>
      <c r="P207">
        <v>23.25</v>
      </c>
      <c r="Z207" s="15">
        <v>49.27</v>
      </c>
      <c r="AA207" s="15">
        <v>7.27</v>
      </c>
      <c r="AB207" s="15">
        <v>36.340000000000003</v>
      </c>
      <c r="AC207" s="15">
        <v>6.29</v>
      </c>
      <c r="AD207" s="15">
        <v>0.83</v>
      </c>
      <c r="AE207" s="15"/>
      <c r="AF207" s="15">
        <v>22.14</v>
      </c>
      <c r="AG207" s="15">
        <v>0.05</v>
      </c>
      <c r="AH207" s="15">
        <v>3</v>
      </c>
      <c r="AI207" s="15">
        <v>10</v>
      </c>
      <c r="AJ207" s="15">
        <f>Table2[[#This Row],[Solids (g)]]/(Table2[[#This Row],[Solids (g)]]+Table2[[#This Row],[Water mL]])*100</f>
        <v>23.076923076923077</v>
      </c>
      <c r="AM207" s="13">
        <v>4.6272799999999998</v>
      </c>
      <c r="AN207">
        <v>1</v>
      </c>
      <c r="AO207" s="15"/>
      <c r="AP207" s="15">
        <f>LN(25/Table2[[#This Row],[Temperature (C)]]/(1-SQRT((Table2[[#This Row],[Temperature (C)]]-5)/Table2[[#This Row],[Temperature (C)]])))/Table2[[#This Row],[b]]</f>
        <v>0.49656436495582928</v>
      </c>
      <c r="AQ207" s="15">
        <f>IF(Table2[[#This Row],[b]]&lt;&gt;"",Table2[[#This Row],[T-5]], 0)</f>
        <v>0.49656436495582928</v>
      </c>
      <c r="AR207">
        <v>3</v>
      </c>
      <c r="AT207" t="s">
        <v>503</v>
      </c>
      <c r="AU207">
        <v>260</v>
      </c>
      <c r="AV207" s="15">
        <v>8.9743589743589691</v>
      </c>
      <c r="AW207" s="15">
        <v>28.119658119658101</v>
      </c>
      <c r="AX207" s="15">
        <v>2.8418803418803402</v>
      </c>
      <c r="AY207" s="15"/>
      <c r="AZ207" s="15"/>
      <c r="BA207" s="15"/>
      <c r="BB207" s="15" t="str">
        <f>IF(OR(Table2[[#This Row],[Gas wt%]]&lt;&gt;"",Table2[[#This Row],[Loss]]&lt;&gt;""),Table2[[#This Row],[Gas wt%]]+Table2[[#This Row],[Loss]],"")</f>
        <v/>
      </c>
      <c r="BC207" s="15"/>
      <c r="BD207" s="15"/>
      <c r="BE207" s="15"/>
      <c r="BF207" s="15"/>
      <c r="BG207" s="15"/>
      <c r="BH207" s="15">
        <f>100-Table2[[#This Row],[Solids wt%]]-Table2[[#This Row],[Biocrude wt%]]-Table2[[#This Row],[Aquous wt%]]</f>
        <v>60.064102564102598</v>
      </c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  <c r="BY207" s="15"/>
      <c r="BZ207" s="15"/>
      <c r="CA207" s="15"/>
      <c r="CB207" s="15"/>
      <c r="CC207" s="15"/>
      <c r="CD207" s="15"/>
      <c r="CE207" s="15"/>
      <c r="CF207" s="15"/>
      <c r="CG207" s="15"/>
      <c r="CH207" s="15"/>
      <c r="CI207" s="15"/>
      <c r="CJ207" s="15"/>
      <c r="CK207" s="15"/>
      <c r="CL207" s="15"/>
      <c r="CM207" s="15"/>
      <c r="CN207" s="15"/>
      <c r="CO207" s="15"/>
      <c r="CP207" s="15"/>
      <c r="CQ207" s="15"/>
      <c r="CR207" s="15"/>
      <c r="CS207" s="15"/>
      <c r="CT207" s="15"/>
      <c r="CU207" s="15"/>
      <c r="CV207" s="15"/>
      <c r="CW207" s="15"/>
      <c r="CX207" s="15"/>
      <c r="CY207" s="15"/>
      <c r="CZ207" s="15"/>
      <c r="DA207" s="15"/>
      <c r="DB207" s="15">
        <v>0</v>
      </c>
    </row>
    <row r="208" spans="1:106" x14ac:dyDescent="0.25">
      <c r="A208" t="s">
        <v>294</v>
      </c>
      <c r="B208" t="s">
        <v>295</v>
      </c>
      <c r="C208">
        <v>2022</v>
      </c>
      <c r="D208" s="16" t="s">
        <v>210</v>
      </c>
      <c r="E208">
        <v>0</v>
      </c>
      <c r="F208" s="15">
        <v>16.156351791530945</v>
      </c>
      <c r="G208" s="15"/>
      <c r="H208" s="15"/>
      <c r="I208" s="15">
        <v>47.426710097719869</v>
      </c>
      <c r="J208" s="15">
        <v>24.820846905537458</v>
      </c>
      <c r="K208" s="15"/>
      <c r="L208" s="15">
        <f>IF(Table2[[#This Row],[Lipids wt%]]+Table2[[#This Row],[Protein wt%]]+Table2[[#This Row],[Carbs wt%]] =0,"",SUM(Table2[[#This Row],[Lipids wt%]],Table2[[#This Row],[Protein wt%]],Table2[[#This Row],[Carbs wt%]]))</f>
        <v>88.403908794788265</v>
      </c>
      <c r="M208" s="15">
        <v>8.9</v>
      </c>
      <c r="P208">
        <v>23.25</v>
      </c>
      <c r="Z208" s="15">
        <v>49.27</v>
      </c>
      <c r="AA208" s="15">
        <v>7.27</v>
      </c>
      <c r="AB208" s="15">
        <v>36.340000000000003</v>
      </c>
      <c r="AC208" s="15">
        <v>6.29</v>
      </c>
      <c r="AD208" s="15">
        <v>0.83</v>
      </c>
      <c r="AE208" s="15"/>
      <c r="AF208" s="15">
        <v>22.14</v>
      </c>
      <c r="AG208" s="15">
        <v>0.05</v>
      </c>
      <c r="AH208" s="15">
        <v>3</v>
      </c>
      <c r="AI208" s="15">
        <v>10</v>
      </c>
      <c r="AJ208" s="15">
        <f>Table2[[#This Row],[Solids (g)]]/(Table2[[#This Row],[Solids (g)]]+Table2[[#This Row],[Water mL]])*100</f>
        <v>23.076923076923077</v>
      </c>
      <c r="AM208" s="13">
        <v>4.6272799999999998</v>
      </c>
      <c r="AN208">
        <v>1</v>
      </c>
      <c r="AO208" s="15"/>
      <c r="AP208" s="15">
        <f>LN(25/Table2[[#This Row],[Temperature (C)]]/(1-SQRT((Table2[[#This Row],[Temperature (C)]]-5)/Table2[[#This Row],[Temperature (C)]])))/Table2[[#This Row],[b]]</f>
        <v>0.49663962682471302</v>
      </c>
      <c r="AQ208" s="15">
        <f>IF(Table2[[#This Row],[b]]&lt;&gt;"",Table2[[#This Row],[T-5]], 0)</f>
        <v>0.49663962682471302</v>
      </c>
      <c r="AR208">
        <v>3</v>
      </c>
      <c r="AT208" t="s">
        <v>503</v>
      </c>
      <c r="AU208">
        <v>280</v>
      </c>
      <c r="AV208" s="15">
        <v>8.6004273504273492</v>
      </c>
      <c r="AW208" s="15">
        <v>28.792735042735</v>
      </c>
      <c r="AX208" s="15">
        <v>3.6645299145299099</v>
      </c>
      <c r="AY208" s="15"/>
      <c r="AZ208" s="15"/>
      <c r="BA208" s="15"/>
      <c r="BB208" s="15" t="str">
        <f>IF(OR(Table2[[#This Row],[Gas wt%]]&lt;&gt;"",Table2[[#This Row],[Loss]]&lt;&gt;""),Table2[[#This Row],[Gas wt%]]+Table2[[#This Row],[Loss]],"")</f>
        <v/>
      </c>
      <c r="BC208" s="15"/>
      <c r="BD208" s="15"/>
      <c r="BE208" s="15"/>
      <c r="BF208" s="15"/>
      <c r="BG208" s="15"/>
      <c r="BH208" s="15">
        <f>100-Table2[[#This Row],[Solids wt%]]-Table2[[#This Row],[Biocrude wt%]]-Table2[[#This Row],[Aquous wt%]]</f>
        <v>58.942307692307736</v>
      </c>
      <c r="BI208" s="15"/>
      <c r="BJ208" s="15"/>
      <c r="BK208" s="15"/>
      <c r="BL208" s="15"/>
      <c r="BM208" s="15"/>
      <c r="BN208" s="15"/>
      <c r="BO208" s="15"/>
      <c r="BP208" s="15"/>
      <c r="BQ208" s="15"/>
      <c r="BR208" s="15"/>
      <c r="BS208" s="15"/>
      <c r="BT208" s="15"/>
      <c r="BU208" s="15"/>
      <c r="BV208" s="15"/>
      <c r="BW208" s="15"/>
      <c r="BX208" s="15"/>
      <c r="BY208" s="15"/>
      <c r="BZ208" s="15"/>
      <c r="CA208" s="15"/>
      <c r="CB208" s="15"/>
      <c r="CC208" s="15"/>
      <c r="CD208" s="15"/>
      <c r="CE208" s="15"/>
      <c r="CF208" s="15"/>
      <c r="CG208" s="15"/>
      <c r="CH208" s="15"/>
      <c r="CI208" s="15"/>
      <c r="CJ208" s="15"/>
      <c r="CK208" s="15"/>
      <c r="CL208" s="15"/>
      <c r="CM208" s="15"/>
      <c r="CN208" s="15"/>
      <c r="CO208" s="15"/>
      <c r="CP208" s="15"/>
      <c r="CQ208" s="15"/>
      <c r="CR208" s="15"/>
      <c r="CS208" s="15"/>
      <c r="CT208" s="15"/>
      <c r="CU208" s="15"/>
      <c r="CV208" s="15"/>
      <c r="CW208" s="15"/>
      <c r="CX208" s="15"/>
      <c r="CY208" s="15"/>
      <c r="CZ208" s="15"/>
      <c r="DA208" s="15"/>
      <c r="DB208" s="15">
        <v>0</v>
      </c>
    </row>
    <row r="209" spans="1:106" x14ac:dyDescent="0.25">
      <c r="A209" t="s">
        <v>294</v>
      </c>
      <c r="B209" t="s">
        <v>295</v>
      </c>
      <c r="C209">
        <v>2022</v>
      </c>
      <c r="D209" s="16" t="s">
        <v>210</v>
      </c>
      <c r="E209">
        <v>0</v>
      </c>
      <c r="F209" s="15">
        <v>16.156351791530945</v>
      </c>
      <c r="G209" s="15"/>
      <c r="H209" s="15"/>
      <c r="I209" s="15">
        <v>47.426710097719869</v>
      </c>
      <c r="J209" s="15">
        <v>24.820846905537458</v>
      </c>
      <c r="K209" s="15"/>
      <c r="L209" s="15">
        <f>IF(Table2[[#This Row],[Lipids wt%]]+Table2[[#This Row],[Protein wt%]]+Table2[[#This Row],[Carbs wt%]] =0,"",SUM(Table2[[#This Row],[Lipids wt%]],Table2[[#This Row],[Protein wt%]],Table2[[#This Row],[Carbs wt%]]))</f>
        <v>88.403908794788265</v>
      </c>
      <c r="M209" s="15">
        <v>8.9</v>
      </c>
      <c r="P209">
        <v>23.25</v>
      </c>
      <c r="Z209" s="15">
        <v>49.27</v>
      </c>
      <c r="AA209" s="15">
        <v>7.27</v>
      </c>
      <c r="AB209" s="15">
        <v>36.340000000000003</v>
      </c>
      <c r="AC209" s="15">
        <v>6.29</v>
      </c>
      <c r="AD209" s="15">
        <v>0.83</v>
      </c>
      <c r="AE209" s="15"/>
      <c r="AF209" s="15">
        <v>22.14</v>
      </c>
      <c r="AG209" s="15">
        <v>0.05</v>
      </c>
      <c r="AH209" s="15">
        <v>3</v>
      </c>
      <c r="AI209" s="15">
        <v>10</v>
      </c>
      <c r="AJ209" s="15">
        <f>Table2[[#This Row],[Solids (g)]]/(Table2[[#This Row],[Solids (g)]]+Table2[[#This Row],[Water mL]])*100</f>
        <v>23.076923076923077</v>
      </c>
      <c r="AM209" s="13">
        <v>4.6272799999999998</v>
      </c>
      <c r="AN209">
        <v>1</v>
      </c>
      <c r="AO209" s="15"/>
      <c r="AP209" s="15">
        <f>LN(25/Table2[[#This Row],[Temperature (C)]]/(1-SQRT((Table2[[#This Row],[Temperature (C)]]-5)/Table2[[#This Row],[Temperature (C)]])))/Table2[[#This Row],[b]]</f>
        <v>0.49670479004183493</v>
      </c>
      <c r="AQ209" s="15">
        <f>IF(Table2[[#This Row],[b]]&lt;&gt;"",Table2[[#This Row],[T-5]], 0)</f>
        <v>0.49670479004183493</v>
      </c>
      <c r="AR209">
        <v>3</v>
      </c>
      <c r="AT209" t="s">
        <v>503</v>
      </c>
      <c r="AU209">
        <v>300</v>
      </c>
      <c r="AV209" s="15">
        <v>6.2072649572649503</v>
      </c>
      <c r="AW209" s="15">
        <v>29.017094017093999</v>
      </c>
      <c r="AX209" s="15">
        <v>3.9636752136752098</v>
      </c>
      <c r="AY209" s="15"/>
      <c r="AZ209" s="15"/>
      <c r="BA209" s="15"/>
      <c r="BB209" s="15" t="str">
        <f>IF(OR(Table2[[#This Row],[Gas wt%]]&lt;&gt;"",Table2[[#This Row],[Loss]]&lt;&gt;""),Table2[[#This Row],[Gas wt%]]+Table2[[#This Row],[Loss]],"")</f>
        <v/>
      </c>
      <c r="BC209" s="15"/>
      <c r="BD209" s="15"/>
      <c r="BE209" s="15"/>
      <c r="BF209" s="15"/>
      <c r="BG209" s="15"/>
      <c r="BH209" s="15">
        <f>100-Table2[[#This Row],[Solids wt%]]-Table2[[#This Row],[Biocrude wt%]]-Table2[[#This Row],[Aquous wt%]]</f>
        <v>60.811965811965841</v>
      </c>
      <c r="BI209" s="15"/>
      <c r="BJ209" s="15"/>
      <c r="BK209" s="15"/>
      <c r="BL209" s="15"/>
      <c r="BM209" s="15"/>
      <c r="BN209" s="15"/>
      <c r="BO209" s="15"/>
      <c r="BP209" s="15"/>
      <c r="BQ209" s="15"/>
      <c r="BR209" s="15"/>
      <c r="BS209" s="15"/>
      <c r="BT209" s="15"/>
      <c r="BU209" s="15"/>
      <c r="BV209" s="15"/>
      <c r="BW209" s="15"/>
      <c r="BX209" s="15"/>
      <c r="BY209" s="15"/>
      <c r="BZ209" s="15"/>
      <c r="CA209" s="15"/>
      <c r="CB209" s="15"/>
      <c r="CC209" s="15"/>
      <c r="CD209" s="15"/>
      <c r="CE209" s="15"/>
      <c r="CF209" s="15"/>
      <c r="CG209" s="15"/>
      <c r="CH209" s="15"/>
      <c r="CI209" s="15"/>
      <c r="CJ209" s="15"/>
      <c r="CK209" s="15"/>
      <c r="CL209" s="15"/>
      <c r="CM209" s="15"/>
      <c r="CN209" s="15"/>
      <c r="CO209" s="15"/>
      <c r="CP209" s="15"/>
      <c r="CQ209" s="15"/>
      <c r="CR209" s="15"/>
      <c r="CS209" s="15"/>
      <c r="CT209" s="15"/>
      <c r="CU209" s="15"/>
      <c r="CV209" s="15"/>
      <c r="CW209" s="15"/>
      <c r="CX209" s="15"/>
      <c r="CY209" s="15"/>
      <c r="CZ209" s="15"/>
      <c r="DA209" s="15"/>
      <c r="DB209" s="15">
        <v>0</v>
      </c>
    </row>
    <row r="210" spans="1:106" x14ac:dyDescent="0.25">
      <c r="A210" t="s">
        <v>294</v>
      </c>
      <c r="B210" t="s">
        <v>295</v>
      </c>
      <c r="C210">
        <v>2022</v>
      </c>
      <c r="D210" s="16" t="s">
        <v>210</v>
      </c>
      <c r="E210">
        <v>0</v>
      </c>
      <c r="F210" s="15">
        <v>16.156351791530945</v>
      </c>
      <c r="G210" s="15"/>
      <c r="H210" s="15"/>
      <c r="I210" s="15">
        <v>47.426710097719869</v>
      </c>
      <c r="J210" s="15">
        <v>24.820846905537458</v>
      </c>
      <c r="K210" s="15"/>
      <c r="L210" s="15">
        <f>IF(Table2[[#This Row],[Lipids wt%]]+Table2[[#This Row],[Protein wt%]]+Table2[[#This Row],[Carbs wt%]] =0,"",SUM(Table2[[#This Row],[Lipids wt%]],Table2[[#This Row],[Protein wt%]],Table2[[#This Row],[Carbs wt%]]))</f>
        <v>88.403908794788265</v>
      </c>
      <c r="M210" s="15">
        <v>8.9</v>
      </c>
      <c r="P210">
        <v>23.25</v>
      </c>
      <c r="Z210" s="15">
        <v>49.27</v>
      </c>
      <c r="AA210" s="15">
        <v>7.27</v>
      </c>
      <c r="AB210" s="15">
        <v>36.340000000000003</v>
      </c>
      <c r="AC210" s="15">
        <v>6.29</v>
      </c>
      <c r="AD210" s="15">
        <v>0.83</v>
      </c>
      <c r="AE210" s="15"/>
      <c r="AF210" s="15">
        <v>22.14</v>
      </c>
      <c r="AG210" s="15">
        <v>0.05</v>
      </c>
      <c r="AH210" s="15">
        <v>3</v>
      </c>
      <c r="AI210" s="15">
        <v>10</v>
      </c>
      <c r="AJ210" s="15">
        <f>Table2[[#This Row],[Solids (g)]]/(Table2[[#This Row],[Solids (g)]]+Table2[[#This Row],[Water mL]])*100</f>
        <v>23.076923076923077</v>
      </c>
      <c r="AM210" s="13">
        <v>4.6272799999999998</v>
      </c>
      <c r="AN210">
        <v>1</v>
      </c>
      <c r="AO210" s="15"/>
      <c r="AP210" s="15">
        <f>LN(25/Table2[[#This Row],[Temperature (C)]]/(1-SQRT((Table2[[#This Row],[Temperature (C)]]-5)/Table2[[#This Row],[Temperature (C)]])))/Table2[[#This Row],[b]]</f>
        <v>0.49647645961976544</v>
      </c>
      <c r="AQ210" s="15">
        <f>IF(Table2[[#This Row],[b]]&lt;&gt;"",Table2[[#This Row],[T-5]], 0)</f>
        <v>0.49647645961976544</v>
      </c>
      <c r="AR210">
        <v>30</v>
      </c>
      <c r="AT210" t="s">
        <v>503</v>
      </c>
      <c r="AU210">
        <v>240</v>
      </c>
      <c r="AV210" s="15">
        <v>12.2162740899357</v>
      </c>
      <c r="AW210" s="15">
        <v>26.4561027837259</v>
      </c>
      <c r="AX210" s="15">
        <v>4.3468950749464597</v>
      </c>
      <c r="AY210" s="15"/>
      <c r="AZ210" s="15"/>
      <c r="BA210" s="15"/>
      <c r="BB210" s="15" t="str">
        <f>IF(OR(Table2[[#This Row],[Gas wt%]]&lt;&gt;"",Table2[[#This Row],[Loss]]&lt;&gt;""),Table2[[#This Row],[Gas wt%]]+Table2[[#This Row],[Loss]],"")</f>
        <v/>
      </c>
      <c r="BC210" s="15"/>
      <c r="BD210" s="15"/>
      <c r="BE210" s="15"/>
      <c r="BF210" s="15"/>
      <c r="BG210" s="15"/>
      <c r="BH210" s="15">
        <f>100-Table2[[#This Row],[Solids wt%]]-Table2[[#This Row],[Biocrude wt%]]-Table2[[#This Row],[Aquous wt%]]</f>
        <v>56.980728051391949</v>
      </c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  <c r="BY210" s="15"/>
      <c r="BZ210" s="15"/>
      <c r="CA210" s="15"/>
      <c r="CB210" s="15"/>
      <c r="CC210" s="15"/>
      <c r="CD210" s="15"/>
      <c r="CE210" s="15"/>
      <c r="CF210" s="15"/>
      <c r="CG210" s="15"/>
      <c r="CH210" s="15"/>
      <c r="CI210" s="15"/>
      <c r="CJ210" s="15"/>
      <c r="CK210" s="15"/>
      <c r="CL210" s="15"/>
      <c r="CM210" s="15"/>
      <c r="CN210" s="15"/>
      <c r="CO210" s="15"/>
      <c r="CP210" s="15"/>
      <c r="CQ210" s="15"/>
      <c r="CR210" s="15"/>
      <c r="CS210" s="15"/>
      <c r="CT210" s="15"/>
      <c r="CU210" s="15"/>
      <c r="CV210" s="15"/>
      <c r="CW210" s="15"/>
      <c r="CX210" s="15"/>
      <c r="CY210" s="15"/>
      <c r="CZ210" s="15"/>
      <c r="DA210" s="15"/>
      <c r="DB210" s="15">
        <v>0</v>
      </c>
    </row>
    <row r="211" spans="1:106" x14ac:dyDescent="0.25">
      <c r="A211" t="s">
        <v>294</v>
      </c>
      <c r="B211" t="s">
        <v>295</v>
      </c>
      <c r="C211">
        <v>2022</v>
      </c>
      <c r="D211" s="16" t="s">
        <v>210</v>
      </c>
      <c r="E211">
        <v>0</v>
      </c>
      <c r="F211" s="15">
        <v>16.156351791530945</v>
      </c>
      <c r="G211" s="15"/>
      <c r="H211" s="15"/>
      <c r="I211" s="15">
        <v>47.426710097719869</v>
      </c>
      <c r="J211" s="15">
        <v>24.820846905537458</v>
      </c>
      <c r="K211" s="15"/>
      <c r="L211" s="15">
        <f>IF(Table2[[#This Row],[Lipids wt%]]+Table2[[#This Row],[Protein wt%]]+Table2[[#This Row],[Carbs wt%]] =0,"",SUM(Table2[[#This Row],[Lipids wt%]],Table2[[#This Row],[Protein wt%]],Table2[[#This Row],[Carbs wt%]]))</f>
        <v>88.403908794788265</v>
      </c>
      <c r="M211" s="15">
        <v>8.9</v>
      </c>
      <c r="P211">
        <v>23.25</v>
      </c>
      <c r="Z211" s="15">
        <v>49.27</v>
      </c>
      <c r="AA211" s="15">
        <v>7.27</v>
      </c>
      <c r="AB211" s="15">
        <v>36.340000000000003</v>
      </c>
      <c r="AC211" s="15">
        <v>6.29</v>
      </c>
      <c r="AD211" s="15">
        <v>0.83</v>
      </c>
      <c r="AE211" s="15"/>
      <c r="AF211" s="15">
        <v>22.14</v>
      </c>
      <c r="AG211" s="15">
        <v>0.05</v>
      </c>
      <c r="AH211" s="15">
        <v>3</v>
      </c>
      <c r="AI211" s="15">
        <v>10</v>
      </c>
      <c r="AJ211" s="15">
        <f>Table2[[#This Row],[Solids (g)]]/(Table2[[#This Row],[Solids (g)]]+Table2[[#This Row],[Water mL]])*100</f>
        <v>23.076923076923077</v>
      </c>
      <c r="AM211" s="13">
        <v>4.6272799999999998</v>
      </c>
      <c r="AN211">
        <v>1</v>
      </c>
      <c r="AO211" s="15"/>
      <c r="AP211" s="15">
        <f>LN(25/Table2[[#This Row],[Temperature (C)]]/(1-SQRT((Table2[[#This Row],[Temperature (C)]]-5)/Table2[[#This Row],[Temperature (C)]])))/Table2[[#This Row],[b]]</f>
        <v>0.49656436495582928</v>
      </c>
      <c r="AQ211" s="15">
        <f>IF(Table2[[#This Row],[b]]&lt;&gt;"",Table2[[#This Row],[T-5]], 0)</f>
        <v>0.49656436495582928</v>
      </c>
      <c r="AR211">
        <v>30</v>
      </c>
      <c r="AT211" t="s">
        <v>503</v>
      </c>
      <c r="AU211">
        <v>260</v>
      </c>
      <c r="AV211" s="15">
        <v>7.34475374732334</v>
      </c>
      <c r="AW211" s="15">
        <v>26.081370449678701</v>
      </c>
      <c r="AX211" s="15">
        <v>4.7216274089935704</v>
      </c>
      <c r="AY211" s="15"/>
      <c r="AZ211" s="15"/>
      <c r="BA211" s="15"/>
      <c r="BB211" s="15" t="str">
        <f>IF(OR(Table2[[#This Row],[Gas wt%]]&lt;&gt;"",Table2[[#This Row],[Loss]]&lt;&gt;""),Table2[[#This Row],[Gas wt%]]+Table2[[#This Row],[Loss]],"")</f>
        <v/>
      </c>
      <c r="BC211" s="15"/>
      <c r="BD211" s="15"/>
      <c r="BE211" s="15"/>
      <c r="BF211" s="15"/>
      <c r="BG211" s="15"/>
      <c r="BH211" s="15">
        <f>100-Table2[[#This Row],[Solids wt%]]-Table2[[#This Row],[Biocrude wt%]]-Table2[[#This Row],[Aquous wt%]]</f>
        <v>61.852248394004391</v>
      </c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  <c r="BY211" s="15"/>
      <c r="BZ211" s="15"/>
      <c r="CA211" s="15"/>
      <c r="CB211" s="15"/>
      <c r="CC211" s="15"/>
      <c r="CD211" s="15"/>
      <c r="CE211" s="15"/>
      <c r="CF211" s="15"/>
      <c r="CG211" s="15"/>
      <c r="CH211" s="15"/>
      <c r="CI211" s="15"/>
      <c r="CJ211" s="15"/>
      <c r="CK211" s="15"/>
      <c r="CL211" s="15"/>
      <c r="CM211" s="15"/>
      <c r="CN211" s="15"/>
      <c r="CO211" s="15"/>
      <c r="CP211" s="15"/>
      <c r="CQ211" s="15"/>
      <c r="CR211" s="15"/>
      <c r="CS211" s="15"/>
      <c r="CT211" s="15"/>
      <c r="CU211" s="15"/>
      <c r="CV211" s="15"/>
      <c r="CW211" s="15"/>
      <c r="CX211" s="15"/>
      <c r="CY211" s="15"/>
      <c r="CZ211" s="15"/>
      <c r="DA211" s="15"/>
      <c r="DB211" s="15">
        <v>0</v>
      </c>
    </row>
    <row r="212" spans="1:106" x14ac:dyDescent="0.25">
      <c r="A212" t="s">
        <v>294</v>
      </c>
      <c r="B212" t="s">
        <v>295</v>
      </c>
      <c r="C212">
        <v>2022</v>
      </c>
      <c r="D212" s="16" t="s">
        <v>210</v>
      </c>
      <c r="E212">
        <v>0</v>
      </c>
      <c r="F212" s="15">
        <v>16.156351791530945</v>
      </c>
      <c r="G212" s="15"/>
      <c r="H212" s="15"/>
      <c r="I212" s="15">
        <v>47.426710097719869</v>
      </c>
      <c r="J212" s="15">
        <v>24.820846905537458</v>
      </c>
      <c r="K212" s="15"/>
      <c r="L212" s="15">
        <f>IF(Table2[[#This Row],[Lipids wt%]]+Table2[[#This Row],[Protein wt%]]+Table2[[#This Row],[Carbs wt%]] =0,"",SUM(Table2[[#This Row],[Lipids wt%]],Table2[[#This Row],[Protein wt%]],Table2[[#This Row],[Carbs wt%]]))</f>
        <v>88.403908794788265</v>
      </c>
      <c r="M212" s="15">
        <v>8.9</v>
      </c>
      <c r="P212">
        <v>23.25</v>
      </c>
      <c r="Z212" s="15">
        <v>49.27</v>
      </c>
      <c r="AA212" s="15">
        <v>7.27</v>
      </c>
      <c r="AB212" s="15">
        <v>36.340000000000003</v>
      </c>
      <c r="AC212" s="15">
        <v>6.29</v>
      </c>
      <c r="AD212" s="15">
        <v>0.83</v>
      </c>
      <c r="AE212" s="15"/>
      <c r="AF212" s="15">
        <v>22.14</v>
      </c>
      <c r="AG212" s="15">
        <v>0.05</v>
      </c>
      <c r="AH212" s="15">
        <v>3</v>
      </c>
      <c r="AI212" s="15">
        <v>10</v>
      </c>
      <c r="AJ212" s="15">
        <f>Table2[[#This Row],[Solids (g)]]/(Table2[[#This Row],[Solids (g)]]+Table2[[#This Row],[Water mL]])*100</f>
        <v>23.076923076923077</v>
      </c>
      <c r="AM212" s="13">
        <v>4.6272799999999998</v>
      </c>
      <c r="AN212">
        <v>1</v>
      </c>
      <c r="AO212" s="15"/>
      <c r="AP212" s="15">
        <f>LN(25/Table2[[#This Row],[Temperature (C)]]/(1-SQRT((Table2[[#This Row],[Temperature (C)]]-5)/Table2[[#This Row],[Temperature (C)]])))/Table2[[#This Row],[b]]</f>
        <v>0.49663962682471302</v>
      </c>
      <c r="AQ212" s="15">
        <f>IF(Table2[[#This Row],[b]]&lt;&gt;"",Table2[[#This Row],[T-5]], 0)</f>
        <v>0.49663962682471302</v>
      </c>
      <c r="AR212">
        <v>30</v>
      </c>
      <c r="AT212" t="s">
        <v>503</v>
      </c>
      <c r="AU212">
        <v>280</v>
      </c>
      <c r="AV212" s="15">
        <v>4.3468950749464597</v>
      </c>
      <c r="AW212" s="15">
        <v>27.205567451820102</v>
      </c>
      <c r="AX212" s="15">
        <v>3.74732334047108</v>
      </c>
      <c r="AY212" s="15"/>
      <c r="AZ212" s="15"/>
      <c r="BA212" s="15"/>
      <c r="BB212" s="15" t="str">
        <f>IF(OR(Table2[[#This Row],[Gas wt%]]&lt;&gt;"",Table2[[#This Row],[Loss]]&lt;&gt;""),Table2[[#This Row],[Gas wt%]]+Table2[[#This Row],[Loss]],"")</f>
        <v/>
      </c>
      <c r="BC212" s="15"/>
      <c r="BD212" s="15"/>
      <c r="BE212" s="15"/>
      <c r="BF212" s="15"/>
      <c r="BG212" s="15"/>
      <c r="BH212" s="15">
        <f>100-Table2[[#This Row],[Solids wt%]]-Table2[[#This Row],[Biocrude wt%]]-Table2[[#This Row],[Aquous wt%]]</f>
        <v>64.700214132762355</v>
      </c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/>
      <c r="BT212" s="15"/>
      <c r="BU212" s="15"/>
      <c r="BV212" s="15"/>
      <c r="BW212" s="15"/>
      <c r="BX212" s="15"/>
      <c r="BY212" s="15"/>
      <c r="BZ212" s="15"/>
      <c r="CA212" s="15"/>
      <c r="CB212" s="15"/>
      <c r="CC212" s="15"/>
      <c r="CD212" s="15"/>
      <c r="CE212" s="15"/>
      <c r="CF212" s="15"/>
      <c r="CG212" s="15"/>
      <c r="CH212" s="15"/>
      <c r="CI212" s="15"/>
      <c r="CJ212" s="15"/>
      <c r="CK212" s="15"/>
      <c r="CL212" s="15"/>
      <c r="CM212" s="15"/>
      <c r="CN212" s="15"/>
      <c r="CO212" s="15"/>
      <c r="CP212" s="15"/>
      <c r="CQ212" s="15"/>
      <c r="CR212" s="15"/>
      <c r="CS212" s="15"/>
      <c r="CT212" s="15"/>
      <c r="CU212" s="15"/>
      <c r="CV212" s="15"/>
      <c r="CW212" s="15"/>
      <c r="CX212" s="15"/>
      <c r="CY212" s="15"/>
      <c r="CZ212" s="15"/>
      <c r="DA212" s="15"/>
      <c r="DB212" s="15">
        <v>0</v>
      </c>
    </row>
    <row r="213" spans="1:106" x14ac:dyDescent="0.25">
      <c r="A213" t="s">
        <v>294</v>
      </c>
      <c r="B213" t="s">
        <v>295</v>
      </c>
      <c r="C213">
        <v>2022</v>
      </c>
      <c r="D213" s="16" t="s">
        <v>210</v>
      </c>
      <c r="E213">
        <v>0</v>
      </c>
      <c r="F213" s="15">
        <v>16.156351791530945</v>
      </c>
      <c r="G213" s="15"/>
      <c r="H213" s="15"/>
      <c r="I213" s="15">
        <v>47.426710097719869</v>
      </c>
      <c r="J213" s="15">
        <v>24.820846905537458</v>
      </c>
      <c r="K213" s="15"/>
      <c r="L213" s="15">
        <f>IF(Table2[[#This Row],[Lipids wt%]]+Table2[[#This Row],[Protein wt%]]+Table2[[#This Row],[Carbs wt%]] =0,"",SUM(Table2[[#This Row],[Lipids wt%]],Table2[[#This Row],[Protein wt%]],Table2[[#This Row],[Carbs wt%]]))</f>
        <v>88.403908794788265</v>
      </c>
      <c r="M213" s="15">
        <v>8.9</v>
      </c>
      <c r="P213">
        <v>23.25</v>
      </c>
      <c r="Z213" s="15">
        <v>49.27</v>
      </c>
      <c r="AA213" s="15">
        <v>7.27</v>
      </c>
      <c r="AB213" s="15">
        <v>36.340000000000003</v>
      </c>
      <c r="AC213" s="15">
        <v>6.29</v>
      </c>
      <c r="AD213" s="15">
        <v>0.83</v>
      </c>
      <c r="AE213" s="15"/>
      <c r="AF213" s="15">
        <v>22.14</v>
      </c>
      <c r="AG213" s="15">
        <v>0.05</v>
      </c>
      <c r="AH213" s="15">
        <v>3</v>
      </c>
      <c r="AI213" s="15">
        <v>10</v>
      </c>
      <c r="AJ213" s="15">
        <f>Table2[[#This Row],[Solids (g)]]/(Table2[[#This Row],[Solids (g)]]+Table2[[#This Row],[Water mL]])*100</f>
        <v>23.076923076923077</v>
      </c>
      <c r="AM213" s="13">
        <v>4.6272799999999998</v>
      </c>
      <c r="AN213">
        <v>1</v>
      </c>
      <c r="AO213" s="15"/>
      <c r="AP213" s="15">
        <f>LN(25/Table2[[#This Row],[Temperature (C)]]/(1-SQRT((Table2[[#This Row],[Temperature (C)]]-5)/Table2[[#This Row],[Temperature (C)]])))/Table2[[#This Row],[b]]</f>
        <v>0.49670479004183493</v>
      </c>
      <c r="AQ213" s="15">
        <f>IF(Table2[[#This Row],[b]]&lt;&gt;"",Table2[[#This Row],[T-5]], 0)</f>
        <v>0.49670479004183493</v>
      </c>
      <c r="AR213">
        <v>30</v>
      </c>
      <c r="AT213" t="s">
        <v>503</v>
      </c>
      <c r="AU213">
        <v>300</v>
      </c>
      <c r="AV213" s="15">
        <v>3.5224839400428198</v>
      </c>
      <c r="AW213" s="15">
        <v>26.4561027837259</v>
      </c>
      <c r="AX213" s="15">
        <v>3.5224839400428198</v>
      </c>
      <c r="AY213" s="15"/>
      <c r="AZ213" s="15"/>
      <c r="BA213" s="15"/>
      <c r="BB213" s="15" t="str">
        <f>IF(OR(Table2[[#This Row],[Gas wt%]]&lt;&gt;"",Table2[[#This Row],[Loss]]&lt;&gt;""),Table2[[#This Row],[Gas wt%]]+Table2[[#This Row],[Loss]],"")</f>
        <v/>
      </c>
      <c r="BC213" s="15"/>
      <c r="BD213" s="15"/>
      <c r="BE213" s="15"/>
      <c r="BF213" s="15"/>
      <c r="BG213" s="15"/>
      <c r="BH213" s="15">
        <f>100-Table2[[#This Row],[Solids wt%]]-Table2[[#This Row],[Biocrude wt%]]-Table2[[#This Row],[Aquous wt%]]</f>
        <v>66.498929336188468</v>
      </c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  <c r="BY213" s="15"/>
      <c r="BZ213" s="15"/>
      <c r="CA213" s="15"/>
      <c r="CB213" s="15"/>
      <c r="CC213" s="15"/>
      <c r="CD213" s="15"/>
      <c r="CE213" s="15"/>
      <c r="CF213" s="15"/>
      <c r="CG213" s="15"/>
      <c r="CH213" s="15"/>
      <c r="CI213" s="15"/>
      <c r="CJ213" s="15"/>
      <c r="CK213" s="15"/>
      <c r="CL213" s="15"/>
      <c r="CM213" s="15"/>
      <c r="CN213" s="15"/>
      <c r="CO213" s="15"/>
      <c r="CP213" s="15"/>
      <c r="CQ213" s="15"/>
      <c r="CR213" s="15"/>
      <c r="CS213" s="15"/>
      <c r="CT213" s="15"/>
      <c r="CU213" s="15"/>
      <c r="CV213" s="15"/>
      <c r="CW213" s="15"/>
      <c r="CX213" s="15"/>
      <c r="CY213" s="15"/>
      <c r="CZ213" s="15"/>
      <c r="DA213" s="15"/>
      <c r="DB213" s="15">
        <v>0</v>
      </c>
    </row>
    <row r="214" spans="1:106" x14ac:dyDescent="0.25">
      <c r="A214" t="s">
        <v>305</v>
      </c>
      <c r="B214" t="s">
        <v>306</v>
      </c>
      <c r="C214">
        <v>2021</v>
      </c>
      <c r="D214" s="16" t="s">
        <v>304</v>
      </c>
      <c r="E214">
        <v>0</v>
      </c>
      <c r="F214" s="15">
        <v>35.49</v>
      </c>
      <c r="G214" s="15"/>
      <c r="H214" s="15"/>
      <c r="I214" s="15">
        <v>53.25</v>
      </c>
      <c r="J214" s="15">
        <v>8.85</v>
      </c>
      <c r="K214" s="15"/>
      <c r="L214" s="15">
        <f>IF(Table2[[#This Row],[Lipids wt%]]+Table2[[#This Row],[Protein wt%]]+Table2[[#This Row],[Carbs wt%]] =0,"",SUM(Table2[[#This Row],[Lipids wt%]],Table2[[#This Row],[Protein wt%]],Table2[[#This Row],[Carbs wt%]]))</f>
        <v>97.59</v>
      </c>
      <c r="M214" s="15">
        <v>2.41</v>
      </c>
      <c r="P214">
        <v>70</v>
      </c>
      <c r="Z214" s="15">
        <v>51.44</v>
      </c>
      <c r="AA214" s="15">
        <v>7.83</v>
      </c>
      <c r="AB214" s="15">
        <v>20.45</v>
      </c>
      <c r="AC214" s="15">
        <v>11.14</v>
      </c>
      <c r="AD214" s="15">
        <v>1.83</v>
      </c>
      <c r="AE214" s="15">
        <v>1.45</v>
      </c>
      <c r="AF214" s="15">
        <v>15.8</v>
      </c>
      <c r="AG214" s="15">
        <v>0.25</v>
      </c>
      <c r="AH214" s="15"/>
      <c r="AI214" s="15"/>
      <c r="AJ214" s="15">
        <v>20</v>
      </c>
      <c r="AM214" s="13"/>
      <c r="AO214" s="15"/>
      <c r="AP214" s="15" t="e">
        <f>LN(25/Table2[[#This Row],[Temperature (C)]]/(1-SQRT((Table2[[#This Row],[Temperature (C)]]-5)/Table2[[#This Row],[Temperature (C)]])))/Table2[[#This Row],[b]]</f>
        <v>#DIV/0!</v>
      </c>
      <c r="AQ214" s="15">
        <f>IF(Table2[[#This Row],[b]]&lt;&gt;"",Table2[[#This Row],[T-5]], 0)</f>
        <v>0</v>
      </c>
      <c r="AR214">
        <v>30</v>
      </c>
      <c r="AT214" t="s">
        <v>503</v>
      </c>
      <c r="AU214">
        <v>300</v>
      </c>
      <c r="AV214" s="15">
        <v>2.74</v>
      </c>
      <c r="AW214" s="15">
        <v>32.119999999999997</v>
      </c>
      <c r="AX214" s="15">
        <v>6.87</v>
      </c>
      <c r="AY214" s="15"/>
      <c r="AZ214" s="15"/>
      <c r="BA214" s="15"/>
      <c r="BB214" s="15" t="str">
        <f>IF(OR(Table2[[#This Row],[Gas wt%]]&lt;&gt;"",Table2[[#This Row],[Loss]]&lt;&gt;""),Table2[[#This Row],[Gas wt%]]+Table2[[#This Row],[Loss]],"")</f>
        <v/>
      </c>
      <c r="BC214" s="15"/>
      <c r="BD214" s="15"/>
      <c r="BE214" s="15"/>
      <c r="BF214" s="15"/>
      <c r="BG214" s="15"/>
      <c r="BH214" s="15">
        <v>58.27</v>
      </c>
      <c r="BI214" s="15">
        <v>73.89</v>
      </c>
      <c r="BJ214" s="15">
        <v>9.1300000000000008</v>
      </c>
      <c r="BK214" s="15">
        <v>5.26</v>
      </c>
      <c r="BL214" s="15">
        <v>7.25</v>
      </c>
      <c r="BM214" s="15">
        <v>2.31</v>
      </c>
      <c r="BN214" s="15">
        <v>36.42</v>
      </c>
      <c r="BO214" s="15">
        <v>36.47</v>
      </c>
      <c r="BP214" s="15"/>
      <c r="BQ214" s="15">
        <f>Table2[[#This Row],[H% B]]/Table2[[#This Row],[C% B]]*100</f>
        <v>12.356205169847071</v>
      </c>
      <c r="BR214" s="15"/>
      <c r="BS214" s="15"/>
      <c r="BT214" s="15"/>
      <c r="BU214" s="15"/>
      <c r="BV214" s="15"/>
      <c r="BW214" s="15"/>
      <c r="BX214" s="15"/>
      <c r="BY214" s="15"/>
      <c r="BZ214" s="15"/>
      <c r="CA214" s="15"/>
      <c r="CB214" s="15"/>
      <c r="CC214" s="15"/>
      <c r="CD214" s="15"/>
      <c r="CE214" s="15"/>
      <c r="CF214" s="15">
        <v>42.9</v>
      </c>
      <c r="CG214" s="15">
        <v>4.67</v>
      </c>
      <c r="CH214" s="15">
        <v>1.86</v>
      </c>
      <c r="CI214" s="15">
        <v>5.27</v>
      </c>
      <c r="CJ214" s="15">
        <v>0.74</v>
      </c>
      <c r="CK214" s="15">
        <v>24.51</v>
      </c>
      <c r="CL214" s="15"/>
      <c r="CM214" s="15"/>
      <c r="CN214" s="15"/>
      <c r="CO214" s="15"/>
      <c r="CP214" s="15"/>
      <c r="CQ214" s="15"/>
      <c r="CR214" s="15"/>
      <c r="CS214" s="15"/>
      <c r="CT214" s="15"/>
      <c r="CU214" s="15"/>
      <c r="CV214" s="15"/>
      <c r="CW214" s="15"/>
      <c r="CX214" s="15"/>
      <c r="CY214" s="15"/>
      <c r="CZ214" s="15"/>
      <c r="DA214" s="15"/>
      <c r="DB214" s="15">
        <v>0</v>
      </c>
    </row>
    <row r="215" spans="1:106" x14ac:dyDescent="0.25">
      <c r="A215" t="s">
        <v>309</v>
      </c>
      <c r="B215" t="s">
        <v>310</v>
      </c>
      <c r="C215">
        <v>2022</v>
      </c>
      <c r="D215" s="16" t="s">
        <v>307</v>
      </c>
      <c r="E215">
        <v>0</v>
      </c>
      <c r="F215" s="15">
        <v>15.769784172661872</v>
      </c>
      <c r="G215" s="15"/>
      <c r="H215" s="15"/>
      <c r="I215" s="15">
        <v>43.251798561151077</v>
      </c>
      <c r="J215" s="15">
        <v>37.007194244604314</v>
      </c>
      <c r="K215" s="15"/>
      <c r="L215" s="15">
        <f>IF(Table2[[#This Row],[Lipids wt%]]+Table2[[#This Row],[Protein wt%]]+Table2[[#This Row],[Carbs wt%]] =0,"",SUM(Table2[[#This Row],[Lipids wt%]],Table2[[#This Row],[Protein wt%]],Table2[[#This Row],[Carbs wt%]]))</f>
        <v>96.028776978417255</v>
      </c>
      <c r="M215" s="15">
        <v>2.76</v>
      </c>
      <c r="P215">
        <v>90.8</v>
      </c>
      <c r="Q215">
        <v>1.65</v>
      </c>
      <c r="R215">
        <v>4.79</v>
      </c>
      <c r="Z215" s="15">
        <v>30.35</v>
      </c>
      <c r="AA215" s="15">
        <v>4.4400000000000004</v>
      </c>
      <c r="AB215" s="15">
        <v>31.37</v>
      </c>
      <c r="AC215" s="15">
        <v>4.97</v>
      </c>
      <c r="AD215" s="15"/>
      <c r="AE215" s="15"/>
      <c r="AF215" s="15">
        <v>11.01</v>
      </c>
      <c r="AG215" s="15">
        <v>2.5000000000000001E-2</v>
      </c>
      <c r="AH215" s="15"/>
      <c r="AI215" s="15"/>
      <c r="AJ215" s="15">
        <f>100/10.9</f>
        <v>9.1743119266055047</v>
      </c>
      <c r="AL215">
        <v>65</v>
      </c>
      <c r="AM215" s="13">
        <v>0.25093100000000002</v>
      </c>
      <c r="AO215" s="15"/>
      <c r="AP215" s="15">
        <f>LN(25/Table2[[#This Row],[Temperature (C)]]/(1-SQRT((Table2[[#This Row],[Temperature (C)]]-5)/Table2[[#This Row],[Temperature (C)]])))/Table2[[#This Row],[b]]</f>
        <v>9.1594587391146636</v>
      </c>
      <c r="AQ215" s="15">
        <f>IF(Table2[[#This Row],[b]]&lt;&gt;"",Table2[[#This Row],[T-5]], 0)</f>
        <v>9.1594587391146636</v>
      </c>
      <c r="AR215">
        <v>60</v>
      </c>
      <c r="AT215" t="s">
        <v>503</v>
      </c>
      <c r="AU215">
        <v>300</v>
      </c>
      <c r="AV215" s="15">
        <v>32.4</v>
      </c>
      <c r="AW215" s="15">
        <v>28.2</v>
      </c>
      <c r="AX215" s="15"/>
      <c r="AY215" s="15"/>
      <c r="AZ215" s="15"/>
      <c r="BA215" s="15">
        <v>39.4</v>
      </c>
      <c r="BB215" s="15" t="str">
        <f>IF(OR(Table2[[#This Row],[Gas wt%]]&lt;&gt;"",Table2[[#This Row],[Loss]]&lt;&gt;""),Table2[[#This Row],[Gas wt%]]+Table2[[#This Row],[Loss]],"")</f>
        <v/>
      </c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  <c r="BY215" s="15"/>
      <c r="BZ215" s="15"/>
      <c r="CA215" s="15"/>
      <c r="CB215" s="15"/>
      <c r="CC215" s="15"/>
      <c r="CD215" s="15"/>
      <c r="CE215" s="15"/>
      <c r="CF215" s="15"/>
      <c r="CG215" s="15"/>
      <c r="CH215" s="15"/>
      <c r="CI215" s="15"/>
      <c r="CJ215" s="15"/>
      <c r="CK215" s="15"/>
      <c r="CL215" s="15"/>
      <c r="CM215" s="15"/>
      <c r="CN215" s="15"/>
      <c r="CO215" s="15"/>
      <c r="CP215" s="15"/>
      <c r="CQ215" s="15"/>
      <c r="CR215" s="15"/>
      <c r="CS215" s="15"/>
      <c r="CT215" s="15"/>
      <c r="CU215" s="15"/>
      <c r="CV215" s="15"/>
      <c r="CW215" s="15"/>
      <c r="CX215" s="15"/>
      <c r="CY215" s="15"/>
      <c r="CZ215" s="15"/>
      <c r="DA215" s="15"/>
      <c r="DB215" s="15">
        <v>0</v>
      </c>
    </row>
    <row r="216" spans="1:106" x14ac:dyDescent="0.25">
      <c r="A216" t="s">
        <v>309</v>
      </c>
      <c r="B216" t="s">
        <v>310</v>
      </c>
      <c r="C216">
        <v>2022</v>
      </c>
      <c r="D216" s="16" t="s">
        <v>308</v>
      </c>
      <c r="E216">
        <v>0</v>
      </c>
      <c r="F216" s="15">
        <v>13.466503601032748</v>
      </c>
      <c r="G216" s="15"/>
      <c r="H216" s="15"/>
      <c r="I216" s="15">
        <v>48.770213344204372</v>
      </c>
      <c r="J216" s="15">
        <v>35.670607419486345</v>
      </c>
      <c r="K216" s="15"/>
      <c r="L216" s="15">
        <f>IF(Table2[[#This Row],[Lipids wt%]]+Table2[[#This Row],[Protein wt%]]+Table2[[#This Row],[Carbs wt%]] =0,"",SUM(Table2[[#This Row],[Lipids wt%]],Table2[[#This Row],[Protein wt%]],Table2[[#This Row],[Carbs wt%]]))</f>
        <v>97.907324364723451</v>
      </c>
      <c r="M216" s="15">
        <v>1.54</v>
      </c>
      <c r="P216">
        <v>93.51</v>
      </c>
      <c r="Q216">
        <v>1.19</v>
      </c>
      <c r="R216">
        <v>3.76</v>
      </c>
      <c r="Z216" s="15">
        <v>38.619999999999997</v>
      </c>
      <c r="AA216" s="15">
        <v>5.47</v>
      </c>
      <c r="AB216" s="15">
        <v>27.75</v>
      </c>
      <c r="AC216" s="15">
        <v>5.81</v>
      </c>
      <c r="AD216" s="15"/>
      <c r="AE216" s="15"/>
      <c r="AF216" s="15">
        <v>15.75</v>
      </c>
      <c r="AG216" s="15">
        <v>2.5000000000000001E-2</v>
      </c>
      <c r="AH216" s="15"/>
      <c r="AI216" s="15"/>
      <c r="AJ216" s="15">
        <f>100/15.4</f>
        <v>6.4935064935064934</v>
      </c>
      <c r="AL216">
        <v>65</v>
      </c>
      <c r="AM216" s="13">
        <v>0.25093100000000002</v>
      </c>
      <c r="AO216" s="15"/>
      <c r="AP216" s="15">
        <f>LN(25/Table2[[#This Row],[Temperature (C)]]/(1-SQRT((Table2[[#This Row],[Temperature (C)]]-5)/Table2[[#This Row],[Temperature (C)]])))/Table2[[#This Row],[b]]</f>
        <v>9.1594587391146636</v>
      </c>
      <c r="AQ216" s="15">
        <f>IF(Table2[[#This Row],[b]]&lt;&gt;"",Table2[[#This Row],[T-5]], 0)</f>
        <v>9.1594587391146636</v>
      </c>
      <c r="AR216">
        <v>60</v>
      </c>
      <c r="AT216" t="s">
        <v>503</v>
      </c>
      <c r="AU216">
        <v>300</v>
      </c>
      <c r="AV216" s="15">
        <v>19.7</v>
      </c>
      <c r="AW216" s="15">
        <v>37.9</v>
      </c>
      <c r="AX216" s="15"/>
      <c r="AY216" s="15"/>
      <c r="AZ216" s="15"/>
      <c r="BA216" s="15">
        <v>42.4</v>
      </c>
      <c r="BB216" s="15" t="str">
        <f>IF(OR(Table2[[#This Row],[Gas wt%]]&lt;&gt;"",Table2[[#This Row],[Loss]]&lt;&gt;""),Table2[[#This Row],[Gas wt%]]+Table2[[#This Row],[Loss]],"")</f>
        <v/>
      </c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  <c r="BY216" s="15"/>
      <c r="BZ216" s="15"/>
      <c r="CA216" s="15"/>
      <c r="CB216" s="15"/>
      <c r="CC216" s="15"/>
      <c r="CD216" s="15"/>
      <c r="CE216" s="15"/>
      <c r="CF216" s="15"/>
      <c r="CG216" s="15"/>
      <c r="CH216" s="15"/>
      <c r="CI216" s="15"/>
      <c r="CJ216" s="15"/>
      <c r="CK216" s="15"/>
      <c r="CL216" s="15"/>
      <c r="CM216" s="15"/>
      <c r="CN216" s="15"/>
      <c r="CO216" s="15"/>
      <c r="CP216" s="15"/>
      <c r="CQ216" s="15"/>
      <c r="CR216" s="15"/>
      <c r="CS216" s="15"/>
      <c r="CT216" s="15"/>
      <c r="CU216" s="15"/>
      <c r="CV216" s="15"/>
      <c r="CW216" s="15"/>
      <c r="CX216" s="15"/>
      <c r="CY216" s="15"/>
      <c r="CZ216" s="15"/>
      <c r="DA216" s="15"/>
      <c r="DB216" s="15">
        <v>0</v>
      </c>
    </row>
    <row r="217" spans="1:106" x14ac:dyDescent="0.25">
      <c r="A217" t="s">
        <v>314</v>
      </c>
      <c r="B217" t="s">
        <v>317</v>
      </c>
      <c r="C217">
        <v>2022</v>
      </c>
      <c r="D217" s="16" t="s">
        <v>189</v>
      </c>
      <c r="E217">
        <v>0</v>
      </c>
      <c r="F217" s="15">
        <v>22.341463414634145</v>
      </c>
      <c r="G217" s="15"/>
      <c r="H217" s="15"/>
      <c r="I217" s="15">
        <v>11.707317073170731</v>
      </c>
      <c r="J217" s="15">
        <v>4.6829268292682924</v>
      </c>
      <c r="K217" s="15"/>
      <c r="L217" s="15">
        <f>IF(Table2[[#This Row],[Lipids wt%]]+Table2[[#This Row],[Protein wt%]]+Table2[[#This Row],[Carbs wt%]] =0,"",SUM(Table2[[#This Row],[Lipids wt%]],Table2[[#This Row],[Protein wt%]],Table2[[#This Row],[Carbs wt%]]))</f>
        <v>38.731707317073173</v>
      </c>
      <c r="M217" s="15">
        <v>62.8</v>
      </c>
      <c r="Z217" s="15">
        <v>21.01</v>
      </c>
      <c r="AA217" s="15">
        <v>3.88</v>
      </c>
      <c r="AB217" s="15">
        <f>100-(Table2[[#This Row],[C%]]+Table2[[#This Row],[H%]]+Table2[[#This Row],[N%]]+Table2[[#This Row],[S%]])</f>
        <v>72.59</v>
      </c>
      <c r="AC217" s="15">
        <v>2.52</v>
      </c>
      <c r="AD217" s="15"/>
      <c r="AE217" s="15"/>
      <c r="AF217" s="15">
        <f>(33.5*Table2[[#This Row],[C%]]+142.3*Table2[[#This Row],[H%]]-15.4*Table2[[#This Row],[O%]]-14.5*Table2[[#This Row],[N%]])/100</f>
        <v>1.015330000000001</v>
      </c>
      <c r="AG217" s="15">
        <v>1.0999999999999999E-2</v>
      </c>
      <c r="AH217" s="15"/>
      <c r="AI217" s="15">
        <f t="shared" ref="AI217:AI231" si="1">0.7*5.5</f>
        <v>3.8499999999999996</v>
      </c>
      <c r="AJ217" s="15">
        <v>30</v>
      </c>
      <c r="AL217">
        <v>125</v>
      </c>
      <c r="AM217" s="13">
        <v>0.28611500000000001</v>
      </c>
      <c r="AO217" s="15"/>
      <c r="AP217" s="15">
        <f>LN(25/Table2[[#This Row],[Temperature (C)]]/(1-SQRT((Table2[[#This Row],[Temperature (C)]]-5)/Table2[[#This Row],[Temperature (C)]])))/Table2[[#This Row],[b]]</f>
        <v>8.0301528084115148</v>
      </c>
      <c r="AQ217" s="15">
        <f>IF(Table2[[#This Row],[b]]&lt;&gt;"",Table2[[#This Row],[T-5]], 0)</f>
        <v>8.0301528084115148</v>
      </c>
      <c r="AR217">
        <v>5</v>
      </c>
      <c r="AT217" t="s">
        <v>503</v>
      </c>
      <c r="AU217">
        <v>250</v>
      </c>
      <c r="AV217" s="15">
        <v>34.042553191489297</v>
      </c>
      <c r="AW217" s="15">
        <v>22.4371373307543</v>
      </c>
      <c r="AX217" s="15">
        <v>23.210831721469997</v>
      </c>
      <c r="AY217" s="15">
        <v>21.6634429400386</v>
      </c>
      <c r="AZ217" s="15"/>
      <c r="BA217" s="15"/>
      <c r="BB217" s="15">
        <f>IF(OR(Table2[[#This Row],[Gas wt%]]&lt;&gt;"",Table2[[#This Row],[Loss]]&lt;&gt;""),Table2[[#This Row],[Gas wt%]]+Table2[[#This Row],[Loss]],"")</f>
        <v>21.6634429400386</v>
      </c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  <c r="BS217" s="15"/>
      <c r="BT217" s="15"/>
      <c r="BU217" s="15"/>
      <c r="BV217" s="15"/>
      <c r="BW217" s="15"/>
      <c r="BX217" s="15"/>
      <c r="BY217" s="15"/>
      <c r="BZ217" s="15"/>
      <c r="CA217" s="15"/>
      <c r="CB217" s="15"/>
      <c r="CC217" s="15"/>
      <c r="CD217" s="15"/>
      <c r="CE217" s="15"/>
      <c r="CF217" s="15"/>
      <c r="CG217" s="15"/>
      <c r="CH217" s="15"/>
      <c r="CI217" s="15"/>
      <c r="CJ217" s="15"/>
      <c r="CK217" s="15"/>
      <c r="CL217" s="15"/>
      <c r="CM217" s="15"/>
      <c r="CN217" s="15"/>
      <c r="CO217" s="15"/>
      <c r="CP217" s="15"/>
      <c r="CQ217" s="15"/>
      <c r="CR217" s="15"/>
      <c r="CS217" s="15"/>
      <c r="CT217" s="15"/>
      <c r="CU217" s="15"/>
      <c r="CV217" s="15"/>
      <c r="CW217" s="15"/>
      <c r="CX217" s="15"/>
      <c r="CY217" s="15"/>
      <c r="CZ217" s="15"/>
      <c r="DA217" s="15"/>
      <c r="DB217" s="15">
        <v>0</v>
      </c>
    </row>
    <row r="218" spans="1:106" x14ac:dyDescent="0.25">
      <c r="A218" t="s">
        <v>314</v>
      </c>
      <c r="B218" t="s">
        <v>317</v>
      </c>
      <c r="C218">
        <v>2022</v>
      </c>
      <c r="D218" s="16" t="s">
        <v>189</v>
      </c>
      <c r="E218">
        <v>0</v>
      </c>
      <c r="F218" s="15">
        <v>22.341463414634145</v>
      </c>
      <c r="G218" s="15"/>
      <c r="H218" s="15"/>
      <c r="I218" s="15">
        <v>11.707317073170731</v>
      </c>
      <c r="J218" s="15">
        <v>4.6829268292682924</v>
      </c>
      <c r="K218" s="15"/>
      <c r="L218" s="15">
        <f>IF(Table2[[#This Row],[Lipids wt%]]+Table2[[#This Row],[Protein wt%]]+Table2[[#This Row],[Carbs wt%]] =0,"",SUM(Table2[[#This Row],[Lipids wt%]],Table2[[#This Row],[Protein wt%]],Table2[[#This Row],[Carbs wt%]]))</f>
        <v>38.731707317073173</v>
      </c>
      <c r="M218" s="15">
        <v>62.8</v>
      </c>
      <c r="Z218" s="15">
        <v>21.01</v>
      </c>
      <c r="AA218" s="15">
        <v>3.88</v>
      </c>
      <c r="AB218" s="15">
        <f>100-(Table2[[#This Row],[C%]]+Table2[[#This Row],[H%]]+Table2[[#This Row],[N%]]+Table2[[#This Row],[S%]])</f>
        <v>72.59</v>
      </c>
      <c r="AC218" s="15">
        <v>2.52</v>
      </c>
      <c r="AD218" s="15"/>
      <c r="AE218" s="15"/>
      <c r="AF218" s="15">
        <f>(33.5*Table2[[#This Row],[C%]]+142.3*Table2[[#This Row],[H%]]-15.4*Table2[[#This Row],[O%]]-14.5*Table2[[#This Row],[N%]])/100</f>
        <v>1.015330000000001</v>
      </c>
      <c r="AG218" s="15">
        <v>1.0999999999999999E-2</v>
      </c>
      <c r="AH218" s="15"/>
      <c r="AI218" s="15">
        <f t="shared" si="1"/>
        <v>3.8499999999999996</v>
      </c>
      <c r="AJ218" s="15">
        <v>30</v>
      </c>
      <c r="AL218">
        <v>125</v>
      </c>
      <c r="AM218" s="13">
        <v>0.28611500000000001</v>
      </c>
      <c r="AO218" s="15"/>
      <c r="AP218" s="15">
        <f>LN(25/Table2[[#This Row],[Temperature (C)]]/(1-SQRT((Table2[[#This Row],[Temperature (C)]]-5)/Table2[[#This Row],[Temperature (C)]])))/Table2[[#This Row],[b]]</f>
        <v>8.0301528084115148</v>
      </c>
      <c r="AQ218" s="15">
        <f>IF(Table2[[#This Row],[b]]&lt;&gt;"",Table2[[#This Row],[T-5]], 0)</f>
        <v>8.0301528084115148</v>
      </c>
      <c r="AR218">
        <v>10</v>
      </c>
      <c r="AT218" t="s">
        <v>503</v>
      </c>
      <c r="AU218">
        <v>250</v>
      </c>
      <c r="AV218" s="15">
        <v>32.495164410057995</v>
      </c>
      <c r="AW218" s="15">
        <v>17.988394584139201</v>
      </c>
      <c r="AX218" s="15">
        <v>14.313346228239801</v>
      </c>
      <c r="AY218" s="15">
        <v>36.170212765957402</v>
      </c>
      <c r="AZ218" s="15"/>
      <c r="BA218" s="15"/>
      <c r="BB218" s="15">
        <f>IF(OR(Table2[[#This Row],[Gas wt%]]&lt;&gt;"",Table2[[#This Row],[Loss]]&lt;&gt;""),Table2[[#This Row],[Gas wt%]]+Table2[[#This Row],[Loss]],"")</f>
        <v>36.170212765957402</v>
      </c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5"/>
      <c r="BS218" s="15"/>
      <c r="BT218" s="15"/>
      <c r="BU218" s="15"/>
      <c r="BV218" s="15"/>
      <c r="BW218" s="15"/>
      <c r="BX218" s="15"/>
      <c r="BY218" s="15"/>
      <c r="BZ218" s="15"/>
      <c r="CA218" s="15"/>
      <c r="CB218" s="15"/>
      <c r="CC218" s="15"/>
      <c r="CD218" s="15"/>
      <c r="CE218" s="15"/>
      <c r="CF218" s="15"/>
      <c r="CG218" s="15"/>
      <c r="CH218" s="15"/>
      <c r="CI218" s="15"/>
      <c r="CJ218" s="15"/>
      <c r="CK218" s="15"/>
      <c r="CL218" s="15"/>
      <c r="CM218" s="15"/>
      <c r="CN218" s="15"/>
      <c r="CO218" s="15"/>
      <c r="CP218" s="15"/>
      <c r="CQ218" s="15"/>
      <c r="CR218" s="15"/>
      <c r="CS218" s="15"/>
      <c r="CT218" s="15"/>
      <c r="CU218" s="15"/>
      <c r="CV218" s="15"/>
      <c r="CW218" s="15"/>
      <c r="CX218" s="15"/>
      <c r="CY218" s="15"/>
      <c r="CZ218" s="15"/>
      <c r="DA218" s="15"/>
      <c r="DB218" s="15">
        <v>0</v>
      </c>
    </row>
    <row r="219" spans="1:106" x14ac:dyDescent="0.25">
      <c r="A219" t="s">
        <v>314</v>
      </c>
      <c r="B219" t="s">
        <v>317</v>
      </c>
      <c r="C219">
        <v>2022</v>
      </c>
      <c r="D219" s="16" t="s">
        <v>189</v>
      </c>
      <c r="E219">
        <v>0</v>
      </c>
      <c r="F219" s="15">
        <v>22.341463414634145</v>
      </c>
      <c r="G219" s="15"/>
      <c r="H219" s="15"/>
      <c r="I219" s="15">
        <v>11.707317073170731</v>
      </c>
      <c r="J219" s="15">
        <v>4.6829268292682924</v>
      </c>
      <c r="K219" s="15"/>
      <c r="L219" s="15">
        <f>IF(Table2[[#This Row],[Lipids wt%]]+Table2[[#This Row],[Protein wt%]]+Table2[[#This Row],[Carbs wt%]] =0,"",SUM(Table2[[#This Row],[Lipids wt%]],Table2[[#This Row],[Protein wt%]],Table2[[#This Row],[Carbs wt%]]))</f>
        <v>38.731707317073173</v>
      </c>
      <c r="M219" s="15">
        <v>62.8</v>
      </c>
      <c r="Z219" s="15">
        <v>21.01</v>
      </c>
      <c r="AA219" s="15">
        <v>3.88</v>
      </c>
      <c r="AB219" s="15">
        <f>100-(Table2[[#This Row],[C%]]+Table2[[#This Row],[H%]]+Table2[[#This Row],[N%]]+Table2[[#This Row],[S%]])</f>
        <v>72.59</v>
      </c>
      <c r="AC219" s="15">
        <v>2.52</v>
      </c>
      <c r="AD219" s="15"/>
      <c r="AE219" s="15"/>
      <c r="AF219" s="15">
        <f>(33.5*Table2[[#This Row],[C%]]+142.3*Table2[[#This Row],[H%]]-15.4*Table2[[#This Row],[O%]]-14.5*Table2[[#This Row],[N%]])/100</f>
        <v>1.015330000000001</v>
      </c>
      <c r="AG219" s="15">
        <v>1.0999999999999999E-2</v>
      </c>
      <c r="AH219" s="15"/>
      <c r="AI219" s="15">
        <f t="shared" si="1"/>
        <v>3.8499999999999996</v>
      </c>
      <c r="AJ219" s="15">
        <v>30</v>
      </c>
      <c r="AL219">
        <v>125</v>
      </c>
      <c r="AM219" s="13">
        <v>0.28611500000000001</v>
      </c>
      <c r="AO219" s="15"/>
      <c r="AP219" s="15">
        <f>LN(25/Table2[[#This Row],[Temperature (C)]]/(1-SQRT((Table2[[#This Row],[Temperature (C)]]-5)/Table2[[#This Row],[Temperature (C)]])))/Table2[[#This Row],[b]]</f>
        <v>8.0301528084115148</v>
      </c>
      <c r="AQ219" s="15">
        <f>IF(Table2[[#This Row],[b]]&lt;&gt;"",Table2[[#This Row],[T-5]], 0)</f>
        <v>8.0301528084115148</v>
      </c>
      <c r="AR219">
        <v>20</v>
      </c>
      <c r="AT219" t="s">
        <v>503</v>
      </c>
      <c r="AU219">
        <v>250</v>
      </c>
      <c r="AV219" s="15">
        <v>37.911025145067597</v>
      </c>
      <c r="AW219" s="15">
        <v>24.564796905222401</v>
      </c>
      <c r="AX219" s="15">
        <v>7.9303675048355506</v>
      </c>
      <c r="AY219" s="15">
        <v>30.367504835589898</v>
      </c>
      <c r="AZ219" s="15"/>
      <c r="BA219" s="15"/>
      <c r="BB219" s="15">
        <f>IF(OR(Table2[[#This Row],[Gas wt%]]&lt;&gt;"",Table2[[#This Row],[Loss]]&lt;&gt;""),Table2[[#This Row],[Gas wt%]]+Table2[[#This Row],[Loss]],"")</f>
        <v>30.367504835589898</v>
      </c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  <c r="BY219" s="15"/>
      <c r="BZ219" s="15"/>
      <c r="CA219" s="15"/>
      <c r="CB219" s="15"/>
      <c r="CC219" s="15"/>
      <c r="CD219" s="15"/>
      <c r="CE219" s="15"/>
      <c r="CF219" s="15"/>
      <c r="CG219" s="15"/>
      <c r="CH219" s="15"/>
      <c r="CI219" s="15"/>
      <c r="CJ219" s="15"/>
      <c r="CK219" s="15"/>
      <c r="CL219" s="15"/>
      <c r="CM219" s="15"/>
      <c r="CN219" s="15"/>
      <c r="CO219" s="15"/>
      <c r="CP219" s="15"/>
      <c r="CQ219" s="15"/>
      <c r="CR219" s="15"/>
      <c r="CS219" s="15"/>
      <c r="CT219" s="15"/>
      <c r="CU219" s="15"/>
      <c r="CV219" s="15"/>
      <c r="CW219" s="15"/>
      <c r="CX219" s="15"/>
      <c r="CY219" s="15"/>
      <c r="CZ219" s="15"/>
      <c r="DA219" s="15"/>
      <c r="DB219" s="15">
        <v>0</v>
      </c>
    </row>
    <row r="220" spans="1:106" x14ac:dyDescent="0.25">
      <c r="A220" t="s">
        <v>314</v>
      </c>
      <c r="B220" t="s">
        <v>317</v>
      </c>
      <c r="C220">
        <v>2022</v>
      </c>
      <c r="D220" s="16" t="s">
        <v>189</v>
      </c>
      <c r="E220">
        <v>0</v>
      </c>
      <c r="F220" s="15">
        <v>22.341463414634145</v>
      </c>
      <c r="G220" s="15"/>
      <c r="H220" s="15"/>
      <c r="I220" s="15">
        <v>11.707317073170731</v>
      </c>
      <c r="J220" s="15">
        <v>4.6829268292682924</v>
      </c>
      <c r="K220" s="15"/>
      <c r="L220" s="15">
        <f>IF(Table2[[#This Row],[Lipids wt%]]+Table2[[#This Row],[Protein wt%]]+Table2[[#This Row],[Carbs wt%]] =0,"",SUM(Table2[[#This Row],[Lipids wt%]],Table2[[#This Row],[Protein wt%]],Table2[[#This Row],[Carbs wt%]]))</f>
        <v>38.731707317073173</v>
      </c>
      <c r="M220" s="15">
        <v>62.8</v>
      </c>
      <c r="Z220" s="15">
        <v>21.01</v>
      </c>
      <c r="AA220" s="15">
        <v>3.88</v>
      </c>
      <c r="AB220" s="15">
        <f>100-(Table2[[#This Row],[C%]]+Table2[[#This Row],[H%]]+Table2[[#This Row],[N%]]+Table2[[#This Row],[S%]])</f>
        <v>72.59</v>
      </c>
      <c r="AC220" s="15">
        <v>2.52</v>
      </c>
      <c r="AD220" s="15"/>
      <c r="AE220" s="15"/>
      <c r="AF220" s="15">
        <f>(33.5*Table2[[#This Row],[C%]]+142.3*Table2[[#This Row],[H%]]-15.4*Table2[[#This Row],[O%]]-14.5*Table2[[#This Row],[N%]])/100</f>
        <v>1.015330000000001</v>
      </c>
      <c r="AG220" s="15">
        <v>1.0999999999999999E-2</v>
      </c>
      <c r="AH220" s="15"/>
      <c r="AI220" s="15">
        <f t="shared" si="1"/>
        <v>3.8499999999999996</v>
      </c>
      <c r="AJ220" s="15">
        <v>30</v>
      </c>
      <c r="AL220">
        <v>125</v>
      </c>
      <c r="AM220" s="13">
        <v>0.28611500000000001</v>
      </c>
      <c r="AO220" s="15"/>
      <c r="AP220" s="15">
        <f>LN(25/Table2[[#This Row],[Temperature (C)]]/(1-SQRT((Table2[[#This Row],[Temperature (C)]]-5)/Table2[[#This Row],[Temperature (C)]])))/Table2[[#This Row],[b]]</f>
        <v>8.0301528084115148</v>
      </c>
      <c r="AQ220" s="15">
        <f>IF(Table2[[#This Row],[b]]&lt;&gt;"",Table2[[#This Row],[T-5]], 0)</f>
        <v>8.0301528084115148</v>
      </c>
      <c r="AR220">
        <v>30</v>
      </c>
      <c r="AT220" t="s">
        <v>503</v>
      </c>
      <c r="AU220">
        <v>250</v>
      </c>
      <c r="AV220" s="15">
        <v>39.458413926498999</v>
      </c>
      <c r="AW220" s="15">
        <v>17.2147001934235</v>
      </c>
      <c r="AX220" s="15">
        <v>14.313346228239801</v>
      </c>
      <c r="AY220" s="15">
        <v>30.560928433268803</v>
      </c>
      <c r="AZ220" s="15"/>
      <c r="BA220" s="15"/>
      <c r="BB220" s="15">
        <f>IF(OR(Table2[[#This Row],[Gas wt%]]&lt;&gt;"",Table2[[#This Row],[Loss]]&lt;&gt;""),Table2[[#This Row],[Gas wt%]]+Table2[[#This Row],[Loss]],"")</f>
        <v>30.560928433268803</v>
      </c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Q220" s="15"/>
      <c r="BR220" s="15"/>
      <c r="BS220" s="15"/>
      <c r="BT220" s="15"/>
      <c r="BU220" s="15"/>
      <c r="BV220" s="15"/>
      <c r="BW220" s="15"/>
      <c r="BX220" s="15"/>
      <c r="BY220" s="15"/>
      <c r="BZ220" s="15"/>
      <c r="CA220" s="15"/>
      <c r="CB220" s="15"/>
      <c r="CC220" s="15"/>
      <c r="CD220" s="15"/>
      <c r="CE220" s="15"/>
      <c r="CF220" s="15"/>
      <c r="CG220" s="15"/>
      <c r="CH220" s="15"/>
      <c r="CI220" s="15"/>
      <c r="CJ220" s="15"/>
      <c r="CK220" s="15"/>
      <c r="CL220" s="15"/>
      <c r="CM220" s="15"/>
      <c r="CN220" s="15"/>
      <c r="CO220" s="15"/>
      <c r="CP220" s="15"/>
      <c r="CQ220" s="15"/>
      <c r="CR220" s="15"/>
      <c r="CS220" s="15"/>
      <c r="CT220" s="15"/>
      <c r="CU220" s="15"/>
      <c r="CV220" s="15"/>
      <c r="CW220" s="15"/>
      <c r="CX220" s="15"/>
      <c r="CY220" s="15"/>
      <c r="CZ220" s="15"/>
      <c r="DA220" s="15"/>
      <c r="DB220" s="15">
        <v>0</v>
      </c>
    </row>
    <row r="221" spans="1:106" x14ac:dyDescent="0.25">
      <c r="A221" t="s">
        <v>314</v>
      </c>
      <c r="B221" t="s">
        <v>317</v>
      </c>
      <c r="C221">
        <v>2022</v>
      </c>
      <c r="D221" s="16" t="s">
        <v>189</v>
      </c>
      <c r="E221">
        <v>0</v>
      </c>
      <c r="F221" s="15">
        <v>22.341463414634145</v>
      </c>
      <c r="G221" s="15"/>
      <c r="H221" s="15"/>
      <c r="I221" s="15">
        <v>11.707317073170731</v>
      </c>
      <c r="J221" s="15">
        <v>4.6829268292682924</v>
      </c>
      <c r="K221" s="15"/>
      <c r="L221" s="15">
        <f>IF(Table2[[#This Row],[Lipids wt%]]+Table2[[#This Row],[Protein wt%]]+Table2[[#This Row],[Carbs wt%]] =0,"",SUM(Table2[[#This Row],[Lipids wt%]],Table2[[#This Row],[Protein wt%]],Table2[[#This Row],[Carbs wt%]]))</f>
        <v>38.731707317073173</v>
      </c>
      <c r="M221" s="15">
        <v>62.8</v>
      </c>
      <c r="Z221" s="15">
        <v>21.01</v>
      </c>
      <c r="AA221" s="15">
        <v>3.88</v>
      </c>
      <c r="AB221" s="15">
        <f>100-(Table2[[#This Row],[C%]]+Table2[[#This Row],[H%]]+Table2[[#This Row],[N%]]+Table2[[#This Row],[S%]])</f>
        <v>72.59</v>
      </c>
      <c r="AC221" s="15">
        <v>2.52</v>
      </c>
      <c r="AD221" s="15"/>
      <c r="AE221" s="15"/>
      <c r="AF221" s="15">
        <f>(33.5*Table2[[#This Row],[C%]]+142.3*Table2[[#This Row],[H%]]-15.4*Table2[[#This Row],[O%]]-14.5*Table2[[#This Row],[N%]])/100</f>
        <v>1.015330000000001</v>
      </c>
      <c r="AG221" s="15">
        <v>1.0999999999999999E-2</v>
      </c>
      <c r="AH221" s="15"/>
      <c r="AI221" s="15">
        <f t="shared" si="1"/>
        <v>3.8499999999999996</v>
      </c>
      <c r="AJ221" s="15">
        <v>30</v>
      </c>
      <c r="AL221">
        <v>125</v>
      </c>
      <c r="AM221" s="13">
        <v>0.28611500000000001</v>
      </c>
      <c r="AO221" s="15"/>
      <c r="AP221" s="15">
        <f>LN(25/Table2[[#This Row],[Temperature (C)]]/(1-SQRT((Table2[[#This Row],[Temperature (C)]]-5)/Table2[[#This Row],[Temperature (C)]])))/Table2[[#This Row],[b]]</f>
        <v>8.0301528084115148</v>
      </c>
      <c r="AQ221" s="15">
        <f>IF(Table2[[#This Row],[b]]&lt;&gt;"",Table2[[#This Row],[T-5]], 0)</f>
        <v>8.0301528084115148</v>
      </c>
      <c r="AR221">
        <v>60</v>
      </c>
      <c r="AT221" t="s">
        <v>503</v>
      </c>
      <c r="AU221">
        <v>250</v>
      </c>
      <c r="AV221" s="15">
        <v>39.845261121856801</v>
      </c>
      <c r="AW221" s="15">
        <v>4.2553191489361399</v>
      </c>
      <c r="AX221" s="15">
        <v>13.733075435202998</v>
      </c>
      <c r="AY221" s="15">
        <v>43.133462282398398</v>
      </c>
      <c r="AZ221" s="15"/>
      <c r="BA221" s="15"/>
      <c r="BB221" s="15">
        <f>IF(OR(Table2[[#This Row],[Gas wt%]]&lt;&gt;"",Table2[[#This Row],[Loss]]&lt;&gt;""),Table2[[#This Row],[Gas wt%]]+Table2[[#This Row],[Loss]],"")</f>
        <v>43.133462282398398</v>
      </c>
      <c r="BC221" s="15"/>
      <c r="BD221" s="15"/>
      <c r="BE221" s="15"/>
      <c r="BF221" s="15"/>
      <c r="BG221" s="15"/>
      <c r="BH221" s="15"/>
      <c r="BI221" s="15"/>
      <c r="BJ221" s="15"/>
      <c r="BK221" s="15"/>
      <c r="BL221" s="15"/>
      <c r="BM221" s="15"/>
      <c r="BN221" s="15"/>
      <c r="BO221" s="15"/>
      <c r="BP221" s="15"/>
      <c r="BQ221" s="15"/>
      <c r="BR221" s="15"/>
      <c r="BS221" s="15"/>
      <c r="BT221" s="15"/>
      <c r="BU221" s="15"/>
      <c r="BV221" s="15"/>
      <c r="BW221" s="15"/>
      <c r="BX221" s="15"/>
      <c r="BY221" s="15"/>
      <c r="BZ221" s="15"/>
      <c r="CA221" s="15"/>
      <c r="CB221" s="15"/>
      <c r="CC221" s="15"/>
      <c r="CD221" s="15"/>
      <c r="CE221" s="15"/>
      <c r="CF221" s="15"/>
      <c r="CG221" s="15"/>
      <c r="CH221" s="15"/>
      <c r="CI221" s="15"/>
      <c r="CJ221" s="15"/>
      <c r="CK221" s="15"/>
      <c r="CL221" s="15"/>
      <c r="CM221" s="15"/>
      <c r="CN221" s="15"/>
      <c r="CO221" s="15"/>
      <c r="CP221" s="15"/>
      <c r="CQ221" s="15"/>
      <c r="CR221" s="15"/>
      <c r="CS221" s="15"/>
      <c r="CT221" s="15"/>
      <c r="CU221" s="15"/>
      <c r="CV221" s="15"/>
      <c r="CW221" s="15"/>
      <c r="CX221" s="15"/>
      <c r="CY221" s="15"/>
      <c r="CZ221" s="15"/>
      <c r="DA221" s="15"/>
      <c r="DB221" s="15">
        <v>0</v>
      </c>
    </row>
    <row r="222" spans="1:106" x14ac:dyDescent="0.25">
      <c r="A222" t="s">
        <v>314</v>
      </c>
      <c r="B222" t="s">
        <v>317</v>
      </c>
      <c r="C222">
        <v>2022</v>
      </c>
      <c r="D222" s="16" t="s">
        <v>189</v>
      </c>
      <c r="E222">
        <v>0</v>
      </c>
      <c r="F222" s="15">
        <v>22.341463414634145</v>
      </c>
      <c r="G222" s="15"/>
      <c r="H222" s="15"/>
      <c r="I222" s="15">
        <v>11.707317073170731</v>
      </c>
      <c r="J222" s="15">
        <v>4.6829268292682924</v>
      </c>
      <c r="K222" s="15"/>
      <c r="L222" s="15">
        <f>IF(Table2[[#This Row],[Lipids wt%]]+Table2[[#This Row],[Protein wt%]]+Table2[[#This Row],[Carbs wt%]] =0,"",SUM(Table2[[#This Row],[Lipids wt%]],Table2[[#This Row],[Protein wt%]],Table2[[#This Row],[Carbs wt%]]))</f>
        <v>38.731707317073173</v>
      </c>
      <c r="M222" s="15">
        <v>62.8</v>
      </c>
      <c r="Z222" s="15">
        <v>21.01</v>
      </c>
      <c r="AA222" s="15">
        <v>3.88</v>
      </c>
      <c r="AB222" s="15">
        <f>100-(Table2[[#This Row],[C%]]+Table2[[#This Row],[H%]]+Table2[[#This Row],[N%]]+Table2[[#This Row],[S%]])</f>
        <v>72.59</v>
      </c>
      <c r="AC222" s="15">
        <v>2.52</v>
      </c>
      <c r="AD222" s="15"/>
      <c r="AE222" s="15"/>
      <c r="AF222" s="15">
        <f>(33.5*Table2[[#This Row],[C%]]+142.3*Table2[[#This Row],[H%]]-15.4*Table2[[#This Row],[O%]]-14.5*Table2[[#This Row],[N%]])/100</f>
        <v>1.015330000000001</v>
      </c>
      <c r="AG222" s="15">
        <v>1.0999999999999999E-2</v>
      </c>
      <c r="AH222" s="15"/>
      <c r="AI222" s="15">
        <f t="shared" si="1"/>
        <v>3.8499999999999996</v>
      </c>
      <c r="AJ222" s="15">
        <v>30</v>
      </c>
      <c r="AL222">
        <v>125</v>
      </c>
      <c r="AM222" s="13">
        <v>0.28611500000000001</v>
      </c>
      <c r="AO222" s="15"/>
      <c r="AP222" s="15">
        <f>LN(25/Table2[[#This Row],[Temperature (C)]]/(1-SQRT((Table2[[#This Row],[Temperature (C)]]-5)/Table2[[#This Row],[Temperature (C)]])))/Table2[[#This Row],[b]]</f>
        <v>8.0331060617750971</v>
      </c>
      <c r="AQ222" s="15">
        <f>IF(Table2[[#This Row],[b]]&lt;&gt;"",Table2[[#This Row],[T-5]], 0)</f>
        <v>8.0331060617750971</v>
      </c>
      <c r="AR222">
        <v>5</v>
      </c>
      <c r="AT222" t="s">
        <v>503</v>
      </c>
      <c r="AU222">
        <v>300</v>
      </c>
      <c r="AV222" s="15">
        <v>38.996138996138903</v>
      </c>
      <c r="AW222" s="15">
        <v>14.092664092664</v>
      </c>
      <c r="AX222" s="15">
        <v>11.9691119691119</v>
      </c>
      <c r="AY222" s="15">
        <v>34.942084942084897</v>
      </c>
      <c r="AZ222" s="15"/>
      <c r="BA222" s="15"/>
      <c r="BB222" s="15">
        <f>IF(OR(Table2[[#This Row],[Gas wt%]]&lt;&gt;"",Table2[[#This Row],[Loss]]&lt;&gt;""),Table2[[#This Row],[Gas wt%]]+Table2[[#This Row],[Loss]],"")</f>
        <v>34.942084942084897</v>
      </c>
      <c r="BC222" s="15"/>
      <c r="BD222" s="15"/>
      <c r="BE222" s="15"/>
      <c r="BF222" s="15"/>
      <c r="BG222" s="15"/>
      <c r="BH222" s="15">
        <f>100-SUM(Table2[[#This Row],[Solids wt%]:[Gas wt%]])</f>
        <v>2.8421709430404007E-13</v>
      </c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  <c r="BV222" s="15"/>
      <c r="BW222" s="15"/>
      <c r="BX222" s="15"/>
      <c r="BY222" s="15"/>
      <c r="BZ222" s="15"/>
      <c r="CA222" s="15"/>
      <c r="CB222" s="15"/>
      <c r="CC222" s="15"/>
      <c r="CD222" s="15"/>
      <c r="CE222" s="15"/>
      <c r="CF222" s="15"/>
      <c r="CG222" s="15"/>
      <c r="CH222" s="15"/>
      <c r="CI222" s="15"/>
      <c r="CJ222" s="15"/>
      <c r="CK222" s="15"/>
      <c r="CL222" s="15"/>
      <c r="CM222" s="15"/>
      <c r="CN222" s="15"/>
      <c r="CO222" s="15"/>
      <c r="CP222" s="15"/>
      <c r="CQ222" s="15"/>
      <c r="CR222" s="15"/>
      <c r="CS222" s="15"/>
      <c r="CT222" s="15"/>
      <c r="CU222" s="15"/>
      <c r="CV222" s="15"/>
      <c r="CW222" s="15"/>
      <c r="CX222" s="15"/>
      <c r="CY222" s="15"/>
      <c r="CZ222" s="15"/>
      <c r="DA222" s="15"/>
      <c r="DB222" s="15">
        <v>0</v>
      </c>
    </row>
    <row r="223" spans="1:106" x14ac:dyDescent="0.25">
      <c r="A223" t="s">
        <v>314</v>
      </c>
      <c r="B223" t="s">
        <v>317</v>
      </c>
      <c r="C223">
        <v>2022</v>
      </c>
      <c r="D223" s="16" t="s">
        <v>189</v>
      </c>
      <c r="E223">
        <v>0</v>
      </c>
      <c r="F223" s="15">
        <v>22.341463414634145</v>
      </c>
      <c r="G223" s="15"/>
      <c r="H223" s="15"/>
      <c r="I223" s="15">
        <v>11.707317073170731</v>
      </c>
      <c r="J223" s="15">
        <v>4.6829268292682924</v>
      </c>
      <c r="K223" s="15"/>
      <c r="L223" s="15">
        <f>IF(Table2[[#This Row],[Lipids wt%]]+Table2[[#This Row],[Protein wt%]]+Table2[[#This Row],[Carbs wt%]] =0,"",SUM(Table2[[#This Row],[Lipids wt%]],Table2[[#This Row],[Protein wt%]],Table2[[#This Row],[Carbs wt%]]))</f>
        <v>38.731707317073173</v>
      </c>
      <c r="M223" s="15">
        <v>62.8</v>
      </c>
      <c r="Z223" s="15">
        <v>21.01</v>
      </c>
      <c r="AA223" s="15">
        <v>3.88</v>
      </c>
      <c r="AB223" s="15">
        <f>100-(Table2[[#This Row],[C%]]+Table2[[#This Row],[H%]]+Table2[[#This Row],[N%]]+Table2[[#This Row],[S%]])</f>
        <v>72.59</v>
      </c>
      <c r="AC223" s="15">
        <v>2.52</v>
      </c>
      <c r="AD223" s="15"/>
      <c r="AE223" s="15"/>
      <c r="AF223" s="15">
        <f>(33.5*Table2[[#This Row],[C%]]+142.3*Table2[[#This Row],[H%]]-15.4*Table2[[#This Row],[O%]]-14.5*Table2[[#This Row],[N%]])/100</f>
        <v>1.015330000000001</v>
      </c>
      <c r="AG223" s="15">
        <v>1.0999999999999999E-2</v>
      </c>
      <c r="AH223" s="15"/>
      <c r="AI223" s="15">
        <f t="shared" si="1"/>
        <v>3.8499999999999996</v>
      </c>
      <c r="AJ223" s="15">
        <v>30</v>
      </c>
      <c r="AL223">
        <v>125</v>
      </c>
      <c r="AM223" s="13">
        <v>0.28611500000000001</v>
      </c>
      <c r="AO223" s="15"/>
      <c r="AP223" s="15">
        <f>LN(25/Table2[[#This Row],[Temperature (C)]]/(1-SQRT((Table2[[#This Row],[Temperature (C)]]-5)/Table2[[#This Row],[Temperature (C)]])))/Table2[[#This Row],[b]]</f>
        <v>8.0331060617750971</v>
      </c>
      <c r="AQ223" s="15">
        <f>IF(Table2[[#This Row],[b]]&lt;&gt;"",Table2[[#This Row],[T-5]], 0)</f>
        <v>8.0331060617750971</v>
      </c>
      <c r="AR223">
        <v>10</v>
      </c>
      <c r="AT223" t="s">
        <v>503</v>
      </c>
      <c r="AU223">
        <v>300</v>
      </c>
      <c r="AV223" s="15">
        <v>26.061776061775998</v>
      </c>
      <c r="AW223" s="15">
        <v>15.444015444015399</v>
      </c>
      <c r="AX223" s="15">
        <v>29.922779922779903</v>
      </c>
      <c r="AY223" s="15">
        <v>28.957528957528901</v>
      </c>
      <c r="AZ223" s="15"/>
      <c r="BA223" s="15"/>
      <c r="BB223" s="15">
        <f>IF(OR(Table2[[#This Row],[Gas wt%]]&lt;&gt;"",Table2[[#This Row],[Loss]]&lt;&gt;""),Table2[[#This Row],[Gas wt%]]+Table2[[#This Row],[Loss]],"")</f>
        <v>28.957528957528901</v>
      </c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  <c r="BP223" s="15"/>
      <c r="BQ223" s="15"/>
      <c r="BR223" s="15"/>
      <c r="BS223" s="15"/>
      <c r="BT223" s="15"/>
      <c r="BU223" s="15"/>
      <c r="BV223" s="15"/>
      <c r="BW223" s="15"/>
      <c r="BX223" s="15"/>
      <c r="BY223" s="15"/>
      <c r="BZ223" s="15"/>
      <c r="CA223" s="15"/>
      <c r="CB223" s="15"/>
      <c r="CC223" s="15"/>
      <c r="CD223" s="15"/>
      <c r="CE223" s="15"/>
      <c r="CF223" s="15"/>
      <c r="CG223" s="15"/>
      <c r="CH223" s="15"/>
      <c r="CI223" s="15"/>
      <c r="CJ223" s="15"/>
      <c r="CK223" s="15"/>
      <c r="CL223" s="15"/>
      <c r="CM223" s="15"/>
      <c r="CN223" s="15"/>
      <c r="CO223" s="15"/>
      <c r="CP223" s="15"/>
      <c r="CQ223" s="15"/>
      <c r="CR223" s="15"/>
      <c r="CS223" s="15"/>
      <c r="CT223" s="15"/>
      <c r="CU223" s="15"/>
      <c r="CV223" s="15"/>
      <c r="CW223" s="15"/>
      <c r="CX223" s="15"/>
      <c r="CY223" s="15"/>
      <c r="CZ223" s="15"/>
      <c r="DA223" s="15"/>
      <c r="DB223" s="15">
        <v>0</v>
      </c>
    </row>
    <row r="224" spans="1:106" x14ac:dyDescent="0.25">
      <c r="A224" t="s">
        <v>314</v>
      </c>
      <c r="B224" t="s">
        <v>317</v>
      </c>
      <c r="C224">
        <v>2022</v>
      </c>
      <c r="D224" s="16" t="s">
        <v>189</v>
      </c>
      <c r="E224">
        <v>0</v>
      </c>
      <c r="F224" s="15">
        <v>22.341463414634145</v>
      </c>
      <c r="G224" s="15"/>
      <c r="H224" s="15"/>
      <c r="I224" s="15">
        <v>11.707317073170731</v>
      </c>
      <c r="J224" s="15">
        <v>4.6829268292682924</v>
      </c>
      <c r="K224" s="15"/>
      <c r="L224" s="15">
        <f>IF(Table2[[#This Row],[Lipids wt%]]+Table2[[#This Row],[Protein wt%]]+Table2[[#This Row],[Carbs wt%]] =0,"",SUM(Table2[[#This Row],[Lipids wt%]],Table2[[#This Row],[Protein wt%]],Table2[[#This Row],[Carbs wt%]]))</f>
        <v>38.731707317073173</v>
      </c>
      <c r="M224" s="15">
        <v>62.8</v>
      </c>
      <c r="Z224" s="15">
        <v>21.01</v>
      </c>
      <c r="AA224" s="15">
        <v>3.88</v>
      </c>
      <c r="AB224" s="15">
        <f>100-(Table2[[#This Row],[C%]]+Table2[[#This Row],[H%]]+Table2[[#This Row],[N%]]+Table2[[#This Row],[S%]])</f>
        <v>72.59</v>
      </c>
      <c r="AC224" s="15">
        <v>2.52</v>
      </c>
      <c r="AD224" s="15"/>
      <c r="AE224" s="15"/>
      <c r="AF224" s="15">
        <f>(33.5*Table2[[#This Row],[C%]]+142.3*Table2[[#This Row],[H%]]-15.4*Table2[[#This Row],[O%]]-14.5*Table2[[#This Row],[N%]])/100</f>
        <v>1.015330000000001</v>
      </c>
      <c r="AG224" s="15">
        <v>1.0999999999999999E-2</v>
      </c>
      <c r="AH224" s="15"/>
      <c r="AI224" s="15">
        <f t="shared" si="1"/>
        <v>3.8499999999999996</v>
      </c>
      <c r="AJ224" s="15">
        <v>30</v>
      </c>
      <c r="AL224">
        <v>125</v>
      </c>
      <c r="AM224" s="13">
        <v>0.28611500000000001</v>
      </c>
      <c r="AO224" s="15"/>
      <c r="AP224" s="15">
        <f>LN(25/Table2[[#This Row],[Temperature (C)]]/(1-SQRT((Table2[[#This Row],[Temperature (C)]]-5)/Table2[[#This Row],[Temperature (C)]])))/Table2[[#This Row],[b]]</f>
        <v>8.0331060617750971</v>
      </c>
      <c r="AQ224" s="15">
        <f>IF(Table2[[#This Row],[b]]&lt;&gt;"",Table2[[#This Row],[T-5]], 0)</f>
        <v>8.0331060617750971</v>
      </c>
      <c r="AR224">
        <v>20</v>
      </c>
      <c r="AT224" t="s">
        <v>503</v>
      </c>
      <c r="AU224">
        <v>300</v>
      </c>
      <c r="AV224" s="15">
        <v>35.521235521235397</v>
      </c>
      <c r="AW224" s="15">
        <v>15.250965250965201</v>
      </c>
      <c r="AX224" s="15">
        <v>16.2162162162161</v>
      </c>
      <c r="AY224" s="15">
        <v>34.362934362934297</v>
      </c>
      <c r="AZ224" s="15"/>
      <c r="BA224" s="15"/>
      <c r="BB224" s="15">
        <f>IF(OR(Table2[[#This Row],[Gas wt%]]&lt;&gt;"",Table2[[#This Row],[Loss]]&lt;&gt;""),Table2[[#This Row],[Gas wt%]]+Table2[[#This Row],[Loss]],"")</f>
        <v>34.362934362934297</v>
      </c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15"/>
      <c r="BQ224" s="15"/>
      <c r="BR224" s="15"/>
      <c r="BS224" s="15"/>
      <c r="BT224" s="15"/>
      <c r="BU224" s="15"/>
      <c r="BV224" s="15"/>
      <c r="BW224" s="15"/>
      <c r="BX224" s="15"/>
      <c r="BY224" s="15"/>
      <c r="BZ224" s="15"/>
      <c r="CA224" s="15"/>
      <c r="CB224" s="15"/>
      <c r="CC224" s="15"/>
      <c r="CD224" s="15"/>
      <c r="CE224" s="15"/>
      <c r="CF224" s="15"/>
      <c r="CG224" s="15"/>
      <c r="CH224" s="15"/>
      <c r="CI224" s="15"/>
      <c r="CJ224" s="15"/>
      <c r="CK224" s="15"/>
      <c r="CL224" s="15"/>
      <c r="CM224" s="15"/>
      <c r="CN224" s="15"/>
      <c r="CO224" s="15"/>
      <c r="CP224" s="15"/>
      <c r="CQ224" s="15"/>
      <c r="CR224" s="15"/>
      <c r="CS224" s="15"/>
      <c r="CT224" s="15"/>
      <c r="CU224" s="15"/>
      <c r="CV224" s="15"/>
      <c r="CW224" s="15"/>
      <c r="CX224" s="15"/>
      <c r="CY224" s="15"/>
      <c r="CZ224" s="15"/>
      <c r="DA224" s="15"/>
      <c r="DB224" s="15">
        <v>0</v>
      </c>
    </row>
    <row r="225" spans="1:106" x14ac:dyDescent="0.25">
      <c r="A225" t="s">
        <v>314</v>
      </c>
      <c r="B225" t="s">
        <v>317</v>
      </c>
      <c r="C225">
        <v>2022</v>
      </c>
      <c r="D225" s="16" t="s">
        <v>189</v>
      </c>
      <c r="E225">
        <v>0</v>
      </c>
      <c r="F225" s="15">
        <v>22.341463414634145</v>
      </c>
      <c r="G225" s="15"/>
      <c r="H225" s="15"/>
      <c r="I225" s="15">
        <v>11.707317073170731</v>
      </c>
      <c r="J225" s="15">
        <v>4.6829268292682924</v>
      </c>
      <c r="K225" s="15"/>
      <c r="L225" s="15">
        <f>IF(Table2[[#This Row],[Lipids wt%]]+Table2[[#This Row],[Protein wt%]]+Table2[[#This Row],[Carbs wt%]] =0,"",SUM(Table2[[#This Row],[Lipids wt%]],Table2[[#This Row],[Protein wt%]],Table2[[#This Row],[Carbs wt%]]))</f>
        <v>38.731707317073173</v>
      </c>
      <c r="M225" s="15">
        <v>62.8</v>
      </c>
      <c r="Z225" s="15">
        <v>21.01</v>
      </c>
      <c r="AA225" s="15">
        <v>3.88</v>
      </c>
      <c r="AB225" s="15">
        <f>100-(Table2[[#This Row],[C%]]+Table2[[#This Row],[H%]]+Table2[[#This Row],[N%]]+Table2[[#This Row],[S%]])</f>
        <v>72.59</v>
      </c>
      <c r="AC225" s="15">
        <v>2.52</v>
      </c>
      <c r="AD225" s="15"/>
      <c r="AE225" s="15"/>
      <c r="AF225" s="15">
        <f>(33.5*Table2[[#This Row],[C%]]+142.3*Table2[[#This Row],[H%]]-15.4*Table2[[#This Row],[O%]]-14.5*Table2[[#This Row],[N%]])/100</f>
        <v>1.015330000000001</v>
      </c>
      <c r="AG225" s="15">
        <v>1.0999999999999999E-2</v>
      </c>
      <c r="AH225" s="15"/>
      <c r="AI225" s="15">
        <f t="shared" si="1"/>
        <v>3.8499999999999996</v>
      </c>
      <c r="AJ225" s="15">
        <v>30</v>
      </c>
      <c r="AL225">
        <v>125</v>
      </c>
      <c r="AM225" s="13">
        <v>0.28611500000000001</v>
      </c>
      <c r="AO225" s="15"/>
      <c r="AP225" s="15">
        <f>LN(25/Table2[[#This Row],[Temperature (C)]]/(1-SQRT((Table2[[#This Row],[Temperature (C)]]-5)/Table2[[#This Row],[Temperature (C)]])))/Table2[[#This Row],[b]]</f>
        <v>8.0331060617750971</v>
      </c>
      <c r="AQ225" s="15">
        <f>IF(Table2[[#This Row],[b]]&lt;&gt;"",Table2[[#This Row],[T-5]], 0)</f>
        <v>8.0331060617750971</v>
      </c>
      <c r="AR225">
        <v>30</v>
      </c>
      <c r="AT225" t="s">
        <v>503</v>
      </c>
      <c r="AU225">
        <v>300</v>
      </c>
      <c r="AV225" s="15">
        <v>34.942084942084897</v>
      </c>
      <c r="AW225" s="15">
        <v>19.498069498069402</v>
      </c>
      <c r="AX225" s="15">
        <v>14.671814671814602</v>
      </c>
      <c r="AY225" s="15">
        <v>31.081081081081003</v>
      </c>
      <c r="AZ225" s="15"/>
      <c r="BA225" s="15"/>
      <c r="BB225" s="15">
        <f>IF(OR(Table2[[#This Row],[Gas wt%]]&lt;&gt;"",Table2[[#This Row],[Loss]]&lt;&gt;""),Table2[[#This Row],[Gas wt%]]+Table2[[#This Row],[Loss]],"")</f>
        <v>31.081081081081003</v>
      </c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5"/>
      <c r="BU225" s="15"/>
      <c r="BV225" s="15"/>
      <c r="BW225" s="15"/>
      <c r="BX225" s="15"/>
      <c r="BY225" s="15"/>
      <c r="BZ225" s="15"/>
      <c r="CA225" s="15"/>
      <c r="CB225" s="15"/>
      <c r="CC225" s="15"/>
      <c r="CD225" s="15"/>
      <c r="CE225" s="15"/>
      <c r="CF225" s="15"/>
      <c r="CG225" s="15"/>
      <c r="CH225" s="15"/>
      <c r="CI225" s="15"/>
      <c r="CJ225" s="15"/>
      <c r="CK225" s="15"/>
      <c r="CL225" s="15"/>
      <c r="CM225" s="15"/>
      <c r="CN225" s="15"/>
      <c r="CO225" s="15"/>
      <c r="CP225" s="15"/>
      <c r="CQ225" s="15"/>
      <c r="CR225" s="15"/>
      <c r="CS225" s="15"/>
      <c r="CT225" s="15"/>
      <c r="CU225" s="15"/>
      <c r="CV225" s="15"/>
      <c r="CW225" s="15"/>
      <c r="CX225" s="15"/>
      <c r="CY225" s="15"/>
      <c r="CZ225" s="15"/>
      <c r="DA225" s="15"/>
      <c r="DB225" s="15">
        <v>0</v>
      </c>
    </row>
    <row r="226" spans="1:106" x14ac:dyDescent="0.25">
      <c r="A226" t="s">
        <v>314</v>
      </c>
      <c r="B226" t="s">
        <v>317</v>
      </c>
      <c r="C226">
        <v>2022</v>
      </c>
      <c r="D226" s="16" t="s">
        <v>189</v>
      </c>
      <c r="E226">
        <v>0</v>
      </c>
      <c r="F226" s="15">
        <v>22.341463414634145</v>
      </c>
      <c r="G226" s="15"/>
      <c r="H226" s="15"/>
      <c r="I226" s="15">
        <v>11.707317073170731</v>
      </c>
      <c r="J226" s="15">
        <v>4.6829268292682924</v>
      </c>
      <c r="K226" s="15"/>
      <c r="L226" s="15">
        <f>IF(Table2[[#This Row],[Lipids wt%]]+Table2[[#This Row],[Protein wt%]]+Table2[[#This Row],[Carbs wt%]] =0,"",SUM(Table2[[#This Row],[Lipids wt%]],Table2[[#This Row],[Protein wt%]],Table2[[#This Row],[Carbs wt%]]))</f>
        <v>38.731707317073173</v>
      </c>
      <c r="M226" s="15">
        <v>62.8</v>
      </c>
      <c r="Z226" s="15">
        <v>21.01</v>
      </c>
      <c r="AA226" s="15">
        <v>3.88</v>
      </c>
      <c r="AB226" s="15">
        <f>100-(Table2[[#This Row],[C%]]+Table2[[#This Row],[H%]]+Table2[[#This Row],[N%]]+Table2[[#This Row],[S%]])</f>
        <v>72.59</v>
      </c>
      <c r="AC226" s="15">
        <v>2.52</v>
      </c>
      <c r="AD226" s="15"/>
      <c r="AE226" s="15"/>
      <c r="AF226" s="15">
        <f>(33.5*Table2[[#This Row],[C%]]+142.3*Table2[[#This Row],[H%]]-15.4*Table2[[#This Row],[O%]]-14.5*Table2[[#This Row],[N%]])/100</f>
        <v>1.015330000000001</v>
      </c>
      <c r="AG226" s="15">
        <v>1.0999999999999999E-2</v>
      </c>
      <c r="AH226" s="15"/>
      <c r="AI226" s="15">
        <f t="shared" si="1"/>
        <v>3.8499999999999996</v>
      </c>
      <c r="AJ226" s="15">
        <v>30</v>
      </c>
      <c r="AL226">
        <v>125</v>
      </c>
      <c r="AM226" s="13">
        <v>0.28611500000000001</v>
      </c>
      <c r="AO226" s="15"/>
      <c r="AP226" s="15">
        <f>LN(25/Table2[[#This Row],[Temperature (C)]]/(1-SQRT((Table2[[#This Row],[Temperature (C)]]-5)/Table2[[#This Row],[Temperature (C)]])))/Table2[[#This Row],[b]]</f>
        <v>8.0331060617750971</v>
      </c>
      <c r="AQ226" s="15">
        <f>IF(Table2[[#This Row],[b]]&lt;&gt;"",Table2[[#This Row],[T-5]], 0)</f>
        <v>8.0331060617750971</v>
      </c>
      <c r="AR226">
        <v>60</v>
      </c>
      <c r="AT226" t="s">
        <v>503</v>
      </c>
      <c r="AU226">
        <v>300</v>
      </c>
      <c r="AV226" s="15">
        <v>39.189189189189101</v>
      </c>
      <c r="AW226" s="15">
        <v>11.3899613899613</v>
      </c>
      <c r="AX226" s="15">
        <v>26.833976833976802</v>
      </c>
      <c r="AY226" s="15">
        <v>22.586872586872499</v>
      </c>
      <c r="AZ226" s="15"/>
      <c r="BA226" s="15"/>
      <c r="BB226" s="15">
        <f>IF(OR(Table2[[#This Row],[Gas wt%]]&lt;&gt;"",Table2[[#This Row],[Loss]]&lt;&gt;""),Table2[[#This Row],[Gas wt%]]+Table2[[#This Row],[Loss]],"")</f>
        <v>22.586872586872499</v>
      </c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  <c r="BP226" s="15"/>
      <c r="BQ226" s="15"/>
      <c r="BR226" s="15"/>
      <c r="BS226" s="15"/>
      <c r="BT226" s="15"/>
      <c r="BU226" s="15"/>
      <c r="BV226" s="15"/>
      <c r="BW226" s="15"/>
      <c r="BX226" s="15"/>
      <c r="BY226" s="15"/>
      <c r="BZ226" s="15"/>
      <c r="CA226" s="15"/>
      <c r="CB226" s="15"/>
      <c r="CC226" s="15"/>
      <c r="CD226" s="15"/>
      <c r="CE226" s="15"/>
      <c r="CF226" s="15"/>
      <c r="CG226" s="15"/>
      <c r="CH226" s="15"/>
      <c r="CI226" s="15"/>
      <c r="CJ226" s="15"/>
      <c r="CK226" s="15"/>
      <c r="CL226" s="15"/>
      <c r="CM226" s="15"/>
      <c r="CN226" s="15"/>
      <c r="CO226" s="15"/>
      <c r="CP226" s="15"/>
      <c r="CQ226" s="15"/>
      <c r="CR226" s="15"/>
      <c r="CS226" s="15"/>
      <c r="CT226" s="15"/>
      <c r="CU226" s="15"/>
      <c r="CV226" s="15"/>
      <c r="CW226" s="15"/>
      <c r="CX226" s="15"/>
      <c r="CY226" s="15"/>
      <c r="CZ226" s="15"/>
      <c r="DA226" s="15"/>
      <c r="DB226" s="15">
        <v>0</v>
      </c>
    </row>
    <row r="227" spans="1:106" x14ac:dyDescent="0.25">
      <c r="A227" t="s">
        <v>314</v>
      </c>
      <c r="B227" t="s">
        <v>317</v>
      </c>
      <c r="C227">
        <v>2022</v>
      </c>
      <c r="D227" s="16" t="s">
        <v>189</v>
      </c>
      <c r="E227">
        <v>0</v>
      </c>
      <c r="F227" s="15">
        <v>22.341463414634145</v>
      </c>
      <c r="G227" s="15"/>
      <c r="H227" s="15"/>
      <c r="I227" s="15">
        <v>11.707317073170731</v>
      </c>
      <c r="J227" s="15">
        <v>4.6829268292682924</v>
      </c>
      <c r="K227" s="15"/>
      <c r="L227" s="15">
        <f>IF(Table2[[#This Row],[Lipids wt%]]+Table2[[#This Row],[Protein wt%]]+Table2[[#This Row],[Carbs wt%]] =0,"",SUM(Table2[[#This Row],[Lipids wt%]],Table2[[#This Row],[Protein wt%]],Table2[[#This Row],[Carbs wt%]]))</f>
        <v>38.731707317073173</v>
      </c>
      <c r="M227" s="15">
        <v>62.8</v>
      </c>
      <c r="Z227" s="15">
        <v>21.01</v>
      </c>
      <c r="AA227" s="15">
        <v>3.88</v>
      </c>
      <c r="AB227" s="15">
        <f>100-(Table2[[#This Row],[C%]]+Table2[[#This Row],[H%]]+Table2[[#This Row],[N%]]+Table2[[#This Row],[S%]])</f>
        <v>72.59</v>
      </c>
      <c r="AC227" s="15">
        <v>2.52</v>
      </c>
      <c r="AD227" s="15"/>
      <c r="AE227" s="15"/>
      <c r="AF227" s="15">
        <f>(33.5*Table2[[#This Row],[C%]]+142.3*Table2[[#This Row],[H%]]-15.4*Table2[[#This Row],[O%]]-14.5*Table2[[#This Row],[N%]])/100</f>
        <v>1.015330000000001</v>
      </c>
      <c r="AG227" s="15">
        <v>1.0999999999999999E-2</v>
      </c>
      <c r="AH227" s="15"/>
      <c r="AI227" s="15">
        <f t="shared" si="1"/>
        <v>3.8499999999999996</v>
      </c>
      <c r="AJ227" s="15">
        <v>30</v>
      </c>
      <c r="AL227">
        <v>125</v>
      </c>
      <c r="AM227" s="13">
        <v>0.28611500000000001</v>
      </c>
      <c r="AO227" s="15"/>
      <c r="AP227" s="15">
        <f>LN(25/Table2[[#This Row],[Temperature (C)]]/(1-SQRT((Table2[[#This Row],[Temperature (C)]]-5)/Table2[[#This Row],[Temperature (C)]])))/Table2[[#This Row],[b]]</f>
        <v>8.0352109413513766</v>
      </c>
      <c r="AQ227" s="15">
        <f>IF(Table2[[#This Row],[b]]&lt;&gt;"",Table2[[#This Row],[T-5]], 0)</f>
        <v>8.0352109413513766</v>
      </c>
      <c r="AR227">
        <v>5</v>
      </c>
      <c r="AT227" t="s">
        <v>503</v>
      </c>
      <c r="AU227">
        <v>350</v>
      </c>
      <c r="AV227" s="15">
        <v>38.416988416988403</v>
      </c>
      <c r="AW227" s="15">
        <v>11.583011583011499</v>
      </c>
      <c r="AX227" s="15">
        <v>25.675675675675702</v>
      </c>
      <c r="AY227" s="15">
        <v>24.7104247104247</v>
      </c>
      <c r="AZ227" s="15"/>
      <c r="BA227" s="15"/>
      <c r="BB227" s="15">
        <f>IF(OR(Table2[[#This Row],[Gas wt%]]&lt;&gt;"",Table2[[#This Row],[Loss]]&lt;&gt;""),Table2[[#This Row],[Gas wt%]]+Table2[[#This Row],[Loss]],"")</f>
        <v>24.7104247104247</v>
      </c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  <c r="BS227" s="15"/>
      <c r="BT227" s="15"/>
      <c r="BU227" s="15"/>
      <c r="BV227" s="15"/>
      <c r="BW227" s="15"/>
      <c r="BX227" s="15"/>
      <c r="BY227" s="15"/>
      <c r="BZ227" s="15"/>
      <c r="CA227" s="15"/>
      <c r="CB227" s="15"/>
      <c r="CC227" s="15"/>
      <c r="CD227" s="15"/>
      <c r="CE227" s="15"/>
      <c r="CF227" s="15"/>
      <c r="CG227" s="15"/>
      <c r="CH227" s="15"/>
      <c r="CI227" s="15"/>
      <c r="CJ227" s="15"/>
      <c r="CK227" s="15"/>
      <c r="CL227" s="15"/>
      <c r="CM227" s="15"/>
      <c r="CN227" s="15"/>
      <c r="CO227" s="15"/>
      <c r="CP227" s="15"/>
      <c r="CQ227" s="15"/>
      <c r="CR227" s="15"/>
      <c r="CS227" s="15"/>
      <c r="CT227" s="15"/>
      <c r="CU227" s="15"/>
      <c r="CV227" s="15"/>
      <c r="CW227" s="15"/>
      <c r="CX227" s="15"/>
      <c r="CY227" s="15"/>
      <c r="CZ227" s="15"/>
      <c r="DA227" s="15"/>
      <c r="DB227" s="15">
        <v>0</v>
      </c>
    </row>
    <row r="228" spans="1:106" x14ac:dyDescent="0.25">
      <c r="A228" t="s">
        <v>314</v>
      </c>
      <c r="B228" t="s">
        <v>317</v>
      </c>
      <c r="C228">
        <v>2022</v>
      </c>
      <c r="D228" s="16" t="s">
        <v>189</v>
      </c>
      <c r="E228">
        <v>0</v>
      </c>
      <c r="F228" s="15">
        <v>22.341463414634145</v>
      </c>
      <c r="G228" s="15"/>
      <c r="H228" s="15"/>
      <c r="I228" s="15">
        <v>11.707317073170731</v>
      </c>
      <c r="J228" s="15">
        <v>4.6829268292682924</v>
      </c>
      <c r="K228" s="15"/>
      <c r="L228" s="15">
        <f>IF(Table2[[#This Row],[Lipids wt%]]+Table2[[#This Row],[Protein wt%]]+Table2[[#This Row],[Carbs wt%]] =0,"",SUM(Table2[[#This Row],[Lipids wt%]],Table2[[#This Row],[Protein wt%]],Table2[[#This Row],[Carbs wt%]]))</f>
        <v>38.731707317073173</v>
      </c>
      <c r="M228" s="15">
        <v>62.8</v>
      </c>
      <c r="Z228" s="15">
        <v>21.01</v>
      </c>
      <c r="AA228" s="15">
        <v>3.88</v>
      </c>
      <c r="AB228" s="15">
        <f>100-(Table2[[#This Row],[C%]]+Table2[[#This Row],[H%]]+Table2[[#This Row],[N%]]+Table2[[#This Row],[S%]])</f>
        <v>72.59</v>
      </c>
      <c r="AC228" s="15">
        <v>2.52</v>
      </c>
      <c r="AD228" s="15"/>
      <c r="AE228" s="15"/>
      <c r="AF228" s="15">
        <f>(33.5*Table2[[#This Row],[C%]]+142.3*Table2[[#This Row],[H%]]-15.4*Table2[[#This Row],[O%]]-14.5*Table2[[#This Row],[N%]])/100</f>
        <v>1.015330000000001</v>
      </c>
      <c r="AG228" s="15">
        <v>1.0999999999999999E-2</v>
      </c>
      <c r="AH228" s="15"/>
      <c r="AI228" s="15">
        <f t="shared" si="1"/>
        <v>3.8499999999999996</v>
      </c>
      <c r="AJ228" s="15">
        <v>30</v>
      </c>
      <c r="AL228">
        <v>125</v>
      </c>
      <c r="AM228" s="13">
        <v>0.28611500000000001</v>
      </c>
      <c r="AO228" s="15"/>
      <c r="AP228" s="15">
        <f>LN(25/Table2[[#This Row],[Temperature (C)]]/(1-SQRT((Table2[[#This Row],[Temperature (C)]]-5)/Table2[[#This Row],[Temperature (C)]])))/Table2[[#This Row],[b]]</f>
        <v>8.0352109413513766</v>
      </c>
      <c r="AQ228" s="15">
        <f>IF(Table2[[#This Row],[b]]&lt;&gt;"",Table2[[#This Row],[T-5]], 0)</f>
        <v>8.0352109413513766</v>
      </c>
      <c r="AR228">
        <v>10</v>
      </c>
      <c r="AT228" t="s">
        <v>503</v>
      </c>
      <c r="AU228">
        <v>350</v>
      </c>
      <c r="AV228" s="15">
        <v>19.691119691119699</v>
      </c>
      <c r="AW228" s="15">
        <v>11.776061776061701</v>
      </c>
      <c r="AX228" s="15">
        <v>29.150579150579098</v>
      </c>
      <c r="AY228" s="15">
        <v>39.189189189189101</v>
      </c>
      <c r="AZ228" s="15"/>
      <c r="BA228" s="15"/>
      <c r="BB228" s="15">
        <f>IF(OR(Table2[[#This Row],[Gas wt%]]&lt;&gt;"",Table2[[#This Row],[Loss]]&lt;&gt;""),Table2[[#This Row],[Gas wt%]]+Table2[[#This Row],[Loss]],"")</f>
        <v>39.189189189189101</v>
      </c>
      <c r="BC228" s="15"/>
      <c r="BD228" s="15"/>
      <c r="BE228" s="15"/>
      <c r="BF228" s="15"/>
      <c r="BG228" s="15"/>
      <c r="BH228" s="15">
        <f>100-SUM(Table2[[#This Row],[Solids wt%]:[Gas wt%]])</f>
        <v>0.1930501930503965</v>
      </c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  <c r="BV228" s="15"/>
      <c r="BW228" s="15"/>
      <c r="BX228" s="15"/>
      <c r="BY228" s="15"/>
      <c r="BZ228" s="15"/>
      <c r="CA228" s="15"/>
      <c r="CB228" s="15"/>
      <c r="CC228" s="15"/>
      <c r="CD228" s="15"/>
      <c r="CE228" s="15"/>
      <c r="CF228" s="15"/>
      <c r="CG228" s="15"/>
      <c r="CH228" s="15"/>
      <c r="CI228" s="15"/>
      <c r="CJ228" s="15"/>
      <c r="CK228" s="15"/>
      <c r="CL228" s="15"/>
      <c r="CM228" s="15"/>
      <c r="CN228" s="15"/>
      <c r="CO228" s="15"/>
      <c r="CP228" s="15"/>
      <c r="CQ228" s="15"/>
      <c r="CR228" s="15"/>
      <c r="CS228" s="15"/>
      <c r="CT228" s="15"/>
      <c r="CU228" s="15"/>
      <c r="CV228" s="15"/>
      <c r="CW228" s="15"/>
      <c r="CX228" s="15"/>
      <c r="CY228" s="15"/>
      <c r="CZ228" s="15"/>
      <c r="DA228" s="15"/>
      <c r="DB228" s="15">
        <v>0</v>
      </c>
    </row>
    <row r="229" spans="1:106" x14ac:dyDescent="0.25">
      <c r="A229" t="s">
        <v>314</v>
      </c>
      <c r="B229" t="s">
        <v>317</v>
      </c>
      <c r="C229">
        <v>2022</v>
      </c>
      <c r="D229" s="16" t="s">
        <v>189</v>
      </c>
      <c r="E229">
        <v>0</v>
      </c>
      <c r="F229" s="15">
        <v>22.341463414634145</v>
      </c>
      <c r="G229" s="15"/>
      <c r="H229" s="15"/>
      <c r="I229" s="15">
        <v>11.707317073170731</v>
      </c>
      <c r="J229" s="15">
        <v>4.6829268292682924</v>
      </c>
      <c r="K229" s="15"/>
      <c r="L229" s="15">
        <f>IF(Table2[[#This Row],[Lipids wt%]]+Table2[[#This Row],[Protein wt%]]+Table2[[#This Row],[Carbs wt%]] =0,"",SUM(Table2[[#This Row],[Lipids wt%]],Table2[[#This Row],[Protein wt%]],Table2[[#This Row],[Carbs wt%]]))</f>
        <v>38.731707317073173</v>
      </c>
      <c r="M229" s="15">
        <v>62.8</v>
      </c>
      <c r="Z229" s="15">
        <v>21.01</v>
      </c>
      <c r="AA229" s="15">
        <v>3.88</v>
      </c>
      <c r="AB229" s="15">
        <f>100-(Table2[[#This Row],[C%]]+Table2[[#This Row],[H%]]+Table2[[#This Row],[N%]]+Table2[[#This Row],[S%]])</f>
        <v>72.59</v>
      </c>
      <c r="AC229" s="15">
        <v>2.52</v>
      </c>
      <c r="AD229" s="15"/>
      <c r="AE229" s="15"/>
      <c r="AF229" s="15">
        <f>(33.5*Table2[[#This Row],[C%]]+142.3*Table2[[#This Row],[H%]]-15.4*Table2[[#This Row],[O%]]-14.5*Table2[[#This Row],[N%]])/100</f>
        <v>1.015330000000001</v>
      </c>
      <c r="AG229" s="15">
        <v>1.0999999999999999E-2</v>
      </c>
      <c r="AH229" s="15"/>
      <c r="AI229" s="15">
        <f t="shared" si="1"/>
        <v>3.8499999999999996</v>
      </c>
      <c r="AJ229" s="15">
        <v>30</v>
      </c>
      <c r="AL229">
        <v>125</v>
      </c>
      <c r="AM229" s="13">
        <v>0.28611500000000001</v>
      </c>
      <c r="AO229" s="15"/>
      <c r="AP229" s="15">
        <f>LN(25/Table2[[#This Row],[Temperature (C)]]/(1-SQRT((Table2[[#This Row],[Temperature (C)]]-5)/Table2[[#This Row],[Temperature (C)]])))/Table2[[#This Row],[b]]</f>
        <v>8.0352109413513766</v>
      </c>
      <c r="AQ229" s="15">
        <f>IF(Table2[[#This Row],[b]]&lt;&gt;"",Table2[[#This Row],[T-5]], 0)</f>
        <v>8.0352109413513766</v>
      </c>
      <c r="AR229">
        <v>20</v>
      </c>
      <c r="AT229" t="s">
        <v>503</v>
      </c>
      <c r="AU229">
        <v>350</v>
      </c>
      <c r="AV229" s="15">
        <v>16.409266409266397</v>
      </c>
      <c r="AW229" s="15">
        <v>13.706563706563701</v>
      </c>
      <c r="AX229" s="15">
        <v>17.181467181467198</v>
      </c>
      <c r="AY229" s="15">
        <v>53.861003861003795</v>
      </c>
      <c r="AZ229" s="15"/>
      <c r="BA229" s="15"/>
      <c r="BB229" s="15">
        <f>IF(OR(Table2[[#This Row],[Gas wt%]]&lt;&gt;"",Table2[[#This Row],[Loss]]&lt;&gt;""),Table2[[#This Row],[Gas wt%]]+Table2[[#This Row],[Loss]],"")</f>
        <v>53.861003861003795</v>
      </c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  <c r="BV229" s="15"/>
      <c r="BW229" s="15"/>
      <c r="BX229" s="15"/>
      <c r="BY229" s="15"/>
      <c r="BZ229" s="15"/>
      <c r="CA229" s="15"/>
      <c r="CB229" s="15"/>
      <c r="CC229" s="15"/>
      <c r="CD229" s="15"/>
      <c r="CE229" s="15"/>
      <c r="CF229" s="15"/>
      <c r="CG229" s="15"/>
      <c r="CH229" s="15"/>
      <c r="CI229" s="15"/>
      <c r="CJ229" s="15"/>
      <c r="CK229" s="15"/>
      <c r="CL229" s="15"/>
      <c r="CM229" s="15"/>
      <c r="CN229" s="15"/>
      <c r="CO229" s="15"/>
      <c r="CP229" s="15"/>
      <c r="CQ229" s="15"/>
      <c r="CR229" s="15"/>
      <c r="CS229" s="15"/>
      <c r="CT229" s="15"/>
      <c r="CU229" s="15"/>
      <c r="CV229" s="15"/>
      <c r="CW229" s="15"/>
      <c r="CX229" s="15"/>
      <c r="CY229" s="15"/>
      <c r="CZ229" s="15"/>
      <c r="DA229" s="15"/>
      <c r="DB229" s="15">
        <v>0</v>
      </c>
    </row>
    <row r="230" spans="1:106" x14ac:dyDescent="0.25">
      <c r="A230" t="s">
        <v>314</v>
      </c>
      <c r="B230" t="s">
        <v>317</v>
      </c>
      <c r="C230">
        <v>2022</v>
      </c>
      <c r="D230" s="16" t="s">
        <v>189</v>
      </c>
      <c r="E230">
        <v>0</v>
      </c>
      <c r="F230" s="15">
        <v>22.341463414634145</v>
      </c>
      <c r="G230" s="15"/>
      <c r="H230" s="15"/>
      <c r="I230" s="15">
        <v>11.707317073170731</v>
      </c>
      <c r="J230" s="15">
        <v>4.6829268292682924</v>
      </c>
      <c r="K230" s="15"/>
      <c r="L230" s="15">
        <f>IF(Table2[[#This Row],[Lipids wt%]]+Table2[[#This Row],[Protein wt%]]+Table2[[#This Row],[Carbs wt%]] =0,"",SUM(Table2[[#This Row],[Lipids wt%]],Table2[[#This Row],[Protein wt%]],Table2[[#This Row],[Carbs wt%]]))</f>
        <v>38.731707317073173</v>
      </c>
      <c r="M230" s="15">
        <v>62.8</v>
      </c>
      <c r="Z230" s="15">
        <v>21.01</v>
      </c>
      <c r="AA230" s="15">
        <v>3.88</v>
      </c>
      <c r="AB230" s="15">
        <f>100-(Table2[[#This Row],[C%]]+Table2[[#This Row],[H%]]+Table2[[#This Row],[N%]]+Table2[[#This Row],[S%]])</f>
        <v>72.59</v>
      </c>
      <c r="AC230" s="15">
        <v>2.52</v>
      </c>
      <c r="AD230" s="15"/>
      <c r="AE230" s="15"/>
      <c r="AF230" s="15">
        <f>(33.5*Table2[[#This Row],[C%]]+142.3*Table2[[#This Row],[H%]]-15.4*Table2[[#This Row],[O%]]-14.5*Table2[[#This Row],[N%]])/100</f>
        <v>1.015330000000001</v>
      </c>
      <c r="AG230" s="15">
        <v>1.0999999999999999E-2</v>
      </c>
      <c r="AH230" s="15"/>
      <c r="AI230" s="15">
        <f t="shared" si="1"/>
        <v>3.8499999999999996</v>
      </c>
      <c r="AJ230" s="15">
        <v>30</v>
      </c>
      <c r="AL230">
        <v>125</v>
      </c>
      <c r="AM230" s="13">
        <v>0.28611500000000001</v>
      </c>
      <c r="AO230" s="15"/>
      <c r="AP230" s="15">
        <f>LN(25/Table2[[#This Row],[Temperature (C)]]/(1-SQRT((Table2[[#This Row],[Temperature (C)]]-5)/Table2[[#This Row],[Temperature (C)]])))/Table2[[#This Row],[b]]</f>
        <v>8.0352109413513766</v>
      </c>
      <c r="AQ230" s="15">
        <f>IF(Table2[[#This Row],[b]]&lt;&gt;"",Table2[[#This Row],[T-5]], 0)</f>
        <v>8.0352109413513766</v>
      </c>
      <c r="AR230">
        <v>30</v>
      </c>
      <c r="AT230" t="s">
        <v>503</v>
      </c>
      <c r="AU230">
        <v>350</v>
      </c>
      <c r="AV230" s="15">
        <v>25.096525096525003</v>
      </c>
      <c r="AW230" s="15">
        <v>18.339768339768302</v>
      </c>
      <c r="AX230" s="15">
        <v>10.038610038610001</v>
      </c>
      <c r="AY230" s="15">
        <v>46.718146718146706</v>
      </c>
      <c r="AZ230" s="15"/>
      <c r="BA230" s="15"/>
      <c r="BB230" s="15">
        <f>IF(OR(Table2[[#This Row],[Gas wt%]]&lt;&gt;"",Table2[[#This Row],[Loss]]&lt;&gt;""),Table2[[#This Row],[Gas wt%]]+Table2[[#This Row],[Loss]],"")</f>
        <v>46.718146718146706</v>
      </c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5"/>
      <c r="BY230" s="15"/>
      <c r="BZ230" s="15"/>
      <c r="CA230" s="15"/>
      <c r="CB230" s="15"/>
      <c r="CC230" s="15"/>
      <c r="CD230" s="15"/>
      <c r="CE230" s="15"/>
      <c r="CF230" s="15"/>
      <c r="CG230" s="15"/>
      <c r="CH230" s="15"/>
      <c r="CI230" s="15"/>
      <c r="CJ230" s="15"/>
      <c r="CK230" s="15"/>
      <c r="CL230" s="15"/>
      <c r="CM230" s="15"/>
      <c r="CN230" s="15"/>
      <c r="CO230" s="15"/>
      <c r="CP230" s="15"/>
      <c r="CQ230" s="15"/>
      <c r="CR230" s="15"/>
      <c r="CS230" s="15"/>
      <c r="CT230" s="15"/>
      <c r="CU230" s="15"/>
      <c r="CV230" s="15"/>
      <c r="CW230" s="15"/>
      <c r="CX230" s="15"/>
      <c r="CY230" s="15"/>
      <c r="CZ230" s="15"/>
      <c r="DA230" s="15"/>
      <c r="DB230" s="15">
        <v>0</v>
      </c>
    </row>
    <row r="231" spans="1:106" x14ac:dyDescent="0.25">
      <c r="A231" t="s">
        <v>314</v>
      </c>
      <c r="B231" t="s">
        <v>317</v>
      </c>
      <c r="C231">
        <v>2022</v>
      </c>
      <c r="D231" s="16" t="s">
        <v>189</v>
      </c>
      <c r="E231">
        <v>0</v>
      </c>
      <c r="F231" s="15">
        <v>22.341463414634145</v>
      </c>
      <c r="G231" s="15"/>
      <c r="H231" s="15"/>
      <c r="I231" s="15">
        <v>11.707317073170731</v>
      </c>
      <c r="J231" s="15">
        <v>4.6829268292682924</v>
      </c>
      <c r="K231" s="15"/>
      <c r="L231" s="15">
        <f>IF(Table2[[#This Row],[Lipids wt%]]+Table2[[#This Row],[Protein wt%]]+Table2[[#This Row],[Carbs wt%]] =0,"",SUM(Table2[[#This Row],[Lipids wt%]],Table2[[#This Row],[Protein wt%]],Table2[[#This Row],[Carbs wt%]]))</f>
        <v>38.731707317073173</v>
      </c>
      <c r="M231" s="15">
        <v>62.8</v>
      </c>
      <c r="Z231" s="15">
        <v>21.01</v>
      </c>
      <c r="AA231" s="15">
        <v>3.88</v>
      </c>
      <c r="AB231" s="15">
        <f>100-(Table2[[#This Row],[C%]]+Table2[[#This Row],[H%]]+Table2[[#This Row],[N%]]+Table2[[#This Row],[S%]])</f>
        <v>72.59</v>
      </c>
      <c r="AC231" s="15">
        <v>2.52</v>
      </c>
      <c r="AD231" s="15"/>
      <c r="AE231" s="15"/>
      <c r="AF231" s="15">
        <f>(33.5*Table2[[#This Row],[C%]]+142.3*Table2[[#This Row],[H%]]-15.4*Table2[[#This Row],[O%]]-14.5*Table2[[#This Row],[N%]])/100</f>
        <v>1.015330000000001</v>
      </c>
      <c r="AG231" s="15">
        <v>1.0999999999999999E-2</v>
      </c>
      <c r="AH231" s="15"/>
      <c r="AI231" s="15">
        <f t="shared" si="1"/>
        <v>3.8499999999999996</v>
      </c>
      <c r="AJ231" s="15">
        <v>30</v>
      </c>
      <c r="AL231">
        <v>125</v>
      </c>
      <c r="AM231" s="13">
        <v>0.28611500000000001</v>
      </c>
      <c r="AO231" s="15"/>
      <c r="AP231" s="15">
        <f>LN(25/Table2[[#This Row],[Temperature (C)]]/(1-SQRT((Table2[[#This Row],[Temperature (C)]]-5)/Table2[[#This Row],[Temperature (C)]])))/Table2[[#This Row],[b]]</f>
        <v>8.0352109413513766</v>
      </c>
      <c r="AQ231" s="15">
        <f>IF(Table2[[#This Row],[b]]&lt;&gt;"",Table2[[#This Row],[T-5]], 0)</f>
        <v>8.0352109413513766</v>
      </c>
      <c r="AR231">
        <v>60</v>
      </c>
      <c r="AT231" t="s">
        <v>503</v>
      </c>
      <c r="AU231">
        <v>350</v>
      </c>
      <c r="AV231" s="15">
        <v>31.660231660231602</v>
      </c>
      <c r="AW231" s="15">
        <v>31.081081081081003</v>
      </c>
      <c r="AX231" s="15">
        <v>11.196911196911099</v>
      </c>
      <c r="AY231" s="15">
        <v>25.8687258687258</v>
      </c>
      <c r="AZ231" s="15"/>
      <c r="BA231" s="15"/>
      <c r="BB231" s="15">
        <f>IF(OR(Table2[[#This Row],[Gas wt%]]&lt;&gt;"",Table2[[#This Row],[Loss]]&lt;&gt;""),Table2[[#This Row],[Gas wt%]]+Table2[[#This Row],[Loss]],"")</f>
        <v>25.8687258687258</v>
      </c>
      <c r="BC231" s="15"/>
      <c r="BD231" s="15"/>
      <c r="BE231" s="15"/>
      <c r="BF231" s="15"/>
      <c r="BG231" s="15"/>
      <c r="BH231" s="15">
        <f>100-SUM(Table2[[#This Row],[Solids wt%]:[Gas wt%]])</f>
        <v>0.19305019305049598</v>
      </c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  <c r="BU231" s="15"/>
      <c r="BV231" s="15"/>
      <c r="BW231" s="15"/>
      <c r="BX231" s="15"/>
      <c r="BY231" s="15"/>
      <c r="BZ231" s="15"/>
      <c r="CA231" s="15"/>
      <c r="CB231" s="15"/>
      <c r="CC231" s="15"/>
      <c r="CD231" s="15"/>
      <c r="CE231" s="15"/>
      <c r="CF231" s="15"/>
      <c r="CG231" s="15"/>
      <c r="CH231" s="15"/>
      <c r="CI231" s="15"/>
      <c r="CJ231" s="15"/>
      <c r="CK231" s="15"/>
      <c r="CL231" s="15"/>
      <c r="CM231" s="15"/>
      <c r="CN231" s="15"/>
      <c r="CO231" s="15"/>
      <c r="CP231" s="15"/>
      <c r="CQ231" s="15"/>
      <c r="CR231" s="15"/>
      <c r="CS231" s="15"/>
      <c r="CT231" s="15"/>
      <c r="CU231" s="15"/>
      <c r="CV231" s="15"/>
      <c r="CW231" s="15"/>
      <c r="CX231" s="15"/>
      <c r="CY231" s="15"/>
      <c r="CZ231" s="15"/>
      <c r="DA231" s="15"/>
      <c r="DB231" s="15">
        <v>0</v>
      </c>
    </row>
    <row r="232" spans="1:106" x14ac:dyDescent="0.25">
      <c r="A232" s="1" t="s">
        <v>319</v>
      </c>
      <c r="B232" t="s">
        <v>306</v>
      </c>
      <c r="C232">
        <v>2021</v>
      </c>
      <c r="D232" s="16" t="s">
        <v>318</v>
      </c>
      <c r="E232">
        <v>0</v>
      </c>
      <c r="F232" s="15"/>
      <c r="G232" s="15"/>
      <c r="H232" s="15"/>
      <c r="I232" s="15"/>
      <c r="J232" s="15"/>
      <c r="K232" s="15"/>
      <c r="L232" s="15" t="str">
        <f>IF(Table2[[#This Row],[Lipids wt%]]+Table2[[#This Row],[Protein wt%]]+Table2[[#This Row],[Carbs wt%]] =0,"",SUM(Table2[[#This Row],[Lipids wt%]],Table2[[#This Row],[Protein wt%]],Table2[[#This Row],[Carbs wt%]]))</f>
        <v/>
      </c>
      <c r="M232" s="15">
        <v>1.76</v>
      </c>
      <c r="Q232">
        <v>17.95</v>
      </c>
      <c r="R232">
        <v>80.290000000000006</v>
      </c>
      <c r="U232">
        <v>63.79</v>
      </c>
      <c r="V232">
        <v>30</v>
      </c>
      <c r="Z232" s="15">
        <v>48.93</v>
      </c>
      <c r="AA232" s="15">
        <v>7.31</v>
      </c>
      <c r="AB232" s="15">
        <v>33.14</v>
      </c>
      <c r="AC232" s="15">
        <v>9.3800000000000008</v>
      </c>
      <c r="AD232" s="15">
        <v>1.24</v>
      </c>
      <c r="AE232" s="15"/>
      <c r="AF232" s="15">
        <v>16.52</v>
      </c>
      <c r="AG232" s="15"/>
      <c r="AH232" s="15"/>
      <c r="AI232" s="15"/>
      <c r="AJ232" s="15"/>
      <c r="AM232" s="13"/>
      <c r="AO232" s="15">
        <v>30</v>
      </c>
      <c r="AP232" s="15" t="e">
        <f>LN(25/Table2[[#This Row],[Temperature (C)]]/(1-SQRT((Table2[[#This Row],[Temperature (C)]]-5)/Table2[[#This Row],[Temperature (C)]])))/Table2[[#This Row],[b]]</f>
        <v>#DIV/0!</v>
      </c>
      <c r="AQ232" s="15">
        <f>IF(Table2[[#This Row],[b]]&lt;&gt;"",Table2[[#This Row],[T-5]], 0)</f>
        <v>0</v>
      </c>
      <c r="AT232" t="s">
        <v>503</v>
      </c>
      <c r="AU232">
        <v>330</v>
      </c>
      <c r="AV232" s="15">
        <v>31.401475237091599</v>
      </c>
      <c r="AW232" s="15">
        <v>4.6364594309800005</v>
      </c>
      <c r="AX232" s="15">
        <v>6.5331928345626977</v>
      </c>
      <c r="AY232" s="15">
        <v>57.428872497365703</v>
      </c>
      <c r="AZ232" s="15"/>
      <c r="BA232" s="15"/>
      <c r="BB232" s="15">
        <f>IF(OR(Table2[[#This Row],[Gas wt%]]&lt;&gt;"",Table2[[#This Row],[Loss]]&lt;&gt;""),Table2[[#This Row],[Gas wt%]]+Table2[[#This Row],[Loss]],"")</f>
        <v>57.428872497365703</v>
      </c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15"/>
      <c r="BQ232" s="15"/>
      <c r="BR232" s="15"/>
      <c r="BS232" s="15"/>
      <c r="BT232" s="15"/>
      <c r="BU232" s="15"/>
      <c r="BV232" s="15"/>
      <c r="BW232" s="15"/>
      <c r="BX232" s="15"/>
      <c r="BY232" s="15"/>
      <c r="BZ232" s="15"/>
      <c r="CA232" s="15"/>
      <c r="CB232" s="15"/>
      <c r="CC232" s="15"/>
      <c r="CD232" s="15"/>
      <c r="CE232" s="15"/>
      <c r="CF232" s="15"/>
      <c r="CG232" s="15"/>
      <c r="CH232" s="15"/>
      <c r="CI232" s="15"/>
      <c r="CJ232" s="15"/>
      <c r="CK232" s="15"/>
      <c r="CL232" s="15"/>
      <c r="CM232" s="15"/>
      <c r="CN232" s="15"/>
      <c r="CO232" s="15"/>
      <c r="CP232" s="15"/>
      <c r="CQ232" s="15"/>
      <c r="CR232" s="15"/>
      <c r="CS232" s="15"/>
      <c r="CT232" s="15"/>
      <c r="CU232" s="15"/>
      <c r="CV232" s="15"/>
      <c r="CW232" s="15"/>
      <c r="CX232" s="15"/>
      <c r="CY232" s="15"/>
      <c r="CZ232" s="15"/>
      <c r="DA232" s="15"/>
      <c r="DB232" s="15">
        <v>0</v>
      </c>
    </row>
    <row r="233" spans="1:106" x14ac:dyDescent="0.25">
      <c r="A233" t="s">
        <v>370</v>
      </c>
      <c r="B233" t="s">
        <v>371</v>
      </c>
      <c r="C233">
        <v>2013</v>
      </c>
      <c r="D233" s="16" t="s">
        <v>205</v>
      </c>
      <c r="E233">
        <v>0</v>
      </c>
      <c r="F233" s="15">
        <v>43.74374374374375</v>
      </c>
      <c r="G233" s="15"/>
      <c r="H233" s="15"/>
      <c r="I233" s="15">
        <v>41.841841841841841</v>
      </c>
      <c r="J233" s="15">
        <v>11.611611611611611</v>
      </c>
      <c r="K233" s="15"/>
      <c r="L233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33" s="15">
        <v>2.8</v>
      </c>
      <c r="V233">
        <v>9.5</v>
      </c>
      <c r="Z233" s="15">
        <v>52.35</v>
      </c>
      <c r="AA233" s="15">
        <v>7.27</v>
      </c>
      <c r="AB233" s="15">
        <v>24.6</v>
      </c>
      <c r="AC233" s="15">
        <v>8.8800000000000008</v>
      </c>
      <c r="AD233" s="15">
        <v>0.66</v>
      </c>
      <c r="AE233" s="15"/>
      <c r="AF233" s="15">
        <v>23.75</v>
      </c>
      <c r="AG233" s="15">
        <v>4.1000000000000003E-3</v>
      </c>
      <c r="AH233" s="15"/>
      <c r="AI233" s="15"/>
      <c r="AJ233" s="15">
        <v>15</v>
      </c>
      <c r="AM233" s="13"/>
      <c r="AO233" s="15"/>
      <c r="AP233" s="15" t="e">
        <f>LN(25/Table2[[#This Row],[Temperature (C)]]/(1-SQRT((Table2[[#This Row],[Temperature (C)]]-5)/Table2[[#This Row],[Temperature (C)]])))/Table2[[#This Row],[b]]</f>
        <v>#DIV/0!</v>
      </c>
      <c r="AQ233" s="15">
        <f>IF(Table2[[#This Row],[b]]&lt;&gt;"",Table2[[#This Row],[T-5]], 0)</f>
        <v>0</v>
      </c>
      <c r="AR233">
        <v>1</v>
      </c>
      <c r="AT233" t="s">
        <v>503</v>
      </c>
      <c r="AU233">
        <v>300</v>
      </c>
      <c r="AV233" s="15"/>
      <c r="AW233" s="15">
        <v>13</v>
      </c>
      <c r="AX233" s="15"/>
      <c r="AY233" s="15"/>
      <c r="AZ233" s="15"/>
      <c r="BA233" s="15"/>
      <c r="BB233" s="15" t="str">
        <f>IF(OR(Table2[[#This Row],[Gas wt%]]&lt;&gt;"",Table2[[#This Row],[Loss]]&lt;&gt;""),Table2[[#This Row],[Gas wt%]]+Table2[[#This Row],[Loss]],"")</f>
        <v/>
      </c>
      <c r="BC233" s="15"/>
      <c r="BD233" s="15">
        <v>11.31</v>
      </c>
      <c r="BE233" s="15">
        <f>Table2[[#This Row],[Biocrude wt%]]-Table2[[#This Row],[Light Biocrude wt%]]</f>
        <v>1.6899999999999995</v>
      </c>
      <c r="BF233" s="15"/>
      <c r="BG233" s="15"/>
      <c r="BH233" s="15"/>
      <c r="BI233" s="15">
        <v>71.06</v>
      </c>
      <c r="BJ233" s="15">
        <v>9.61</v>
      </c>
      <c r="BK233" s="15">
        <v>17.22</v>
      </c>
      <c r="BL233" s="15">
        <v>1.87</v>
      </c>
      <c r="BM233" s="15">
        <v>0.25</v>
      </c>
      <c r="BN233" s="15">
        <v>34.69</v>
      </c>
      <c r="BO233" s="15">
        <v>18</v>
      </c>
      <c r="BP233" s="15"/>
      <c r="BQ233" s="15">
        <f>Table2[[#This Row],[H% B]]/Table2[[#This Row],[C% B]]*100</f>
        <v>13.523782718829159</v>
      </c>
      <c r="BR233" s="15"/>
      <c r="BS233" s="15"/>
      <c r="BT233" s="15"/>
      <c r="BU233" s="15"/>
      <c r="BV233" s="15"/>
      <c r="BW233" s="15"/>
      <c r="BX233" s="15"/>
      <c r="BY233" s="15"/>
      <c r="BZ233" s="15"/>
      <c r="CA233" s="15"/>
      <c r="CB233" s="15"/>
      <c r="CC233" s="15"/>
      <c r="CD233" s="15"/>
      <c r="CE233" s="15"/>
      <c r="CF233" s="15"/>
      <c r="CG233" s="15"/>
      <c r="CH233" s="15"/>
      <c r="CI233" s="15"/>
      <c r="CJ233" s="15"/>
      <c r="CK233" s="15"/>
      <c r="CL233" s="15"/>
      <c r="CM233" s="15"/>
      <c r="CN233" s="15"/>
      <c r="CO233" s="15"/>
      <c r="CP233" s="15"/>
      <c r="CQ233" s="15"/>
      <c r="CR233" s="15"/>
      <c r="CS233" s="15"/>
      <c r="CT233" s="15"/>
      <c r="CU233" s="15"/>
      <c r="CV233" s="15"/>
      <c r="CW233" s="15"/>
      <c r="CX233" s="15"/>
      <c r="CY233" s="15"/>
      <c r="CZ233" s="15"/>
      <c r="DA233" s="15"/>
      <c r="DB233" s="15">
        <v>0</v>
      </c>
    </row>
    <row r="234" spans="1:106" x14ac:dyDescent="0.25">
      <c r="A234" t="s">
        <v>370</v>
      </c>
      <c r="B234" t="s">
        <v>371</v>
      </c>
      <c r="C234">
        <v>2013</v>
      </c>
      <c r="D234" s="16" t="s">
        <v>205</v>
      </c>
      <c r="E234">
        <v>0</v>
      </c>
      <c r="F234" s="15">
        <v>43.74374374374375</v>
      </c>
      <c r="G234" s="15"/>
      <c r="H234" s="15"/>
      <c r="I234" s="15">
        <v>41.841841841841841</v>
      </c>
      <c r="J234" s="15">
        <v>11.611611611611611</v>
      </c>
      <c r="K234" s="15"/>
      <c r="L234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34" s="15">
        <v>2.8</v>
      </c>
      <c r="V234">
        <v>9.5</v>
      </c>
      <c r="Z234" s="15">
        <v>52.35</v>
      </c>
      <c r="AA234" s="15">
        <v>7.27</v>
      </c>
      <c r="AB234" s="15">
        <v>24.6</v>
      </c>
      <c r="AC234" s="15">
        <v>8.8800000000000008</v>
      </c>
      <c r="AD234" s="15">
        <v>0.66</v>
      </c>
      <c r="AE234" s="15"/>
      <c r="AF234" s="15">
        <v>23.75</v>
      </c>
      <c r="AG234" s="15">
        <v>4.1000000000000003E-3</v>
      </c>
      <c r="AH234" s="15"/>
      <c r="AI234" s="15"/>
      <c r="AJ234" s="15">
        <v>15</v>
      </c>
      <c r="AM234" s="13"/>
      <c r="AO234" s="15"/>
      <c r="AP234" s="15" t="e">
        <f>LN(25/Table2[[#This Row],[Temperature (C)]]/(1-SQRT((Table2[[#This Row],[Temperature (C)]]-5)/Table2[[#This Row],[Temperature (C)]])))/Table2[[#This Row],[b]]</f>
        <v>#DIV/0!</v>
      </c>
      <c r="AQ234" s="15">
        <f>IF(Table2[[#This Row],[b]]&lt;&gt;"",Table2[[#This Row],[T-5]], 0)</f>
        <v>0</v>
      </c>
      <c r="AR234">
        <v>3</v>
      </c>
      <c r="AT234" t="s">
        <v>503</v>
      </c>
      <c r="AU234">
        <v>300</v>
      </c>
      <c r="AV234" s="15"/>
      <c r="AW234" s="15">
        <v>38</v>
      </c>
      <c r="AX234" s="15"/>
      <c r="AY234" s="15"/>
      <c r="AZ234" s="15"/>
      <c r="BA234" s="15"/>
      <c r="BB234" s="15" t="str">
        <f>IF(OR(Table2[[#This Row],[Gas wt%]]&lt;&gt;"",Table2[[#This Row],[Loss]]&lt;&gt;""),Table2[[#This Row],[Gas wt%]]+Table2[[#This Row],[Loss]],"")</f>
        <v/>
      </c>
      <c r="BC234" s="15"/>
      <c r="BD234" s="15">
        <v>20.14</v>
      </c>
      <c r="BE234" s="15">
        <f>Table2[[#This Row],[Biocrude wt%]]-Table2[[#This Row],[Light Biocrude wt%]]</f>
        <v>17.86</v>
      </c>
      <c r="BF234" s="15"/>
      <c r="BG234" s="15"/>
      <c r="BH234" s="15"/>
      <c r="BI234" s="15">
        <v>70.430000000000007</v>
      </c>
      <c r="BJ234" s="15">
        <v>9.49</v>
      </c>
      <c r="BK234" s="15">
        <v>14.75</v>
      </c>
      <c r="BL234" s="15">
        <v>4.74</v>
      </c>
      <c r="BM234" s="15">
        <v>0.59</v>
      </c>
      <c r="BN234" s="15">
        <v>34.79</v>
      </c>
      <c r="BO234" s="15">
        <v>51</v>
      </c>
      <c r="BP234" s="15"/>
      <c r="BQ234" s="15">
        <f>Table2[[#This Row],[H% B]]/Table2[[#This Row],[C% B]]*100</f>
        <v>13.474371716598041</v>
      </c>
      <c r="BR234" s="15"/>
      <c r="BS234" s="15"/>
      <c r="BT234" s="15"/>
      <c r="BU234" s="15"/>
      <c r="BV234" s="15"/>
      <c r="BW234" s="15"/>
      <c r="BX234" s="15"/>
      <c r="BY234" s="15"/>
      <c r="BZ234" s="15"/>
      <c r="CA234" s="15"/>
      <c r="CB234" s="15"/>
      <c r="CC234" s="15"/>
      <c r="CD234" s="15"/>
      <c r="CE234" s="15"/>
      <c r="CF234" s="15"/>
      <c r="CG234" s="15"/>
      <c r="CH234" s="15"/>
      <c r="CI234" s="15"/>
      <c r="CJ234" s="15"/>
      <c r="CK234" s="15"/>
      <c r="CL234" s="15"/>
      <c r="CM234" s="15"/>
      <c r="CN234" s="15"/>
      <c r="CO234" s="15"/>
      <c r="CP234" s="15"/>
      <c r="CQ234" s="15"/>
      <c r="CR234" s="15"/>
      <c r="CS234" s="15"/>
      <c r="CT234" s="15"/>
      <c r="CU234" s="15"/>
      <c r="CV234" s="15"/>
      <c r="CW234" s="15"/>
      <c r="CX234" s="15"/>
      <c r="CY234" s="15"/>
      <c r="CZ234" s="15"/>
      <c r="DA234" s="15"/>
      <c r="DB234" s="15">
        <v>0</v>
      </c>
    </row>
    <row r="235" spans="1:106" x14ac:dyDescent="0.25">
      <c r="A235" t="s">
        <v>370</v>
      </c>
      <c r="B235" t="s">
        <v>371</v>
      </c>
      <c r="C235">
        <v>2013</v>
      </c>
      <c r="D235" s="16" t="s">
        <v>205</v>
      </c>
      <c r="E235">
        <v>0</v>
      </c>
      <c r="F235" s="15">
        <v>43.74374374374375</v>
      </c>
      <c r="G235" s="15"/>
      <c r="H235" s="15"/>
      <c r="I235" s="15">
        <v>41.841841841841841</v>
      </c>
      <c r="J235" s="15">
        <v>11.611611611611611</v>
      </c>
      <c r="K235" s="15"/>
      <c r="L235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35" s="15">
        <v>2.8</v>
      </c>
      <c r="V235">
        <v>9.5</v>
      </c>
      <c r="Z235" s="15">
        <v>52.35</v>
      </c>
      <c r="AA235" s="15">
        <v>7.27</v>
      </c>
      <c r="AB235" s="15">
        <v>24.6</v>
      </c>
      <c r="AC235" s="15">
        <v>8.8800000000000008</v>
      </c>
      <c r="AD235" s="15">
        <v>0.66</v>
      </c>
      <c r="AE235" s="15"/>
      <c r="AF235" s="15">
        <v>23.75</v>
      </c>
      <c r="AG235" s="15">
        <v>4.1000000000000003E-3</v>
      </c>
      <c r="AH235" s="15"/>
      <c r="AI235" s="15"/>
      <c r="AJ235" s="15">
        <v>15</v>
      </c>
      <c r="AM235" s="13"/>
      <c r="AO235" s="15"/>
      <c r="AP235" s="15" t="e">
        <f>LN(25/Table2[[#This Row],[Temperature (C)]]/(1-SQRT((Table2[[#This Row],[Temperature (C)]]-5)/Table2[[#This Row],[Temperature (C)]])))/Table2[[#This Row],[b]]</f>
        <v>#DIV/0!</v>
      </c>
      <c r="AQ235" s="15">
        <f>IF(Table2[[#This Row],[b]]&lt;&gt;"",Table2[[#This Row],[T-5]], 0)</f>
        <v>0</v>
      </c>
      <c r="AR235">
        <v>5</v>
      </c>
      <c r="AT235" t="s">
        <v>503</v>
      </c>
      <c r="AU235">
        <v>300</v>
      </c>
      <c r="AV235" s="15"/>
      <c r="AW235" s="15">
        <v>44</v>
      </c>
      <c r="AX235" s="15"/>
      <c r="AY235" s="15"/>
      <c r="AZ235" s="15"/>
      <c r="BA235" s="15"/>
      <c r="BB235" s="15" t="str">
        <f>IF(OR(Table2[[#This Row],[Gas wt%]]&lt;&gt;"",Table2[[#This Row],[Loss]]&lt;&gt;""),Table2[[#This Row],[Gas wt%]]+Table2[[#This Row],[Loss]],"")</f>
        <v/>
      </c>
      <c r="BC235" s="15"/>
      <c r="BD235" s="15">
        <v>19.8</v>
      </c>
      <c r="BE235" s="15">
        <f>Table2[[#This Row],[Biocrude wt%]]-Table2[[#This Row],[Light Biocrude wt%]]</f>
        <v>24.2</v>
      </c>
      <c r="BF235" s="15"/>
      <c r="BG235" s="15"/>
      <c r="BH235" s="15"/>
      <c r="BI235" s="15">
        <v>71.62</v>
      </c>
      <c r="BJ235" s="15">
        <v>9.7200000000000006</v>
      </c>
      <c r="BK235" s="15">
        <v>12.63</v>
      </c>
      <c r="BL235" s="15">
        <v>5.45</v>
      </c>
      <c r="BM235" s="15">
        <v>0.57999999999999996</v>
      </c>
      <c r="BN235" s="15">
        <v>35.880000000000003</v>
      </c>
      <c r="BO235" s="15">
        <v>61</v>
      </c>
      <c r="BP235" s="15"/>
      <c r="BQ235" s="15">
        <f>Table2[[#This Row],[H% B]]/Table2[[#This Row],[C% B]]*100</f>
        <v>13.571628036861211</v>
      </c>
      <c r="BR235" s="15"/>
      <c r="BS235" s="15"/>
      <c r="BT235" s="15"/>
      <c r="BU235" s="15"/>
      <c r="BV235" s="15"/>
      <c r="BW235" s="15"/>
      <c r="BX235" s="15"/>
      <c r="BY235" s="15"/>
      <c r="BZ235" s="15"/>
      <c r="CA235" s="15"/>
      <c r="CB235" s="15"/>
      <c r="CC235" s="15"/>
      <c r="CD235" s="15"/>
      <c r="CE235" s="15"/>
      <c r="CF235" s="15"/>
      <c r="CG235" s="15"/>
      <c r="CH235" s="15"/>
      <c r="CI235" s="15"/>
      <c r="CJ235" s="15"/>
      <c r="CK235" s="15"/>
      <c r="CL235" s="15"/>
      <c r="CM235" s="15"/>
      <c r="CN235" s="15"/>
      <c r="CO235" s="15"/>
      <c r="CP235" s="15"/>
      <c r="CQ235" s="15"/>
      <c r="CR235" s="15"/>
      <c r="CS235" s="15"/>
      <c r="CT235" s="15"/>
      <c r="CU235" s="15"/>
      <c r="CV235" s="15"/>
      <c r="CW235" s="15"/>
      <c r="CX235" s="15"/>
      <c r="CY235" s="15"/>
      <c r="CZ235" s="15"/>
      <c r="DA235" s="15"/>
      <c r="DB235" s="15">
        <v>0</v>
      </c>
    </row>
    <row r="236" spans="1:106" x14ac:dyDescent="0.25">
      <c r="A236" t="s">
        <v>370</v>
      </c>
      <c r="B236" t="s">
        <v>371</v>
      </c>
      <c r="C236">
        <v>2013</v>
      </c>
      <c r="D236" s="16" t="s">
        <v>205</v>
      </c>
      <c r="E236">
        <v>0</v>
      </c>
      <c r="F236" s="15">
        <v>43.74374374374375</v>
      </c>
      <c r="G236" s="15"/>
      <c r="H236" s="15"/>
      <c r="I236" s="15">
        <v>41.841841841841841</v>
      </c>
      <c r="J236" s="15">
        <v>11.611611611611611</v>
      </c>
      <c r="K236" s="15"/>
      <c r="L236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36" s="15">
        <v>2.8</v>
      </c>
      <c r="V236">
        <v>9.5</v>
      </c>
      <c r="Z236" s="15">
        <v>52.35</v>
      </c>
      <c r="AA236" s="15">
        <v>7.27</v>
      </c>
      <c r="AB236" s="15">
        <v>24.6</v>
      </c>
      <c r="AC236" s="15">
        <v>8.8800000000000008</v>
      </c>
      <c r="AD236" s="15">
        <v>0.66</v>
      </c>
      <c r="AE236" s="15"/>
      <c r="AF236" s="15">
        <v>23.75</v>
      </c>
      <c r="AG236" s="15">
        <v>4.1000000000000003E-3</v>
      </c>
      <c r="AH236" s="15"/>
      <c r="AI236" s="15"/>
      <c r="AJ236" s="15">
        <v>15</v>
      </c>
      <c r="AM236" s="13"/>
      <c r="AO236" s="15"/>
      <c r="AP236" s="15" t="e">
        <f>LN(25/Table2[[#This Row],[Temperature (C)]]/(1-SQRT((Table2[[#This Row],[Temperature (C)]]-5)/Table2[[#This Row],[Temperature (C)]])))/Table2[[#This Row],[b]]</f>
        <v>#DIV/0!</v>
      </c>
      <c r="AQ236" s="15">
        <f>IF(Table2[[#This Row],[b]]&lt;&gt;"",Table2[[#This Row],[T-5]], 0)</f>
        <v>0</v>
      </c>
      <c r="AR236">
        <v>1</v>
      </c>
      <c r="AT236" t="s">
        <v>503</v>
      </c>
      <c r="AU236">
        <v>350</v>
      </c>
      <c r="AV236" s="15"/>
      <c r="AW236" s="15">
        <v>23</v>
      </c>
      <c r="AX236" s="15"/>
      <c r="AY236" s="15"/>
      <c r="AZ236" s="15"/>
      <c r="BA236" s="15"/>
      <c r="BB236" s="15" t="str">
        <f>IF(OR(Table2[[#This Row],[Gas wt%]]&lt;&gt;"",Table2[[#This Row],[Loss]]&lt;&gt;""),Table2[[#This Row],[Gas wt%]]+Table2[[#This Row],[Loss]],"")</f>
        <v/>
      </c>
      <c r="BC236" s="15"/>
      <c r="BD236" s="15">
        <v>19.09</v>
      </c>
      <c r="BE236" s="15">
        <f>Table2[[#This Row],[Biocrude wt%]]-Table2[[#This Row],[Light Biocrude wt%]]</f>
        <v>3.91</v>
      </c>
      <c r="BF236" s="15"/>
      <c r="BG236" s="15"/>
      <c r="BH236" s="15"/>
      <c r="BI236" s="15">
        <v>70.98</v>
      </c>
      <c r="BJ236" s="15">
        <v>10.050000000000001</v>
      </c>
      <c r="BK236" s="15">
        <v>16.670000000000002</v>
      </c>
      <c r="BL236" s="15">
        <v>2</v>
      </c>
      <c r="BM236" s="15">
        <v>0.3</v>
      </c>
      <c r="BN236" s="15">
        <v>35.39</v>
      </c>
      <c r="BO236" s="15">
        <v>32</v>
      </c>
      <c r="BP236" s="15"/>
      <c r="BQ236" s="15">
        <f>Table2[[#This Row],[H% B]]/Table2[[#This Row],[C% B]]*100</f>
        <v>14.158918005071852</v>
      </c>
      <c r="BR236" s="15"/>
      <c r="BS236" s="15"/>
      <c r="BT236" s="15"/>
      <c r="BU236" s="15"/>
      <c r="BV236" s="15"/>
      <c r="BW236" s="15"/>
      <c r="BX236" s="15"/>
      <c r="BY236" s="15"/>
      <c r="BZ236" s="15"/>
      <c r="CA236" s="15"/>
      <c r="CB236" s="15"/>
      <c r="CC236" s="15"/>
      <c r="CD236" s="15"/>
      <c r="CE236" s="15"/>
      <c r="CF236" s="15"/>
      <c r="CG236" s="15"/>
      <c r="CH236" s="15"/>
      <c r="CI236" s="15"/>
      <c r="CJ236" s="15"/>
      <c r="CK236" s="15"/>
      <c r="CL236" s="15"/>
      <c r="CM236" s="15"/>
      <c r="CN236" s="15"/>
      <c r="CO236" s="15"/>
      <c r="CP236" s="15"/>
      <c r="CQ236" s="15"/>
      <c r="CR236" s="15"/>
      <c r="CS236" s="15"/>
      <c r="CT236" s="15"/>
      <c r="CU236" s="15"/>
      <c r="CV236" s="15"/>
      <c r="CW236" s="15"/>
      <c r="CX236" s="15"/>
      <c r="CY236" s="15"/>
      <c r="CZ236" s="15"/>
      <c r="DA236" s="15"/>
      <c r="DB236" s="15">
        <v>0</v>
      </c>
    </row>
    <row r="237" spans="1:106" x14ac:dyDescent="0.25">
      <c r="A237" t="s">
        <v>370</v>
      </c>
      <c r="B237" t="s">
        <v>371</v>
      </c>
      <c r="C237">
        <v>2013</v>
      </c>
      <c r="D237" s="16" t="s">
        <v>205</v>
      </c>
      <c r="E237">
        <v>0</v>
      </c>
      <c r="F237" s="15">
        <v>43.74374374374375</v>
      </c>
      <c r="G237" s="15"/>
      <c r="H237" s="15"/>
      <c r="I237" s="15">
        <v>41.841841841841841</v>
      </c>
      <c r="J237" s="15">
        <v>11.611611611611611</v>
      </c>
      <c r="K237" s="15"/>
      <c r="L237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37" s="15">
        <v>2.8</v>
      </c>
      <c r="V237">
        <v>9.5</v>
      </c>
      <c r="Z237" s="15">
        <v>52.35</v>
      </c>
      <c r="AA237" s="15">
        <v>7.27</v>
      </c>
      <c r="AB237" s="15">
        <v>24.6</v>
      </c>
      <c r="AC237" s="15">
        <v>8.8800000000000008</v>
      </c>
      <c r="AD237" s="15">
        <v>0.66</v>
      </c>
      <c r="AE237" s="15"/>
      <c r="AF237" s="15">
        <v>23.75</v>
      </c>
      <c r="AG237" s="15">
        <v>4.1000000000000003E-3</v>
      </c>
      <c r="AH237" s="15"/>
      <c r="AI237" s="15"/>
      <c r="AJ237" s="15">
        <v>15</v>
      </c>
      <c r="AM237" s="13"/>
      <c r="AO237" s="15"/>
      <c r="AP237" s="15" t="e">
        <f>LN(25/Table2[[#This Row],[Temperature (C)]]/(1-SQRT((Table2[[#This Row],[Temperature (C)]]-5)/Table2[[#This Row],[Temperature (C)]])))/Table2[[#This Row],[b]]</f>
        <v>#DIV/0!</v>
      </c>
      <c r="AQ237" s="15">
        <f>IF(Table2[[#This Row],[b]]&lt;&gt;"",Table2[[#This Row],[T-5]], 0)</f>
        <v>0</v>
      </c>
      <c r="AR237">
        <v>3</v>
      </c>
      <c r="AT237" t="s">
        <v>503</v>
      </c>
      <c r="AU237">
        <v>350</v>
      </c>
      <c r="AV237" s="15"/>
      <c r="AW237" s="15">
        <v>50</v>
      </c>
      <c r="AX237" s="15"/>
      <c r="AY237" s="15"/>
      <c r="AZ237" s="15"/>
      <c r="BA237" s="15"/>
      <c r="BB237" s="15" t="str">
        <f>IF(OR(Table2[[#This Row],[Gas wt%]]&lt;&gt;"",Table2[[#This Row],[Loss]]&lt;&gt;""),Table2[[#This Row],[Gas wt%]]+Table2[[#This Row],[Loss]],"")</f>
        <v/>
      </c>
      <c r="BC237" s="15"/>
      <c r="BD237" s="15">
        <v>23</v>
      </c>
      <c r="BE237" s="15">
        <f>Table2[[#This Row],[Biocrude wt%]]-Table2[[#This Row],[Light Biocrude wt%]]</f>
        <v>27</v>
      </c>
      <c r="BF237" s="15"/>
      <c r="BG237" s="15"/>
      <c r="BH237" s="15"/>
      <c r="BI237" s="15">
        <v>70.56</v>
      </c>
      <c r="BJ237" s="15">
        <v>9.64</v>
      </c>
      <c r="BK237" s="15">
        <v>13.15</v>
      </c>
      <c r="BL237" s="15">
        <v>6.01</v>
      </c>
      <c r="BM237" s="15">
        <v>0.64</v>
      </c>
      <c r="BN237" s="15">
        <v>35.33</v>
      </c>
      <c r="BO237" s="15">
        <v>70</v>
      </c>
      <c r="BP237" s="15"/>
      <c r="BQ237" s="15">
        <f>Table2[[#This Row],[H% B]]/Table2[[#This Row],[C% B]]*100</f>
        <v>13.662131519274375</v>
      </c>
      <c r="BR237" s="15"/>
      <c r="BS237" s="15"/>
      <c r="BT237" s="15"/>
      <c r="BU237" s="15"/>
      <c r="BV237" s="15"/>
      <c r="BW237" s="15"/>
      <c r="BX237" s="15"/>
      <c r="BY237" s="15"/>
      <c r="BZ237" s="15"/>
      <c r="CA237" s="15"/>
      <c r="CB237" s="15"/>
      <c r="CC237" s="15"/>
      <c r="CD237" s="15"/>
      <c r="CE237" s="15"/>
      <c r="CF237" s="15"/>
      <c r="CG237" s="15"/>
      <c r="CH237" s="15"/>
      <c r="CI237" s="15"/>
      <c r="CJ237" s="15"/>
      <c r="CK237" s="15"/>
      <c r="CL237" s="15"/>
      <c r="CM237" s="15"/>
      <c r="CN237" s="15"/>
      <c r="CO237" s="15"/>
      <c r="CP237" s="15"/>
      <c r="CQ237" s="15"/>
      <c r="CR237" s="15"/>
      <c r="CS237" s="15"/>
      <c r="CT237" s="15"/>
      <c r="CU237" s="15"/>
      <c r="CV237" s="15"/>
      <c r="CW237" s="15"/>
      <c r="CX237" s="15"/>
      <c r="CY237" s="15"/>
      <c r="CZ237" s="15"/>
      <c r="DA237" s="15"/>
      <c r="DB237" s="15">
        <v>0</v>
      </c>
    </row>
    <row r="238" spans="1:106" x14ac:dyDescent="0.25">
      <c r="A238" t="s">
        <v>370</v>
      </c>
      <c r="B238" t="s">
        <v>371</v>
      </c>
      <c r="C238">
        <v>2013</v>
      </c>
      <c r="D238" s="16" t="s">
        <v>205</v>
      </c>
      <c r="E238">
        <v>0</v>
      </c>
      <c r="F238" s="15">
        <v>43.74374374374375</v>
      </c>
      <c r="G238" s="15"/>
      <c r="H238" s="15"/>
      <c r="I238" s="15">
        <v>41.841841841841841</v>
      </c>
      <c r="J238" s="15">
        <v>11.611611611611611</v>
      </c>
      <c r="K238" s="15"/>
      <c r="L238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38" s="15">
        <v>2.8</v>
      </c>
      <c r="V238">
        <v>9.5</v>
      </c>
      <c r="Z238" s="15">
        <v>52.35</v>
      </c>
      <c r="AA238" s="15">
        <v>7.27</v>
      </c>
      <c r="AB238" s="15">
        <v>24.6</v>
      </c>
      <c r="AC238" s="15">
        <v>8.8800000000000008</v>
      </c>
      <c r="AD238" s="15">
        <v>0.66</v>
      </c>
      <c r="AE238" s="15"/>
      <c r="AF238" s="15">
        <v>23.75</v>
      </c>
      <c r="AG238" s="15">
        <v>4.1000000000000003E-3</v>
      </c>
      <c r="AH238" s="15"/>
      <c r="AI238" s="15"/>
      <c r="AJ238" s="15">
        <v>15</v>
      </c>
      <c r="AM238" s="13"/>
      <c r="AO238" s="15"/>
      <c r="AP238" s="15" t="e">
        <f>LN(25/Table2[[#This Row],[Temperature (C)]]/(1-SQRT((Table2[[#This Row],[Temperature (C)]]-5)/Table2[[#This Row],[Temperature (C)]])))/Table2[[#This Row],[b]]</f>
        <v>#DIV/0!</v>
      </c>
      <c r="AQ238" s="15">
        <f>IF(Table2[[#This Row],[b]]&lt;&gt;"",Table2[[#This Row],[T-5]], 0)</f>
        <v>0</v>
      </c>
      <c r="AR238">
        <v>5</v>
      </c>
      <c r="AT238" t="s">
        <v>503</v>
      </c>
      <c r="AU238">
        <v>350</v>
      </c>
      <c r="AV238" s="15"/>
      <c r="AW238" s="15">
        <v>50</v>
      </c>
      <c r="AX238" s="15"/>
      <c r="AY238" s="15"/>
      <c r="AZ238" s="15"/>
      <c r="BA238" s="15"/>
      <c r="BB238" s="15" t="str">
        <f>IF(OR(Table2[[#This Row],[Gas wt%]]&lt;&gt;"",Table2[[#This Row],[Loss]]&lt;&gt;""),Table2[[#This Row],[Gas wt%]]+Table2[[#This Row],[Loss]],"")</f>
        <v/>
      </c>
      <c r="BC238" s="15"/>
      <c r="BD238" s="15">
        <v>25.5</v>
      </c>
      <c r="BE238" s="15">
        <f>Table2[[#This Row],[Biocrude wt%]]-Table2[[#This Row],[Light Biocrude wt%]]</f>
        <v>24.5</v>
      </c>
      <c r="BF238" s="15"/>
      <c r="BG238" s="15"/>
      <c r="BH238" s="15"/>
      <c r="BI238" s="15">
        <v>72.62</v>
      </c>
      <c r="BJ238" s="15">
        <v>9.43</v>
      </c>
      <c r="BK238" s="15">
        <v>11.48</v>
      </c>
      <c r="BL238" s="15">
        <v>5.84</v>
      </c>
      <c r="BM238" s="15">
        <v>0.63</v>
      </c>
      <c r="BN238" s="15">
        <v>36.03</v>
      </c>
      <c r="BO238" s="15">
        <v>72</v>
      </c>
      <c r="BP238" s="15"/>
      <c r="BQ238" s="15">
        <f>Table2[[#This Row],[H% B]]/Table2[[#This Row],[C% B]]*100</f>
        <v>12.985403470118422</v>
      </c>
      <c r="BR238" s="15"/>
      <c r="BS238" s="15"/>
      <c r="BT238" s="15"/>
      <c r="BU238" s="15"/>
      <c r="BV238" s="15"/>
      <c r="BW238" s="15"/>
      <c r="BX238" s="15"/>
      <c r="BY238" s="15"/>
      <c r="BZ238" s="15"/>
      <c r="CA238" s="15"/>
      <c r="CB238" s="15"/>
      <c r="CC238" s="15"/>
      <c r="CD238" s="15"/>
      <c r="CE238" s="15"/>
      <c r="CF238" s="15"/>
      <c r="CG238" s="15"/>
      <c r="CH238" s="15"/>
      <c r="CI238" s="15"/>
      <c r="CJ238" s="15"/>
      <c r="CK238" s="15"/>
      <c r="CL238" s="15"/>
      <c r="CM238" s="15"/>
      <c r="CN238" s="15"/>
      <c r="CO238" s="15"/>
      <c r="CP238" s="15"/>
      <c r="CQ238" s="15"/>
      <c r="CR238" s="15"/>
      <c r="CS238" s="15"/>
      <c r="CT238" s="15"/>
      <c r="CU238" s="15"/>
      <c r="CV238" s="15"/>
      <c r="CW238" s="15"/>
      <c r="CX238" s="15"/>
      <c r="CY238" s="15"/>
      <c r="CZ238" s="15"/>
      <c r="DA238" s="15"/>
      <c r="DB238" s="15">
        <v>0</v>
      </c>
    </row>
    <row r="239" spans="1:106" x14ac:dyDescent="0.25">
      <c r="A239" t="s">
        <v>370</v>
      </c>
      <c r="B239" t="s">
        <v>371</v>
      </c>
      <c r="C239">
        <v>2013</v>
      </c>
      <c r="D239" s="16" t="s">
        <v>205</v>
      </c>
      <c r="E239">
        <v>0</v>
      </c>
      <c r="F239" s="15">
        <v>43.74374374374375</v>
      </c>
      <c r="G239" s="15"/>
      <c r="H239" s="15"/>
      <c r="I239" s="15">
        <v>41.841841841841841</v>
      </c>
      <c r="J239" s="15">
        <v>11.611611611611611</v>
      </c>
      <c r="K239" s="15"/>
      <c r="L239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39" s="15">
        <v>2.8</v>
      </c>
      <c r="V239">
        <v>9.5</v>
      </c>
      <c r="Z239" s="15">
        <v>52.35</v>
      </c>
      <c r="AA239" s="15">
        <v>7.27</v>
      </c>
      <c r="AB239" s="15">
        <v>24.6</v>
      </c>
      <c r="AC239" s="15">
        <v>8.8800000000000008</v>
      </c>
      <c r="AD239" s="15">
        <v>0.66</v>
      </c>
      <c r="AE239" s="15"/>
      <c r="AF239" s="15">
        <v>23.75</v>
      </c>
      <c r="AG239" s="15">
        <v>4.1000000000000003E-3</v>
      </c>
      <c r="AH239" s="15"/>
      <c r="AI239" s="15"/>
      <c r="AJ239" s="15">
        <v>15</v>
      </c>
      <c r="AM239" s="13"/>
      <c r="AO239" s="15"/>
      <c r="AP239" s="15" t="e">
        <f>LN(25/Table2[[#This Row],[Temperature (C)]]/(1-SQRT((Table2[[#This Row],[Temperature (C)]]-5)/Table2[[#This Row],[Temperature (C)]])))/Table2[[#This Row],[b]]</f>
        <v>#DIV/0!</v>
      </c>
      <c r="AQ239" s="15">
        <f>IF(Table2[[#This Row],[b]]&lt;&gt;"",Table2[[#This Row],[T-5]], 0)</f>
        <v>0</v>
      </c>
      <c r="AR239">
        <v>1</v>
      </c>
      <c r="AT239" t="s">
        <v>503</v>
      </c>
      <c r="AU239">
        <v>400</v>
      </c>
      <c r="AV239" s="15"/>
      <c r="AW239" s="15">
        <v>32</v>
      </c>
      <c r="AX239" s="15"/>
      <c r="AY239" s="15"/>
      <c r="AZ239" s="15"/>
      <c r="BA239" s="15"/>
      <c r="BB239" s="15" t="str">
        <f>IF(OR(Table2[[#This Row],[Gas wt%]]&lt;&gt;"",Table2[[#This Row],[Loss]]&lt;&gt;""),Table2[[#This Row],[Gas wt%]]+Table2[[#This Row],[Loss]],"")</f>
        <v/>
      </c>
      <c r="BC239" s="15"/>
      <c r="BD239" s="15">
        <v>20.48</v>
      </c>
      <c r="BE239" s="15">
        <f>Table2[[#This Row],[Biocrude wt%]]-Table2[[#This Row],[Light Biocrude wt%]]</f>
        <v>11.52</v>
      </c>
      <c r="BF239" s="15"/>
      <c r="BG239" s="15"/>
      <c r="BH239" s="15"/>
      <c r="BI239" s="15">
        <v>68.94</v>
      </c>
      <c r="BJ239" s="15">
        <v>9.39</v>
      </c>
      <c r="BK239" s="15">
        <v>17.09</v>
      </c>
      <c r="BL239" s="15">
        <v>4.13</v>
      </c>
      <c r="BM239" s="15">
        <v>0.45</v>
      </c>
      <c r="BN239" s="15">
        <v>33.71</v>
      </c>
      <c r="BO239" s="15">
        <v>42</v>
      </c>
      <c r="BP239" s="15"/>
      <c r="BQ239" s="15">
        <f>Table2[[#This Row],[H% B]]/Table2[[#This Row],[C% B]]*100</f>
        <v>13.620539599651874</v>
      </c>
      <c r="BR239" s="15"/>
      <c r="BS239" s="15"/>
      <c r="BT239" s="15"/>
      <c r="BU239" s="15"/>
      <c r="BV239" s="15"/>
      <c r="BW239" s="15"/>
      <c r="BX239" s="15"/>
      <c r="BY239" s="15"/>
      <c r="BZ239" s="15"/>
      <c r="CA239" s="15"/>
      <c r="CB239" s="15"/>
      <c r="CC239" s="15"/>
      <c r="CD239" s="15"/>
      <c r="CE239" s="15"/>
      <c r="CF239" s="15"/>
      <c r="CG239" s="15"/>
      <c r="CH239" s="15"/>
      <c r="CI239" s="15"/>
      <c r="CJ239" s="15"/>
      <c r="CK239" s="15"/>
      <c r="CL239" s="15"/>
      <c r="CM239" s="15"/>
      <c r="CN239" s="15"/>
      <c r="CO239" s="15"/>
      <c r="CP239" s="15"/>
      <c r="CQ239" s="15"/>
      <c r="CR239" s="15"/>
      <c r="CS239" s="15"/>
      <c r="CT239" s="15"/>
      <c r="CU239" s="15"/>
      <c r="CV239" s="15"/>
      <c r="CW239" s="15"/>
      <c r="CX239" s="15"/>
      <c r="CY239" s="15"/>
      <c r="CZ239" s="15"/>
      <c r="DA239" s="15"/>
      <c r="DB239" s="15">
        <v>0</v>
      </c>
    </row>
    <row r="240" spans="1:106" x14ac:dyDescent="0.25">
      <c r="A240" t="s">
        <v>370</v>
      </c>
      <c r="B240" t="s">
        <v>371</v>
      </c>
      <c r="C240">
        <v>2013</v>
      </c>
      <c r="D240" s="16" t="s">
        <v>205</v>
      </c>
      <c r="E240">
        <v>0</v>
      </c>
      <c r="F240" s="15">
        <v>43.74374374374375</v>
      </c>
      <c r="G240" s="15"/>
      <c r="H240" s="15"/>
      <c r="I240" s="15">
        <v>41.841841841841841</v>
      </c>
      <c r="J240" s="15">
        <v>11.611611611611611</v>
      </c>
      <c r="K240" s="15"/>
      <c r="L240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40" s="15">
        <v>2.8</v>
      </c>
      <c r="V240">
        <v>9.5</v>
      </c>
      <c r="Z240" s="15">
        <v>52.35</v>
      </c>
      <c r="AA240" s="15">
        <v>7.27</v>
      </c>
      <c r="AB240" s="15">
        <v>24.6</v>
      </c>
      <c r="AC240" s="15">
        <v>8.8800000000000008</v>
      </c>
      <c r="AD240" s="15">
        <v>0.66</v>
      </c>
      <c r="AE240" s="15"/>
      <c r="AF240" s="15">
        <v>23.75</v>
      </c>
      <c r="AG240" s="15">
        <v>4.1000000000000003E-3</v>
      </c>
      <c r="AH240" s="15"/>
      <c r="AI240" s="15"/>
      <c r="AJ240" s="15">
        <v>15</v>
      </c>
      <c r="AM240" s="13"/>
      <c r="AO240" s="15"/>
      <c r="AP240" s="15" t="e">
        <f>LN(25/Table2[[#This Row],[Temperature (C)]]/(1-SQRT((Table2[[#This Row],[Temperature (C)]]-5)/Table2[[#This Row],[Temperature (C)]])))/Table2[[#This Row],[b]]</f>
        <v>#DIV/0!</v>
      </c>
      <c r="AQ240" s="15">
        <f>IF(Table2[[#This Row],[b]]&lt;&gt;"",Table2[[#This Row],[T-5]], 0)</f>
        <v>0</v>
      </c>
      <c r="AR240">
        <v>3</v>
      </c>
      <c r="AT240" t="s">
        <v>503</v>
      </c>
      <c r="AU240">
        <v>400</v>
      </c>
      <c r="AV240" s="15"/>
      <c r="AW240" s="15">
        <v>50</v>
      </c>
      <c r="AX240" s="15"/>
      <c r="AY240" s="15"/>
      <c r="AZ240" s="15"/>
      <c r="BA240" s="15"/>
      <c r="BB240" s="15" t="str">
        <f>IF(OR(Table2[[#This Row],[Gas wt%]]&lt;&gt;"",Table2[[#This Row],[Loss]]&lt;&gt;""),Table2[[#This Row],[Gas wt%]]+Table2[[#This Row],[Loss]],"")</f>
        <v/>
      </c>
      <c r="BC240" s="15"/>
      <c r="BD240" s="15">
        <v>27</v>
      </c>
      <c r="BE240" s="15">
        <f>Table2[[#This Row],[Biocrude wt%]]-Table2[[#This Row],[Light Biocrude wt%]]</f>
        <v>23</v>
      </c>
      <c r="BF240" s="15"/>
      <c r="BG240" s="15"/>
      <c r="BH240" s="15"/>
      <c r="BI240" s="15">
        <v>73</v>
      </c>
      <c r="BJ240" s="15">
        <v>9.35</v>
      </c>
      <c r="BK240" s="15">
        <v>10.85</v>
      </c>
      <c r="BL240" s="15">
        <v>6.1</v>
      </c>
      <c r="BM240" s="15">
        <v>0.69</v>
      </c>
      <c r="BN240" s="15">
        <v>36.159999999999997</v>
      </c>
      <c r="BO240" s="15">
        <v>72</v>
      </c>
      <c r="BP240" s="15"/>
      <c r="BQ240" s="15">
        <f>Table2[[#This Row],[H% B]]/Table2[[#This Row],[C% B]]*100</f>
        <v>12.808219178082192</v>
      </c>
      <c r="BR240" s="15"/>
      <c r="BS240" s="15"/>
      <c r="BT240" s="15"/>
      <c r="BU240" s="15"/>
      <c r="BV240" s="15"/>
      <c r="BW240" s="15"/>
      <c r="BX240" s="15"/>
      <c r="BY240" s="15"/>
      <c r="BZ240" s="15"/>
      <c r="CA240" s="15"/>
      <c r="CB240" s="15"/>
      <c r="CC240" s="15"/>
      <c r="CD240" s="15"/>
      <c r="CE240" s="15"/>
      <c r="CF240" s="15"/>
      <c r="CG240" s="15"/>
      <c r="CH240" s="15"/>
      <c r="CI240" s="15"/>
      <c r="CJ240" s="15"/>
      <c r="CK240" s="15"/>
      <c r="CL240" s="15"/>
      <c r="CM240" s="15"/>
      <c r="CN240" s="15"/>
      <c r="CO240" s="15"/>
      <c r="CP240" s="15"/>
      <c r="CQ240" s="15"/>
      <c r="CR240" s="15"/>
      <c r="CS240" s="15"/>
      <c r="CT240" s="15"/>
      <c r="CU240" s="15"/>
      <c r="CV240" s="15"/>
      <c r="CW240" s="15"/>
      <c r="CX240" s="15"/>
      <c r="CY240" s="15"/>
      <c r="CZ240" s="15"/>
      <c r="DA240" s="15"/>
      <c r="DB240" s="15">
        <v>0</v>
      </c>
    </row>
    <row r="241" spans="1:106" x14ac:dyDescent="0.25">
      <c r="A241" t="s">
        <v>370</v>
      </c>
      <c r="B241" t="s">
        <v>371</v>
      </c>
      <c r="C241">
        <v>2013</v>
      </c>
      <c r="D241" s="16" t="s">
        <v>205</v>
      </c>
      <c r="E241">
        <v>0</v>
      </c>
      <c r="F241" s="15">
        <v>43.74374374374375</v>
      </c>
      <c r="G241" s="15"/>
      <c r="H241" s="15"/>
      <c r="I241" s="15">
        <v>41.841841841841841</v>
      </c>
      <c r="J241" s="15">
        <v>11.611611611611611</v>
      </c>
      <c r="K241" s="15"/>
      <c r="L241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41" s="15">
        <v>2.8</v>
      </c>
      <c r="V241">
        <v>9.5</v>
      </c>
      <c r="Z241" s="15">
        <v>52.35</v>
      </c>
      <c r="AA241" s="15">
        <v>7.27</v>
      </c>
      <c r="AB241" s="15">
        <v>24.6</v>
      </c>
      <c r="AC241" s="15">
        <v>8.8800000000000008</v>
      </c>
      <c r="AD241" s="15">
        <v>0.66</v>
      </c>
      <c r="AE241" s="15"/>
      <c r="AF241" s="15">
        <v>23.75</v>
      </c>
      <c r="AG241" s="15">
        <v>4.1000000000000003E-3</v>
      </c>
      <c r="AH241" s="15"/>
      <c r="AI241" s="15"/>
      <c r="AJ241" s="15">
        <v>15</v>
      </c>
      <c r="AM241" s="13"/>
      <c r="AO241" s="15"/>
      <c r="AP241" s="15" t="e">
        <f>LN(25/Table2[[#This Row],[Temperature (C)]]/(1-SQRT((Table2[[#This Row],[Temperature (C)]]-5)/Table2[[#This Row],[Temperature (C)]])))/Table2[[#This Row],[b]]</f>
        <v>#DIV/0!</v>
      </c>
      <c r="AQ241" s="15">
        <f>IF(Table2[[#This Row],[b]]&lt;&gt;"",Table2[[#This Row],[T-5]], 0)</f>
        <v>0</v>
      </c>
      <c r="AR241">
        <v>5</v>
      </c>
      <c r="AT241" t="s">
        <v>503</v>
      </c>
      <c r="AU241">
        <v>400</v>
      </c>
      <c r="AV241" s="15"/>
      <c r="AW241" s="15">
        <v>43</v>
      </c>
      <c r="AX241" s="15"/>
      <c r="AY241" s="15"/>
      <c r="AZ241" s="15"/>
      <c r="BA241" s="15"/>
      <c r="BB241" s="15" t="str">
        <f>IF(OR(Table2[[#This Row],[Gas wt%]]&lt;&gt;"",Table2[[#This Row],[Loss]]&lt;&gt;""),Table2[[#This Row],[Gas wt%]]+Table2[[#This Row],[Loss]],"")</f>
        <v/>
      </c>
      <c r="BC241" s="15"/>
      <c r="BD241" s="15">
        <v>26.23</v>
      </c>
      <c r="BE241" s="15">
        <f>Table2[[#This Row],[Biocrude wt%]]-Table2[[#This Row],[Light Biocrude wt%]]</f>
        <v>16.77</v>
      </c>
      <c r="BF241" s="15"/>
      <c r="BG241" s="15"/>
      <c r="BH241" s="15"/>
      <c r="BI241" s="15">
        <v>73.900000000000006</v>
      </c>
      <c r="BJ241" s="15">
        <v>9.2200000000000006</v>
      </c>
      <c r="BK241" s="15">
        <v>10.52</v>
      </c>
      <c r="BL241" s="15">
        <v>5.62</v>
      </c>
      <c r="BM241" s="15">
        <v>0.74</v>
      </c>
      <c r="BN241" s="15">
        <v>36.340000000000003</v>
      </c>
      <c r="BO241" s="15">
        <v>61</v>
      </c>
      <c r="BP241" s="15"/>
      <c r="BQ241" s="15">
        <f>Table2[[#This Row],[H% B]]/Table2[[#This Row],[C% B]]*100</f>
        <v>12.476319350473613</v>
      </c>
      <c r="BR241" s="15"/>
      <c r="BS241" s="15"/>
      <c r="BT241" s="15"/>
      <c r="BU241" s="15"/>
      <c r="BV241" s="15"/>
      <c r="BW241" s="15"/>
      <c r="BX241" s="15"/>
      <c r="BY241" s="15"/>
      <c r="BZ241" s="15"/>
      <c r="CA241" s="15"/>
      <c r="CB241" s="15"/>
      <c r="CC241" s="15"/>
      <c r="CD241" s="15"/>
      <c r="CE241" s="15"/>
      <c r="CF241" s="15"/>
      <c r="CG241" s="15"/>
      <c r="CH241" s="15"/>
      <c r="CI241" s="15"/>
      <c r="CJ241" s="15"/>
      <c r="CK241" s="15"/>
      <c r="CL241" s="15"/>
      <c r="CM241" s="15"/>
      <c r="CN241" s="15"/>
      <c r="CO241" s="15"/>
      <c r="CP241" s="15"/>
      <c r="CQ241" s="15"/>
      <c r="CR241" s="15"/>
      <c r="CS241" s="15"/>
      <c r="CT241" s="15"/>
      <c r="CU241" s="15"/>
      <c r="CV241" s="15"/>
      <c r="CW241" s="15"/>
      <c r="CX241" s="15"/>
      <c r="CY241" s="15"/>
      <c r="CZ241" s="15"/>
      <c r="DA241" s="15"/>
      <c r="DB241" s="15">
        <v>0</v>
      </c>
    </row>
    <row r="242" spans="1:106" x14ac:dyDescent="0.25">
      <c r="A242" t="s">
        <v>370</v>
      </c>
      <c r="B242" t="s">
        <v>371</v>
      </c>
      <c r="C242">
        <v>2013</v>
      </c>
      <c r="D242" s="16" t="s">
        <v>205</v>
      </c>
      <c r="E242">
        <v>0</v>
      </c>
      <c r="F242" s="15">
        <v>43.74374374374375</v>
      </c>
      <c r="G242" s="15"/>
      <c r="H242" s="15"/>
      <c r="I242" s="15">
        <v>41.841841841841841</v>
      </c>
      <c r="J242" s="15">
        <v>11.611611611611611</v>
      </c>
      <c r="K242" s="15"/>
      <c r="L242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42" s="15">
        <v>2.8</v>
      </c>
      <c r="V242">
        <v>9.5</v>
      </c>
      <c r="Z242" s="15">
        <v>52.35</v>
      </c>
      <c r="AA242" s="15">
        <v>7.27</v>
      </c>
      <c r="AB242" s="15">
        <v>24.6</v>
      </c>
      <c r="AC242" s="15">
        <v>8.8800000000000008</v>
      </c>
      <c r="AD242" s="15">
        <v>0.66</v>
      </c>
      <c r="AE242" s="15"/>
      <c r="AF242" s="15">
        <v>23.75</v>
      </c>
      <c r="AG242" s="15">
        <v>4.1000000000000003E-3</v>
      </c>
      <c r="AH242" s="15"/>
      <c r="AI242" s="15"/>
      <c r="AJ242" s="15">
        <v>15</v>
      </c>
      <c r="AM242" s="13"/>
      <c r="AO242" s="15"/>
      <c r="AP242" s="15" t="e">
        <f>LN(25/Table2[[#This Row],[Temperature (C)]]/(1-SQRT((Table2[[#This Row],[Temperature (C)]]-5)/Table2[[#This Row],[Temperature (C)]])))/Table2[[#This Row],[b]]</f>
        <v>#DIV/0!</v>
      </c>
      <c r="AQ242" s="15">
        <f>IF(Table2[[#This Row],[b]]&lt;&gt;"",Table2[[#This Row],[T-5]], 0)</f>
        <v>0</v>
      </c>
      <c r="AR242">
        <v>1</v>
      </c>
      <c r="AT242" t="s">
        <v>503</v>
      </c>
      <c r="AU242">
        <v>450</v>
      </c>
      <c r="AV242" s="15"/>
      <c r="AW242" s="15">
        <v>52</v>
      </c>
      <c r="AX242" s="15"/>
      <c r="AY242" s="15"/>
      <c r="AZ242" s="15"/>
      <c r="BA242" s="15"/>
      <c r="BB242" s="15" t="str">
        <f>IF(OR(Table2[[#This Row],[Gas wt%]]&lt;&gt;"",Table2[[#This Row],[Loss]]&lt;&gt;""),Table2[[#This Row],[Gas wt%]]+Table2[[#This Row],[Loss]],"")</f>
        <v/>
      </c>
      <c r="BC242" s="15"/>
      <c r="BD242" s="15">
        <v>24.44</v>
      </c>
      <c r="BE242" s="15">
        <f>Table2[[#This Row],[Biocrude wt%]]-Table2[[#This Row],[Light Biocrude wt%]]</f>
        <v>27.56</v>
      </c>
      <c r="BF242" s="15"/>
      <c r="BG242" s="15"/>
      <c r="BH242" s="15"/>
      <c r="BI242" s="15">
        <v>68.680000000000007</v>
      </c>
      <c r="BJ242" s="15">
        <v>9.0299999999999994</v>
      </c>
      <c r="BK242" s="15">
        <v>16.100000000000001</v>
      </c>
      <c r="BL242" s="15">
        <v>5.53</v>
      </c>
      <c r="BM242" s="15">
        <v>0.66</v>
      </c>
      <c r="BN242" s="15">
        <v>33.299999999999997</v>
      </c>
      <c r="BO242" s="15">
        <v>67</v>
      </c>
      <c r="BP242" s="15"/>
      <c r="BQ242" s="15">
        <f>Table2[[#This Row],[H% B]]/Table2[[#This Row],[C% B]]*100</f>
        <v>13.147932440302851</v>
      </c>
      <c r="BR242" s="15"/>
      <c r="BS242" s="15"/>
      <c r="BT242" s="15"/>
      <c r="BU242" s="15"/>
      <c r="BV242" s="15"/>
      <c r="BW242" s="15"/>
      <c r="BX242" s="15"/>
      <c r="BY242" s="15"/>
      <c r="BZ242" s="15"/>
      <c r="CA242" s="15"/>
      <c r="CB242" s="15"/>
      <c r="CC242" s="15"/>
      <c r="CD242" s="15"/>
      <c r="CE242" s="15"/>
      <c r="CF242" s="15"/>
      <c r="CG242" s="15"/>
      <c r="CH242" s="15"/>
      <c r="CI242" s="15"/>
      <c r="CJ242" s="15"/>
      <c r="CK242" s="15"/>
      <c r="CL242" s="15"/>
      <c r="CM242" s="15"/>
      <c r="CN242" s="15"/>
      <c r="CO242" s="15"/>
      <c r="CP242" s="15"/>
      <c r="CQ242" s="15"/>
      <c r="CR242" s="15"/>
      <c r="CS242" s="15"/>
      <c r="CT242" s="15"/>
      <c r="CU242" s="15"/>
      <c r="CV242" s="15"/>
      <c r="CW242" s="15"/>
      <c r="CX242" s="15"/>
      <c r="CY242" s="15"/>
      <c r="CZ242" s="15"/>
      <c r="DA242" s="15"/>
      <c r="DB242" s="15">
        <v>0</v>
      </c>
    </row>
    <row r="243" spans="1:106" x14ac:dyDescent="0.25">
      <c r="A243" t="s">
        <v>370</v>
      </c>
      <c r="B243" t="s">
        <v>371</v>
      </c>
      <c r="C243">
        <v>2013</v>
      </c>
      <c r="D243" s="16" t="s">
        <v>205</v>
      </c>
      <c r="E243">
        <v>0</v>
      </c>
      <c r="F243" s="15">
        <v>43.74374374374375</v>
      </c>
      <c r="G243" s="15"/>
      <c r="H243" s="15"/>
      <c r="I243" s="15">
        <v>41.841841841841841</v>
      </c>
      <c r="J243" s="15">
        <v>11.611611611611611</v>
      </c>
      <c r="K243" s="15"/>
      <c r="L243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43" s="15">
        <v>2.8</v>
      </c>
      <c r="V243">
        <v>9.5</v>
      </c>
      <c r="Z243" s="15">
        <v>52.35</v>
      </c>
      <c r="AA243" s="15">
        <v>7.27</v>
      </c>
      <c r="AB243" s="15">
        <v>24.6</v>
      </c>
      <c r="AC243" s="15">
        <v>8.8800000000000008</v>
      </c>
      <c r="AD243" s="15">
        <v>0.66</v>
      </c>
      <c r="AE243" s="15"/>
      <c r="AF243" s="15">
        <v>23.75</v>
      </c>
      <c r="AG243" s="15">
        <v>4.1000000000000003E-3</v>
      </c>
      <c r="AH243" s="15"/>
      <c r="AI243" s="15"/>
      <c r="AJ243" s="15">
        <v>15</v>
      </c>
      <c r="AM243" s="13"/>
      <c r="AO243" s="15"/>
      <c r="AP243" s="15" t="e">
        <f>LN(25/Table2[[#This Row],[Temperature (C)]]/(1-SQRT((Table2[[#This Row],[Temperature (C)]]-5)/Table2[[#This Row],[Temperature (C)]])))/Table2[[#This Row],[b]]</f>
        <v>#DIV/0!</v>
      </c>
      <c r="AQ243" s="15">
        <f>IF(Table2[[#This Row],[b]]&lt;&gt;"",Table2[[#This Row],[T-5]], 0)</f>
        <v>0</v>
      </c>
      <c r="AR243">
        <v>3</v>
      </c>
      <c r="AT243" t="s">
        <v>503</v>
      </c>
      <c r="AU243">
        <v>450</v>
      </c>
      <c r="AV243" s="15"/>
      <c r="AW243" s="15">
        <v>48</v>
      </c>
      <c r="AX243" s="15"/>
      <c r="AY243" s="15"/>
      <c r="AZ243" s="15"/>
      <c r="BA243" s="15"/>
      <c r="BB243" s="15" t="str">
        <f>IF(OR(Table2[[#This Row],[Gas wt%]]&lt;&gt;"",Table2[[#This Row],[Loss]]&lt;&gt;""),Table2[[#This Row],[Gas wt%]]+Table2[[#This Row],[Loss]],"")</f>
        <v/>
      </c>
      <c r="BC243" s="15"/>
      <c r="BD243" s="15">
        <v>28.32</v>
      </c>
      <c r="BE243" s="15">
        <f>Table2[[#This Row],[Biocrude wt%]]-Table2[[#This Row],[Light Biocrude wt%]]</f>
        <v>19.68</v>
      </c>
      <c r="BF243" s="15"/>
      <c r="BG243" s="15"/>
      <c r="BH243" s="15"/>
      <c r="BI243" s="15">
        <v>74.25</v>
      </c>
      <c r="BJ243" s="15">
        <v>9.2799999999999994</v>
      </c>
      <c r="BK243" s="15">
        <v>9.93</v>
      </c>
      <c r="BL243" s="15">
        <v>5.7</v>
      </c>
      <c r="BM243" s="15">
        <v>0.85</v>
      </c>
      <c r="BN243" s="15">
        <v>36.65</v>
      </c>
      <c r="BO243" s="15">
        <v>70</v>
      </c>
      <c r="BP243" s="15"/>
      <c r="BQ243" s="15">
        <f>Table2[[#This Row],[H% B]]/Table2[[#This Row],[C% B]]*100</f>
        <v>12.498316498316498</v>
      </c>
      <c r="BR243" s="15"/>
      <c r="BS243" s="15"/>
      <c r="BT243" s="15"/>
      <c r="BU243" s="15"/>
      <c r="BV243" s="15"/>
      <c r="BW243" s="15"/>
      <c r="BX243" s="15"/>
      <c r="BY243" s="15"/>
      <c r="BZ243" s="15"/>
      <c r="CA243" s="15"/>
      <c r="CB243" s="15"/>
      <c r="CC243" s="15"/>
      <c r="CD243" s="15"/>
      <c r="CE243" s="15"/>
      <c r="CF243" s="15"/>
      <c r="CG243" s="15"/>
      <c r="CH243" s="15"/>
      <c r="CI243" s="15"/>
      <c r="CJ243" s="15"/>
      <c r="CK243" s="15"/>
      <c r="CL243" s="15"/>
      <c r="CM243" s="15"/>
      <c r="CN243" s="15"/>
      <c r="CO243" s="15"/>
      <c r="CP243" s="15"/>
      <c r="CQ243" s="15"/>
      <c r="CR243" s="15"/>
      <c r="CS243" s="15"/>
      <c r="CT243" s="15"/>
      <c r="CU243" s="15"/>
      <c r="CV243" s="15"/>
      <c r="CW243" s="15"/>
      <c r="CX243" s="15"/>
      <c r="CY243" s="15"/>
      <c r="CZ243" s="15"/>
      <c r="DA243" s="15"/>
      <c r="DB243" s="15">
        <v>0</v>
      </c>
    </row>
    <row r="244" spans="1:106" x14ac:dyDescent="0.25">
      <c r="A244" t="s">
        <v>370</v>
      </c>
      <c r="B244" t="s">
        <v>371</v>
      </c>
      <c r="C244">
        <v>2013</v>
      </c>
      <c r="D244" s="16" t="s">
        <v>205</v>
      </c>
      <c r="E244">
        <v>0</v>
      </c>
      <c r="F244" s="15">
        <v>43.74374374374375</v>
      </c>
      <c r="G244" s="15"/>
      <c r="H244" s="15"/>
      <c r="I244" s="15">
        <v>41.841841841841841</v>
      </c>
      <c r="J244" s="15">
        <v>11.611611611611611</v>
      </c>
      <c r="K244" s="15"/>
      <c r="L244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44" s="15">
        <v>2.8</v>
      </c>
      <c r="V244">
        <v>9.5</v>
      </c>
      <c r="Z244" s="15">
        <v>52.35</v>
      </c>
      <c r="AA244" s="15">
        <v>7.27</v>
      </c>
      <c r="AB244" s="15">
        <v>24.6</v>
      </c>
      <c r="AC244" s="15">
        <v>8.8800000000000008</v>
      </c>
      <c r="AD244" s="15">
        <v>0.66</v>
      </c>
      <c r="AE244" s="15"/>
      <c r="AF244" s="15">
        <v>23.75</v>
      </c>
      <c r="AG244" s="15">
        <v>4.1000000000000003E-3</v>
      </c>
      <c r="AH244" s="15"/>
      <c r="AI244" s="15"/>
      <c r="AJ244" s="15">
        <v>15</v>
      </c>
      <c r="AM244" s="13"/>
      <c r="AO244" s="15"/>
      <c r="AP244" s="15" t="e">
        <f>LN(25/Table2[[#This Row],[Temperature (C)]]/(1-SQRT((Table2[[#This Row],[Temperature (C)]]-5)/Table2[[#This Row],[Temperature (C)]])))/Table2[[#This Row],[b]]</f>
        <v>#DIV/0!</v>
      </c>
      <c r="AQ244" s="15">
        <f>IF(Table2[[#This Row],[b]]&lt;&gt;"",Table2[[#This Row],[T-5]], 0)</f>
        <v>0</v>
      </c>
      <c r="AR244">
        <v>5</v>
      </c>
      <c r="AT244" t="s">
        <v>503</v>
      </c>
      <c r="AU244">
        <v>450</v>
      </c>
      <c r="AV244" s="15"/>
      <c r="AW244" s="15">
        <v>42</v>
      </c>
      <c r="AX244" s="15"/>
      <c r="AY244" s="15"/>
      <c r="AZ244" s="15"/>
      <c r="BA244" s="15"/>
      <c r="BB244" s="15" t="str">
        <f>IF(OR(Table2[[#This Row],[Gas wt%]]&lt;&gt;"",Table2[[#This Row],[Loss]]&lt;&gt;""),Table2[[#This Row],[Gas wt%]]+Table2[[#This Row],[Loss]],"")</f>
        <v/>
      </c>
      <c r="BC244" s="15"/>
      <c r="BD244" s="15">
        <v>23.94</v>
      </c>
      <c r="BE244" s="15">
        <f>Table2[[#This Row],[Biocrude wt%]]-Table2[[#This Row],[Light Biocrude wt%]]</f>
        <v>18.059999999999999</v>
      </c>
      <c r="BF244" s="15"/>
      <c r="BG244" s="15"/>
      <c r="BH244" s="15"/>
      <c r="BI244" s="15">
        <v>74.400000000000006</v>
      </c>
      <c r="BJ244" s="15">
        <v>9.1999999999999993</v>
      </c>
      <c r="BK244" s="15">
        <v>9.7200000000000006</v>
      </c>
      <c r="BL244" s="15">
        <v>5.8</v>
      </c>
      <c r="BM244" s="15">
        <v>0.89</v>
      </c>
      <c r="BN244" s="15">
        <v>36.630000000000003</v>
      </c>
      <c r="BO244" s="15">
        <v>60</v>
      </c>
      <c r="BP244" s="15"/>
      <c r="BQ244" s="15">
        <f>Table2[[#This Row],[H% B]]/Table2[[#This Row],[C% B]]*100</f>
        <v>12.36559139784946</v>
      </c>
      <c r="BR244" s="15"/>
      <c r="BS244" s="15"/>
      <c r="BT244" s="15"/>
      <c r="BU244" s="15"/>
      <c r="BV244" s="15"/>
      <c r="BW244" s="15"/>
      <c r="BX244" s="15"/>
      <c r="BY244" s="15"/>
      <c r="BZ244" s="15"/>
      <c r="CA244" s="15"/>
      <c r="CB244" s="15"/>
      <c r="CC244" s="15"/>
      <c r="CD244" s="15"/>
      <c r="CE244" s="15"/>
      <c r="CF244" s="15"/>
      <c r="CG244" s="15"/>
      <c r="CH244" s="15"/>
      <c r="CI244" s="15"/>
      <c r="CJ244" s="15"/>
      <c r="CK244" s="15"/>
      <c r="CL244" s="15"/>
      <c r="CM244" s="15"/>
      <c r="CN244" s="15"/>
      <c r="CO244" s="15"/>
      <c r="CP244" s="15"/>
      <c r="CQ244" s="15"/>
      <c r="CR244" s="15"/>
      <c r="CS244" s="15"/>
      <c r="CT244" s="15"/>
      <c r="CU244" s="15"/>
      <c r="CV244" s="15"/>
      <c r="CW244" s="15"/>
      <c r="CX244" s="15"/>
      <c r="CY244" s="15"/>
      <c r="CZ244" s="15"/>
      <c r="DA244" s="15"/>
      <c r="DB244" s="15">
        <v>0</v>
      </c>
    </row>
    <row r="245" spans="1:106" x14ac:dyDescent="0.25">
      <c r="A245" t="s">
        <v>370</v>
      </c>
      <c r="B245" t="s">
        <v>371</v>
      </c>
      <c r="C245">
        <v>2013</v>
      </c>
      <c r="D245" s="16" t="s">
        <v>205</v>
      </c>
      <c r="E245">
        <v>0</v>
      </c>
      <c r="F245" s="15">
        <v>43.74374374374375</v>
      </c>
      <c r="G245" s="15"/>
      <c r="H245" s="15"/>
      <c r="I245" s="15">
        <v>41.841841841841841</v>
      </c>
      <c r="J245" s="15">
        <v>11.611611611611611</v>
      </c>
      <c r="K245" s="15"/>
      <c r="L245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45" s="15">
        <v>2.8</v>
      </c>
      <c r="V245">
        <v>9.5</v>
      </c>
      <c r="Z245" s="15">
        <v>52.35</v>
      </c>
      <c r="AA245" s="15">
        <v>7.27</v>
      </c>
      <c r="AB245" s="15">
        <v>24.6</v>
      </c>
      <c r="AC245" s="15">
        <v>8.8800000000000008</v>
      </c>
      <c r="AD245" s="15">
        <v>0.66</v>
      </c>
      <c r="AE245" s="15"/>
      <c r="AF245" s="15">
        <v>23.75</v>
      </c>
      <c r="AG245" s="15">
        <v>4.1000000000000003E-3</v>
      </c>
      <c r="AH245" s="15"/>
      <c r="AI245" s="15"/>
      <c r="AJ245" s="15">
        <v>15</v>
      </c>
      <c r="AM245" s="13"/>
      <c r="AO245" s="15"/>
      <c r="AP245" s="15" t="e">
        <f>LN(25/Table2[[#This Row],[Temperature (C)]]/(1-SQRT((Table2[[#This Row],[Temperature (C)]]-5)/Table2[[#This Row],[Temperature (C)]])))/Table2[[#This Row],[b]]</f>
        <v>#DIV/0!</v>
      </c>
      <c r="AQ245" s="15">
        <f>IF(Table2[[#This Row],[b]]&lt;&gt;"",Table2[[#This Row],[T-5]], 0)</f>
        <v>0</v>
      </c>
      <c r="AR245">
        <v>1</v>
      </c>
      <c r="AT245" t="s">
        <v>503</v>
      </c>
      <c r="AU245">
        <v>500</v>
      </c>
      <c r="AV245" s="15"/>
      <c r="AW245" s="15">
        <v>55</v>
      </c>
      <c r="AX245" s="15"/>
      <c r="AY245" s="15"/>
      <c r="AZ245" s="15"/>
      <c r="BA245" s="15"/>
      <c r="BB245" s="15" t="str">
        <f>IF(OR(Table2[[#This Row],[Gas wt%]]&lt;&gt;"",Table2[[#This Row],[Loss]]&lt;&gt;""),Table2[[#This Row],[Gas wt%]]+Table2[[#This Row],[Loss]],"")</f>
        <v/>
      </c>
      <c r="BC245" s="15"/>
      <c r="BD245" s="15">
        <v>20.350000000000001</v>
      </c>
      <c r="BE245" s="15">
        <f>Table2[[#This Row],[Biocrude wt%]]-Table2[[#This Row],[Light Biocrude wt%]]</f>
        <v>34.65</v>
      </c>
      <c r="BF245" s="15"/>
      <c r="BG245" s="15"/>
      <c r="BH245" s="15"/>
      <c r="BI245" s="15">
        <v>68.89</v>
      </c>
      <c r="BJ245" s="15">
        <v>8.99</v>
      </c>
      <c r="BK245" s="15">
        <v>15.05</v>
      </c>
      <c r="BL245" s="15">
        <v>6.41</v>
      </c>
      <c r="BM245" s="15">
        <v>0.65</v>
      </c>
      <c r="BN245" s="15">
        <v>33.5</v>
      </c>
      <c r="BO245" s="15">
        <v>73</v>
      </c>
      <c r="BP245" s="15"/>
      <c r="BQ245" s="15">
        <f>Table2[[#This Row],[H% B]]/Table2[[#This Row],[C% B]]*100</f>
        <v>13.04978951952388</v>
      </c>
      <c r="BR245" s="15"/>
      <c r="BS245" s="15"/>
      <c r="BT245" s="15"/>
      <c r="BU245" s="15"/>
      <c r="BV245" s="15"/>
      <c r="BW245" s="15"/>
      <c r="BX245" s="15"/>
      <c r="BY245" s="15"/>
      <c r="BZ245" s="15"/>
      <c r="CA245" s="15"/>
      <c r="CB245" s="15"/>
      <c r="CC245" s="15"/>
      <c r="CD245" s="15"/>
      <c r="CE245" s="15"/>
      <c r="CF245" s="15"/>
      <c r="CG245" s="15"/>
      <c r="CH245" s="15"/>
      <c r="CI245" s="15"/>
      <c r="CJ245" s="15"/>
      <c r="CK245" s="15"/>
      <c r="CL245" s="15"/>
      <c r="CM245" s="15"/>
      <c r="CN245" s="15"/>
      <c r="CO245" s="15"/>
      <c r="CP245" s="15"/>
      <c r="CQ245" s="15"/>
      <c r="CR245" s="15"/>
      <c r="CS245" s="15"/>
      <c r="CT245" s="15"/>
      <c r="CU245" s="15"/>
      <c r="CV245" s="15"/>
      <c r="CW245" s="15"/>
      <c r="CX245" s="15"/>
      <c r="CY245" s="15"/>
      <c r="CZ245" s="15"/>
      <c r="DA245" s="15"/>
      <c r="DB245" s="15">
        <v>0</v>
      </c>
    </row>
    <row r="246" spans="1:106" x14ac:dyDescent="0.25">
      <c r="A246" t="s">
        <v>370</v>
      </c>
      <c r="B246" t="s">
        <v>371</v>
      </c>
      <c r="C246">
        <v>2013</v>
      </c>
      <c r="D246" s="16" t="s">
        <v>205</v>
      </c>
      <c r="E246">
        <v>0</v>
      </c>
      <c r="F246" s="15">
        <v>43.74374374374375</v>
      </c>
      <c r="G246" s="15"/>
      <c r="H246" s="15"/>
      <c r="I246" s="15">
        <v>41.841841841841841</v>
      </c>
      <c r="J246" s="15">
        <v>11.611611611611611</v>
      </c>
      <c r="K246" s="15"/>
      <c r="L246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46" s="15">
        <v>2.8</v>
      </c>
      <c r="V246">
        <v>9.5</v>
      </c>
      <c r="Z246" s="15">
        <v>52.35</v>
      </c>
      <c r="AA246" s="15">
        <v>7.27</v>
      </c>
      <c r="AB246" s="15">
        <v>24.6</v>
      </c>
      <c r="AC246" s="15">
        <v>8.8800000000000008</v>
      </c>
      <c r="AD246" s="15">
        <v>0.66</v>
      </c>
      <c r="AE246" s="15"/>
      <c r="AF246" s="15">
        <v>23.75</v>
      </c>
      <c r="AG246" s="15">
        <v>4.1000000000000003E-3</v>
      </c>
      <c r="AH246" s="15"/>
      <c r="AI246" s="15"/>
      <c r="AJ246" s="15">
        <v>15</v>
      </c>
      <c r="AM246" s="13"/>
      <c r="AO246" s="15"/>
      <c r="AP246" s="15" t="e">
        <f>LN(25/Table2[[#This Row],[Temperature (C)]]/(1-SQRT((Table2[[#This Row],[Temperature (C)]]-5)/Table2[[#This Row],[Temperature (C)]])))/Table2[[#This Row],[b]]</f>
        <v>#DIV/0!</v>
      </c>
      <c r="AQ246" s="15">
        <f>IF(Table2[[#This Row],[b]]&lt;&gt;"",Table2[[#This Row],[T-5]], 0)</f>
        <v>0</v>
      </c>
      <c r="AR246">
        <v>3</v>
      </c>
      <c r="AT246" t="s">
        <v>503</v>
      </c>
      <c r="AU246">
        <v>500</v>
      </c>
      <c r="AV246" s="15"/>
      <c r="AW246" s="15">
        <v>45</v>
      </c>
      <c r="AX246" s="15"/>
      <c r="AY246" s="15"/>
      <c r="AZ246" s="15"/>
      <c r="BA246" s="15"/>
      <c r="BB246" s="15" t="str">
        <f>IF(OR(Table2[[#This Row],[Gas wt%]]&lt;&gt;"",Table2[[#This Row],[Loss]]&lt;&gt;""),Table2[[#This Row],[Gas wt%]]+Table2[[#This Row],[Loss]],"")</f>
        <v/>
      </c>
      <c r="BC246" s="15"/>
      <c r="BD246" s="15">
        <v>19.8</v>
      </c>
      <c r="BE246" s="15">
        <f>Table2[[#This Row],[Biocrude wt%]]-Table2[[#This Row],[Light Biocrude wt%]]</f>
        <v>25.2</v>
      </c>
      <c r="BF246" s="15"/>
      <c r="BG246" s="15"/>
      <c r="BH246" s="15"/>
      <c r="BI246" s="15">
        <v>73.36</v>
      </c>
      <c r="BJ246" s="15">
        <v>8.48</v>
      </c>
      <c r="BK246" s="15">
        <v>10.23</v>
      </c>
      <c r="BL246" s="15">
        <v>6.75</v>
      </c>
      <c r="BM246" s="15">
        <v>1.18</v>
      </c>
      <c r="BN246" s="15">
        <v>35.19</v>
      </c>
      <c r="BO246" s="15">
        <v>62</v>
      </c>
      <c r="BP246" s="15"/>
      <c r="BQ246" s="15">
        <f>Table2[[#This Row],[H% B]]/Table2[[#This Row],[C% B]]*100</f>
        <v>11.559432933478735</v>
      </c>
      <c r="BR246" s="15"/>
      <c r="BS246" s="15"/>
      <c r="BT246" s="15"/>
      <c r="BU246" s="15"/>
      <c r="BV246" s="15"/>
      <c r="BW246" s="15"/>
      <c r="BX246" s="15"/>
      <c r="BY246" s="15"/>
      <c r="BZ246" s="15"/>
      <c r="CA246" s="15"/>
      <c r="CB246" s="15"/>
      <c r="CC246" s="15"/>
      <c r="CD246" s="15"/>
      <c r="CE246" s="15"/>
      <c r="CF246" s="15"/>
      <c r="CG246" s="15"/>
      <c r="CH246" s="15"/>
      <c r="CI246" s="15"/>
      <c r="CJ246" s="15"/>
      <c r="CK246" s="15"/>
      <c r="CL246" s="15"/>
      <c r="CM246" s="15"/>
      <c r="CN246" s="15"/>
      <c r="CO246" s="15"/>
      <c r="CP246" s="15"/>
      <c r="CQ246" s="15"/>
      <c r="CR246" s="15"/>
      <c r="CS246" s="15"/>
      <c r="CT246" s="15"/>
      <c r="CU246" s="15"/>
      <c r="CV246" s="15"/>
      <c r="CW246" s="15"/>
      <c r="CX246" s="15"/>
      <c r="CY246" s="15"/>
      <c r="CZ246" s="15"/>
      <c r="DA246" s="15"/>
      <c r="DB246" s="15">
        <v>0</v>
      </c>
    </row>
    <row r="247" spans="1:106" x14ac:dyDescent="0.25">
      <c r="A247" t="s">
        <v>370</v>
      </c>
      <c r="B247" t="s">
        <v>371</v>
      </c>
      <c r="C247">
        <v>2013</v>
      </c>
      <c r="D247" s="16" t="s">
        <v>205</v>
      </c>
      <c r="E247">
        <v>0</v>
      </c>
      <c r="F247" s="15">
        <v>43.74374374374375</v>
      </c>
      <c r="G247" s="15"/>
      <c r="H247" s="15"/>
      <c r="I247" s="15">
        <v>41.841841841841841</v>
      </c>
      <c r="J247" s="15">
        <v>11.611611611611611</v>
      </c>
      <c r="K247" s="15"/>
      <c r="L247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47" s="15">
        <v>2.8</v>
      </c>
      <c r="V247">
        <v>9.5</v>
      </c>
      <c r="Z247" s="15">
        <v>52.35</v>
      </c>
      <c r="AA247" s="15">
        <v>7.27</v>
      </c>
      <c r="AB247" s="15">
        <v>24.6</v>
      </c>
      <c r="AC247" s="15">
        <v>8.8800000000000008</v>
      </c>
      <c r="AD247" s="15">
        <v>0.66</v>
      </c>
      <c r="AE247" s="15"/>
      <c r="AF247" s="15">
        <v>23.75</v>
      </c>
      <c r="AG247" s="15">
        <v>4.1000000000000003E-3</v>
      </c>
      <c r="AH247" s="15"/>
      <c r="AI247" s="15"/>
      <c r="AJ247" s="15">
        <v>15</v>
      </c>
      <c r="AM247" s="13"/>
      <c r="AO247" s="15"/>
      <c r="AP247" s="15" t="e">
        <f>LN(25/Table2[[#This Row],[Temperature (C)]]/(1-SQRT((Table2[[#This Row],[Temperature (C)]]-5)/Table2[[#This Row],[Temperature (C)]])))/Table2[[#This Row],[b]]</f>
        <v>#DIV/0!</v>
      </c>
      <c r="AQ247" s="15">
        <f>IF(Table2[[#This Row],[b]]&lt;&gt;"",Table2[[#This Row],[T-5]], 0)</f>
        <v>0</v>
      </c>
      <c r="AR247">
        <v>5</v>
      </c>
      <c r="AT247" t="s">
        <v>503</v>
      </c>
      <c r="AU247">
        <v>500</v>
      </c>
      <c r="AV247" s="15"/>
      <c r="AW247" s="15">
        <v>28</v>
      </c>
      <c r="AX247" s="15"/>
      <c r="AY247" s="15"/>
      <c r="AZ247" s="15"/>
      <c r="BA247" s="15"/>
      <c r="BB247" s="15" t="str">
        <f>IF(OR(Table2[[#This Row],[Gas wt%]]&lt;&gt;"",Table2[[#This Row],[Loss]]&lt;&gt;""),Table2[[#This Row],[Gas wt%]]+Table2[[#This Row],[Loss]],"")</f>
        <v/>
      </c>
      <c r="BC247" s="15"/>
      <c r="BD247" s="15">
        <v>12.04</v>
      </c>
      <c r="BE247" s="15">
        <f>Table2[[#This Row],[Biocrude wt%]]-Table2[[#This Row],[Light Biocrude wt%]]</f>
        <v>15.96</v>
      </c>
      <c r="BF247" s="15"/>
      <c r="BG247" s="15"/>
      <c r="BH247" s="15"/>
      <c r="BI247" s="15">
        <v>73.67</v>
      </c>
      <c r="BJ247" s="15">
        <v>8.01</v>
      </c>
      <c r="BK247" s="15">
        <v>10.33</v>
      </c>
      <c r="BL247" s="15">
        <v>7.05</v>
      </c>
      <c r="BM247" s="15">
        <v>0.94</v>
      </c>
      <c r="BN247" s="15">
        <v>34.58</v>
      </c>
      <c r="BO247" s="15">
        <v>38</v>
      </c>
      <c r="BP247" s="15"/>
      <c r="BQ247" s="15">
        <f>Table2[[#This Row],[H% B]]/Table2[[#This Row],[C% B]]*100</f>
        <v>10.872811185014253</v>
      </c>
      <c r="BR247" s="15"/>
      <c r="BS247" s="15"/>
      <c r="BT247" s="15"/>
      <c r="BU247" s="15"/>
      <c r="BV247" s="15"/>
      <c r="BW247" s="15"/>
      <c r="BX247" s="15"/>
      <c r="BY247" s="15"/>
      <c r="BZ247" s="15"/>
      <c r="CA247" s="15"/>
      <c r="CB247" s="15"/>
      <c r="CC247" s="15"/>
      <c r="CD247" s="15"/>
      <c r="CE247" s="15"/>
      <c r="CF247" s="15"/>
      <c r="CG247" s="15"/>
      <c r="CH247" s="15"/>
      <c r="CI247" s="15"/>
      <c r="CJ247" s="15"/>
      <c r="CK247" s="15"/>
      <c r="CL247" s="15"/>
      <c r="CM247" s="15"/>
      <c r="CN247" s="15"/>
      <c r="CO247" s="15"/>
      <c r="CP247" s="15"/>
      <c r="CQ247" s="15"/>
      <c r="CR247" s="15"/>
      <c r="CS247" s="15"/>
      <c r="CT247" s="15"/>
      <c r="CU247" s="15"/>
      <c r="CV247" s="15"/>
      <c r="CW247" s="15"/>
      <c r="CX247" s="15"/>
      <c r="CY247" s="15"/>
      <c r="CZ247" s="15"/>
      <c r="DA247" s="15"/>
      <c r="DB247" s="15">
        <v>0</v>
      </c>
    </row>
    <row r="248" spans="1:106" x14ac:dyDescent="0.25">
      <c r="A248" t="s">
        <v>370</v>
      </c>
      <c r="B248" t="s">
        <v>371</v>
      </c>
      <c r="C248">
        <v>2013</v>
      </c>
      <c r="D248" s="16" t="s">
        <v>205</v>
      </c>
      <c r="E248">
        <v>0</v>
      </c>
      <c r="F248" s="15">
        <v>43.74374374374375</v>
      </c>
      <c r="G248" s="15"/>
      <c r="H248" s="15"/>
      <c r="I248" s="15">
        <v>41.841841841841841</v>
      </c>
      <c r="J248" s="15">
        <v>11.611611611611611</v>
      </c>
      <c r="K248" s="15"/>
      <c r="L248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48" s="15">
        <v>2.8</v>
      </c>
      <c r="V248">
        <v>9.5</v>
      </c>
      <c r="Z248" s="15">
        <v>52.35</v>
      </c>
      <c r="AA248" s="15">
        <v>7.27</v>
      </c>
      <c r="AB248" s="15">
        <v>24.6</v>
      </c>
      <c r="AC248" s="15">
        <v>8.8800000000000008</v>
      </c>
      <c r="AD248" s="15">
        <v>0.66</v>
      </c>
      <c r="AE248" s="15"/>
      <c r="AF248" s="15">
        <v>23.75</v>
      </c>
      <c r="AG248" s="15">
        <v>4.1000000000000003E-3</v>
      </c>
      <c r="AH248" s="15"/>
      <c r="AI248" s="15"/>
      <c r="AJ248" s="15">
        <v>15</v>
      </c>
      <c r="AM248" s="13"/>
      <c r="AO248" s="15"/>
      <c r="AP248" s="15" t="e">
        <f>LN(25/Table2[[#This Row],[Temperature (C)]]/(1-SQRT((Table2[[#This Row],[Temperature (C)]]-5)/Table2[[#This Row],[Temperature (C)]])))/Table2[[#This Row],[b]]</f>
        <v>#DIV/0!</v>
      </c>
      <c r="AQ248" s="15">
        <f>IF(Table2[[#This Row],[b]]&lt;&gt;"",Table2[[#This Row],[T-5]], 0)</f>
        <v>0</v>
      </c>
      <c r="AR248">
        <v>1</v>
      </c>
      <c r="AT248" t="s">
        <v>503</v>
      </c>
      <c r="AU248">
        <v>550</v>
      </c>
      <c r="AV248" s="15"/>
      <c r="AW248" s="15">
        <v>51</v>
      </c>
      <c r="AX248" s="15"/>
      <c r="AY248" s="15"/>
      <c r="AZ248" s="15"/>
      <c r="BA248" s="15"/>
      <c r="BB248" s="15" t="str">
        <f>IF(OR(Table2[[#This Row],[Gas wt%]]&lt;&gt;"",Table2[[#This Row],[Loss]]&lt;&gt;""),Table2[[#This Row],[Gas wt%]]+Table2[[#This Row],[Loss]],"")</f>
        <v/>
      </c>
      <c r="BC248" s="15"/>
      <c r="BD248" s="15">
        <v>18.36</v>
      </c>
      <c r="BE248" s="15">
        <f>Table2[[#This Row],[Biocrude wt%]]-Table2[[#This Row],[Light Biocrude wt%]]</f>
        <v>32.64</v>
      </c>
      <c r="BF248" s="15"/>
      <c r="BG248" s="15"/>
      <c r="BH248" s="15"/>
      <c r="BI248" s="15">
        <v>69.7</v>
      </c>
      <c r="BJ248" s="15">
        <v>8.93</v>
      </c>
      <c r="BK248" s="15">
        <v>13.79</v>
      </c>
      <c r="BL248" s="15">
        <v>6.84</v>
      </c>
      <c r="BM248" s="15">
        <v>0.74</v>
      </c>
      <c r="BN248" s="15">
        <v>33.92</v>
      </c>
      <c r="BO248" s="15">
        <v>68</v>
      </c>
      <c r="BP248" s="15"/>
      <c r="BQ248" s="15">
        <f>Table2[[#This Row],[H% B]]/Table2[[#This Row],[C% B]]*100</f>
        <v>12.812051649928263</v>
      </c>
      <c r="BR248" s="15"/>
      <c r="BS248" s="15"/>
      <c r="BT248" s="15"/>
      <c r="BU248" s="15"/>
      <c r="BV248" s="15"/>
      <c r="BW248" s="15"/>
      <c r="BX248" s="15"/>
      <c r="BY248" s="15"/>
      <c r="BZ248" s="15"/>
      <c r="CA248" s="15"/>
      <c r="CB248" s="15"/>
      <c r="CC248" s="15"/>
      <c r="CD248" s="15"/>
      <c r="CE248" s="15"/>
      <c r="CF248" s="15"/>
      <c r="CG248" s="15"/>
      <c r="CH248" s="15"/>
      <c r="CI248" s="15"/>
      <c r="CJ248" s="15"/>
      <c r="CK248" s="15"/>
      <c r="CL248" s="15"/>
      <c r="CM248" s="15"/>
      <c r="CN248" s="15"/>
      <c r="CO248" s="15"/>
      <c r="CP248" s="15"/>
      <c r="CQ248" s="15"/>
      <c r="CR248" s="15"/>
      <c r="CS248" s="15"/>
      <c r="CT248" s="15"/>
      <c r="CU248" s="15"/>
      <c r="CV248" s="15"/>
      <c r="CW248" s="15"/>
      <c r="CX248" s="15"/>
      <c r="CY248" s="15"/>
      <c r="CZ248" s="15"/>
      <c r="DA248" s="15"/>
      <c r="DB248" s="15">
        <v>0</v>
      </c>
    </row>
    <row r="249" spans="1:106" x14ac:dyDescent="0.25">
      <c r="A249" t="s">
        <v>370</v>
      </c>
      <c r="B249" t="s">
        <v>371</v>
      </c>
      <c r="C249">
        <v>2013</v>
      </c>
      <c r="D249" s="16" t="s">
        <v>205</v>
      </c>
      <c r="E249">
        <v>0</v>
      </c>
      <c r="F249" s="15">
        <v>43.74374374374375</v>
      </c>
      <c r="G249" s="15"/>
      <c r="H249" s="15"/>
      <c r="I249" s="15">
        <v>41.841841841841841</v>
      </c>
      <c r="J249" s="15">
        <v>11.611611611611611</v>
      </c>
      <c r="K249" s="15"/>
      <c r="L249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49" s="15">
        <v>2.8</v>
      </c>
      <c r="V249">
        <v>9.5</v>
      </c>
      <c r="Z249" s="15">
        <v>52.35</v>
      </c>
      <c r="AA249" s="15">
        <v>7.27</v>
      </c>
      <c r="AB249" s="15">
        <v>24.6</v>
      </c>
      <c r="AC249" s="15">
        <v>8.8800000000000008</v>
      </c>
      <c r="AD249" s="15">
        <v>0.66</v>
      </c>
      <c r="AE249" s="15"/>
      <c r="AF249" s="15">
        <v>23.75</v>
      </c>
      <c r="AG249" s="15">
        <v>4.1000000000000003E-3</v>
      </c>
      <c r="AH249" s="15"/>
      <c r="AI249" s="15"/>
      <c r="AJ249" s="15">
        <v>15</v>
      </c>
      <c r="AM249" s="13"/>
      <c r="AO249" s="15"/>
      <c r="AP249" s="15" t="e">
        <f>LN(25/Table2[[#This Row],[Temperature (C)]]/(1-SQRT((Table2[[#This Row],[Temperature (C)]]-5)/Table2[[#This Row],[Temperature (C)]])))/Table2[[#This Row],[b]]</f>
        <v>#DIV/0!</v>
      </c>
      <c r="AQ249" s="15">
        <f>IF(Table2[[#This Row],[b]]&lt;&gt;"",Table2[[#This Row],[T-5]], 0)</f>
        <v>0</v>
      </c>
      <c r="AR249">
        <v>3</v>
      </c>
      <c r="AT249" t="s">
        <v>503</v>
      </c>
      <c r="AU249">
        <v>550</v>
      </c>
      <c r="AV249" s="15"/>
      <c r="AW249" s="15">
        <v>20</v>
      </c>
      <c r="AX249" s="15"/>
      <c r="AY249" s="15"/>
      <c r="AZ249" s="15"/>
      <c r="BA249" s="15"/>
      <c r="BB249" s="15" t="str">
        <f>IF(OR(Table2[[#This Row],[Gas wt%]]&lt;&gt;"",Table2[[#This Row],[Loss]]&lt;&gt;""),Table2[[#This Row],[Gas wt%]]+Table2[[#This Row],[Loss]],"")</f>
        <v/>
      </c>
      <c r="BC249" s="15"/>
      <c r="BD249" s="15">
        <v>3</v>
      </c>
      <c r="BE249" s="15">
        <f>Table2[[#This Row],[Biocrude wt%]]-Table2[[#This Row],[Light Biocrude wt%]]</f>
        <v>17</v>
      </c>
      <c r="BF249" s="15"/>
      <c r="BG249" s="15"/>
      <c r="BH249" s="15"/>
      <c r="BI249" s="15"/>
      <c r="BJ249" s="15"/>
      <c r="BK249" s="15"/>
      <c r="BL249" s="15"/>
      <c r="BM249" s="15"/>
      <c r="BN249" s="15"/>
      <c r="BO249" s="15"/>
      <c r="BP249" s="15"/>
      <c r="BQ249" s="15"/>
      <c r="BR249" s="15"/>
      <c r="BS249" s="15"/>
      <c r="BT249" s="15"/>
      <c r="BU249" s="15"/>
      <c r="BV249" s="15"/>
      <c r="BW249" s="15"/>
      <c r="BX249" s="15"/>
      <c r="BY249" s="15"/>
      <c r="BZ249" s="15"/>
      <c r="CA249" s="15"/>
      <c r="CB249" s="15"/>
      <c r="CC249" s="15"/>
      <c r="CD249" s="15"/>
      <c r="CE249" s="15"/>
      <c r="CF249" s="15"/>
      <c r="CG249" s="15"/>
      <c r="CH249" s="15"/>
      <c r="CI249" s="15"/>
      <c r="CJ249" s="15"/>
      <c r="CK249" s="15"/>
      <c r="CL249" s="15"/>
      <c r="CM249" s="15"/>
      <c r="CN249" s="15"/>
      <c r="CO249" s="15"/>
      <c r="CP249" s="15"/>
      <c r="CQ249" s="15"/>
      <c r="CR249" s="15"/>
      <c r="CS249" s="15"/>
      <c r="CT249" s="15"/>
      <c r="CU249" s="15"/>
      <c r="CV249" s="15"/>
      <c r="CW249" s="15"/>
      <c r="CX249" s="15"/>
      <c r="CY249" s="15"/>
      <c r="CZ249" s="15"/>
      <c r="DA249" s="15"/>
      <c r="DB249" s="15">
        <v>0</v>
      </c>
    </row>
    <row r="250" spans="1:106" x14ac:dyDescent="0.25">
      <c r="A250" t="s">
        <v>370</v>
      </c>
      <c r="B250" t="s">
        <v>371</v>
      </c>
      <c r="C250">
        <v>2013</v>
      </c>
      <c r="D250" s="16" t="s">
        <v>205</v>
      </c>
      <c r="E250">
        <v>0</v>
      </c>
      <c r="F250" s="15">
        <v>43.74374374374375</v>
      </c>
      <c r="G250" s="15"/>
      <c r="H250" s="15"/>
      <c r="I250" s="15">
        <v>41.841841841841841</v>
      </c>
      <c r="J250" s="15">
        <v>11.611611611611611</v>
      </c>
      <c r="K250" s="15"/>
      <c r="L250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50" s="15">
        <v>2.8</v>
      </c>
      <c r="V250">
        <v>9.5</v>
      </c>
      <c r="Z250" s="15">
        <v>52.35</v>
      </c>
      <c r="AA250" s="15">
        <v>7.27</v>
      </c>
      <c r="AB250" s="15">
        <v>24.6</v>
      </c>
      <c r="AC250" s="15">
        <v>8.8800000000000008</v>
      </c>
      <c r="AD250" s="15">
        <v>0.66</v>
      </c>
      <c r="AE250" s="15"/>
      <c r="AF250" s="15">
        <v>23.75</v>
      </c>
      <c r="AG250" s="15">
        <v>4.1000000000000003E-3</v>
      </c>
      <c r="AH250" s="15"/>
      <c r="AI250" s="15"/>
      <c r="AJ250" s="15">
        <v>15</v>
      </c>
      <c r="AM250" s="13"/>
      <c r="AO250" s="15"/>
      <c r="AP250" s="15" t="e">
        <f>LN(25/Table2[[#This Row],[Temperature (C)]]/(1-SQRT((Table2[[#This Row],[Temperature (C)]]-5)/Table2[[#This Row],[Temperature (C)]])))/Table2[[#This Row],[b]]</f>
        <v>#DIV/0!</v>
      </c>
      <c r="AQ250" s="15">
        <f>IF(Table2[[#This Row],[b]]&lt;&gt;"",Table2[[#This Row],[T-5]], 0)</f>
        <v>0</v>
      </c>
      <c r="AR250">
        <v>5</v>
      </c>
      <c r="AT250" t="s">
        <v>503</v>
      </c>
      <c r="AU250">
        <v>550</v>
      </c>
      <c r="AV250" s="15"/>
      <c r="AW250" s="15">
        <v>10</v>
      </c>
      <c r="AX250" s="15"/>
      <c r="AY250" s="15"/>
      <c r="AZ250" s="15"/>
      <c r="BA250" s="15"/>
      <c r="BB250" s="15" t="str">
        <f>IF(OR(Table2[[#This Row],[Gas wt%]]&lt;&gt;"",Table2[[#This Row],[Loss]]&lt;&gt;""),Table2[[#This Row],[Gas wt%]]+Table2[[#This Row],[Loss]],"")</f>
        <v/>
      </c>
      <c r="BC250" s="15"/>
      <c r="BD250" s="15">
        <v>0.8</v>
      </c>
      <c r="BE250" s="15">
        <f>Table2[[#This Row],[Biocrude wt%]]-Table2[[#This Row],[Light Biocrude wt%]]</f>
        <v>9.1999999999999993</v>
      </c>
      <c r="BF250" s="15"/>
      <c r="BG250" s="15"/>
      <c r="BH250" s="15"/>
      <c r="BI250" s="15"/>
      <c r="BJ250" s="15"/>
      <c r="BK250" s="15"/>
      <c r="BL250" s="15"/>
      <c r="BM250" s="15"/>
      <c r="BN250" s="15"/>
      <c r="BO250" s="15"/>
      <c r="BP250" s="15"/>
      <c r="BQ250" s="15"/>
      <c r="BR250" s="15"/>
      <c r="BS250" s="15"/>
      <c r="BT250" s="15"/>
      <c r="BU250" s="15"/>
      <c r="BV250" s="15"/>
      <c r="BW250" s="15"/>
      <c r="BX250" s="15"/>
      <c r="BY250" s="15"/>
      <c r="BZ250" s="15"/>
      <c r="CA250" s="15"/>
      <c r="CB250" s="15"/>
      <c r="CC250" s="15"/>
      <c r="CD250" s="15"/>
      <c r="CE250" s="15"/>
      <c r="CF250" s="15"/>
      <c r="CG250" s="15"/>
      <c r="CH250" s="15"/>
      <c r="CI250" s="15"/>
      <c r="CJ250" s="15"/>
      <c r="CK250" s="15"/>
      <c r="CL250" s="15"/>
      <c r="CM250" s="15"/>
      <c r="CN250" s="15"/>
      <c r="CO250" s="15"/>
      <c r="CP250" s="15"/>
      <c r="CQ250" s="15"/>
      <c r="CR250" s="15"/>
      <c r="CS250" s="15"/>
      <c r="CT250" s="15"/>
      <c r="CU250" s="15"/>
      <c r="CV250" s="15"/>
      <c r="CW250" s="15"/>
      <c r="CX250" s="15"/>
      <c r="CY250" s="15"/>
      <c r="CZ250" s="15"/>
      <c r="DA250" s="15"/>
      <c r="DB250" s="15">
        <v>0</v>
      </c>
    </row>
    <row r="251" spans="1:106" x14ac:dyDescent="0.25">
      <c r="A251" t="s">
        <v>370</v>
      </c>
      <c r="B251" t="s">
        <v>371</v>
      </c>
      <c r="C251">
        <v>2013</v>
      </c>
      <c r="D251" s="16" t="s">
        <v>205</v>
      </c>
      <c r="E251">
        <v>0</v>
      </c>
      <c r="F251" s="15">
        <v>43.74374374374375</v>
      </c>
      <c r="G251" s="15"/>
      <c r="H251" s="15"/>
      <c r="I251" s="15">
        <v>41.841841841841841</v>
      </c>
      <c r="J251" s="15">
        <v>11.611611611611611</v>
      </c>
      <c r="K251" s="15"/>
      <c r="L251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51" s="15">
        <v>2.8</v>
      </c>
      <c r="V251">
        <v>9.5</v>
      </c>
      <c r="Z251" s="15">
        <v>52.35</v>
      </c>
      <c r="AA251" s="15">
        <v>7.27</v>
      </c>
      <c r="AB251" s="15">
        <v>24.6</v>
      </c>
      <c r="AC251" s="15">
        <v>8.8800000000000008</v>
      </c>
      <c r="AD251" s="15">
        <v>0.66</v>
      </c>
      <c r="AE251" s="15"/>
      <c r="AF251" s="15">
        <v>23.75</v>
      </c>
      <c r="AG251" s="15">
        <v>4.1000000000000003E-3</v>
      </c>
      <c r="AH251" s="15"/>
      <c r="AI251" s="15"/>
      <c r="AJ251" s="15">
        <v>15</v>
      </c>
      <c r="AM251" s="13"/>
      <c r="AO251" s="15"/>
      <c r="AP251" s="15" t="e">
        <f>LN(25/Table2[[#This Row],[Temperature (C)]]/(1-SQRT((Table2[[#This Row],[Temperature (C)]]-5)/Table2[[#This Row],[Temperature (C)]])))/Table2[[#This Row],[b]]</f>
        <v>#DIV/0!</v>
      </c>
      <c r="AQ251" s="15">
        <f>IF(Table2[[#This Row],[b]]&lt;&gt;"",Table2[[#This Row],[T-5]], 0)</f>
        <v>0</v>
      </c>
      <c r="AR251">
        <v>1</v>
      </c>
      <c r="AT251" t="s">
        <v>503</v>
      </c>
      <c r="AU251">
        <v>600</v>
      </c>
      <c r="AV251" s="15"/>
      <c r="AW251" s="15">
        <v>66</v>
      </c>
      <c r="AX251" s="15"/>
      <c r="AY251" s="15"/>
      <c r="AZ251" s="15"/>
      <c r="BA251" s="15"/>
      <c r="BB251" s="15" t="str">
        <f>IF(OR(Table2[[#This Row],[Gas wt%]]&lt;&gt;"",Table2[[#This Row],[Loss]]&lt;&gt;""),Table2[[#This Row],[Gas wt%]]+Table2[[#This Row],[Loss]],"")</f>
        <v/>
      </c>
      <c r="BC251" s="15"/>
      <c r="BD251" s="15">
        <v>26.4</v>
      </c>
      <c r="BE251" s="15">
        <f>Table2[[#This Row],[Biocrude wt%]]-Table2[[#This Row],[Light Biocrude wt%]]</f>
        <v>39.6</v>
      </c>
      <c r="BF251" s="15"/>
      <c r="BG251" s="15"/>
      <c r="BH251" s="15"/>
      <c r="BI251" s="15">
        <v>70.58</v>
      </c>
      <c r="BJ251" s="15">
        <v>9</v>
      </c>
      <c r="BK251" s="15">
        <v>12.75</v>
      </c>
      <c r="BL251" s="15">
        <v>6.92</v>
      </c>
      <c r="BM251" s="15">
        <v>0.74</v>
      </c>
      <c r="BN251" s="15">
        <v>34.51</v>
      </c>
      <c r="BO251" s="15">
        <v>91</v>
      </c>
      <c r="BP251" s="15"/>
      <c r="BQ251" s="15">
        <f>Table2[[#This Row],[H% B]]/Table2[[#This Row],[C% B]]*100</f>
        <v>12.751487673561915</v>
      </c>
      <c r="BR251" s="15"/>
      <c r="BS251" s="15"/>
      <c r="BT251" s="15"/>
      <c r="BU251" s="15"/>
      <c r="BV251" s="15"/>
      <c r="BW251" s="15"/>
      <c r="BX251" s="15"/>
      <c r="BY251" s="15"/>
      <c r="BZ251" s="15"/>
      <c r="CA251" s="15"/>
      <c r="CB251" s="15"/>
      <c r="CC251" s="15"/>
      <c r="CD251" s="15"/>
      <c r="CE251" s="15"/>
      <c r="CF251" s="15"/>
      <c r="CG251" s="15"/>
      <c r="CH251" s="15"/>
      <c r="CI251" s="15"/>
      <c r="CJ251" s="15"/>
      <c r="CK251" s="15"/>
      <c r="CL251" s="15"/>
      <c r="CM251" s="15"/>
      <c r="CN251" s="15"/>
      <c r="CO251" s="15"/>
      <c r="CP251" s="15"/>
      <c r="CQ251" s="15"/>
      <c r="CR251" s="15"/>
      <c r="CS251" s="15"/>
      <c r="CT251" s="15"/>
      <c r="CU251" s="15"/>
      <c r="CV251" s="15"/>
      <c r="CW251" s="15"/>
      <c r="CX251" s="15"/>
      <c r="CY251" s="15"/>
      <c r="CZ251" s="15"/>
      <c r="DA251" s="15"/>
      <c r="DB251" s="15">
        <v>0</v>
      </c>
    </row>
    <row r="252" spans="1:106" x14ac:dyDescent="0.25">
      <c r="A252" t="s">
        <v>370</v>
      </c>
      <c r="B252" t="s">
        <v>371</v>
      </c>
      <c r="C252">
        <v>2013</v>
      </c>
      <c r="D252" s="16" t="s">
        <v>205</v>
      </c>
      <c r="E252">
        <v>0</v>
      </c>
      <c r="F252" s="15">
        <v>43.74374374374375</v>
      </c>
      <c r="G252" s="15"/>
      <c r="H252" s="15"/>
      <c r="I252" s="15">
        <v>41.841841841841841</v>
      </c>
      <c r="J252" s="15">
        <v>11.611611611611611</v>
      </c>
      <c r="K252" s="15"/>
      <c r="L252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52" s="15">
        <v>2.8</v>
      </c>
      <c r="V252">
        <v>9.5</v>
      </c>
      <c r="Z252" s="15">
        <v>52.35</v>
      </c>
      <c r="AA252" s="15">
        <v>7.27</v>
      </c>
      <c r="AB252" s="15">
        <v>24.6</v>
      </c>
      <c r="AC252" s="15">
        <v>8.8800000000000008</v>
      </c>
      <c r="AD252" s="15">
        <v>0.66</v>
      </c>
      <c r="AE252" s="15"/>
      <c r="AF252" s="15">
        <v>23.75</v>
      </c>
      <c r="AG252" s="15">
        <v>4.1000000000000003E-3</v>
      </c>
      <c r="AH252" s="15"/>
      <c r="AI252" s="15"/>
      <c r="AJ252" s="15">
        <v>15</v>
      </c>
      <c r="AM252" s="13"/>
      <c r="AO252" s="15"/>
      <c r="AP252" s="15" t="e">
        <f>LN(25/Table2[[#This Row],[Temperature (C)]]/(1-SQRT((Table2[[#This Row],[Temperature (C)]]-5)/Table2[[#This Row],[Temperature (C)]])))/Table2[[#This Row],[b]]</f>
        <v>#DIV/0!</v>
      </c>
      <c r="AQ252" s="15">
        <f>IF(Table2[[#This Row],[b]]&lt;&gt;"",Table2[[#This Row],[T-5]], 0)</f>
        <v>0</v>
      </c>
      <c r="AR252">
        <v>3</v>
      </c>
      <c r="AT252" t="s">
        <v>503</v>
      </c>
      <c r="AU252">
        <v>600</v>
      </c>
      <c r="AV252" s="15"/>
      <c r="AW252" s="15">
        <v>14</v>
      </c>
      <c r="AX252" s="15"/>
      <c r="AY252" s="15"/>
      <c r="AZ252" s="15"/>
      <c r="BA252" s="15"/>
      <c r="BB252" s="15" t="str">
        <f>IF(OR(Table2[[#This Row],[Gas wt%]]&lt;&gt;"",Table2[[#This Row],[Loss]]&lt;&gt;""),Table2[[#This Row],[Gas wt%]]+Table2[[#This Row],[Loss]],"")</f>
        <v/>
      </c>
      <c r="BC252" s="15"/>
      <c r="BD252" s="15">
        <v>3.36</v>
      </c>
      <c r="BE252" s="15">
        <f>Table2[[#This Row],[Biocrude wt%]]-Table2[[#This Row],[Light Biocrude wt%]]</f>
        <v>10.64</v>
      </c>
      <c r="BF252" s="15"/>
      <c r="BG252" s="15"/>
      <c r="BH252" s="15"/>
      <c r="BI252" s="15"/>
      <c r="BJ252" s="15"/>
      <c r="BK252" s="15"/>
      <c r="BL252" s="15"/>
      <c r="BM252" s="15"/>
      <c r="BN252" s="15"/>
      <c r="BO252" s="15"/>
      <c r="BP252" s="15"/>
      <c r="BQ252" s="15"/>
      <c r="BR252" s="15"/>
      <c r="BS252" s="15"/>
      <c r="BT252" s="15"/>
      <c r="BU252" s="15"/>
      <c r="BV252" s="15"/>
      <c r="BW252" s="15"/>
      <c r="BX252" s="15"/>
      <c r="BY252" s="15"/>
      <c r="BZ252" s="15"/>
      <c r="CA252" s="15"/>
      <c r="CB252" s="15"/>
      <c r="CC252" s="15"/>
      <c r="CD252" s="15"/>
      <c r="CE252" s="15"/>
      <c r="CF252" s="15"/>
      <c r="CG252" s="15"/>
      <c r="CH252" s="15"/>
      <c r="CI252" s="15"/>
      <c r="CJ252" s="15"/>
      <c r="CK252" s="15"/>
      <c r="CL252" s="15"/>
      <c r="CM252" s="15"/>
      <c r="CN252" s="15"/>
      <c r="CO252" s="15"/>
      <c r="CP252" s="15"/>
      <c r="CQ252" s="15"/>
      <c r="CR252" s="15"/>
      <c r="CS252" s="15"/>
      <c r="CT252" s="15"/>
      <c r="CU252" s="15"/>
      <c r="CV252" s="15"/>
      <c r="CW252" s="15"/>
      <c r="CX252" s="15"/>
      <c r="CY252" s="15"/>
      <c r="CZ252" s="15"/>
      <c r="DA252" s="15"/>
      <c r="DB252" s="15">
        <v>0</v>
      </c>
    </row>
    <row r="253" spans="1:106" x14ac:dyDescent="0.25">
      <c r="A253" t="s">
        <v>370</v>
      </c>
      <c r="B253" t="s">
        <v>371</v>
      </c>
      <c r="C253">
        <v>2013</v>
      </c>
      <c r="D253" s="16" t="s">
        <v>205</v>
      </c>
      <c r="E253">
        <v>0</v>
      </c>
      <c r="F253" s="15">
        <v>43.74374374374375</v>
      </c>
      <c r="G253" s="15"/>
      <c r="H253" s="15"/>
      <c r="I253" s="15">
        <v>41.841841841841841</v>
      </c>
      <c r="J253" s="15">
        <v>11.611611611611611</v>
      </c>
      <c r="K253" s="15"/>
      <c r="L253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53" s="15">
        <v>2.8</v>
      </c>
      <c r="V253">
        <v>9.5</v>
      </c>
      <c r="Z253" s="15">
        <v>52.35</v>
      </c>
      <c r="AA253" s="15">
        <v>7.27</v>
      </c>
      <c r="AB253" s="15">
        <v>24.6</v>
      </c>
      <c r="AC253" s="15">
        <v>8.8800000000000008</v>
      </c>
      <c r="AD253" s="15">
        <v>0.66</v>
      </c>
      <c r="AE253" s="15"/>
      <c r="AF253" s="15">
        <v>23.75</v>
      </c>
      <c r="AG253" s="15">
        <v>4.1000000000000003E-3</v>
      </c>
      <c r="AH253" s="15"/>
      <c r="AI253" s="15"/>
      <c r="AJ253" s="15">
        <v>15</v>
      </c>
      <c r="AM253" s="13"/>
      <c r="AO253" s="15"/>
      <c r="AP253" s="15" t="e">
        <f>LN(25/Table2[[#This Row],[Temperature (C)]]/(1-SQRT((Table2[[#This Row],[Temperature (C)]]-5)/Table2[[#This Row],[Temperature (C)]])))/Table2[[#This Row],[b]]</f>
        <v>#DIV/0!</v>
      </c>
      <c r="AQ253" s="15">
        <f>IF(Table2[[#This Row],[b]]&lt;&gt;"",Table2[[#This Row],[T-5]], 0)</f>
        <v>0</v>
      </c>
      <c r="AR253">
        <v>5</v>
      </c>
      <c r="AT253" t="s">
        <v>503</v>
      </c>
      <c r="AU253">
        <v>600</v>
      </c>
      <c r="AV253" s="15"/>
      <c r="AW253" s="15">
        <v>10</v>
      </c>
      <c r="AX253" s="15"/>
      <c r="AY253" s="15"/>
      <c r="AZ253" s="15"/>
      <c r="BA253" s="15"/>
      <c r="BB253" s="15" t="str">
        <f>IF(OR(Table2[[#This Row],[Gas wt%]]&lt;&gt;"",Table2[[#This Row],[Loss]]&lt;&gt;""),Table2[[#This Row],[Gas wt%]]+Table2[[#This Row],[Loss]],"")</f>
        <v/>
      </c>
      <c r="BC253" s="15"/>
      <c r="BD253" s="15">
        <v>3.3</v>
      </c>
      <c r="BE253" s="15">
        <f>Table2[[#This Row],[Biocrude wt%]]-Table2[[#This Row],[Light Biocrude wt%]]</f>
        <v>6.7</v>
      </c>
      <c r="BF253" s="15"/>
      <c r="BG253" s="15"/>
      <c r="BH253" s="15"/>
      <c r="BI253" s="15"/>
      <c r="BJ253" s="15"/>
      <c r="BK253" s="15"/>
      <c r="BL253" s="15"/>
      <c r="BM253" s="15"/>
      <c r="BN253" s="15"/>
      <c r="BO253" s="15"/>
      <c r="BP253" s="15"/>
      <c r="BQ253" s="15"/>
      <c r="BR253" s="15"/>
      <c r="BS253" s="15"/>
      <c r="BT253" s="15"/>
      <c r="BU253" s="15"/>
      <c r="BV253" s="15"/>
      <c r="BW253" s="15"/>
      <c r="BX253" s="15"/>
      <c r="BY253" s="15"/>
      <c r="BZ253" s="15"/>
      <c r="CA253" s="15"/>
      <c r="CB253" s="15"/>
      <c r="CC253" s="15"/>
      <c r="CD253" s="15"/>
      <c r="CE253" s="15"/>
      <c r="CF253" s="15"/>
      <c r="CG253" s="15"/>
      <c r="CH253" s="15"/>
      <c r="CI253" s="15"/>
      <c r="CJ253" s="15"/>
      <c r="CK253" s="15"/>
      <c r="CL253" s="15"/>
      <c r="CM253" s="15"/>
      <c r="CN253" s="15"/>
      <c r="CO253" s="15"/>
      <c r="CP253" s="15"/>
      <c r="CQ253" s="15"/>
      <c r="CR253" s="15"/>
      <c r="CS253" s="15"/>
      <c r="CT253" s="15"/>
      <c r="CU253" s="15"/>
      <c r="CV253" s="15"/>
      <c r="CW253" s="15"/>
      <c r="CX253" s="15"/>
      <c r="CY253" s="15"/>
      <c r="CZ253" s="15"/>
      <c r="DA253" s="15"/>
      <c r="DB253" s="15">
        <v>0</v>
      </c>
    </row>
    <row r="254" spans="1:106" x14ac:dyDescent="0.25">
      <c r="A254" t="s">
        <v>370</v>
      </c>
      <c r="B254" t="s">
        <v>371</v>
      </c>
      <c r="C254">
        <v>2013</v>
      </c>
      <c r="D254" s="16" t="s">
        <v>205</v>
      </c>
      <c r="E254">
        <v>0</v>
      </c>
      <c r="F254" s="15">
        <v>43.74374374374375</v>
      </c>
      <c r="G254" s="15"/>
      <c r="H254" s="15"/>
      <c r="I254" s="15">
        <v>41.841841841841841</v>
      </c>
      <c r="J254" s="15">
        <v>11.611611611611611</v>
      </c>
      <c r="K254" s="15"/>
      <c r="L254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54" s="15">
        <v>2.8</v>
      </c>
      <c r="V254">
        <v>9.5</v>
      </c>
      <c r="Z254" s="15">
        <v>52.35</v>
      </c>
      <c r="AA254" s="15">
        <v>7.27</v>
      </c>
      <c r="AB254" s="15">
        <v>24.6</v>
      </c>
      <c r="AC254" s="15">
        <v>8.8800000000000008</v>
      </c>
      <c r="AD254" s="15">
        <v>0.66</v>
      </c>
      <c r="AE254" s="15"/>
      <c r="AF254" s="15">
        <v>23.75</v>
      </c>
      <c r="AG254" s="15">
        <v>4.1000000000000003E-3</v>
      </c>
      <c r="AH254" s="15"/>
      <c r="AI254" s="15"/>
      <c r="AJ254" s="15">
        <v>15</v>
      </c>
      <c r="AM254" s="13"/>
      <c r="AO254" s="15"/>
      <c r="AP254" s="15" t="e">
        <f>LN(25/Table2[[#This Row],[Temperature (C)]]/(1-SQRT((Table2[[#This Row],[Temperature (C)]]-5)/Table2[[#This Row],[Temperature (C)]])))/Table2[[#This Row],[b]]</f>
        <v>#DIV/0!</v>
      </c>
      <c r="AQ254" s="15">
        <f>IF(Table2[[#This Row],[b]]&lt;&gt;"",Table2[[#This Row],[T-5]], 0)</f>
        <v>0</v>
      </c>
      <c r="AR254">
        <v>60</v>
      </c>
      <c r="AT254" t="s">
        <v>503</v>
      </c>
      <c r="AU254">
        <v>300</v>
      </c>
      <c r="AV254" s="15"/>
      <c r="AW254" s="15">
        <v>46</v>
      </c>
      <c r="AX254" s="15"/>
      <c r="AY254" s="15"/>
      <c r="AZ254" s="15"/>
      <c r="BA254" s="15"/>
      <c r="BB254" s="15" t="str">
        <f>IF(OR(Table2[[#This Row],[Gas wt%]]&lt;&gt;"",Table2[[#This Row],[Loss]]&lt;&gt;""),Table2[[#This Row],[Gas wt%]]+Table2[[#This Row],[Loss]],"")</f>
        <v/>
      </c>
      <c r="BC254" s="15"/>
      <c r="BD254" s="15"/>
      <c r="BE254" s="15"/>
      <c r="BF254" s="15"/>
      <c r="BG254" s="15"/>
      <c r="BH254" s="15"/>
      <c r="BI254" s="15"/>
      <c r="BJ254" s="15"/>
      <c r="BK254" s="15"/>
      <c r="BL254" s="15"/>
      <c r="BM254" s="15"/>
      <c r="BN254" s="15"/>
      <c r="BO254" s="15"/>
      <c r="BP254" s="15"/>
      <c r="BQ254" s="15"/>
      <c r="BR254" s="15"/>
      <c r="BS254" s="15"/>
      <c r="BT254" s="15"/>
      <c r="BU254" s="15"/>
      <c r="BV254" s="15"/>
      <c r="BW254" s="15"/>
      <c r="BX254" s="15"/>
      <c r="BY254" s="15"/>
      <c r="BZ254" s="15"/>
      <c r="CA254" s="15"/>
      <c r="CB254" s="15"/>
      <c r="CC254" s="15"/>
      <c r="CD254" s="15"/>
      <c r="CE254" s="15"/>
      <c r="CF254" s="15"/>
      <c r="CG254" s="15"/>
      <c r="CH254" s="15"/>
      <c r="CI254" s="15"/>
      <c r="CJ254" s="15"/>
      <c r="CK254" s="15"/>
      <c r="CL254" s="15"/>
      <c r="CM254" s="15"/>
      <c r="CN254" s="15"/>
      <c r="CO254" s="15"/>
      <c r="CP254" s="15"/>
      <c r="CQ254" s="15"/>
      <c r="CR254" s="15"/>
      <c r="CS254" s="15"/>
      <c r="CT254" s="15"/>
      <c r="CU254" s="15"/>
      <c r="CV254" s="15"/>
      <c r="CW254" s="15"/>
      <c r="CX254" s="15"/>
      <c r="CY254" s="15"/>
      <c r="CZ254" s="15"/>
      <c r="DA254" s="15"/>
      <c r="DB254" s="15">
        <v>0</v>
      </c>
    </row>
    <row r="255" spans="1:106" x14ac:dyDescent="0.25">
      <c r="A255" t="s">
        <v>370</v>
      </c>
      <c r="B255" t="s">
        <v>371</v>
      </c>
      <c r="C255">
        <v>2013</v>
      </c>
      <c r="D255" s="16" t="s">
        <v>205</v>
      </c>
      <c r="E255">
        <v>0</v>
      </c>
      <c r="F255" s="15">
        <v>43.74374374374375</v>
      </c>
      <c r="G255" s="15"/>
      <c r="H255" s="15"/>
      <c r="I255" s="15">
        <v>41.841841841841841</v>
      </c>
      <c r="J255" s="15">
        <v>11.611611611611611</v>
      </c>
      <c r="K255" s="15"/>
      <c r="L255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55" s="15">
        <v>2.8</v>
      </c>
      <c r="V255">
        <v>9.5</v>
      </c>
      <c r="Z255" s="15">
        <v>52.35</v>
      </c>
      <c r="AA255" s="15">
        <v>7.27</v>
      </c>
      <c r="AB255" s="15">
        <v>24.6</v>
      </c>
      <c r="AC255" s="15">
        <v>8.8800000000000008</v>
      </c>
      <c r="AD255" s="15">
        <v>0.66</v>
      </c>
      <c r="AE255" s="15"/>
      <c r="AF255" s="15">
        <v>23.75</v>
      </c>
      <c r="AG255" s="15">
        <v>4.1000000000000003E-3</v>
      </c>
      <c r="AH255" s="15"/>
      <c r="AI255" s="15"/>
      <c r="AJ255" s="15">
        <v>15</v>
      </c>
      <c r="AM255" s="13"/>
      <c r="AO255" s="15"/>
      <c r="AP255" s="15" t="e">
        <f>LN(25/Table2[[#This Row],[Temperature (C)]]/(1-SQRT((Table2[[#This Row],[Temperature (C)]]-5)/Table2[[#This Row],[Temperature (C)]])))/Table2[[#This Row],[b]]</f>
        <v>#DIV/0!</v>
      </c>
      <c r="AQ255" s="15">
        <f>IF(Table2[[#This Row],[b]]&lt;&gt;"",Table2[[#This Row],[T-5]], 0)</f>
        <v>0</v>
      </c>
      <c r="AR255">
        <v>60</v>
      </c>
      <c r="AT255" t="s">
        <v>503</v>
      </c>
      <c r="AU255">
        <v>350</v>
      </c>
      <c r="AV255" s="15"/>
      <c r="AW255" s="15">
        <v>40</v>
      </c>
      <c r="AX255" s="15"/>
      <c r="AY255" s="15"/>
      <c r="AZ255" s="15"/>
      <c r="BA255" s="15"/>
      <c r="BB255" s="15" t="str">
        <f>IF(OR(Table2[[#This Row],[Gas wt%]]&lt;&gt;"",Table2[[#This Row],[Loss]]&lt;&gt;""),Table2[[#This Row],[Gas wt%]]+Table2[[#This Row],[Loss]],"")</f>
        <v/>
      </c>
      <c r="BC255" s="15"/>
      <c r="BD255" s="15"/>
      <c r="BE255" s="15"/>
      <c r="BF255" s="15"/>
      <c r="BG255" s="15"/>
      <c r="BH255" s="15"/>
      <c r="BI255" s="15"/>
      <c r="BJ255" s="15"/>
      <c r="BK255" s="15"/>
      <c r="BL255" s="15"/>
      <c r="BM255" s="15"/>
      <c r="BN255" s="15"/>
      <c r="BO255" s="15"/>
      <c r="BP255" s="15"/>
      <c r="BQ255" s="15"/>
      <c r="BR255" s="15"/>
      <c r="BS255" s="15"/>
      <c r="BT255" s="15"/>
      <c r="BU255" s="15"/>
      <c r="BV255" s="15"/>
      <c r="BW255" s="15"/>
      <c r="BX255" s="15"/>
      <c r="BY255" s="15"/>
      <c r="BZ255" s="15"/>
      <c r="CA255" s="15"/>
      <c r="CB255" s="15"/>
      <c r="CC255" s="15"/>
      <c r="CD255" s="15"/>
      <c r="CE255" s="15"/>
      <c r="CF255" s="15"/>
      <c r="CG255" s="15"/>
      <c r="CH255" s="15"/>
      <c r="CI255" s="15"/>
      <c r="CJ255" s="15"/>
      <c r="CK255" s="15"/>
      <c r="CL255" s="15"/>
      <c r="CM255" s="15"/>
      <c r="CN255" s="15"/>
      <c r="CO255" s="15"/>
      <c r="CP255" s="15"/>
      <c r="CQ255" s="15"/>
      <c r="CR255" s="15"/>
      <c r="CS255" s="15"/>
      <c r="CT255" s="15"/>
      <c r="CU255" s="15"/>
      <c r="CV255" s="15"/>
      <c r="CW255" s="15"/>
      <c r="CX255" s="15"/>
      <c r="CY255" s="15"/>
      <c r="CZ255" s="15"/>
      <c r="DA255" s="15"/>
      <c r="DB255" s="15">
        <v>0</v>
      </c>
    </row>
    <row r="256" spans="1:106" x14ac:dyDescent="0.25">
      <c r="A256" t="s">
        <v>370</v>
      </c>
      <c r="B256" t="s">
        <v>371</v>
      </c>
      <c r="C256">
        <v>2013</v>
      </c>
      <c r="D256" s="16" t="s">
        <v>205</v>
      </c>
      <c r="E256">
        <v>0</v>
      </c>
      <c r="F256" s="15">
        <v>43.74374374374375</v>
      </c>
      <c r="G256" s="15"/>
      <c r="H256" s="15"/>
      <c r="I256" s="15">
        <v>41.841841841841841</v>
      </c>
      <c r="J256" s="15">
        <v>11.611611611611611</v>
      </c>
      <c r="K256" s="15"/>
      <c r="L256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56" s="15">
        <v>2.8</v>
      </c>
      <c r="V256">
        <v>9.5</v>
      </c>
      <c r="Z256" s="15">
        <v>52.35</v>
      </c>
      <c r="AA256" s="15">
        <v>7.27</v>
      </c>
      <c r="AB256" s="15">
        <v>24.6</v>
      </c>
      <c r="AC256" s="15">
        <v>8.8800000000000008</v>
      </c>
      <c r="AD256" s="15">
        <v>0.66</v>
      </c>
      <c r="AE256" s="15"/>
      <c r="AF256" s="15">
        <v>23.75</v>
      </c>
      <c r="AG256" s="15">
        <v>4.1000000000000003E-3</v>
      </c>
      <c r="AH256" s="15"/>
      <c r="AI256" s="15"/>
      <c r="AJ256" s="15">
        <v>15</v>
      </c>
      <c r="AM256" s="13"/>
      <c r="AO256" s="15"/>
      <c r="AP256" s="15" t="e">
        <f>LN(25/Table2[[#This Row],[Temperature (C)]]/(1-SQRT((Table2[[#This Row],[Temperature (C)]]-5)/Table2[[#This Row],[Temperature (C)]])))/Table2[[#This Row],[b]]</f>
        <v>#DIV/0!</v>
      </c>
      <c r="AQ256" s="15">
        <f>IF(Table2[[#This Row],[b]]&lt;&gt;"",Table2[[#This Row],[T-5]], 0)</f>
        <v>0</v>
      </c>
      <c r="AR256">
        <v>60</v>
      </c>
      <c r="AT256" t="s">
        <v>503</v>
      </c>
      <c r="AU256">
        <v>400</v>
      </c>
      <c r="AV256" s="15"/>
      <c r="AW256" s="15">
        <v>34</v>
      </c>
      <c r="AX256" s="15"/>
      <c r="AY256" s="15"/>
      <c r="AZ256" s="15"/>
      <c r="BA256" s="15"/>
      <c r="BB256" s="15" t="str">
        <f>IF(OR(Table2[[#This Row],[Gas wt%]]&lt;&gt;"",Table2[[#This Row],[Loss]]&lt;&gt;""),Table2[[#This Row],[Gas wt%]]+Table2[[#This Row],[Loss]],"")</f>
        <v/>
      </c>
      <c r="BC256" s="15"/>
      <c r="BD256" s="15"/>
      <c r="BE256" s="15"/>
      <c r="BF256" s="15"/>
      <c r="BG256" s="15"/>
      <c r="BH256" s="15"/>
      <c r="BI256" s="15"/>
      <c r="BJ256" s="15"/>
      <c r="BK256" s="15"/>
      <c r="BL256" s="15"/>
      <c r="BM256" s="15"/>
      <c r="BN256" s="15"/>
      <c r="BO256" s="15"/>
      <c r="BP256" s="15"/>
      <c r="BQ256" s="15"/>
      <c r="BR256" s="15"/>
      <c r="BS256" s="15"/>
      <c r="BT256" s="15"/>
      <c r="BU256" s="15"/>
      <c r="BV256" s="15"/>
      <c r="BW256" s="15"/>
      <c r="BX256" s="15"/>
      <c r="BY256" s="15"/>
      <c r="BZ256" s="15"/>
      <c r="CA256" s="15"/>
      <c r="CB256" s="15"/>
      <c r="CC256" s="15"/>
      <c r="CD256" s="15"/>
      <c r="CE256" s="15"/>
      <c r="CF256" s="15"/>
      <c r="CG256" s="15"/>
      <c r="CH256" s="15"/>
      <c r="CI256" s="15"/>
      <c r="CJ256" s="15"/>
      <c r="CK256" s="15"/>
      <c r="CL256" s="15"/>
      <c r="CM256" s="15"/>
      <c r="CN256" s="15"/>
      <c r="CO256" s="15"/>
      <c r="CP256" s="15"/>
      <c r="CQ256" s="15"/>
      <c r="CR256" s="15"/>
      <c r="CS256" s="15"/>
      <c r="CT256" s="15"/>
      <c r="CU256" s="15"/>
      <c r="CV256" s="15"/>
      <c r="CW256" s="15"/>
      <c r="CX256" s="15"/>
      <c r="CY256" s="15"/>
      <c r="CZ256" s="15"/>
      <c r="DA256" s="15"/>
      <c r="DB256" s="15">
        <v>0</v>
      </c>
    </row>
    <row r="257" spans="1:106" x14ac:dyDescent="0.25">
      <c r="A257" t="s">
        <v>370</v>
      </c>
      <c r="B257" t="s">
        <v>371</v>
      </c>
      <c r="C257">
        <v>2013</v>
      </c>
      <c r="D257" s="16" t="s">
        <v>205</v>
      </c>
      <c r="E257">
        <v>0</v>
      </c>
      <c r="F257" s="15">
        <v>43.74374374374375</v>
      </c>
      <c r="G257" s="15"/>
      <c r="H257" s="15"/>
      <c r="I257" s="15">
        <v>41.841841841841841</v>
      </c>
      <c r="J257" s="15">
        <v>11.611611611611611</v>
      </c>
      <c r="K257" s="15"/>
      <c r="L257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57" s="15">
        <v>2.8</v>
      </c>
      <c r="V257">
        <v>9.5</v>
      </c>
      <c r="Z257" s="15">
        <v>52.35</v>
      </c>
      <c r="AA257" s="15">
        <v>7.27</v>
      </c>
      <c r="AB257" s="15">
        <v>24.6</v>
      </c>
      <c r="AC257" s="15">
        <v>8.8800000000000008</v>
      </c>
      <c r="AD257" s="15">
        <v>0.66</v>
      </c>
      <c r="AE257" s="15"/>
      <c r="AF257" s="15">
        <v>23.75</v>
      </c>
      <c r="AG257" s="15">
        <v>4.1000000000000003E-3</v>
      </c>
      <c r="AH257" s="15"/>
      <c r="AI257" s="15"/>
      <c r="AJ257" s="15">
        <v>15</v>
      </c>
      <c r="AM257" s="13"/>
      <c r="AO257" s="15"/>
      <c r="AP257" s="15" t="e">
        <f>LN(25/Table2[[#This Row],[Temperature (C)]]/(1-SQRT((Table2[[#This Row],[Temperature (C)]]-5)/Table2[[#This Row],[Temperature (C)]])))/Table2[[#This Row],[b]]</f>
        <v>#DIV/0!</v>
      </c>
      <c r="AQ257" s="15">
        <f>IF(Table2[[#This Row],[b]]&lt;&gt;"",Table2[[#This Row],[T-5]], 0)</f>
        <v>0</v>
      </c>
      <c r="AR257">
        <v>60</v>
      </c>
      <c r="AT257" t="s">
        <v>503</v>
      </c>
      <c r="AU257">
        <v>450</v>
      </c>
      <c r="AV257" s="15"/>
      <c r="AW257" s="15">
        <v>17</v>
      </c>
      <c r="AX257" s="15"/>
      <c r="AY257" s="15"/>
      <c r="AZ257" s="15"/>
      <c r="BA257" s="15"/>
      <c r="BB257" s="15" t="str">
        <f>IF(OR(Table2[[#This Row],[Gas wt%]]&lt;&gt;"",Table2[[#This Row],[Loss]]&lt;&gt;""),Table2[[#This Row],[Gas wt%]]+Table2[[#This Row],[Loss]],"")</f>
        <v/>
      </c>
      <c r="BC257" s="15"/>
      <c r="BD257" s="15"/>
      <c r="BE257" s="15"/>
      <c r="BF257" s="15"/>
      <c r="BG257" s="15"/>
      <c r="BH257" s="15"/>
      <c r="BI257" s="15"/>
      <c r="BJ257" s="15"/>
      <c r="BK257" s="15"/>
      <c r="BL257" s="15"/>
      <c r="BM257" s="15"/>
      <c r="BN257" s="15"/>
      <c r="BO257" s="15"/>
      <c r="BP257" s="15"/>
      <c r="BQ257" s="15"/>
      <c r="BR257" s="15"/>
      <c r="BS257" s="15"/>
      <c r="BT257" s="15"/>
      <c r="BU257" s="15"/>
      <c r="BV257" s="15"/>
      <c r="BW257" s="15"/>
      <c r="BX257" s="15"/>
      <c r="BY257" s="15"/>
      <c r="BZ257" s="15"/>
      <c r="CA257" s="15"/>
      <c r="CB257" s="15"/>
      <c r="CC257" s="15"/>
      <c r="CD257" s="15"/>
      <c r="CE257" s="15"/>
      <c r="CF257" s="15"/>
      <c r="CG257" s="15"/>
      <c r="CH257" s="15"/>
      <c r="CI257" s="15"/>
      <c r="CJ257" s="15"/>
      <c r="CK257" s="15"/>
      <c r="CL257" s="15"/>
      <c r="CM257" s="15"/>
      <c r="CN257" s="15"/>
      <c r="CO257" s="15"/>
      <c r="CP257" s="15"/>
      <c r="CQ257" s="15"/>
      <c r="CR257" s="15"/>
      <c r="CS257" s="15"/>
      <c r="CT257" s="15"/>
      <c r="CU257" s="15"/>
      <c r="CV257" s="15"/>
      <c r="CW257" s="15"/>
      <c r="CX257" s="15"/>
      <c r="CY257" s="15"/>
      <c r="CZ257" s="15"/>
      <c r="DA257" s="15"/>
      <c r="DB257" s="15">
        <v>0</v>
      </c>
    </row>
    <row r="258" spans="1:106" x14ac:dyDescent="0.25">
      <c r="A258" t="s">
        <v>370</v>
      </c>
      <c r="B258" t="s">
        <v>371</v>
      </c>
      <c r="C258">
        <v>2013</v>
      </c>
      <c r="D258" s="16" t="s">
        <v>205</v>
      </c>
      <c r="E258">
        <v>0</v>
      </c>
      <c r="F258" s="15">
        <v>43.74374374374375</v>
      </c>
      <c r="G258" s="15"/>
      <c r="H258" s="15"/>
      <c r="I258" s="15">
        <v>41.841841841841841</v>
      </c>
      <c r="J258" s="15">
        <v>11.611611611611611</v>
      </c>
      <c r="K258" s="15"/>
      <c r="L258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58" s="15">
        <v>2.8</v>
      </c>
      <c r="V258">
        <v>9.5</v>
      </c>
      <c r="Z258" s="15">
        <v>52.35</v>
      </c>
      <c r="AA258" s="15">
        <v>7.27</v>
      </c>
      <c r="AB258" s="15">
        <v>24.6</v>
      </c>
      <c r="AC258" s="15">
        <v>8.8800000000000008</v>
      </c>
      <c r="AD258" s="15">
        <v>0.66</v>
      </c>
      <c r="AE258" s="15"/>
      <c r="AF258" s="15">
        <v>23.75</v>
      </c>
      <c r="AG258" s="15">
        <v>4.1000000000000003E-3</v>
      </c>
      <c r="AH258" s="15"/>
      <c r="AI258" s="15"/>
      <c r="AJ258" s="15">
        <v>15</v>
      </c>
      <c r="AM258" s="13"/>
      <c r="AO258" s="15"/>
      <c r="AP258" s="15" t="e">
        <f>LN(25/Table2[[#This Row],[Temperature (C)]]/(1-SQRT((Table2[[#This Row],[Temperature (C)]]-5)/Table2[[#This Row],[Temperature (C)]])))/Table2[[#This Row],[b]]</f>
        <v>#DIV/0!</v>
      </c>
      <c r="AQ258" s="15">
        <f>IF(Table2[[#This Row],[b]]&lt;&gt;"",Table2[[#This Row],[T-5]], 0)</f>
        <v>0</v>
      </c>
      <c r="AR258">
        <v>60</v>
      </c>
      <c r="AT258" t="s">
        <v>503</v>
      </c>
      <c r="AU258">
        <v>500</v>
      </c>
      <c r="AV258" s="15"/>
      <c r="AW258" s="15">
        <v>8</v>
      </c>
      <c r="AX258" s="15"/>
      <c r="AY258" s="15"/>
      <c r="AZ258" s="15"/>
      <c r="BA258" s="15"/>
      <c r="BB258" s="15" t="str">
        <f>IF(OR(Table2[[#This Row],[Gas wt%]]&lt;&gt;"",Table2[[#This Row],[Loss]]&lt;&gt;""),Table2[[#This Row],[Gas wt%]]+Table2[[#This Row],[Loss]],"")</f>
        <v/>
      </c>
      <c r="BC258" s="15"/>
      <c r="BD258" s="15"/>
      <c r="BE258" s="15"/>
      <c r="BF258" s="15"/>
      <c r="BG258" s="15"/>
      <c r="BH258" s="15"/>
      <c r="BI258" s="15"/>
      <c r="BJ258" s="15"/>
      <c r="BK258" s="15"/>
      <c r="BL258" s="15"/>
      <c r="BM258" s="15"/>
      <c r="BN258" s="15"/>
      <c r="BO258" s="15"/>
      <c r="BP258" s="15"/>
      <c r="BQ258" s="15"/>
      <c r="BR258" s="15"/>
      <c r="BS258" s="15"/>
      <c r="BT258" s="15"/>
      <c r="BU258" s="15"/>
      <c r="BV258" s="15"/>
      <c r="BW258" s="15"/>
      <c r="BX258" s="15"/>
      <c r="BY258" s="15"/>
      <c r="BZ258" s="15"/>
      <c r="CA258" s="15"/>
      <c r="CB258" s="15"/>
      <c r="CC258" s="15"/>
      <c r="CD258" s="15"/>
      <c r="CE258" s="15"/>
      <c r="CF258" s="15"/>
      <c r="CG258" s="15"/>
      <c r="CH258" s="15"/>
      <c r="CI258" s="15"/>
      <c r="CJ258" s="15"/>
      <c r="CK258" s="15"/>
      <c r="CL258" s="15"/>
      <c r="CM258" s="15"/>
      <c r="CN258" s="15"/>
      <c r="CO258" s="15"/>
      <c r="CP258" s="15"/>
      <c r="CQ258" s="15"/>
      <c r="CR258" s="15"/>
      <c r="CS258" s="15"/>
      <c r="CT258" s="15"/>
      <c r="CU258" s="15"/>
      <c r="CV258" s="15"/>
      <c r="CW258" s="15"/>
      <c r="CX258" s="15"/>
      <c r="CY258" s="15"/>
      <c r="CZ258" s="15"/>
      <c r="DA258" s="15"/>
      <c r="DB258" s="15">
        <v>0</v>
      </c>
    </row>
    <row r="259" spans="1:106" x14ac:dyDescent="0.25">
      <c r="A259" t="s">
        <v>370</v>
      </c>
      <c r="B259" t="s">
        <v>371</v>
      </c>
      <c r="C259">
        <v>2013</v>
      </c>
      <c r="D259" s="16" t="s">
        <v>205</v>
      </c>
      <c r="E259">
        <v>0</v>
      </c>
      <c r="F259" s="15">
        <v>43.74374374374375</v>
      </c>
      <c r="G259" s="15"/>
      <c r="H259" s="15"/>
      <c r="I259" s="15">
        <v>41.841841841841841</v>
      </c>
      <c r="J259" s="15">
        <v>11.611611611611611</v>
      </c>
      <c r="K259" s="15"/>
      <c r="L259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59" s="15">
        <v>2.8</v>
      </c>
      <c r="V259">
        <v>9.5</v>
      </c>
      <c r="Z259" s="15">
        <v>52.35</v>
      </c>
      <c r="AA259" s="15">
        <v>7.27</v>
      </c>
      <c r="AB259" s="15">
        <v>24.6</v>
      </c>
      <c r="AC259" s="15">
        <v>8.8800000000000008</v>
      </c>
      <c r="AD259" s="15">
        <v>0.66</v>
      </c>
      <c r="AE259" s="15"/>
      <c r="AF259" s="15">
        <v>23.75</v>
      </c>
      <c r="AG259" s="15">
        <v>4.1000000000000003E-3</v>
      </c>
      <c r="AH259" s="15"/>
      <c r="AI259" s="15"/>
      <c r="AJ259" s="15">
        <v>15</v>
      </c>
      <c r="AM259" s="13"/>
      <c r="AO259" s="15"/>
      <c r="AP259" s="15" t="e">
        <f>LN(25/Table2[[#This Row],[Temperature (C)]]/(1-SQRT((Table2[[#This Row],[Temperature (C)]]-5)/Table2[[#This Row],[Temperature (C)]])))/Table2[[#This Row],[b]]</f>
        <v>#DIV/0!</v>
      </c>
      <c r="AQ259" s="15">
        <f>IF(Table2[[#This Row],[b]]&lt;&gt;"",Table2[[#This Row],[T-5]], 0)</f>
        <v>0</v>
      </c>
      <c r="AR259">
        <v>60</v>
      </c>
      <c r="AT259" t="s">
        <v>503</v>
      </c>
      <c r="AU259">
        <v>550</v>
      </c>
      <c r="AV259" s="15"/>
      <c r="AW259" s="15"/>
      <c r="AX259" s="15"/>
      <c r="AY259" s="15"/>
      <c r="AZ259" s="15"/>
      <c r="BA259" s="15"/>
      <c r="BB259" s="15" t="str">
        <f>IF(OR(Table2[[#This Row],[Gas wt%]]&lt;&gt;"",Table2[[#This Row],[Loss]]&lt;&gt;""),Table2[[#This Row],[Gas wt%]]+Table2[[#This Row],[Loss]],"")</f>
        <v/>
      </c>
      <c r="BC259" s="15"/>
      <c r="BD259" s="15"/>
      <c r="BE259" s="15"/>
      <c r="BF259" s="15"/>
      <c r="BG259" s="15"/>
      <c r="BH259" s="15"/>
      <c r="BI259" s="15"/>
      <c r="BJ259" s="15"/>
      <c r="BK259" s="15"/>
      <c r="BL259" s="15"/>
      <c r="BM259" s="15"/>
      <c r="BN259" s="15"/>
      <c r="BO259" s="15"/>
      <c r="BP259" s="15"/>
      <c r="BQ259" s="15"/>
      <c r="BR259" s="15"/>
      <c r="BS259" s="15"/>
      <c r="BT259" s="15"/>
      <c r="BU259" s="15"/>
      <c r="BV259" s="15"/>
      <c r="BW259" s="15"/>
      <c r="BX259" s="15"/>
      <c r="BY259" s="15"/>
      <c r="BZ259" s="15"/>
      <c r="CA259" s="15"/>
      <c r="CB259" s="15"/>
      <c r="CC259" s="15"/>
      <c r="CD259" s="15"/>
      <c r="CE259" s="15"/>
      <c r="CF259" s="15"/>
      <c r="CG259" s="15"/>
      <c r="CH259" s="15"/>
      <c r="CI259" s="15"/>
      <c r="CJ259" s="15"/>
      <c r="CK259" s="15"/>
      <c r="CL259" s="15"/>
      <c r="CM259" s="15"/>
      <c r="CN259" s="15"/>
      <c r="CO259" s="15"/>
      <c r="CP259" s="15"/>
      <c r="CQ259" s="15"/>
      <c r="CR259" s="15"/>
      <c r="CS259" s="15"/>
      <c r="CT259" s="15"/>
      <c r="CU259" s="15"/>
      <c r="CV259" s="15"/>
      <c r="CW259" s="15"/>
      <c r="CX259" s="15"/>
      <c r="CY259" s="15"/>
      <c r="CZ259" s="15"/>
      <c r="DA259" s="15"/>
      <c r="DB259" s="15">
        <v>0</v>
      </c>
    </row>
    <row r="260" spans="1:106" x14ac:dyDescent="0.25">
      <c r="A260" t="s">
        <v>370</v>
      </c>
      <c r="B260" t="s">
        <v>371</v>
      </c>
      <c r="C260">
        <v>2013</v>
      </c>
      <c r="D260" s="16" t="s">
        <v>205</v>
      </c>
      <c r="E260">
        <v>0</v>
      </c>
      <c r="F260" s="15">
        <v>43.74374374374375</v>
      </c>
      <c r="G260" s="15"/>
      <c r="H260" s="15"/>
      <c r="I260" s="15">
        <v>41.841841841841841</v>
      </c>
      <c r="J260" s="15">
        <v>11.611611611611611</v>
      </c>
      <c r="K260" s="15"/>
      <c r="L260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60" s="15">
        <v>2.8</v>
      </c>
      <c r="V260">
        <v>9.5</v>
      </c>
      <c r="Z260" s="15">
        <v>52.35</v>
      </c>
      <c r="AA260" s="15">
        <v>7.27</v>
      </c>
      <c r="AB260" s="15">
        <v>24.6</v>
      </c>
      <c r="AC260" s="15">
        <v>8.8800000000000008</v>
      </c>
      <c r="AD260" s="15">
        <v>0.66</v>
      </c>
      <c r="AE260" s="15"/>
      <c r="AF260" s="15">
        <v>23.75</v>
      </c>
      <c r="AG260" s="15">
        <v>4.1000000000000003E-3</v>
      </c>
      <c r="AH260" s="15"/>
      <c r="AI260" s="15"/>
      <c r="AJ260" s="15">
        <v>15</v>
      </c>
      <c r="AM260" s="13"/>
      <c r="AO260" s="15"/>
      <c r="AP260" s="15" t="e">
        <f>LN(25/Table2[[#This Row],[Temperature (C)]]/(1-SQRT((Table2[[#This Row],[Temperature (C)]]-5)/Table2[[#This Row],[Temperature (C)]])))/Table2[[#This Row],[b]]</f>
        <v>#DIV/0!</v>
      </c>
      <c r="AQ260" s="15">
        <f>IF(Table2[[#This Row],[b]]&lt;&gt;"",Table2[[#This Row],[T-5]], 0)</f>
        <v>0</v>
      </c>
      <c r="AR260">
        <v>10</v>
      </c>
      <c r="AT260" t="s">
        <v>503</v>
      </c>
      <c r="AU260">
        <v>600</v>
      </c>
      <c r="AV260" s="15"/>
      <c r="AW260" s="15">
        <v>8</v>
      </c>
      <c r="AX260" s="15"/>
      <c r="AY260" s="15"/>
      <c r="AZ260" s="15"/>
      <c r="BA260" s="15"/>
      <c r="BB260" s="15" t="str">
        <f>IF(OR(Table2[[#This Row],[Gas wt%]]&lt;&gt;"",Table2[[#This Row],[Loss]]&lt;&gt;""),Table2[[#This Row],[Gas wt%]]+Table2[[#This Row],[Loss]],"")</f>
        <v/>
      </c>
      <c r="BC260" s="15"/>
      <c r="BD260" s="15"/>
      <c r="BE260" s="15"/>
      <c r="BF260" s="15"/>
      <c r="BG260" s="15"/>
      <c r="BH260" s="15"/>
      <c r="BI260" s="15"/>
      <c r="BJ260" s="15"/>
      <c r="BK260" s="15"/>
      <c r="BL260" s="15"/>
      <c r="BM260" s="15"/>
      <c r="BN260" s="15"/>
      <c r="BO260" s="15"/>
      <c r="BP260" s="15"/>
      <c r="BQ260" s="15"/>
      <c r="BR260" s="15"/>
      <c r="BS260" s="15"/>
      <c r="BT260" s="15"/>
      <c r="BU260" s="15"/>
      <c r="BV260" s="15"/>
      <c r="BW260" s="15"/>
      <c r="BX260" s="15"/>
      <c r="BY260" s="15"/>
      <c r="BZ260" s="15"/>
      <c r="CA260" s="15"/>
      <c r="CB260" s="15"/>
      <c r="CC260" s="15"/>
      <c r="CD260" s="15"/>
      <c r="CE260" s="15"/>
      <c r="CF260" s="15"/>
      <c r="CG260" s="15"/>
      <c r="CH260" s="15"/>
      <c r="CI260" s="15"/>
      <c r="CJ260" s="15"/>
      <c r="CK260" s="15"/>
      <c r="CL260" s="15"/>
      <c r="CM260" s="15"/>
      <c r="CN260" s="15"/>
      <c r="CO260" s="15"/>
      <c r="CP260" s="15"/>
      <c r="CQ260" s="15"/>
      <c r="CR260" s="15"/>
      <c r="CS260" s="15"/>
      <c r="CT260" s="15"/>
      <c r="CU260" s="15"/>
      <c r="CV260" s="15"/>
      <c r="CW260" s="15"/>
      <c r="CX260" s="15"/>
      <c r="CY260" s="15"/>
      <c r="CZ260" s="15"/>
      <c r="DA260" s="15"/>
      <c r="DB260" s="15">
        <v>0</v>
      </c>
    </row>
    <row r="261" spans="1:106" x14ac:dyDescent="0.25">
      <c r="A261" t="s">
        <v>370</v>
      </c>
      <c r="B261" t="s">
        <v>371</v>
      </c>
      <c r="C261">
        <v>2013</v>
      </c>
      <c r="D261" s="16" t="s">
        <v>205</v>
      </c>
      <c r="E261">
        <v>0</v>
      </c>
      <c r="F261" s="15">
        <v>43.74374374374375</v>
      </c>
      <c r="G261" s="15"/>
      <c r="H261" s="15"/>
      <c r="I261" s="15">
        <v>41.841841841841841</v>
      </c>
      <c r="J261" s="15">
        <v>11.611611611611611</v>
      </c>
      <c r="K261" s="15"/>
      <c r="L261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61" s="15">
        <v>2.8</v>
      </c>
      <c r="V261">
        <v>9.5</v>
      </c>
      <c r="Z261" s="15">
        <v>52.35</v>
      </c>
      <c r="AA261" s="15">
        <v>7.27</v>
      </c>
      <c r="AB261" s="15">
        <v>24.6</v>
      </c>
      <c r="AC261" s="15">
        <v>8.8800000000000008</v>
      </c>
      <c r="AD261" s="15">
        <v>0.66</v>
      </c>
      <c r="AE261" s="15"/>
      <c r="AF261" s="15">
        <v>23.75</v>
      </c>
      <c r="AG261" s="15">
        <v>4.1000000000000003E-3</v>
      </c>
      <c r="AH261" s="15"/>
      <c r="AI261" s="15"/>
      <c r="AJ261" s="15">
        <v>15</v>
      </c>
      <c r="AM261" s="13"/>
      <c r="AO261" s="15"/>
      <c r="AP261" s="15" t="e">
        <f>LN(25/Table2[[#This Row],[Temperature (C)]]/(1-SQRT((Table2[[#This Row],[Temperature (C)]]-5)/Table2[[#This Row],[Temperature (C)]])))/Table2[[#This Row],[b]]</f>
        <v>#DIV/0!</v>
      </c>
      <c r="AQ261" s="15">
        <f>IF(Table2[[#This Row],[b]]&lt;&gt;"",Table2[[#This Row],[T-5]], 0)</f>
        <v>0</v>
      </c>
      <c r="AR261">
        <v>20</v>
      </c>
      <c r="AT261" t="s">
        <v>503</v>
      </c>
      <c r="AU261">
        <v>250</v>
      </c>
      <c r="AV261" s="15"/>
      <c r="AW261" s="15">
        <v>35</v>
      </c>
      <c r="AX261" s="15"/>
      <c r="AY261" s="15"/>
      <c r="AZ261" s="15"/>
      <c r="BA261" s="15"/>
      <c r="BB261" s="15" t="str">
        <f>IF(OR(Table2[[#This Row],[Gas wt%]]&lt;&gt;"",Table2[[#This Row],[Loss]]&lt;&gt;""),Table2[[#This Row],[Gas wt%]]+Table2[[#This Row],[Loss]],"")</f>
        <v/>
      </c>
      <c r="BC261" s="15"/>
      <c r="BD261" s="15"/>
      <c r="BE261" s="15"/>
      <c r="BF261" s="15"/>
      <c r="BG261" s="15"/>
      <c r="BH261" s="15"/>
      <c r="BI261" s="15">
        <v>70.819999999999993</v>
      </c>
      <c r="BJ261" s="15">
        <v>9.51</v>
      </c>
      <c r="BK261" s="15">
        <v>13.14</v>
      </c>
      <c r="BL261" s="15">
        <v>5.34</v>
      </c>
      <c r="BM261" s="15">
        <v>0.59</v>
      </c>
      <c r="BN261" s="15">
        <v>35.229999999999997</v>
      </c>
      <c r="BO261" s="15">
        <v>52</v>
      </c>
      <c r="BP261" s="15"/>
      <c r="BQ261" s="15">
        <f>Table2[[#This Row],[H% B]]/Table2[[#This Row],[C% B]]*100</f>
        <v>13.428410053657162</v>
      </c>
      <c r="BR261" s="15"/>
      <c r="BS261" s="15"/>
      <c r="BT261" s="15"/>
      <c r="BU261" s="15"/>
      <c r="BV261" s="15"/>
      <c r="BW261" s="15"/>
      <c r="BX261" s="15"/>
      <c r="BY261" s="15"/>
      <c r="BZ261" s="15"/>
      <c r="CA261" s="15"/>
      <c r="CB261" s="15"/>
      <c r="CC261" s="15"/>
      <c r="CD261" s="15"/>
      <c r="CE261" s="15"/>
      <c r="CF261" s="15"/>
      <c r="CG261" s="15"/>
      <c r="CH261" s="15"/>
      <c r="CI261" s="15"/>
      <c r="CJ261" s="15"/>
      <c r="CK261" s="15"/>
      <c r="CL261" s="15"/>
      <c r="CM261" s="15"/>
      <c r="CN261" s="15"/>
      <c r="CO261" s="15"/>
      <c r="CP261" s="15"/>
      <c r="CQ261" s="15"/>
      <c r="CR261" s="15"/>
      <c r="CS261" s="15"/>
      <c r="CT261" s="15"/>
      <c r="CU261" s="15"/>
      <c r="CV261" s="15"/>
      <c r="CW261" s="15"/>
      <c r="CX261" s="15"/>
      <c r="CY261" s="15"/>
      <c r="CZ261" s="15"/>
      <c r="DA261" s="15"/>
      <c r="DB261" s="15">
        <v>0</v>
      </c>
    </row>
    <row r="262" spans="1:106" x14ac:dyDescent="0.25">
      <c r="A262" t="s">
        <v>370</v>
      </c>
      <c r="B262" t="s">
        <v>371</v>
      </c>
      <c r="C262">
        <v>2013</v>
      </c>
      <c r="D262" s="16" t="s">
        <v>205</v>
      </c>
      <c r="E262">
        <v>0</v>
      </c>
      <c r="F262" s="15">
        <v>43.74374374374375</v>
      </c>
      <c r="G262" s="15"/>
      <c r="H262" s="15"/>
      <c r="I262" s="15">
        <v>41.841841841841841</v>
      </c>
      <c r="J262" s="15">
        <v>11.611611611611611</v>
      </c>
      <c r="K262" s="15"/>
      <c r="L262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62" s="15">
        <v>2.8</v>
      </c>
      <c r="V262">
        <v>9.5</v>
      </c>
      <c r="Z262" s="15">
        <v>52.35</v>
      </c>
      <c r="AA262" s="15">
        <v>7.27</v>
      </c>
      <c r="AB262" s="15">
        <v>24.6</v>
      </c>
      <c r="AC262" s="15">
        <v>8.8800000000000008</v>
      </c>
      <c r="AD262" s="15">
        <v>0.66</v>
      </c>
      <c r="AE262" s="15"/>
      <c r="AF262" s="15">
        <v>23.75</v>
      </c>
      <c r="AG262" s="15">
        <v>4.1000000000000003E-3</v>
      </c>
      <c r="AH262" s="15"/>
      <c r="AI262" s="15"/>
      <c r="AJ262" s="15">
        <v>15</v>
      </c>
      <c r="AM262" s="13"/>
      <c r="AO262" s="15"/>
      <c r="AP262" s="15" t="e">
        <f>LN(25/Table2[[#This Row],[Temperature (C)]]/(1-SQRT((Table2[[#This Row],[Temperature (C)]]-5)/Table2[[#This Row],[Temperature (C)]])))/Table2[[#This Row],[b]]</f>
        <v>#DIV/0!</v>
      </c>
      <c r="AQ262" s="15">
        <f>IF(Table2[[#This Row],[b]]&lt;&gt;"",Table2[[#This Row],[T-5]], 0)</f>
        <v>0</v>
      </c>
      <c r="AR262">
        <v>30</v>
      </c>
      <c r="AT262" t="s">
        <v>503</v>
      </c>
      <c r="AU262">
        <v>250</v>
      </c>
      <c r="AV262" s="15"/>
      <c r="AW262" s="15">
        <v>35</v>
      </c>
      <c r="AX262" s="15"/>
      <c r="AY262" s="15"/>
      <c r="AZ262" s="15"/>
      <c r="BA262" s="15"/>
      <c r="BB262" s="15" t="str">
        <f>IF(OR(Table2[[#This Row],[Gas wt%]]&lt;&gt;"",Table2[[#This Row],[Loss]]&lt;&gt;""),Table2[[#This Row],[Gas wt%]]+Table2[[#This Row],[Loss]],"")</f>
        <v/>
      </c>
      <c r="BC262" s="15"/>
      <c r="BD262" s="15"/>
      <c r="BE262" s="15"/>
      <c r="BF262" s="15"/>
      <c r="BG262" s="15"/>
      <c r="BH262" s="15"/>
      <c r="BI262" s="15">
        <v>70.03</v>
      </c>
      <c r="BJ262" s="15">
        <v>9.2899999999999991</v>
      </c>
      <c r="BK262" s="15">
        <v>13.7</v>
      </c>
      <c r="BL262" s="15">
        <v>5.75</v>
      </c>
      <c r="BM262" s="15">
        <v>0.64</v>
      </c>
      <c r="BN262" s="15">
        <v>34.549999999999997</v>
      </c>
      <c r="BO262" s="15">
        <v>53</v>
      </c>
      <c r="BP262" s="15"/>
      <c r="BQ262" s="15">
        <f>Table2[[#This Row],[H% B]]/Table2[[#This Row],[C% B]]*100</f>
        <v>13.265743252891616</v>
      </c>
      <c r="BR262" s="15"/>
      <c r="BS262" s="15"/>
      <c r="BT262" s="15"/>
      <c r="BU262" s="15"/>
      <c r="BV262" s="15"/>
      <c r="BW262" s="15"/>
      <c r="BX262" s="15"/>
      <c r="BY262" s="15"/>
      <c r="BZ262" s="15"/>
      <c r="CA262" s="15"/>
      <c r="CB262" s="15"/>
      <c r="CC262" s="15"/>
      <c r="CD262" s="15"/>
      <c r="CE262" s="15"/>
      <c r="CF262" s="15"/>
      <c r="CG262" s="15"/>
      <c r="CH262" s="15"/>
      <c r="CI262" s="15"/>
      <c r="CJ262" s="15"/>
      <c r="CK262" s="15"/>
      <c r="CL262" s="15"/>
      <c r="CM262" s="15"/>
      <c r="CN262" s="15"/>
      <c r="CO262" s="15"/>
      <c r="CP262" s="15"/>
      <c r="CQ262" s="15"/>
      <c r="CR262" s="15"/>
      <c r="CS262" s="15"/>
      <c r="CT262" s="15"/>
      <c r="CU262" s="15"/>
      <c r="CV262" s="15"/>
      <c r="CW262" s="15"/>
      <c r="CX262" s="15"/>
      <c r="CY262" s="15"/>
      <c r="CZ262" s="15"/>
      <c r="DA262" s="15"/>
      <c r="DB262" s="15">
        <v>0</v>
      </c>
    </row>
    <row r="263" spans="1:106" x14ac:dyDescent="0.25">
      <c r="A263" t="s">
        <v>370</v>
      </c>
      <c r="B263" t="s">
        <v>371</v>
      </c>
      <c r="C263">
        <v>2013</v>
      </c>
      <c r="D263" s="16" t="s">
        <v>205</v>
      </c>
      <c r="E263">
        <v>0</v>
      </c>
      <c r="F263" s="15">
        <v>43.74374374374375</v>
      </c>
      <c r="G263" s="15"/>
      <c r="H263" s="15"/>
      <c r="I263" s="15">
        <v>41.841841841841841</v>
      </c>
      <c r="J263" s="15">
        <v>11.611611611611611</v>
      </c>
      <c r="K263" s="15"/>
      <c r="L263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63" s="15">
        <v>2.8</v>
      </c>
      <c r="V263">
        <v>9.5</v>
      </c>
      <c r="Z263" s="15">
        <v>52.35</v>
      </c>
      <c r="AA263" s="15">
        <v>7.27</v>
      </c>
      <c r="AB263" s="15">
        <v>24.6</v>
      </c>
      <c r="AC263" s="15">
        <v>8.8800000000000008</v>
      </c>
      <c r="AD263" s="15">
        <v>0.66</v>
      </c>
      <c r="AE263" s="15"/>
      <c r="AF263" s="15">
        <v>23.75</v>
      </c>
      <c r="AG263" s="15">
        <v>4.1000000000000003E-3</v>
      </c>
      <c r="AH263" s="15"/>
      <c r="AI263" s="15"/>
      <c r="AJ263" s="15">
        <v>15</v>
      </c>
      <c r="AM263" s="13"/>
      <c r="AO263" s="15"/>
      <c r="AP263" s="15" t="e">
        <f>LN(25/Table2[[#This Row],[Temperature (C)]]/(1-SQRT((Table2[[#This Row],[Temperature (C)]]-5)/Table2[[#This Row],[Temperature (C)]])))/Table2[[#This Row],[b]]</f>
        <v>#DIV/0!</v>
      </c>
      <c r="AQ263" s="15">
        <f>IF(Table2[[#This Row],[b]]&lt;&gt;"",Table2[[#This Row],[T-5]], 0)</f>
        <v>0</v>
      </c>
      <c r="AR263">
        <v>60</v>
      </c>
      <c r="AT263" t="s">
        <v>503</v>
      </c>
      <c r="AU263">
        <v>250</v>
      </c>
      <c r="AV263" s="15"/>
      <c r="AW263" s="15">
        <v>43</v>
      </c>
      <c r="AX263" s="15"/>
      <c r="AY263" s="15"/>
      <c r="AZ263" s="15"/>
      <c r="BA263" s="15"/>
      <c r="BB263" s="15" t="str">
        <f>IF(OR(Table2[[#This Row],[Gas wt%]]&lt;&gt;"",Table2[[#This Row],[Loss]]&lt;&gt;""),Table2[[#This Row],[Gas wt%]]+Table2[[#This Row],[Loss]],"")</f>
        <v/>
      </c>
      <c r="BC263" s="15"/>
      <c r="BD263" s="15"/>
      <c r="BE263" s="15"/>
      <c r="BF263" s="15"/>
      <c r="BG263" s="15"/>
      <c r="BH263" s="15"/>
      <c r="BI263" s="15">
        <v>71.8</v>
      </c>
      <c r="BJ263" s="15">
        <v>9.52</v>
      </c>
      <c r="BK263" s="15">
        <v>11.38</v>
      </c>
      <c r="BL263" s="15">
        <v>6.13</v>
      </c>
      <c r="BM263" s="15">
        <v>0.57999999999999996</v>
      </c>
      <c r="BN263" s="15">
        <v>35.880000000000003</v>
      </c>
      <c r="BO263" s="15">
        <v>66</v>
      </c>
      <c r="BP263" s="15"/>
      <c r="BQ263" s="15">
        <f>Table2[[#This Row],[H% B]]/Table2[[#This Row],[C% B]]*100</f>
        <v>13.259052924791087</v>
      </c>
      <c r="BR263" s="15"/>
      <c r="BS263" s="15"/>
      <c r="BT263" s="15"/>
      <c r="BU263" s="15"/>
      <c r="BV263" s="15"/>
      <c r="BW263" s="15"/>
      <c r="BX263" s="15"/>
      <c r="BY263" s="15"/>
      <c r="BZ263" s="15"/>
      <c r="CA263" s="15"/>
      <c r="CB263" s="15"/>
      <c r="CC263" s="15"/>
      <c r="CD263" s="15"/>
      <c r="CE263" s="15"/>
      <c r="CF263" s="15"/>
      <c r="CG263" s="15"/>
      <c r="CH263" s="15"/>
      <c r="CI263" s="15"/>
      <c r="CJ263" s="15"/>
      <c r="CK263" s="15"/>
      <c r="CL263" s="15"/>
      <c r="CM263" s="15"/>
      <c r="CN263" s="15"/>
      <c r="CO263" s="15"/>
      <c r="CP263" s="15"/>
      <c r="CQ263" s="15"/>
      <c r="CR263" s="15"/>
      <c r="CS263" s="15"/>
      <c r="CT263" s="15"/>
      <c r="CU263" s="15"/>
      <c r="CV263" s="15"/>
      <c r="CW263" s="15"/>
      <c r="CX263" s="15"/>
      <c r="CY263" s="15"/>
      <c r="CZ263" s="15"/>
      <c r="DA263" s="15"/>
      <c r="DB263" s="15">
        <v>0</v>
      </c>
    </row>
    <row r="264" spans="1:106" x14ac:dyDescent="0.25">
      <c r="A264" t="s">
        <v>370</v>
      </c>
      <c r="B264" t="s">
        <v>371</v>
      </c>
      <c r="C264">
        <v>2013</v>
      </c>
      <c r="D264" s="16" t="s">
        <v>205</v>
      </c>
      <c r="E264">
        <v>0</v>
      </c>
      <c r="F264" s="15">
        <v>43.74374374374375</v>
      </c>
      <c r="G264" s="15"/>
      <c r="H264" s="15"/>
      <c r="I264" s="15">
        <v>41.841841841841841</v>
      </c>
      <c r="J264" s="15">
        <v>11.611611611611611</v>
      </c>
      <c r="K264" s="15"/>
      <c r="L264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64" s="15">
        <v>2.8</v>
      </c>
      <c r="V264">
        <v>9.5</v>
      </c>
      <c r="Z264" s="15">
        <v>52.35</v>
      </c>
      <c r="AA264" s="15">
        <v>7.27</v>
      </c>
      <c r="AB264" s="15">
        <v>24.6</v>
      </c>
      <c r="AC264" s="15">
        <v>8.8800000000000008</v>
      </c>
      <c r="AD264" s="15">
        <v>0.66</v>
      </c>
      <c r="AE264" s="15"/>
      <c r="AF264" s="15">
        <v>23.75</v>
      </c>
      <c r="AG264" s="15">
        <v>4.1000000000000003E-3</v>
      </c>
      <c r="AH264" s="15"/>
      <c r="AI264" s="15"/>
      <c r="AJ264" s="15">
        <v>15</v>
      </c>
      <c r="AM264" s="13"/>
      <c r="AO264" s="15"/>
      <c r="AP264" s="15" t="e">
        <f>LN(25/Table2[[#This Row],[Temperature (C)]]/(1-SQRT((Table2[[#This Row],[Temperature (C)]]-5)/Table2[[#This Row],[Temperature (C)]])))/Table2[[#This Row],[b]]</f>
        <v>#DIV/0!</v>
      </c>
      <c r="AQ264" s="15">
        <f>IF(Table2[[#This Row],[b]]&lt;&gt;"",Table2[[#This Row],[T-5]], 0)</f>
        <v>0</v>
      </c>
      <c r="AR264">
        <v>90</v>
      </c>
      <c r="AT264" t="s">
        <v>503</v>
      </c>
      <c r="AU264">
        <v>250</v>
      </c>
      <c r="AV264" s="15"/>
      <c r="AW264" s="15">
        <v>34</v>
      </c>
      <c r="AX264" s="15"/>
      <c r="AY264" s="15"/>
      <c r="AZ264" s="15"/>
      <c r="BA264" s="15"/>
      <c r="BB264" s="15" t="str">
        <f>IF(OR(Table2[[#This Row],[Gas wt%]]&lt;&gt;"",Table2[[#This Row],[Loss]]&lt;&gt;""),Table2[[#This Row],[Gas wt%]]+Table2[[#This Row],[Loss]],"")</f>
        <v/>
      </c>
      <c r="BC264" s="15"/>
      <c r="BD264" s="15"/>
      <c r="BE264" s="15"/>
      <c r="BF264" s="15"/>
      <c r="BG264" s="15"/>
      <c r="BH264" s="15"/>
      <c r="BI264" s="15">
        <v>71.42</v>
      </c>
      <c r="BJ264" s="15">
        <v>9.19</v>
      </c>
      <c r="BK264" s="15">
        <v>11.31</v>
      </c>
      <c r="BL264" s="15">
        <v>6.78</v>
      </c>
      <c r="BM264" s="15">
        <v>0.7</v>
      </c>
      <c r="BN264" s="15">
        <v>35.31</v>
      </c>
      <c r="BO264" s="15">
        <v>52</v>
      </c>
      <c r="BP264" s="15"/>
      <c r="BQ264" s="15">
        <f>Table2[[#This Row],[H% B]]/Table2[[#This Row],[C% B]]*100</f>
        <v>12.867544105292634</v>
      </c>
      <c r="BR264" s="15"/>
      <c r="BS264" s="15"/>
      <c r="BT264" s="15"/>
      <c r="BU264" s="15"/>
      <c r="BV264" s="15"/>
      <c r="BW264" s="15"/>
      <c r="BX264" s="15"/>
      <c r="BY264" s="15"/>
      <c r="BZ264" s="15"/>
      <c r="CA264" s="15"/>
      <c r="CB264" s="15"/>
      <c r="CC264" s="15"/>
      <c r="CD264" s="15"/>
      <c r="CE264" s="15"/>
      <c r="CF264" s="15"/>
      <c r="CG264" s="15"/>
      <c r="CH264" s="15"/>
      <c r="CI264" s="15"/>
      <c r="CJ264" s="15"/>
      <c r="CK264" s="15"/>
      <c r="CL264" s="15"/>
      <c r="CM264" s="15"/>
      <c r="CN264" s="15"/>
      <c r="CO264" s="15"/>
      <c r="CP264" s="15"/>
      <c r="CQ264" s="15"/>
      <c r="CR264" s="15"/>
      <c r="CS264" s="15"/>
      <c r="CT264" s="15"/>
      <c r="CU264" s="15"/>
      <c r="CV264" s="15"/>
      <c r="CW264" s="15"/>
      <c r="CX264" s="15"/>
      <c r="CY264" s="15"/>
      <c r="CZ264" s="15"/>
      <c r="DA264" s="15"/>
      <c r="DB264" s="15">
        <v>0</v>
      </c>
    </row>
    <row r="265" spans="1:106" x14ac:dyDescent="0.25">
      <c r="A265" t="s">
        <v>370</v>
      </c>
      <c r="B265" t="s">
        <v>371</v>
      </c>
      <c r="C265">
        <v>2013</v>
      </c>
      <c r="D265" s="16" t="s">
        <v>205</v>
      </c>
      <c r="E265">
        <v>0</v>
      </c>
      <c r="F265" s="15">
        <v>43.74374374374375</v>
      </c>
      <c r="G265" s="15"/>
      <c r="H265" s="15"/>
      <c r="I265" s="15">
        <v>41.841841841841841</v>
      </c>
      <c r="J265" s="15">
        <v>11.611611611611611</v>
      </c>
      <c r="K265" s="15"/>
      <c r="L265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65" s="15">
        <v>2.8</v>
      </c>
      <c r="V265">
        <v>9.5</v>
      </c>
      <c r="Z265" s="15">
        <v>52.35</v>
      </c>
      <c r="AA265" s="15">
        <v>7.27</v>
      </c>
      <c r="AB265" s="15">
        <v>24.6</v>
      </c>
      <c r="AC265" s="15">
        <v>8.8800000000000008</v>
      </c>
      <c r="AD265" s="15">
        <v>0.66</v>
      </c>
      <c r="AE265" s="15"/>
      <c r="AF265" s="15">
        <v>23.75</v>
      </c>
      <c r="AG265" s="15">
        <v>4.1000000000000003E-3</v>
      </c>
      <c r="AH265" s="15"/>
      <c r="AI265" s="15"/>
      <c r="AJ265" s="15">
        <v>15</v>
      </c>
      <c r="AM265" s="13"/>
      <c r="AO265" s="15"/>
      <c r="AP265" s="15" t="e">
        <f>LN(25/Table2[[#This Row],[Temperature (C)]]/(1-SQRT((Table2[[#This Row],[Temperature (C)]]-5)/Table2[[#This Row],[Temperature (C)]])))/Table2[[#This Row],[b]]</f>
        <v>#DIV/0!</v>
      </c>
      <c r="AQ265" s="15">
        <f>IF(Table2[[#This Row],[b]]&lt;&gt;"",Table2[[#This Row],[T-5]], 0)</f>
        <v>0</v>
      </c>
      <c r="AR265">
        <v>10</v>
      </c>
      <c r="AT265" t="s">
        <v>503</v>
      </c>
      <c r="AU265">
        <v>300</v>
      </c>
      <c r="AV265" s="15"/>
      <c r="AW265" s="15">
        <v>51</v>
      </c>
      <c r="AX265" s="15"/>
      <c r="AY265" s="15"/>
      <c r="AZ265" s="15"/>
      <c r="BA265" s="15"/>
      <c r="BB265" s="15" t="str">
        <f>IF(OR(Table2[[#This Row],[Gas wt%]]&lt;&gt;"",Table2[[#This Row],[Loss]]&lt;&gt;""),Table2[[#This Row],[Gas wt%]]+Table2[[#This Row],[Loss]],"")</f>
        <v/>
      </c>
      <c r="BC265" s="15"/>
      <c r="BD265" s="15"/>
      <c r="BE265" s="15"/>
      <c r="BF265" s="15"/>
      <c r="BG265" s="15"/>
      <c r="BH265" s="15"/>
      <c r="BI265" s="15">
        <v>71.19</v>
      </c>
      <c r="BJ265" s="15">
        <v>9.19</v>
      </c>
      <c r="BK265" s="15">
        <v>12.17</v>
      </c>
      <c r="BL265" s="15">
        <v>6.21</v>
      </c>
      <c r="BM265" s="15">
        <v>0.64</v>
      </c>
      <c r="BN265" s="15">
        <v>35.08</v>
      </c>
      <c r="BO265" s="15">
        <v>77</v>
      </c>
      <c r="BP265" s="15"/>
      <c r="BQ265" s="15">
        <f>Table2[[#This Row],[H% B]]/Table2[[#This Row],[C% B]]*100</f>
        <v>12.909116448939459</v>
      </c>
      <c r="BR265" s="15"/>
      <c r="BS265" s="15"/>
      <c r="BT265" s="15"/>
      <c r="BU265" s="15"/>
      <c r="BV265" s="15"/>
      <c r="BW265" s="15"/>
      <c r="BX265" s="15"/>
      <c r="BY265" s="15"/>
      <c r="BZ265" s="15"/>
      <c r="CA265" s="15"/>
      <c r="CB265" s="15"/>
      <c r="CC265" s="15"/>
      <c r="CD265" s="15"/>
      <c r="CE265" s="15"/>
      <c r="CF265" s="15"/>
      <c r="CG265" s="15"/>
      <c r="CH265" s="15"/>
      <c r="CI265" s="15"/>
      <c r="CJ265" s="15"/>
      <c r="CK265" s="15"/>
      <c r="CL265" s="15"/>
      <c r="CM265" s="15"/>
      <c r="CN265" s="15"/>
      <c r="CO265" s="15"/>
      <c r="CP265" s="15"/>
      <c r="CQ265" s="15"/>
      <c r="CR265" s="15"/>
      <c r="CS265" s="15"/>
      <c r="CT265" s="15"/>
      <c r="CU265" s="15"/>
      <c r="CV265" s="15"/>
      <c r="CW265" s="15"/>
      <c r="CX265" s="15"/>
      <c r="CY265" s="15"/>
      <c r="CZ265" s="15"/>
      <c r="DA265" s="15"/>
      <c r="DB265" s="15">
        <v>0</v>
      </c>
    </row>
    <row r="266" spans="1:106" x14ac:dyDescent="0.25">
      <c r="A266" t="s">
        <v>370</v>
      </c>
      <c r="B266" t="s">
        <v>371</v>
      </c>
      <c r="C266">
        <v>2013</v>
      </c>
      <c r="D266" s="16" t="s">
        <v>205</v>
      </c>
      <c r="E266">
        <v>0</v>
      </c>
      <c r="F266" s="15">
        <v>43.74374374374375</v>
      </c>
      <c r="G266" s="15"/>
      <c r="H266" s="15"/>
      <c r="I266" s="15">
        <v>41.841841841841841</v>
      </c>
      <c r="J266" s="15">
        <v>11.611611611611611</v>
      </c>
      <c r="K266" s="15"/>
      <c r="L266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66" s="15">
        <v>2.8</v>
      </c>
      <c r="V266">
        <v>9.5</v>
      </c>
      <c r="Z266" s="15">
        <v>52.35</v>
      </c>
      <c r="AA266" s="15">
        <v>7.27</v>
      </c>
      <c r="AB266" s="15">
        <v>24.6</v>
      </c>
      <c r="AC266" s="15">
        <v>8.8800000000000008</v>
      </c>
      <c r="AD266" s="15">
        <v>0.66</v>
      </c>
      <c r="AE266" s="15"/>
      <c r="AF266" s="15">
        <v>23.75</v>
      </c>
      <c r="AG266" s="15">
        <v>4.1000000000000003E-3</v>
      </c>
      <c r="AH266" s="15"/>
      <c r="AI266" s="15"/>
      <c r="AJ266" s="15">
        <v>15</v>
      </c>
      <c r="AM266" s="13"/>
      <c r="AO266" s="15"/>
      <c r="AP266" s="15" t="e">
        <f>LN(25/Table2[[#This Row],[Temperature (C)]]/(1-SQRT((Table2[[#This Row],[Temperature (C)]]-5)/Table2[[#This Row],[Temperature (C)]])))/Table2[[#This Row],[b]]</f>
        <v>#DIV/0!</v>
      </c>
      <c r="AQ266" s="15">
        <f>IF(Table2[[#This Row],[b]]&lt;&gt;"",Table2[[#This Row],[T-5]], 0)</f>
        <v>0</v>
      </c>
      <c r="AR266">
        <v>20</v>
      </c>
      <c r="AT266" t="s">
        <v>503</v>
      </c>
      <c r="AU266">
        <v>300</v>
      </c>
      <c r="AV266" s="15"/>
      <c r="AW266" s="15">
        <v>52</v>
      </c>
      <c r="AX266" s="15"/>
      <c r="AY266" s="15"/>
      <c r="AZ266" s="15"/>
      <c r="BA266" s="15"/>
      <c r="BB266" s="15" t="str">
        <f>IF(OR(Table2[[#This Row],[Gas wt%]]&lt;&gt;"",Table2[[#This Row],[Loss]]&lt;&gt;""),Table2[[#This Row],[Gas wt%]]+Table2[[#This Row],[Loss]],"")</f>
        <v/>
      </c>
      <c r="BC266" s="15"/>
      <c r="BD266" s="15"/>
      <c r="BE266" s="15"/>
      <c r="BF266" s="15"/>
      <c r="BG266" s="15"/>
      <c r="BH266" s="15"/>
      <c r="BI266" s="15">
        <v>70.180000000000007</v>
      </c>
      <c r="BJ266" s="15">
        <v>9.2100000000000009</v>
      </c>
      <c r="BK266" s="15">
        <v>13.46</v>
      </c>
      <c r="BL266" s="15">
        <v>5.94</v>
      </c>
      <c r="BM266" s="15">
        <v>0.61</v>
      </c>
      <c r="BN266" s="15">
        <v>34.53</v>
      </c>
      <c r="BO266" s="15">
        <v>77</v>
      </c>
      <c r="BP266" s="15"/>
      <c r="BQ266" s="15">
        <f>Table2[[#This Row],[H% B]]/Table2[[#This Row],[C% B]]*100</f>
        <v>13.123396979196352</v>
      </c>
      <c r="BR266" s="15"/>
      <c r="BS266" s="15"/>
      <c r="BT266" s="15"/>
      <c r="BU266" s="15"/>
      <c r="BV266" s="15"/>
      <c r="BW266" s="15"/>
      <c r="BX266" s="15"/>
      <c r="BY266" s="15"/>
      <c r="BZ266" s="15"/>
      <c r="CA266" s="15"/>
      <c r="CB266" s="15"/>
      <c r="CC266" s="15"/>
      <c r="CD266" s="15"/>
      <c r="CE266" s="15"/>
      <c r="CF266" s="15"/>
      <c r="CG266" s="15"/>
      <c r="CH266" s="15"/>
      <c r="CI266" s="15"/>
      <c r="CJ266" s="15"/>
      <c r="CK266" s="15"/>
      <c r="CL266" s="15"/>
      <c r="CM266" s="15"/>
      <c r="CN266" s="15"/>
      <c r="CO266" s="15"/>
      <c r="CP266" s="15"/>
      <c r="CQ266" s="15"/>
      <c r="CR266" s="15"/>
      <c r="CS266" s="15"/>
      <c r="CT266" s="15"/>
      <c r="CU266" s="15"/>
      <c r="CV266" s="15"/>
      <c r="CW266" s="15"/>
      <c r="CX266" s="15"/>
      <c r="CY266" s="15"/>
      <c r="CZ266" s="15"/>
      <c r="DA266" s="15"/>
      <c r="DB266" s="15">
        <v>0</v>
      </c>
    </row>
    <row r="267" spans="1:106" x14ac:dyDescent="0.25">
      <c r="A267" t="s">
        <v>370</v>
      </c>
      <c r="B267" t="s">
        <v>371</v>
      </c>
      <c r="C267">
        <v>2013</v>
      </c>
      <c r="D267" s="16" t="s">
        <v>205</v>
      </c>
      <c r="E267">
        <v>0</v>
      </c>
      <c r="F267" s="15">
        <v>43.74374374374375</v>
      </c>
      <c r="G267" s="15"/>
      <c r="H267" s="15"/>
      <c r="I267" s="15">
        <v>41.841841841841841</v>
      </c>
      <c r="J267" s="15">
        <v>11.611611611611611</v>
      </c>
      <c r="K267" s="15"/>
      <c r="L267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67" s="15">
        <v>2.8</v>
      </c>
      <c r="V267">
        <v>9.5</v>
      </c>
      <c r="Z267" s="15">
        <v>52.35</v>
      </c>
      <c r="AA267" s="15">
        <v>7.27</v>
      </c>
      <c r="AB267" s="15">
        <v>24.6</v>
      </c>
      <c r="AC267" s="15">
        <v>8.8800000000000008</v>
      </c>
      <c r="AD267" s="15">
        <v>0.66</v>
      </c>
      <c r="AE267" s="15"/>
      <c r="AF267" s="15">
        <v>23.75</v>
      </c>
      <c r="AG267" s="15">
        <v>4.1000000000000003E-3</v>
      </c>
      <c r="AH267" s="15"/>
      <c r="AI267" s="15"/>
      <c r="AJ267" s="15">
        <v>15</v>
      </c>
      <c r="AM267" s="13"/>
      <c r="AO267" s="15"/>
      <c r="AP267" s="15" t="e">
        <f>LN(25/Table2[[#This Row],[Temperature (C)]]/(1-SQRT((Table2[[#This Row],[Temperature (C)]]-5)/Table2[[#This Row],[Temperature (C)]])))/Table2[[#This Row],[b]]</f>
        <v>#DIV/0!</v>
      </c>
      <c r="AQ267" s="15">
        <f>IF(Table2[[#This Row],[b]]&lt;&gt;"",Table2[[#This Row],[T-5]], 0)</f>
        <v>0</v>
      </c>
      <c r="AR267">
        <v>40</v>
      </c>
      <c r="AT267" t="s">
        <v>503</v>
      </c>
      <c r="AU267">
        <v>300</v>
      </c>
      <c r="AV267" s="15"/>
      <c r="AW267" s="15">
        <v>49</v>
      </c>
      <c r="AX267" s="15"/>
      <c r="AY267" s="15"/>
      <c r="AZ267" s="15"/>
      <c r="BA267" s="15"/>
      <c r="BB267" s="15" t="str">
        <f>IF(OR(Table2[[#This Row],[Gas wt%]]&lt;&gt;"",Table2[[#This Row],[Loss]]&lt;&gt;""),Table2[[#This Row],[Gas wt%]]+Table2[[#This Row],[Loss]],"")</f>
        <v/>
      </c>
      <c r="BC267" s="15"/>
      <c r="BD267" s="15"/>
      <c r="BE267" s="15"/>
      <c r="BF267" s="15"/>
      <c r="BG267" s="15"/>
      <c r="BH267" s="15"/>
      <c r="BI267" s="15">
        <v>74.180000000000007</v>
      </c>
      <c r="BJ267" s="15">
        <v>9.66</v>
      </c>
      <c r="BK267" s="15">
        <v>9.02</v>
      </c>
      <c r="BL267" s="15">
        <v>5.96</v>
      </c>
      <c r="BM267" s="15">
        <v>0.59</v>
      </c>
      <c r="BN267" s="15">
        <v>37.31</v>
      </c>
      <c r="BO267" s="15">
        <v>78</v>
      </c>
      <c r="BP267" s="15"/>
      <c r="BQ267" s="15">
        <f>Table2[[#This Row],[H% B]]/Table2[[#This Row],[C% B]]*100</f>
        <v>13.022377999460771</v>
      </c>
      <c r="BR267" s="15"/>
      <c r="BS267" s="15"/>
      <c r="BT267" s="15"/>
      <c r="BU267" s="15"/>
      <c r="BV267" s="15"/>
      <c r="BW267" s="15"/>
      <c r="BX267" s="15"/>
      <c r="BY267" s="15"/>
      <c r="BZ267" s="15"/>
      <c r="CA267" s="15"/>
      <c r="CB267" s="15"/>
      <c r="CC267" s="15"/>
      <c r="CD267" s="15"/>
      <c r="CE267" s="15"/>
      <c r="CF267" s="15"/>
      <c r="CG267" s="15"/>
      <c r="CH267" s="15"/>
      <c r="CI267" s="15"/>
      <c r="CJ267" s="15"/>
      <c r="CK267" s="15"/>
      <c r="CL267" s="15"/>
      <c r="CM267" s="15"/>
      <c r="CN267" s="15"/>
      <c r="CO267" s="15"/>
      <c r="CP267" s="15"/>
      <c r="CQ267" s="15"/>
      <c r="CR267" s="15"/>
      <c r="CS267" s="15"/>
      <c r="CT267" s="15"/>
      <c r="CU267" s="15"/>
      <c r="CV267" s="15"/>
      <c r="CW267" s="15"/>
      <c r="CX267" s="15"/>
      <c r="CY267" s="15"/>
      <c r="CZ267" s="15"/>
      <c r="DA267" s="15"/>
      <c r="DB267" s="15">
        <v>0</v>
      </c>
    </row>
    <row r="268" spans="1:106" x14ac:dyDescent="0.25">
      <c r="A268" t="s">
        <v>370</v>
      </c>
      <c r="B268" t="s">
        <v>371</v>
      </c>
      <c r="C268">
        <v>2013</v>
      </c>
      <c r="D268" s="16" t="s">
        <v>205</v>
      </c>
      <c r="E268">
        <v>0</v>
      </c>
      <c r="F268" s="15">
        <v>43.74374374374375</v>
      </c>
      <c r="G268" s="15"/>
      <c r="H268" s="15"/>
      <c r="I268" s="15">
        <v>41.841841841841841</v>
      </c>
      <c r="J268" s="15">
        <v>11.611611611611611</v>
      </c>
      <c r="K268" s="15"/>
      <c r="L268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68" s="15">
        <v>2.8</v>
      </c>
      <c r="V268">
        <v>9.5</v>
      </c>
      <c r="Z268" s="15">
        <v>52.35</v>
      </c>
      <c r="AA268" s="15">
        <v>7.27</v>
      </c>
      <c r="AB268" s="15">
        <v>24.6</v>
      </c>
      <c r="AC268" s="15">
        <v>8.8800000000000008</v>
      </c>
      <c r="AD268" s="15">
        <v>0.66</v>
      </c>
      <c r="AE268" s="15"/>
      <c r="AF268" s="15">
        <v>23.75</v>
      </c>
      <c r="AG268" s="15">
        <v>4.1000000000000003E-3</v>
      </c>
      <c r="AH268" s="15"/>
      <c r="AI268" s="15"/>
      <c r="AJ268" s="15">
        <v>15</v>
      </c>
      <c r="AM268" s="13"/>
      <c r="AO268" s="15"/>
      <c r="AP268" s="15" t="e">
        <f>LN(25/Table2[[#This Row],[Temperature (C)]]/(1-SQRT((Table2[[#This Row],[Temperature (C)]]-5)/Table2[[#This Row],[Temperature (C)]])))/Table2[[#This Row],[b]]</f>
        <v>#DIV/0!</v>
      </c>
      <c r="AQ268" s="15">
        <f>IF(Table2[[#This Row],[b]]&lt;&gt;"",Table2[[#This Row],[T-5]], 0)</f>
        <v>0</v>
      </c>
      <c r="AR268">
        <v>60</v>
      </c>
      <c r="AT268" t="s">
        <v>503</v>
      </c>
      <c r="AU268">
        <v>300</v>
      </c>
      <c r="AV268" s="15"/>
      <c r="AW268" s="15">
        <v>41</v>
      </c>
      <c r="AX268" s="15"/>
      <c r="AY268" s="15"/>
      <c r="AZ268" s="15"/>
      <c r="BA268" s="15"/>
      <c r="BB268" s="15" t="str">
        <f>IF(OR(Table2[[#This Row],[Gas wt%]]&lt;&gt;"",Table2[[#This Row],[Loss]]&lt;&gt;""),Table2[[#This Row],[Gas wt%]]+Table2[[#This Row],[Loss]],"")</f>
        <v/>
      </c>
      <c r="BC268" s="15"/>
      <c r="BD268" s="15"/>
      <c r="BE268" s="15"/>
      <c r="BF268" s="15"/>
      <c r="BG268" s="15"/>
      <c r="BH268" s="15"/>
      <c r="BI268" s="15">
        <v>74.53</v>
      </c>
      <c r="BJ268" s="15">
        <v>9.7899999999999991</v>
      </c>
      <c r="BK268" s="15">
        <v>9.2799999999999994</v>
      </c>
      <c r="BL268" s="15">
        <v>5.28</v>
      </c>
      <c r="BM268" s="15">
        <v>0.52</v>
      </c>
      <c r="BN268" s="15">
        <v>37.57</v>
      </c>
      <c r="BO268" s="15">
        <v>66</v>
      </c>
      <c r="BP268" s="15"/>
      <c r="BQ268" s="15">
        <f>Table2[[#This Row],[H% B]]/Table2[[#This Row],[C% B]]*100</f>
        <v>13.135650073795786</v>
      </c>
      <c r="BR268" s="15"/>
      <c r="BS268" s="15"/>
      <c r="BT268" s="15"/>
      <c r="BU268" s="15"/>
      <c r="BV268" s="15"/>
      <c r="BW268" s="15"/>
      <c r="BX268" s="15"/>
      <c r="BY268" s="15"/>
      <c r="BZ268" s="15"/>
      <c r="CA268" s="15"/>
      <c r="CB268" s="15"/>
      <c r="CC268" s="15"/>
      <c r="CD268" s="15"/>
      <c r="CE268" s="15"/>
      <c r="CF268" s="15"/>
      <c r="CG268" s="15"/>
      <c r="CH268" s="15"/>
      <c r="CI268" s="15"/>
      <c r="CJ268" s="15"/>
      <c r="CK268" s="15"/>
      <c r="CL268" s="15"/>
      <c r="CM268" s="15"/>
      <c r="CN268" s="15"/>
      <c r="CO268" s="15"/>
      <c r="CP268" s="15"/>
      <c r="CQ268" s="15"/>
      <c r="CR268" s="15"/>
      <c r="CS268" s="15"/>
      <c r="CT268" s="15"/>
      <c r="CU268" s="15"/>
      <c r="CV268" s="15"/>
      <c r="CW268" s="15"/>
      <c r="CX268" s="15"/>
      <c r="CY268" s="15"/>
      <c r="CZ268" s="15"/>
      <c r="DA268" s="15"/>
      <c r="DB268" s="15">
        <v>0</v>
      </c>
    </row>
    <row r="269" spans="1:106" x14ac:dyDescent="0.25">
      <c r="A269" t="s">
        <v>370</v>
      </c>
      <c r="B269" t="s">
        <v>371</v>
      </c>
      <c r="C269">
        <v>2013</v>
      </c>
      <c r="D269" s="16" t="s">
        <v>205</v>
      </c>
      <c r="E269">
        <v>0</v>
      </c>
      <c r="F269" s="15">
        <v>43.74374374374375</v>
      </c>
      <c r="G269" s="15"/>
      <c r="H269" s="15"/>
      <c r="I269" s="15">
        <v>41.841841841841841</v>
      </c>
      <c r="J269" s="15">
        <v>11.611611611611611</v>
      </c>
      <c r="K269" s="15"/>
      <c r="L269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69" s="15">
        <v>2.8</v>
      </c>
      <c r="V269">
        <v>9.5</v>
      </c>
      <c r="Z269" s="15">
        <v>52.35</v>
      </c>
      <c r="AA269" s="15">
        <v>7.27</v>
      </c>
      <c r="AB269" s="15">
        <v>24.6</v>
      </c>
      <c r="AC269" s="15">
        <v>8.8800000000000008</v>
      </c>
      <c r="AD269" s="15">
        <v>0.66</v>
      </c>
      <c r="AE269" s="15"/>
      <c r="AF269" s="15">
        <v>23.75</v>
      </c>
      <c r="AG269" s="15">
        <v>4.1000000000000003E-3</v>
      </c>
      <c r="AH269" s="15"/>
      <c r="AI269" s="15"/>
      <c r="AJ269" s="15">
        <v>15</v>
      </c>
      <c r="AM269" s="13"/>
      <c r="AO269" s="15"/>
      <c r="AP269" s="15" t="e">
        <f>LN(25/Table2[[#This Row],[Temperature (C)]]/(1-SQRT((Table2[[#This Row],[Temperature (C)]]-5)/Table2[[#This Row],[Temperature (C)]])))/Table2[[#This Row],[b]]</f>
        <v>#DIV/0!</v>
      </c>
      <c r="AQ269" s="15">
        <f>IF(Table2[[#This Row],[b]]&lt;&gt;"",Table2[[#This Row],[T-5]], 0)</f>
        <v>0</v>
      </c>
      <c r="AR269">
        <v>90</v>
      </c>
      <c r="AT269" t="s">
        <v>503</v>
      </c>
      <c r="AU269">
        <v>300</v>
      </c>
      <c r="AV269" s="15"/>
      <c r="AW269" s="15">
        <v>41</v>
      </c>
      <c r="AX269" s="15"/>
      <c r="AY269" s="15"/>
      <c r="AZ269" s="15"/>
      <c r="BA269" s="15"/>
      <c r="BB269" s="15" t="str">
        <f>IF(OR(Table2[[#This Row],[Gas wt%]]&lt;&gt;"",Table2[[#This Row],[Loss]]&lt;&gt;""),Table2[[#This Row],[Gas wt%]]+Table2[[#This Row],[Loss]],"")</f>
        <v/>
      </c>
      <c r="BC269" s="15"/>
      <c r="BD269" s="15"/>
      <c r="BE269" s="15"/>
      <c r="BF269" s="15"/>
      <c r="BG269" s="15"/>
      <c r="BH269" s="15"/>
      <c r="BI269" s="15">
        <v>73.260000000000005</v>
      </c>
      <c r="BJ269" s="15">
        <v>9.3699999999999992</v>
      </c>
      <c r="BK269" s="15">
        <v>9.83</v>
      </c>
      <c r="BL269" s="15">
        <v>6.32</v>
      </c>
      <c r="BM269" s="15">
        <v>0.62</v>
      </c>
      <c r="BN269" s="15">
        <v>36.450000000000003</v>
      </c>
      <c r="BO269" s="15">
        <v>64</v>
      </c>
      <c r="BP269" s="15"/>
      <c r="BQ269" s="15">
        <f>Table2[[#This Row],[H% B]]/Table2[[#This Row],[C% B]]*100</f>
        <v>12.790062790062789</v>
      </c>
      <c r="BR269" s="15"/>
      <c r="BS269" s="15"/>
      <c r="BT269" s="15"/>
      <c r="BU269" s="15"/>
      <c r="BV269" s="15"/>
      <c r="BW269" s="15"/>
      <c r="BX269" s="15"/>
      <c r="BY269" s="15"/>
      <c r="BZ269" s="15"/>
      <c r="CA269" s="15"/>
      <c r="CB269" s="15"/>
      <c r="CC269" s="15"/>
      <c r="CD269" s="15"/>
      <c r="CE269" s="15"/>
      <c r="CF269" s="15"/>
      <c r="CG269" s="15"/>
      <c r="CH269" s="15"/>
      <c r="CI269" s="15"/>
      <c r="CJ269" s="15"/>
      <c r="CK269" s="15"/>
      <c r="CL269" s="15"/>
      <c r="CM269" s="15"/>
      <c r="CN269" s="15"/>
      <c r="CO269" s="15"/>
      <c r="CP269" s="15"/>
      <c r="CQ269" s="15"/>
      <c r="CR269" s="15"/>
      <c r="CS269" s="15"/>
      <c r="CT269" s="15"/>
      <c r="CU269" s="15"/>
      <c r="CV269" s="15"/>
      <c r="CW269" s="15"/>
      <c r="CX269" s="15"/>
      <c r="CY269" s="15"/>
      <c r="CZ269" s="15"/>
      <c r="DA269" s="15"/>
      <c r="DB269" s="15">
        <v>0</v>
      </c>
    </row>
    <row r="270" spans="1:106" x14ac:dyDescent="0.25">
      <c r="A270" t="s">
        <v>370</v>
      </c>
      <c r="B270" t="s">
        <v>371</v>
      </c>
      <c r="C270">
        <v>2013</v>
      </c>
      <c r="D270" s="16" t="s">
        <v>205</v>
      </c>
      <c r="E270">
        <v>0</v>
      </c>
      <c r="F270" s="15">
        <v>43.74374374374375</v>
      </c>
      <c r="G270" s="15"/>
      <c r="H270" s="15"/>
      <c r="I270" s="15">
        <v>41.841841841841841</v>
      </c>
      <c r="J270" s="15">
        <v>11.611611611611611</v>
      </c>
      <c r="K270" s="15"/>
      <c r="L270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70" s="15">
        <v>2.8</v>
      </c>
      <c r="V270">
        <v>9.5</v>
      </c>
      <c r="Z270" s="15">
        <v>52.35</v>
      </c>
      <c r="AA270" s="15">
        <v>7.27</v>
      </c>
      <c r="AB270" s="15">
        <v>24.6</v>
      </c>
      <c r="AC270" s="15">
        <v>8.8800000000000008</v>
      </c>
      <c r="AD270" s="15">
        <v>0.66</v>
      </c>
      <c r="AE270" s="15"/>
      <c r="AF270" s="15">
        <v>23.75</v>
      </c>
      <c r="AG270" s="15">
        <v>4.1000000000000003E-3</v>
      </c>
      <c r="AH270" s="15"/>
      <c r="AI270" s="15"/>
      <c r="AJ270" s="15">
        <v>15</v>
      </c>
      <c r="AM270" s="13"/>
      <c r="AO270" s="15"/>
      <c r="AP270" s="15" t="e">
        <f>LN(25/Table2[[#This Row],[Temperature (C)]]/(1-SQRT((Table2[[#This Row],[Temperature (C)]]-5)/Table2[[#This Row],[Temperature (C)]])))/Table2[[#This Row],[b]]</f>
        <v>#DIV/0!</v>
      </c>
      <c r="AQ270" s="15">
        <f>IF(Table2[[#This Row],[b]]&lt;&gt;"",Table2[[#This Row],[T-5]], 0)</f>
        <v>0</v>
      </c>
      <c r="AR270">
        <v>10</v>
      </c>
      <c r="AT270" t="s">
        <v>503</v>
      </c>
      <c r="AU270">
        <v>350</v>
      </c>
      <c r="AV270" s="15"/>
      <c r="AW270" s="15">
        <v>44</v>
      </c>
      <c r="AX270" s="15"/>
      <c r="AY270" s="15"/>
      <c r="AZ270" s="15"/>
      <c r="BA270" s="15"/>
      <c r="BB270" s="15" t="str">
        <f>IF(OR(Table2[[#This Row],[Gas wt%]]&lt;&gt;"",Table2[[#This Row],[Loss]]&lt;&gt;""),Table2[[#This Row],[Gas wt%]]+Table2[[#This Row],[Loss]],"")</f>
        <v/>
      </c>
      <c r="BC270" s="15"/>
      <c r="BD270" s="15"/>
      <c r="BE270" s="15"/>
      <c r="BF270" s="15"/>
      <c r="BG270" s="15"/>
      <c r="BH270" s="15"/>
      <c r="BI270" s="15">
        <v>71.38</v>
      </c>
      <c r="BJ270" s="15">
        <v>9.11</v>
      </c>
      <c r="BK270" s="15">
        <v>12.21</v>
      </c>
      <c r="BL270" s="15">
        <v>6.1</v>
      </c>
      <c r="BM270" s="15">
        <v>0.6</v>
      </c>
      <c r="BN270" s="15">
        <v>35.01</v>
      </c>
      <c r="BO270" s="15">
        <v>65</v>
      </c>
      <c r="BP270" s="15"/>
      <c r="BQ270" s="15">
        <f>Table2[[#This Row],[H% B]]/Table2[[#This Row],[C% B]]*100</f>
        <v>12.762678621462594</v>
      </c>
      <c r="BR270" s="15"/>
      <c r="BS270" s="15"/>
      <c r="BT270" s="15"/>
      <c r="BU270" s="15"/>
      <c r="BV270" s="15"/>
      <c r="BW270" s="15"/>
      <c r="BX270" s="15"/>
      <c r="BY270" s="15"/>
      <c r="BZ270" s="15"/>
      <c r="CA270" s="15"/>
      <c r="CB270" s="15"/>
      <c r="CC270" s="15"/>
      <c r="CD270" s="15"/>
      <c r="CE270" s="15"/>
      <c r="CF270" s="15"/>
      <c r="CG270" s="15"/>
      <c r="CH270" s="15"/>
      <c r="CI270" s="15"/>
      <c r="CJ270" s="15"/>
      <c r="CK270" s="15"/>
      <c r="CL270" s="15"/>
      <c r="CM270" s="15"/>
      <c r="CN270" s="15"/>
      <c r="CO270" s="15"/>
      <c r="CP270" s="15"/>
      <c r="CQ270" s="15"/>
      <c r="CR270" s="15"/>
      <c r="CS270" s="15"/>
      <c r="CT270" s="15"/>
      <c r="CU270" s="15"/>
      <c r="CV270" s="15"/>
      <c r="CW270" s="15"/>
      <c r="CX270" s="15"/>
      <c r="CY270" s="15"/>
      <c r="CZ270" s="15"/>
      <c r="DA270" s="15"/>
      <c r="DB270" s="15">
        <v>0</v>
      </c>
    </row>
    <row r="271" spans="1:106" x14ac:dyDescent="0.25">
      <c r="A271" t="s">
        <v>370</v>
      </c>
      <c r="B271" t="s">
        <v>371</v>
      </c>
      <c r="C271">
        <v>2013</v>
      </c>
      <c r="D271" s="16" t="s">
        <v>205</v>
      </c>
      <c r="E271">
        <v>0</v>
      </c>
      <c r="F271" s="15">
        <v>43.74374374374375</v>
      </c>
      <c r="G271" s="15"/>
      <c r="H271" s="15"/>
      <c r="I271" s="15">
        <v>41.841841841841841</v>
      </c>
      <c r="J271" s="15">
        <v>11.611611611611611</v>
      </c>
      <c r="K271" s="15"/>
      <c r="L271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71" s="15">
        <v>2.8</v>
      </c>
      <c r="V271">
        <v>9.5</v>
      </c>
      <c r="Z271" s="15">
        <v>52.35</v>
      </c>
      <c r="AA271" s="15">
        <v>7.27</v>
      </c>
      <c r="AB271" s="15">
        <v>24.6</v>
      </c>
      <c r="AC271" s="15">
        <v>8.8800000000000008</v>
      </c>
      <c r="AD271" s="15">
        <v>0.66</v>
      </c>
      <c r="AE271" s="15"/>
      <c r="AF271" s="15">
        <v>23.75</v>
      </c>
      <c r="AG271" s="15">
        <v>4.1000000000000003E-3</v>
      </c>
      <c r="AH271" s="15"/>
      <c r="AI271" s="15"/>
      <c r="AJ271" s="15">
        <v>15</v>
      </c>
      <c r="AM271" s="13"/>
      <c r="AO271" s="15"/>
      <c r="AP271" s="15" t="e">
        <f>LN(25/Table2[[#This Row],[Temperature (C)]]/(1-SQRT((Table2[[#This Row],[Temperature (C)]]-5)/Table2[[#This Row],[Temperature (C)]])))/Table2[[#This Row],[b]]</f>
        <v>#DIV/0!</v>
      </c>
      <c r="AQ271" s="15">
        <f>IF(Table2[[#This Row],[b]]&lt;&gt;"",Table2[[#This Row],[T-5]], 0)</f>
        <v>0</v>
      </c>
      <c r="AR271">
        <v>20</v>
      </c>
      <c r="AT271" t="s">
        <v>503</v>
      </c>
      <c r="AU271">
        <v>350</v>
      </c>
      <c r="AV271" s="15"/>
      <c r="AW271" s="15">
        <v>41</v>
      </c>
      <c r="AX271" s="15"/>
      <c r="AY271" s="15"/>
      <c r="AZ271" s="15"/>
      <c r="BA271" s="15"/>
      <c r="BB271" s="15" t="str">
        <f>IF(OR(Table2[[#This Row],[Gas wt%]]&lt;&gt;"",Table2[[#This Row],[Loss]]&lt;&gt;""),Table2[[#This Row],[Gas wt%]]+Table2[[#This Row],[Loss]],"")</f>
        <v/>
      </c>
      <c r="BC271" s="15"/>
      <c r="BD271" s="15"/>
      <c r="BE271" s="15"/>
      <c r="BF271" s="15"/>
      <c r="BG271" s="15"/>
      <c r="BH271" s="15"/>
      <c r="BI271" s="15">
        <v>73.069999999999993</v>
      </c>
      <c r="BJ271" s="15">
        <v>9.3000000000000007</v>
      </c>
      <c r="BK271" s="15">
        <v>10.210000000000001</v>
      </c>
      <c r="BL271" s="15">
        <v>6.2</v>
      </c>
      <c r="BM271" s="15">
        <v>0.62</v>
      </c>
      <c r="BN271" s="15">
        <v>36.22</v>
      </c>
      <c r="BO271" s="15">
        <v>63</v>
      </c>
      <c r="BP271" s="15"/>
      <c r="BQ271" s="15">
        <f>Table2[[#This Row],[H% B]]/Table2[[#This Row],[C% B]]*100</f>
        <v>12.727521554673601</v>
      </c>
      <c r="BR271" s="15"/>
      <c r="BS271" s="15"/>
      <c r="BT271" s="15"/>
      <c r="BU271" s="15"/>
      <c r="BV271" s="15"/>
      <c r="BW271" s="15"/>
      <c r="BX271" s="15"/>
      <c r="BY271" s="15"/>
      <c r="BZ271" s="15"/>
      <c r="CA271" s="15"/>
      <c r="CB271" s="15"/>
      <c r="CC271" s="15"/>
      <c r="CD271" s="15"/>
      <c r="CE271" s="15"/>
      <c r="CF271" s="15"/>
      <c r="CG271" s="15"/>
      <c r="CH271" s="15"/>
      <c r="CI271" s="15"/>
      <c r="CJ271" s="15"/>
      <c r="CK271" s="15"/>
      <c r="CL271" s="15"/>
      <c r="CM271" s="15"/>
      <c r="CN271" s="15"/>
      <c r="CO271" s="15"/>
      <c r="CP271" s="15"/>
      <c r="CQ271" s="15"/>
      <c r="CR271" s="15"/>
      <c r="CS271" s="15"/>
      <c r="CT271" s="15"/>
      <c r="CU271" s="15"/>
      <c r="CV271" s="15"/>
      <c r="CW271" s="15"/>
      <c r="CX271" s="15"/>
      <c r="CY271" s="15"/>
      <c r="CZ271" s="15"/>
      <c r="DA271" s="15"/>
      <c r="DB271" s="15">
        <v>0</v>
      </c>
    </row>
    <row r="272" spans="1:106" x14ac:dyDescent="0.25">
      <c r="A272" t="s">
        <v>370</v>
      </c>
      <c r="B272" t="s">
        <v>371</v>
      </c>
      <c r="C272">
        <v>2013</v>
      </c>
      <c r="D272" s="16" t="s">
        <v>205</v>
      </c>
      <c r="E272">
        <v>0</v>
      </c>
      <c r="F272" s="15">
        <v>43.74374374374375</v>
      </c>
      <c r="G272" s="15"/>
      <c r="H272" s="15"/>
      <c r="I272" s="15">
        <v>41.841841841841841</v>
      </c>
      <c r="J272" s="15">
        <v>11.611611611611611</v>
      </c>
      <c r="K272" s="15"/>
      <c r="L272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72" s="15">
        <v>2.8</v>
      </c>
      <c r="V272">
        <v>9.5</v>
      </c>
      <c r="Z272" s="15">
        <v>52.35</v>
      </c>
      <c r="AA272" s="15">
        <v>7.27</v>
      </c>
      <c r="AB272" s="15">
        <v>24.6</v>
      </c>
      <c r="AC272" s="15">
        <v>8.8800000000000008</v>
      </c>
      <c r="AD272" s="15">
        <v>0.66</v>
      </c>
      <c r="AE272" s="15"/>
      <c r="AF272" s="15">
        <v>23.75</v>
      </c>
      <c r="AG272" s="15">
        <v>4.1000000000000003E-3</v>
      </c>
      <c r="AH272" s="15"/>
      <c r="AI272" s="15"/>
      <c r="AJ272" s="15">
        <v>15</v>
      </c>
      <c r="AM272" s="13"/>
      <c r="AO272" s="15"/>
      <c r="AP272" s="15" t="e">
        <f>LN(25/Table2[[#This Row],[Temperature (C)]]/(1-SQRT((Table2[[#This Row],[Temperature (C)]]-5)/Table2[[#This Row],[Temperature (C)]])))/Table2[[#This Row],[b]]</f>
        <v>#DIV/0!</v>
      </c>
      <c r="AQ272" s="15">
        <f>IF(Table2[[#This Row],[b]]&lt;&gt;"",Table2[[#This Row],[T-5]], 0)</f>
        <v>0</v>
      </c>
      <c r="AR272">
        <v>40</v>
      </c>
      <c r="AT272" t="s">
        <v>503</v>
      </c>
      <c r="AU272">
        <v>350</v>
      </c>
      <c r="AV272" s="15"/>
      <c r="AW272" s="15">
        <v>44</v>
      </c>
      <c r="AX272" s="15"/>
      <c r="AY272" s="15"/>
      <c r="AZ272" s="15"/>
      <c r="BA272" s="15"/>
      <c r="BB272" s="15" t="str">
        <f>IF(OR(Table2[[#This Row],[Gas wt%]]&lt;&gt;"",Table2[[#This Row],[Loss]]&lt;&gt;""),Table2[[#This Row],[Gas wt%]]+Table2[[#This Row],[Loss]],"")</f>
        <v/>
      </c>
      <c r="BC272" s="15"/>
      <c r="BD272" s="15"/>
      <c r="BE272" s="15"/>
      <c r="BF272" s="15"/>
      <c r="BG272" s="15"/>
      <c r="BH272" s="15"/>
      <c r="BI272" s="15">
        <v>74.63</v>
      </c>
      <c r="BJ272" s="15">
        <v>9.52</v>
      </c>
      <c r="BK272" s="15">
        <v>9.14</v>
      </c>
      <c r="BL272" s="15">
        <v>5.61</v>
      </c>
      <c r="BM272" s="15">
        <v>0.49</v>
      </c>
      <c r="BN272" s="15">
        <v>37.24</v>
      </c>
      <c r="BO272" s="15">
        <v>71</v>
      </c>
      <c r="BP272" s="15"/>
      <c r="BQ272" s="15">
        <f>Table2[[#This Row],[H% B]]/Table2[[#This Row],[C% B]]*100</f>
        <v>12.756264236902052</v>
      </c>
      <c r="BR272" s="15"/>
      <c r="BS272" s="15"/>
      <c r="BT272" s="15"/>
      <c r="BU272" s="15"/>
      <c r="BV272" s="15"/>
      <c r="BW272" s="15"/>
      <c r="BX272" s="15"/>
      <c r="BY272" s="15"/>
      <c r="BZ272" s="15"/>
      <c r="CA272" s="15"/>
      <c r="CB272" s="15"/>
      <c r="CC272" s="15"/>
      <c r="CD272" s="15"/>
      <c r="CE272" s="15"/>
      <c r="CF272" s="15"/>
      <c r="CG272" s="15"/>
      <c r="CH272" s="15"/>
      <c r="CI272" s="15"/>
      <c r="CJ272" s="15"/>
      <c r="CK272" s="15"/>
      <c r="CL272" s="15"/>
      <c r="CM272" s="15"/>
      <c r="CN272" s="15"/>
      <c r="CO272" s="15"/>
      <c r="CP272" s="15"/>
      <c r="CQ272" s="15"/>
      <c r="CR272" s="15"/>
      <c r="CS272" s="15"/>
      <c r="CT272" s="15"/>
      <c r="CU272" s="15"/>
      <c r="CV272" s="15"/>
      <c r="CW272" s="15"/>
      <c r="CX272" s="15"/>
      <c r="CY272" s="15"/>
      <c r="CZ272" s="15"/>
      <c r="DA272" s="15"/>
      <c r="DB272" s="15">
        <v>0</v>
      </c>
    </row>
    <row r="273" spans="1:106" x14ac:dyDescent="0.25">
      <c r="A273" t="s">
        <v>370</v>
      </c>
      <c r="B273" t="s">
        <v>371</v>
      </c>
      <c r="C273">
        <v>2013</v>
      </c>
      <c r="D273" s="16" t="s">
        <v>205</v>
      </c>
      <c r="E273">
        <v>0</v>
      </c>
      <c r="F273" s="15">
        <v>43.74374374374375</v>
      </c>
      <c r="G273" s="15"/>
      <c r="H273" s="15"/>
      <c r="I273" s="15">
        <v>41.841841841841841</v>
      </c>
      <c r="J273" s="15">
        <v>11.611611611611611</v>
      </c>
      <c r="K273" s="15"/>
      <c r="L273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73" s="15">
        <v>2.8</v>
      </c>
      <c r="V273">
        <v>9.5</v>
      </c>
      <c r="Z273" s="15">
        <v>52.35</v>
      </c>
      <c r="AA273" s="15">
        <v>7.27</v>
      </c>
      <c r="AB273" s="15">
        <v>24.6</v>
      </c>
      <c r="AC273" s="15">
        <v>8.8800000000000008</v>
      </c>
      <c r="AD273" s="15">
        <v>0.66</v>
      </c>
      <c r="AE273" s="15"/>
      <c r="AF273" s="15">
        <v>23.75</v>
      </c>
      <c r="AG273" s="15">
        <v>4.1000000000000003E-3</v>
      </c>
      <c r="AH273" s="15"/>
      <c r="AI273" s="15"/>
      <c r="AJ273" s="15">
        <v>15</v>
      </c>
      <c r="AM273" s="13"/>
      <c r="AO273" s="15"/>
      <c r="AP273" s="15" t="e">
        <f>LN(25/Table2[[#This Row],[Temperature (C)]]/(1-SQRT((Table2[[#This Row],[Temperature (C)]]-5)/Table2[[#This Row],[Temperature (C)]])))/Table2[[#This Row],[b]]</f>
        <v>#DIV/0!</v>
      </c>
      <c r="AQ273" s="15">
        <f>IF(Table2[[#This Row],[b]]&lt;&gt;"",Table2[[#This Row],[T-5]], 0)</f>
        <v>0</v>
      </c>
      <c r="AR273">
        <v>60</v>
      </c>
      <c r="AT273" t="s">
        <v>503</v>
      </c>
      <c r="AU273">
        <v>350</v>
      </c>
      <c r="AV273" s="15"/>
      <c r="AW273" s="15">
        <v>42</v>
      </c>
      <c r="AX273" s="15"/>
      <c r="AY273" s="15"/>
      <c r="AZ273" s="15"/>
      <c r="BA273" s="15"/>
      <c r="BB273" s="15" t="str">
        <f>IF(OR(Table2[[#This Row],[Gas wt%]]&lt;&gt;"",Table2[[#This Row],[Loss]]&lt;&gt;""),Table2[[#This Row],[Gas wt%]]+Table2[[#This Row],[Loss]],"")</f>
        <v/>
      </c>
      <c r="BC273" s="15"/>
      <c r="BD273" s="15"/>
      <c r="BE273" s="15"/>
      <c r="BF273" s="15"/>
      <c r="BG273" s="15"/>
      <c r="BH273" s="15"/>
      <c r="BI273" s="15">
        <v>74.81</v>
      </c>
      <c r="BJ273" s="15">
        <v>9.6199999999999992</v>
      </c>
      <c r="BK273" s="15">
        <v>9.02</v>
      </c>
      <c r="BL273" s="15">
        <v>5.43</v>
      </c>
      <c r="BM273" s="15">
        <v>0.52</v>
      </c>
      <c r="BN273" s="15">
        <v>37.46</v>
      </c>
      <c r="BO273" s="15">
        <v>67</v>
      </c>
      <c r="BP273" s="15"/>
      <c r="BQ273" s="15">
        <f>Table2[[#This Row],[H% B]]/Table2[[#This Row],[C% B]]*100</f>
        <v>12.859243416655525</v>
      </c>
      <c r="BR273" s="15"/>
      <c r="BS273" s="15"/>
      <c r="BT273" s="15"/>
      <c r="BU273" s="15"/>
      <c r="BV273" s="15"/>
      <c r="BW273" s="15"/>
      <c r="BX273" s="15"/>
      <c r="BY273" s="15"/>
      <c r="BZ273" s="15"/>
      <c r="CA273" s="15"/>
      <c r="CB273" s="15"/>
      <c r="CC273" s="15"/>
      <c r="CD273" s="15"/>
      <c r="CE273" s="15"/>
      <c r="CF273" s="15"/>
      <c r="CG273" s="15"/>
      <c r="CH273" s="15"/>
      <c r="CI273" s="15"/>
      <c r="CJ273" s="15"/>
      <c r="CK273" s="15"/>
      <c r="CL273" s="15"/>
      <c r="CM273" s="15"/>
      <c r="CN273" s="15"/>
      <c r="CO273" s="15"/>
      <c r="CP273" s="15"/>
      <c r="CQ273" s="15"/>
      <c r="CR273" s="15"/>
      <c r="CS273" s="15"/>
      <c r="CT273" s="15"/>
      <c r="CU273" s="15"/>
      <c r="CV273" s="15"/>
      <c r="CW273" s="15"/>
      <c r="CX273" s="15"/>
      <c r="CY273" s="15"/>
      <c r="CZ273" s="15"/>
      <c r="DA273" s="15"/>
      <c r="DB273" s="15">
        <v>0</v>
      </c>
    </row>
    <row r="274" spans="1:106" x14ac:dyDescent="0.25">
      <c r="A274" t="s">
        <v>370</v>
      </c>
      <c r="B274" t="s">
        <v>371</v>
      </c>
      <c r="C274">
        <v>2013</v>
      </c>
      <c r="D274" s="16" t="s">
        <v>205</v>
      </c>
      <c r="E274">
        <v>0</v>
      </c>
      <c r="F274" s="15">
        <v>43.74374374374375</v>
      </c>
      <c r="G274" s="15"/>
      <c r="H274" s="15"/>
      <c r="I274" s="15">
        <v>41.841841841841841</v>
      </c>
      <c r="J274" s="15">
        <v>11.611611611611611</v>
      </c>
      <c r="K274" s="15"/>
      <c r="L274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74" s="15">
        <v>2.8</v>
      </c>
      <c r="V274">
        <v>9.5</v>
      </c>
      <c r="Z274" s="15">
        <v>52.35</v>
      </c>
      <c r="AA274" s="15">
        <v>7.27</v>
      </c>
      <c r="AB274" s="15">
        <v>24.6</v>
      </c>
      <c r="AC274" s="15">
        <v>8.8800000000000008</v>
      </c>
      <c r="AD274" s="15">
        <v>0.66</v>
      </c>
      <c r="AE274" s="15"/>
      <c r="AF274" s="15">
        <v>23.75</v>
      </c>
      <c r="AG274" s="15">
        <v>4.1000000000000003E-3</v>
      </c>
      <c r="AH274" s="15"/>
      <c r="AI274" s="15"/>
      <c r="AJ274" s="15">
        <v>15</v>
      </c>
      <c r="AM274" s="13"/>
      <c r="AO274" s="15"/>
      <c r="AP274" s="15" t="e">
        <f>LN(25/Table2[[#This Row],[Temperature (C)]]/(1-SQRT((Table2[[#This Row],[Temperature (C)]]-5)/Table2[[#This Row],[Temperature (C)]])))/Table2[[#This Row],[b]]</f>
        <v>#DIV/0!</v>
      </c>
      <c r="AQ274" s="15">
        <f>IF(Table2[[#This Row],[b]]&lt;&gt;"",Table2[[#This Row],[T-5]], 0)</f>
        <v>0</v>
      </c>
      <c r="AR274">
        <v>90</v>
      </c>
      <c r="AT274" t="s">
        <v>503</v>
      </c>
      <c r="AU274">
        <v>350</v>
      </c>
      <c r="AV274" s="15"/>
      <c r="AW274" s="15">
        <v>44</v>
      </c>
      <c r="AX274" s="15"/>
      <c r="AY274" s="15"/>
      <c r="AZ274" s="15"/>
      <c r="BA274" s="15"/>
      <c r="BB274" s="15" t="str">
        <f>IF(OR(Table2[[#This Row],[Gas wt%]]&lt;&gt;"",Table2[[#This Row],[Loss]]&lt;&gt;""),Table2[[#This Row],[Gas wt%]]+Table2[[#This Row],[Loss]],"")</f>
        <v/>
      </c>
      <c r="BC274" s="15"/>
      <c r="BD274" s="15"/>
      <c r="BE274" s="15"/>
      <c r="BF274" s="15"/>
      <c r="BG274" s="15"/>
      <c r="BH274" s="15"/>
      <c r="BI274" s="15">
        <v>75.58</v>
      </c>
      <c r="BJ274" s="15">
        <v>9.61</v>
      </c>
      <c r="BK274" s="15">
        <v>8.43</v>
      </c>
      <c r="BL274" s="15">
        <v>5.35</v>
      </c>
      <c r="BM274" s="15">
        <v>0.43</v>
      </c>
      <c r="BN274" s="15">
        <v>37.81</v>
      </c>
      <c r="BO274" s="15">
        <v>70</v>
      </c>
      <c r="BP274" s="15"/>
      <c r="BQ274" s="15">
        <f>Table2[[#This Row],[H% B]]/Table2[[#This Row],[C% B]]*100</f>
        <v>12.715003969304048</v>
      </c>
      <c r="BR274" s="15"/>
      <c r="BS274" s="15"/>
      <c r="BT274" s="15"/>
      <c r="BU274" s="15"/>
      <c r="BV274" s="15"/>
      <c r="BW274" s="15"/>
      <c r="BX274" s="15"/>
      <c r="BY274" s="15"/>
      <c r="BZ274" s="15"/>
      <c r="CA274" s="15"/>
      <c r="CB274" s="15"/>
      <c r="CC274" s="15"/>
      <c r="CD274" s="15"/>
      <c r="CE274" s="15"/>
      <c r="CF274" s="15"/>
      <c r="CG274" s="15"/>
      <c r="CH274" s="15"/>
      <c r="CI274" s="15"/>
      <c r="CJ274" s="15"/>
      <c r="CK274" s="15"/>
      <c r="CL274" s="15"/>
      <c r="CM274" s="15"/>
      <c r="CN274" s="15"/>
      <c r="CO274" s="15"/>
      <c r="CP274" s="15"/>
      <c r="CQ274" s="15"/>
      <c r="CR274" s="15"/>
      <c r="CS274" s="15"/>
      <c r="CT274" s="15"/>
      <c r="CU274" s="15"/>
      <c r="CV274" s="15"/>
      <c r="CW274" s="15"/>
      <c r="CX274" s="15"/>
      <c r="CY274" s="15"/>
      <c r="CZ274" s="15"/>
      <c r="DA274" s="15"/>
      <c r="DB274" s="15">
        <v>0</v>
      </c>
    </row>
    <row r="275" spans="1:106" x14ac:dyDescent="0.25">
      <c r="A275" t="s">
        <v>370</v>
      </c>
      <c r="B275" t="s">
        <v>371</v>
      </c>
      <c r="C275">
        <v>2013</v>
      </c>
      <c r="D275" s="16" t="s">
        <v>205</v>
      </c>
      <c r="E275">
        <v>0</v>
      </c>
      <c r="F275" s="15">
        <v>43.74374374374375</v>
      </c>
      <c r="G275" s="15"/>
      <c r="H275" s="15"/>
      <c r="I275" s="15">
        <v>41.841841841841841</v>
      </c>
      <c r="J275" s="15">
        <v>11.611611611611611</v>
      </c>
      <c r="K275" s="15"/>
      <c r="L275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75" s="15">
        <v>2.8</v>
      </c>
      <c r="V275">
        <v>9.5</v>
      </c>
      <c r="Z275" s="15">
        <v>52.35</v>
      </c>
      <c r="AA275" s="15">
        <v>7.27</v>
      </c>
      <c r="AB275" s="15">
        <v>24.6</v>
      </c>
      <c r="AC275" s="15">
        <v>8.8800000000000008</v>
      </c>
      <c r="AD275" s="15">
        <v>0.66</v>
      </c>
      <c r="AE275" s="15"/>
      <c r="AF275" s="15">
        <v>23.75</v>
      </c>
      <c r="AG275" s="15">
        <v>4.1000000000000003E-3</v>
      </c>
      <c r="AH275" s="15"/>
      <c r="AI275" s="15"/>
      <c r="AJ275" s="15">
        <v>15</v>
      </c>
      <c r="AM275" s="13"/>
      <c r="AO275" s="15"/>
      <c r="AP275" s="15" t="e">
        <f>LN(25/Table2[[#This Row],[Temperature (C)]]/(1-SQRT((Table2[[#This Row],[Temperature (C)]]-5)/Table2[[#This Row],[Temperature (C)]])))/Table2[[#This Row],[b]]</f>
        <v>#DIV/0!</v>
      </c>
      <c r="AQ275" s="15">
        <f>IF(Table2[[#This Row],[b]]&lt;&gt;"",Table2[[#This Row],[T-5]], 0)</f>
        <v>0</v>
      </c>
      <c r="AR275">
        <v>10</v>
      </c>
      <c r="AT275" t="s">
        <v>503</v>
      </c>
      <c r="AU275">
        <v>400</v>
      </c>
      <c r="AV275" s="15"/>
      <c r="AW275" s="15">
        <v>39</v>
      </c>
      <c r="AX275" s="15"/>
      <c r="AY275" s="15"/>
      <c r="AZ275" s="15"/>
      <c r="BA275" s="15"/>
      <c r="BB275" s="15" t="str">
        <f>IF(OR(Table2[[#This Row],[Gas wt%]]&lt;&gt;"",Table2[[#This Row],[Loss]]&lt;&gt;""),Table2[[#This Row],[Gas wt%]]+Table2[[#This Row],[Loss]],"")</f>
        <v/>
      </c>
      <c r="BC275" s="15"/>
      <c r="BD275" s="15"/>
      <c r="BE275" s="15"/>
      <c r="BF275" s="15"/>
      <c r="BG275" s="15"/>
      <c r="BH275" s="15"/>
      <c r="BI275" s="15">
        <v>74.86</v>
      </c>
      <c r="BJ275" s="15">
        <v>9.41</v>
      </c>
      <c r="BK275" s="15">
        <v>8.6</v>
      </c>
      <c r="BL275" s="15">
        <v>5.91</v>
      </c>
      <c r="BM275" s="15">
        <v>0.63</v>
      </c>
      <c r="BN275" s="15">
        <v>37.26</v>
      </c>
      <c r="BO275" s="15">
        <v>63</v>
      </c>
      <c r="BP275" s="15"/>
      <c r="BQ275" s="15">
        <f>Table2[[#This Row],[H% B]]/Table2[[#This Row],[C% B]]*100</f>
        <v>12.57013091103393</v>
      </c>
      <c r="BR275" s="15"/>
      <c r="BS275" s="15"/>
      <c r="BT275" s="15"/>
      <c r="BU275" s="15"/>
      <c r="BV275" s="15"/>
      <c r="BW275" s="15"/>
      <c r="BX275" s="15"/>
      <c r="BY275" s="15"/>
      <c r="BZ275" s="15"/>
      <c r="CA275" s="15"/>
      <c r="CB275" s="15"/>
      <c r="CC275" s="15"/>
      <c r="CD275" s="15"/>
      <c r="CE275" s="15"/>
      <c r="CF275" s="15"/>
      <c r="CG275" s="15"/>
      <c r="CH275" s="15"/>
      <c r="CI275" s="15"/>
      <c r="CJ275" s="15"/>
      <c r="CK275" s="15"/>
      <c r="CL275" s="15"/>
      <c r="CM275" s="15"/>
      <c r="CN275" s="15"/>
      <c r="CO275" s="15"/>
      <c r="CP275" s="15"/>
      <c r="CQ275" s="15"/>
      <c r="CR275" s="15"/>
      <c r="CS275" s="15"/>
      <c r="CT275" s="15"/>
      <c r="CU275" s="15"/>
      <c r="CV275" s="15"/>
      <c r="CW275" s="15"/>
      <c r="CX275" s="15"/>
      <c r="CY275" s="15"/>
      <c r="CZ275" s="15"/>
      <c r="DA275" s="15"/>
      <c r="DB275" s="15">
        <v>0</v>
      </c>
    </row>
    <row r="276" spans="1:106" x14ac:dyDescent="0.25">
      <c r="A276" t="s">
        <v>370</v>
      </c>
      <c r="B276" t="s">
        <v>371</v>
      </c>
      <c r="C276">
        <v>2013</v>
      </c>
      <c r="D276" s="16" t="s">
        <v>205</v>
      </c>
      <c r="E276">
        <v>0</v>
      </c>
      <c r="F276" s="15">
        <v>43.74374374374375</v>
      </c>
      <c r="G276" s="15"/>
      <c r="H276" s="15"/>
      <c r="I276" s="15">
        <v>41.841841841841841</v>
      </c>
      <c r="J276" s="15">
        <v>11.611611611611611</v>
      </c>
      <c r="K276" s="15"/>
      <c r="L276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76" s="15">
        <v>2.8</v>
      </c>
      <c r="V276">
        <v>9.5</v>
      </c>
      <c r="Z276" s="15">
        <v>52.35</v>
      </c>
      <c r="AA276" s="15">
        <v>7.27</v>
      </c>
      <c r="AB276" s="15">
        <v>24.6</v>
      </c>
      <c r="AC276" s="15">
        <v>8.8800000000000008</v>
      </c>
      <c r="AD276" s="15">
        <v>0.66</v>
      </c>
      <c r="AE276" s="15"/>
      <c r="AF276" s="15">
        <v>23.75</v>
      </c>
      <c r="AG276" s="15">
        <v>4.1000000000000003E-3</v>
      </c>
      <c r="AH276" s="15"/>
      <c r="AI276" s="15"/>
      <c r="AJ276" s="15">
        <v>15</v>
      </c>
      <c r="AM276" s="13"/>
      <c r="AO276" s="15"/>
      <c r="AP276" s="15" t="e">
        <f>LN(25/Table2[[#This Row],[Temperature (C)]]/(1-SQRT((Table2[[#This Row],[Temperature (C)]]-5)/Table2[[#This Row],[Temperature (C)]])))/Table2[[#This Row],[b]]</f>
        <v>#DIV/0!</v>
      </c>
      <c r="AQ276" s="15">
        <f>IF(Table2[[#This Row],[b]]&lt;&gt;"",Table2[[#This Row],[T-5]], 0)</f>
        <v>0</v>
      </c>
      <c r="AR276">
        <v>20</v>
      </c>
      <c r="AT276" t="s">
        <v>503</v>
      </c>
      <c r="AU276">
        <v>400</v>
      </c>
      <c r="AV276" s="15"/>
      <c r="AW276" s="15">
        <v>39</v>
      </c>
      <c r="AX276" s="15"/>
      <c r="AY276" s="15"/>
      <c r="AZ276" s="15"/>
      <c r="BA276" s="15"/>
      <c r="BB276" s="15" t="str">
        <f>IF(OR(Table2[[#This Row],[Gas wt%]]&lt;&gt;"",Table2[[#This Row],[Loss]]&lt;&gt;""),Table2[[#This Row],[Gas wt%]]+Table2[[#This Row],[Loss]],"")</f>
        <v/>
      </c>
      <c r="BC276" s="15"/>
      <c r="BD276" s="15"/>
      <c r="BE276" s="15"/>
      <c r="BF276" s="15"/>
      <c r="BG276" s="15"/>
      <c r="BH276" s="15"/>
      <c r="BI276" s="15">
        <v>74.72</v>
      </c>
      <c r="BJ276" s="15">
        <v>9.6300000000000008</v>
      </c>
      <c r="BK276" s="15">
        <v>8.31</v>
      </c>
      <c r="BL276" s="15">
        <v>6.01</v>
      </c>
      <c r="BM276" s="15">
        <v>0.73</v>
      </c>
      <c r="BN276" s="15">
        <v>37.590000000000003</v>
      </c>
      <c r="BO276" s="15">
        <v>63</v>
      </c>
      <c r="BP276" s="15"/>
      <c r="BQ276" s="15">
        <f>Table2[[#This Row],[H% B]]/Table2[[#This Row],[C% B]]*100</f>
        <v>12.888115631691649</v>
      </c>
      <c r="BR276" s="15"/>
      <c r="BS276" s="15"/>
      <c r="BT276" s="15"/>
      <c r="BU276" s="15"/>
      <c r="BV276" s="15"/>
      <c r="BW276" s="15"/>
      <c r="BX276" s="15"/>
      <c r="BY276" s="15"/>
      <c r="BZ276" s="15"/>
      <c r="CA276" s="15"/>
      <c r="CB276" s="15"/>
      <c r="CC276" s="15"/>
      <c r="CD276" s="15"/>
      <c r="CE276" s="15"/>
      <c r="CF276" s="15"/>
      <c r="CG276" s="15"/>
      <c r="CH276" s="15"/>
      <c r="CI276" s="15"/>
      <c r="CJ276" s="15"/>
      <c r="CK276" s="15"/>
      <c r="CL276" s="15"/>
      <c r="CM276" s="15"/>
      <c r="CN276" s="15"/>
      <c r="CO276" s="15"/>
      <c r="CP276" s="15"/>
      <c r="CQ276" s="15"/>
      <c r="CR276" s="15"/>
      <c r="CS276" s="15"/>
      <c r="CT276" s="15"/>
      <c r="CU276" s="15"/>
      <c r="CV276" s="15"/>
      <c r="CW276" s="15"/>
      <c r="CX276" s="15"/>
      <c r="CY276" s="15"/>
      <c r="CZ276" s="15"/>
      <c r="DA276" s="15"/>
      <c r="DB276" s="15">
        <v>0</v>
      </c>
    </row>
    <row r="277" spans="1:106" x14ac:dyDescent="0.25">
      <c r="A277" t="s">
        <v>370</v>
      </c>
      <c r="B277" t="s">
        <v>371</v>
      </c>
      <c r="C277">
        <v>2013</v>
      </c>
      <c r="D277" s="16" t="s">
        <v>205</v>
      </c>
      <c r="E277">
        <v>0</v>
      </c>
      <c r="F277" s="15">
        <v>43.74374374374375</v>
      </c>
      <c r="G277" s="15"/>
      <c r="H277" s="15"/>
      <c r="I277" s="15">
        <v>41.841841841841841</v>
      </c>
      <c r="J277" s="15">
        <v>11.611611611611611</v>
      </c>
      <c r="K277" s="15"/>
      <c r="L277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77" s="15">
        <v>2.8</v>
      </c>
      <c r="V277">
        <v>9.5</v>
      </c>
      <c r="Z277" s="15">
        <v>52.35</v>
      </c>
      <c r="AA277" s="15">
        <v>7.27</v>
      </c>
      <c r="AB277" s="15">
        <v>24.6</v>
      </c>
      <c r="AC277" s="15">
        <v>8.8800000000000008</v>
      </c>
      <c r="AD277" s="15">
        <v>0.66</v>
      </c>
      <c r="AE277" s="15"/>
      <c r="AF277" s="15">
        <v>23.75</v>
      </c>
      <c r="AG277" s="15">
        <v>4.1000000000000003E-3</v>
      </c>
      <c r="AH277" s="15"/>
      <c r="AI277" s="15"/>
      <c r="AJ277" s="15">
        <v>15</v>
      </c>
      <c r="AM277" s="13"/>
      <c r="AO277" s="15"/>
      <c r="AP277" s="15" t="e">
        <f>LN(25/Table2[[#This Row],[Temperature (C)]]/(1-SQRT((Table2[[#This Row],[Temperature (C)]]-5)/Table2[[#This Row],[Temperature (C)]])))/Table2[[#This Row],[b]]</f>
        <v>#DIV/0!</v>
      </c>
      <c r="AQ277" s="15">
        <f>IF(Table2[[#This Row],[b]]&lt;&gt;"",Table2[[#This Row],[T-5]], 0)</f>
        <v>0</v>
      </c>
      <c r="AR277">
        <v>30</v>
      </c>
      <c r="AT277" t="s">
        <v>503</v>
      </c>
      <c r="AU277">
        <v>400</v>
      </c>
      <c r="AV277" s="15"/>
      <c r="AW277" s="15">
        <v>35</v>
      </c>
      <c r="AX277" s="15"/>
      <c r="AY277" s="15"/>
      <c r="AZ277" s="15"/>
      <c r="BA277" s="15"/>
      <c r="BB277" s="15" t="str">
        <f>IF(OR(Table2[[#This Row],[Gas wt%]]&lt;&gt;"",Table2[[#This Row],[Loss]]&lt;&gt;""),Table2[[#This Row],[Gas wt%]]+Table2[[#This Row],[Loss]],"")</f>
        <v/>
      </c>
      <c r="BC277" s="15"/>
      <c r="BD277" s="15"/>
      <c r="BE277" s="15"/>
      <c r="BF277" s="15"/>
      <c r="BG277" s="15"/>
      <c r="BH277" s="15"/>
      <c r="BI277" s="15">
        <v>76.069999999999993</v>
      </c>
      <c r="BJ277" s="15">
        <v>9.4499999999999993</v>
      </c>
      <c r="BK277" s="15">
        <v>7.63</v>
      </c>
      <c r="BL277" s="15">
        <v>5.54</v>
      </c>
      <c r="BM277" s="15">
        <v>0.71</v>
      </c>
      <c r="BN277" s="15">
        <v>37.92</v>
      </c>
      <c r="BO277" s="15">
        <v>56</v>
      </c>
      <c r="BP277" s="15"/>
      <c r="BQ277" s="15">
        <f>Table2[[#This Row],[H% B]]/Table2[[#This Row],[C% B]]*100</f>
        <v>12.422768502694886</v>
      </c>
      <c r="BR277" s="15"/>
      <c r="BS277" s="15"/>
      <c r="BT277" s="15"/>
      <c r="BU277" s="15"/>
      <c r="BV277" s="15"/>
      <c r="BW277" s="15"/>
      <c r="BX277" s="15"/>
      <c r="BY277" s="15"/>
      <c r="BZ277" s="15"/>
      <c r="CA277" s="15"/>
      <c r="CB277" s="15"/>
      <c r="CC277" s="15"/>
      <c r="CD277" s="15"/>
      <c r="CE277" s="15"/>
      <c r="CF277" s="15"/>
      <c r="CG277" s="15"/>
      <c r="CH277" s="15"/>
      <c r="CI277" s="15"/>
      <c r="CJ277" s="15"/>
      <c r="CK277" s="15"/>
      <c r="CL277" s="15"/>
      <c r="CM277" s="15"/>
      <c r="CN277" s="15"/>
      <c r="CO277" s="15"/>
      <c r="CP277" s="15"/>
      <c r="CQ277" s="15"/>
      <c r="CR277" s="15"/>
      <c r="CS277" s="15"/>
      <c r="CT277" s="15"/>
      <c r="CU277" s="15"/>
      <c r="CV277" s="15"/>
      <c r="CW277" s="15"/>
      <c r="CX277" s="15"/>
      <c r="CY277" s="15"/>
      <c r="CZ277" s="15"/>
      <c r="DA277" s="15"/>
      <c r="DB277" s="15">
        <v>0</v>
      </c>
    </row>
    <row r="278" spans="1:106" x14ac:dyDescent="0.25">
      <c r="A278" t="s">
        <v>370</v>
      </c>
      <c r="B278" t="s">
        <v>371</v>
      </c>
      <c r="C278">
        <v>2013</v>
      </c>
      <c r="D278" s="16" t="s">
        <v>205</v>
      </c>
      <c r="E278">
        <v>0</v>
      </c>
      <c r="F278" s="15">
        <v>43.74374374374375</v>
      </c>
      <c r="G278" s="15"/>
      <c r="H278" s="15"/>
      <c r="I278" s="15">
        <v>41.841841841841841</v>
      </c>
      <c r="J278" s="15">
        <v>11.611611611611611</v>
      </c>
      <c r="K278" s="15"/>
      <c r="L278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78" s="15">
        <v>2.8</v>
      </c>
      <c r="V278">
        <v>9.5</v>
      </c>
      <c r="Z278" s="15">
        <v>52.35</v>
      </c>
      <c r="AA278" s="15">
        <v>7.27</v>
      </c>
      <c r="AB278" s="15">
        <v>24.6</v>
      </c>
      <c r="AC278" s="15">
        <v>8.8800000000000008</v>
      </c>
      <c r="AD278" s="15">
        <v>0.66</v>
      </c>
      <c r="AE278" s="15"/>
      <c r="AF278" s="15">
        <v>23.75</v>
      </c>
      <c r="AG278" s="15">
        <v>4.1000000000000003E-3</v>
      </c>
      <c r="AH278" s="15"/>
      <c r="AI278" s="15"/>
      <c r="AJ278" s="15">
        <v>15</v>
      </c>
      <c r="AM278" s="13"/>
      <c r="AO278" s="15"/>
      <c r="AP278" s="15" t="e">
        <f>LN(25/Table2[[#This Row],[Temperature (C)]]/(1-SQRT((Table2[[#This Row],[Temperature (C)]]-5)/Table2[[#This Row],[Temperature (C)]])))/Table2[[#This Row],[b]]</f>
        <v>#DIV/0!</v>
      </c>
      <c r="AQ278" s="15">
        <f>IF(Table2[[#This Row],[b]]&lt;&gt;"",Table2[[#This Row],[T-5]], 0)</f>
        <v>0</v>
      </c>
      <c r="AR278">
        <v>40</v>
      </c>
      <c r="AT278" t="s">
        <v>503</v>
      </c>
      <c r="AU278">
        <v>400</v>
      </c>
      <c r="AV278" s="15"/>
      <c r="AW278" s="15">
        <v>34</v>
      </c>
      <c r="AX278" s="15"/>
      <c r="AY278" s="15"/>
      <c r="AZ278" s="15"/>
      <c r="BA278" s="15"/>
      <c r="BB278" s="15" t="str">
        <f>IF(OR(Table2[[#This Row],[Gas wt%]]&lt;&gt;"",Table2[[#This Row],[Loss]]&lt;&gt;""),Table2[[#This Row],[Gas wt%]]+Table2[[#This Row],[Loss]],"")</f>
        <v/>
      </c>
      <c r="BC278" s="15"/>
      <c r="BD278" s="15"/>
      <c r="BE278" s="15"/>
      <c r="BF278" s="15"/>
      <c r="BG278" s="15"/>
      <c r="BH278" s="15"/>
      <c r="BI278" s="15">
        <v>76.290000000000006</v>
      </c>
      <c r="BJ278" s="15">
        <v>9.34</v>
      </c>
      <c r="BK278" s="15">
        <v>7.69</v>
      </c>
      <c r="BL278" s="15">
        <v>5.37</v>
      </c>
      <c r="BM278" s="15">
        <v>0.71</v>
      </c>
      <c r="BN278" s="15">
        <v>37.83</v>
      </c>
      <c r="BO278" s="15">
        <v>54</v>
      </c>
      <c r="BP278" s="15"/>
      <c r="BQ278" s="15">
        <f>Table2[[#This Row],[H% B]]/Table2[[#This Row],[C% B]]*100</f>
        <v>12.242757897496395</v>
      </c>
      <c r="BR278" s="15"/>
      <c r="BS278" s="15"/>
      <c r="BT278" s="15"/>
      <c r="BU278" s="15"/>
      <c r="BV278" s="15"/>
      <c r="BW278" s="15"/>
      <c r="BX278" s="15"/>
      <c r="BY278" s="15"/>
      <c r="BZ278" s="15"/>
      <c r="CA278" s="15"/>
      <c r="CB278" s="15"/>
      <c r="CC278" s="15"/>
      <c r="CD278" s="15"/>
      <c r="CE278" s="15"/>
      <c r="CF278" s="15"/>
      <c r="CG278" s="15"/>
      <c r="CH278" s="15"/>
      <c r="CI278" s="15"/>
      <c r="CJ278" s="15"/>
      <c r="CK278" s="15"/>
      <c r="CL278" s="15"/>
      <c r="CM278" s="15"/>
      <c r="CN278" s="15"/>
      <c r="CO278" s="15"/>
      <c r="CP278" s="15"/>
      <c r="CQ278" s="15"/>
      <c r="CR278" s="15"/>
      <c r="CS278" s="15"/>
      <c r="CT278" s="15"/>
      <c r="CU278" s="15"/>
      <c r="CV278" s="15"/>
      <c r="CW278" s="15"/>
      <c r="CX278" s="15"/>
      <c r="CY278" s="15"/>
      <c r="CZ278" s="15"/>
      <c r="DA278" s="15"/>
      <c r="DB278" s="15">
        <v>0</v>
      </c>
    </row>
    <row r="279" spans="1:106" x14ac:dyDescent="0.25">
      <c r="A279" t="s">
        <v>375</v>
      </c>
      <c r="B279" t="s">
        <v>204</v>
      </c>
      <c r="C279">
        <v>2019</v>
      </c>
      <c r="D279" s="16" t="s">
        <v>372</v>
      </c>
      <c r="E279">
        <v>0</v>
      </c>
      <c r="F279" s="15">
        <v>43.74374374374375</v>
      </c>
      <c r="G279" s="15"/>
      <c r="H279" s="15"/>
      <c r="I279" s="15">
        <v>41.841841841841841</v>
      </c>
      <c r="J279" s="15">
        <v>11.611611611611611</v>
      </c>
      <c r="K279" s="15"/>
      <c r="L279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79" s="15">
        <v>2.8</v>
      </c>
      <c r="Z279" s="15">
        <v>15.9</v>
      </c>
      <c r="AA279" s="15">
        <v>7.3</v>
      </c>
      <c r="AB279" s="15">
        <v>24</v>
      </c>
      <c r="AC279" s="15">
        <v>8.8000000000000007</v>
      </c>
      <c r="AD279" s="15">
        <v>0.7</v>
      </c>
      <c r="AE279" s="15">
        <v>0.94</v>
      </c>
      <c r="AF279" s="15">
        <f>(33.5*Table2[[#This Row],[C%]]+142.3*Table2[[#This Row],[H%]]-15.4*Table2[[#This Row],[O%]]-14.5*Table2[[#This Row],[N%]])/100</f>
        <v>10.742400000000002</v>
      </c>
      <c r="AG279" s="15">
        <v>1.2999999999999999E-3</v>
      </c>
      <c r="AH279" s="15"/>
      <c r="AI279" s="15"/>
      <c r="AJ279" s="15">
        <v>2.912621359223301</v>
      </c>
      <c r="AM279" s="13"/>
      <c r="AO279" s="15"/>
      <c r="AP279" s="15" t="e">
        <f>LN(25/Table2[[#This Row],[Temperature (C)]]/(1-SQRT((Table2[[#This Row],[Temperature (C)]]-5)/Table2[[#This Row],[Temperature (C)]])))/Table2[[#This Row],[b]]</f>
        <v>#DIV/0!</v>
      </c>
      <c r="AQ279" s="15">
        <f>IF(Table2[[#This Row],[b]]&lt;&gt;"",Table2[[#This Row],[T-5]], 0)</f>
        <v>0</v>
      </c>
      <c r="AR279">
        <v>0</v>
      </c>
      <c r="AT279" t="s">
        <v>503</v>
      </c>
      <c r="AU279">
        <v>150</v>
      </c>
      <c r="AV279" s="15">
        <v>68.8</v>
      </c>
      <c r="AW279" s="15">
        <v>2.1</v>
      </c>
      <c r="AX279" s="15">
        <f>100-Table2[[#This Row],[Solids wt%]]-Table2[[#This Row],[Biocrude wt%]]-Table2[[#This Row],[Gas wt%]]</f>
        <v>28.8</v>
      </c>
      <c r="AY279" s="15">
        <v>0.3</v>
      </c>
      <c r="AZ279" s="15"/>
      <c r="BA279" s="15"/>
      <c r="BB279" s="15">
        <f>IF(OR(Table2[[#This Row],[Gas wt%]]&lt;&gt;"",Table2[[#This Row],[Loss]]&lt;&gt;""),Table2[[#This Row],[Gas wt%]]+Table2[[#This Row],[Loss]],"")</f>
        <v>0.3</v>
      </c>
      <c r="BC279" s="15"/>
      <c r="BD279" s="15"/>
      <c r="BE279" s="15"/>
      <c r="BF279" s="15"/>
      <c r="BG279" s="15"/>
      <c r="BH279" s="15"/>
      <c r="BI279" s="15">
        <v>64.7</v>
      </c>
      <c r="BJ279" s="15">
        <v>9.3000000000000007</v>
      </c>
      <c r="BK279" s="15">
        <v>25.6</v>
      </c>
      <c r="BL279" s="15">
        <v>0.3</v>
      </c>
      <c r="BM279" s="15"/>
      <c r="BN279" s="15">
        <v>30.9</v>
      </c>
      <c r="BO279" s="15">
        <v>2.2999999999999998</v>
      </c>
      <c r="BP279" s="15"/>
      <c r="BQ279" s="15">
        <f>Table2[[#This Row],[H% B]]/Table2[[#This Row],[C% B]]*100</f>
        <v>14.374034003091191</v>
      </c>
      <c r="BR279" s="15"/>
      <c r="BS279" s="15"/>
      <c r="BT279" s="15"/>
      <c r="BU279" s="15"/>
      <c r="BV279" s="15"/>
      <c r="BW279" s="15"/>
      <c r="BX279" s="15"/>
      <c r="BY279" s="15"/>
      <c r="BZ279" s="15"/>
      <c r="CA279" s="15"/>
      <c r="CB279" s="15"/>
      <c r="CC279" s="15"/>
      <c r="CD279" s="15"/>
      <c r="CE279" s="15"/>
      <c r="CF279" s="15"/>
      <c r="CG279" s="15"/>
      <c r="CH279" s="15"/>
      <c r="CI279" s="15"/>
      <c r="CJ279" s="15"/>
      <c r="CK279" s="15"/>
      <c r="CL279" s="15"/>
      <c r="CM279" s="15"/>
      <c r="CN279" s="15"/>
      <c r="CO279" s="15"/>
      <c r="CP279" s="15"/>
      <c r="CQ279" s="15"/>
      <c r="CR279" s="15"/>
      <c r="CS279" s="15"/>
      <c r="CT279" s="15"/>
      <c r="CU279" s="15"/>
      <c r="CV279" s="15"/>
      <c r="CW279" s="15"/>
      <c r="CX279" s="15"/>
      <c r="CY279" s="15"/>
      <c r="CZ279" s="15"/>
      <c r="DA279" s="15"/>
      <c r="DB279" s="15">
        <v>0</v>
      </c>
    </row>
    <row r="280" spans="1:106" x14ac:dyDescent="0.25">
      <c r="A280" t="s">
        <v>375</v>
      </c>
      <c r="B280" t="s">
        <v>204</v>
      </c>
      <c r="C280">
        <v>2019</v>
      </c>
      <c r="D280" s="16" t="s">
        <v>372</v>
      </c>
      <c r="E280">
        <v>0</v>
      </c>
      <c r="F280" s="15">
        <v>43.74374374374375</v>
      </c>
      <c r="G280" s="15"/>
      <c r="H280" s="15"/>
      <c r="I280" s="15">
        <v>41.841841841841841</v>
      </c>
      <c r="J280" s="15">
        <v>11.611611611611611</v>
      </c>
      <c r="K280" s="15"/>
      <c r="L280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80" s="15">
        <v>2.8</v>
      </c>
      <c r="Z280" s="15">
        <v>15.9</v>
      </c>
      <c r="AA280" s="15">
        <v>7.3</v>
      </c>
      <c r="AB280" s="15">
        <v>24</v>
      </c>
      <c r="AC280" s="15">
        <v>8.8000000000000007</v>
      </c>
      <c r="AD280" s="15">
        <v>0.7</v>
      </c>
      <c r="AE280" s="15">
        <v>0.94</v>
      </c>
      <c r="AF280" s="15">
        <f>(33.5*Table2[[#This Row],[C%]]+142.3*Table2[[#This Row],[H%]]-15.4*Table2[[#This Row],[O%]]-14.5*Table2[[#This Row],[N%]])/100</f>
        <v>10.742400000000002</v>
      </c>
      <c r="AG280" s="15">
        <v>1.2999999999999999E-3</v>
      </c>
      <c r="AH280" s="15"/>
      <c r="AI280" s="15"/>
      <c r="AJ280" s="15">
        <v>2.912621359223301</v>
      </c>
      <c r="AM280" s="13"/>
      <c r="AO280" s="15"/>
      <c r="AP280" s="15" t="e">
        <f>LN(25/Table2[[#This Row],[Temperature (C)]]/(1-SQRT((Table2[[#This Row],[Temperature (C)]]-5)/Table2[[#This Row],[Temperature (C)]])))/Table2[[#This Row],[b]]</f>
        <v>#DIV/0!</v>
      </c>
      <c r="AQ280" s="15">
        <f>IF(Table2[[#This Row],[b]]&lt;&gt;"",Table2[[#This Row],[T-5]], 0)</f>
        <v>0</v>
      </c>
      <c r="AR280">
        <v>1</v>
      </c>
      <c r="AT280" t="s">
        <v>503</v>
      </c>
      <c r="AU280">
        <v>150</v>
      </c>
      <c r="AV280" s="15">
        <v>68.3</v>
      </c>
      <c r="AW280" s="15">
        <v>7.3</v>
      </c>
      <c r="AX280" s="15">
        <f>100-Table2[[#This Row],[Solids wt%]]-Table2[[#This Row],[Biocrude wt%]]-Table2[[#This Row],[Gas wt%]]</f>
        <v>23.000000000000004</v>
      </c>
      <c r="AY280" s="15">
        <v>1.4</v>
      </c>
      <c r="AZ280" s="15"/>
      <c r="BA280" s="15"/>
      <c r="BB280" s="15">
        <f>IF(OR(Table2[[#This Row],[Gas wt%]]&lt;&gt;"",Table2[[#This Row],[Loss]]&lt;&gt;""),Table2[[#This Row],[Gas wt%]]+Table2[[#This Row],[Loss]],"")</f>
        <v>1.4</v>
      </c>
      <c r="BC280" s="15"/>
      <c r="BD280" s="15"/>
      <c r="BE280" s="15"/>
      <c r="BF280" s="15"/>
      <c r="BG280" s="15"/>
      <c r="BH280" s="15"/>
      <c r="BI280" s="15">
        <v>65.599999999999994</v>
      </c>
      <c r="BJ280" s="15">
        <v>9.4</v>
      </c>
      <c r="BK280" s="15">
        <v>24.5</v>
      </c>
      <c r="BL280" s="15">
        <v>0.5</v>
      </c>
      <c r="BM280" s="15">
        <v>0.02</v>
      </c>
      <c r="BN280" s="15">
        <v>31.4</v>
      </c>
      <c r="BO280" s="15">
        <v>9.5</v>
      </c>
      <c r="BP280" s="15"/>
      <c r="BQ280" s="15">
        <f>Table2[[#This Row],[H% B]]/Table2[[#This Row],[C% B]]*100</f>
        <v>14.329268292682929</v>
      </c>
      <c r="BR280" s="15"/>
      <c r="BS280" s="15"/>
      <c r="BT280" s="15"/>
      <c r="BU280" s="15"/>
      <c r="BV280" s="15"/>
      <c r="BW280" s="15"/>
      <c r="BX280" s="15"/>
      <c r="BY280" s="15"/>
      <c r="BZ280" s="15"/>
      <c r="CA280" s="15"/>
      <c r="CB280" s="15"/>
      <c r="CC280" s="15"/>
      <c r="CD280" s="15"/>
      <c r="CE280" s="15"/>
      <c r="CF280" s="15">
        <v>51.5</v>
      </c>
      <c r="CG280" s="15">
        <v>7.4</v>
      </c>
      <c r="CH280" s="15">
        <v>29.6</v>
      </c>
      <c r="CI280" s="15">
        <v>10.4</v>
      </c>
      <c r="CJ280" s="15">
        <v>0.77</v>
      </c>
      <c r="CK280" s="15"/>
      <c r="CL280" s="15"/>
      <c r="CM280" s="15"/>
      <c r="CN280" s="15"/>
      <c r="CO280" s="15"/>
      <c r="CP280" s="15"/>
      <c r="CQ280" s="15"/>
      <c r="CR280" s="15"/>
      <c r="CS280" s="15"/>
      <c r="CT280" s="15"/>
      <c r="CU280" s="15"/>
      <c r="CV280" s="15"/>
      <c r="CW280" s="15"/>
      <c r="CX280" s="15"/>
      <c r="CY280" s="15"/>
      <c r="CZ280" s="15"/>
      <c r="DA280" s="15"/>
      <c r="DB280" s="15">
        <v>0</v>
      </c>
    </row>
    <row r="281" spans="1:106" x14ac:dyDescent="0.25">
      <c r="A281" t="s">
        <v>375</v>
      </c>
      <c r="B281" t="s">
        <v>204</v>
      </c>
      <c r="C281">
        <v>2019</v>
      </c>
      <c r="D281" s="16" t="s">
        <v>372</v>
      </c>
      <c r="E281">
        <v>0</v>
      </c>
      <c r="F281" s="15">
        <v>43.74374374374375</v>
      </c>
      <c r="G281" s="15"/>
      <c r="H281" s="15"/>
      <c r="I281" s="15">
        <v>41.841841841841841</v>
      </c>
      <c r="J281" s="15">
        <v>11.611611611611611</v>
      </c>
      <c r="K281" s="15"/>
      <c r="L281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81" s="15">
        <v>2.8</v>
      </c>
      <c r="Z281" s="15">
        <v>15.9</v>
      </c>
      <c r="AA281" s="15">
        <v>7.3</v>
      </c>
      <c r="AB281" s="15">
        <v>24</v>
      </c>
      <c r="AC281" s="15">
        <v>8.8000000000000007</v>
      </c>
      <c r="AD281" s="15">
        <v>0.7</v>
      </c>
      <c r="AE281" s="15">
        <v>0.94</v>
      </c>
      <c r="AF281" s="15">
        <f>(33.5*Table2[[#This Row],[C%]]+142.3*Table2[[#This Row],[H%]]-15.4*Table2[[#This Row],[O%]]-14.5*Table2[[#This Row],[N%]])/100</f>
        <v>10.742400000000002</v>
      </c>
      <c r="AG281" s="15">
        <v>1.2999999999999999E-3</v>
      </c>
      <c r="AH281" s="15"/>
      <c r="AI281" s="15"/>
      <c r="AJ281" s="15">
        <v>2.912621359223301</v>
      </c>
      <c r="AM281" s="13"/>
      <c r="AO281" s="15"/>
      <c r="AP281" s="15" t="e">
        <f>LN(25/Table2[[#This Row],[Temperature (C)]]/(1-SQRT((Table2[[#This Row],[Temperature (C)]]-5)/Table2[[#This Row],[Temperature (C)]])))/Table2[[#This Row],[b]]</f>
        <v>#DIV/0!</v>
      </c>
      <c r="AQ281" s="15">
        <f>IF(Table2[[#This Row],[b]]&lt;&gt;"",Table2[[#This Row],[T-5]], 0)</f>
        <v>0</v>
      </c>
      <c r="AR281">
        <v>10</v>
      </c>
      <c r="AT281" t="s">
        <v>503</v>
      </c>
      <c r="AU281">
        <v>150</v>
      </c>
      <c r="AV281" s="15">
        <v>59.3</v>
      </c>
      <c r="AW281" s="15">
        <v>6.5</v>
      </c>
      <c r="AX281" s="15">
        <f>100-Table2[[#This Row],[Solids wt%]]-Table2[[#This Row],[Biocrude wt%]]-Table2[[#This Row],[Gas wt%]]</f>
        <v>32.900000000000006</v>
      </c>
      <c r="AY281" s="15">
        <v>1.3</v>
      </c>
      <c r="AZ281" s="15"/>
      <c r="BA281" s="15"/>
      <c r="BB281" s="15">
        <f>IF(OR(Table2[[#This Row],[Gas wt%]]&lt;&gt;"",Table2[[#This Row],[Loss]]&lt;&gt;""),Table2[[#This Row],[Gas wt%]]+Table2[[#This Row],[Loss]],"")</f>
        <v>1.3</v>
      </c>
      <c r="BC281" s="15"/>
      <c r="BD281" s="15"/>
      <c r="BE281" s="15"/>
      <c r="BF281" s="15"/>
      <c r="BG281" s="15"/>
      <c r="BH281" s="15"/>
      <c r="BI281" s="15">
        <v>64.900000000000006</v>
      </c>
      <c r="BJ281" s="15">
        <v>9.1</v>
      </c>
      <c r="BK281" s="15">
        <v>25.4</v>
      </c>
      <c r="BL281" s="15">
        <v>0.6</v>
      </c>
      <c r="BM281" s="15"/>
      <c r="BN281" s="15">
        <v>30.7</v>
      </c>
      <c r="BO281" s="15">
        <v>8.3000000000000007</v>
      </c>
      <c r="BP281" s="15"/>
      <c r="BQ281" s="15">
        <f>Table2[[#This Row],[H% B]]/Table2[[#This Row],[C% B]]*100</f>
        <v>14.021571648690291</v>
      </c>
      <c r="BR281" s="15"/>
      <c r="BS281" s="15"/>
      <c r="BT281" s="15"/>
      <c r="BU281" s="15"/>
      <c r="BV281" s="15"/>
      <c r="BW281" s="15"/>
      <c r="BX281" s="15"/>
      <c r="BY281" s="15"/>
      <c r="BZ281" s="15"/>
      <c r="CA281" s="15"/>
      <c r="CB281" s="15"/>
      <c r="CC281" s="15"/>
      <c r="CD281" s="15"/>
      <c r="CE281" s="15"/>
      <c r="CF281" s="15">
        <v>52.7</v>
      </c>
      <c r="CG281" s="15">
        <v>7.6</v>
      </c>
      <c r="CH281" s="15">
        <v>28.6</v>
      </c>
      <c r="CI281" s="15">
        <v>10.1</v>
      </c>
      <c r="CJ281" s="15">
        <v>0.78</v>
      </c>
      <c r="CK281" s="15"/>
      <c r="CL281" s="15"/>
      <c r="CM281" s="15"/>
      <c r="CN281" s="15"/>
      <c r="CO281" s="15"/>
      <c r="CP281" s="15"/>
      <c r="CQ281" s="15"/>
      <c r="CR281" s="15"/>
      <c r="CS281" s="15"/>
      <c r="CT281" s="15"/>
      <c r="CU281" s="15"/>
      <c r="CV281" s="15"/>
      <c r="CW281" s="15"/>
      <c r="CX281" s="15"/>
      <c r="CY281" s="15"/>
      <c r="CZ281" s="15"/>
      <c r="DA281" s="15"/>
      <c r="DB281" s="15">
        <v>0</v>
      </c>
    </row>
    <row r="282" spans="1:106" x14ac:dyDescent="0.25">
      <c r="A282" t="s">
        <v>375</v>
      </c>
      <c r="B282" t="s">
        <v>204</v>
      </c>
      <c r="C282">
        <v>2019</v>
      </c>
      <c r="D282" s="16" t="s">
        <v>372</v>
      </c>
      <c r="E282">
        <v>0</v>
      </c>
      <c r="F282" s="15">
        <v>43.74374374374375</v>
      </c>
      <c r="G282" s="15"/>
      <c r="H282" s="15"/>
      <c r="I282" s="15">
        <v>41.841841841841841</v>
      </c>
      <c r="J282" s="15">
        <v>11.611611611611611</v>
      </c>
      <c r="K282" s="15"/>
      <c r="L282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82" s="15">
        <v>2.8</v>
      </c>
      <c r="Z282" s="15">
        <v>15.9</v>
      </c>
      <c r="AA282" s="15">
        <v>7.3</v>
      </c>
      <c r="AB282" s="15">
        <v>24</v>
      </c>
      <c r="AC282" s="15">
        <v>8.8000000000000007</v>
      </c>
      <c r="AD282" s="15">
        <v>0.7</v>
      </c>
      <c r="AE282" s="15">
        <v>0.94</v>
      </c>
      <c r="AF282" s="15">
        <f>(33.5*Table2[[#This Row],[C%]]+142.3*Table2[[#This Row],[H%]]-15.4*Table2[[#This Row],[O%]]-14.5*Table2[[#This Row],[N%]])/100</f>
        <v>10.742400000000002</v>
      </c>
      <c r="AG282" s="15">
        <v>1.2999999999999999E-3</v>
      </c>
      <c r="AH282" s="15"/>
      <c r="AI282" s="15"/>
      <c r="AJ282" s="15">
        <v>2.912621359223301</v>
      </c>
      <c r="AM282" s="13"/>
      <c r="AO282" s="15"/>
      <c r="AP282" s="15" t="e">
        <f>LN(25/Table2[[#This Row],[Temperature (C)]]/(1-SQRT((Table2[[#This Row],[Temperature (C)]]-5)/Table2[[#This Row],[Temperature (C)]])))/Table2[[#This Row],[b]]</f>
        <v>#DIV/0!</v>
      </c>
      <c r="AQ282" s="15">
        <f>IF(Table2[[#This Row],[b]]&lt;&gt;"",Table2[[#This Row],[T-5]], 0)</f>
        <v>0</v>
      </c>
      <c r="AR282">
        <v>100</v>
      </c>
      <c r="AT282" t="s">
        <v>503</v>
      </c>
      <c r="AU282">
        <v>150</v>
      </c>
      <c r="AV282" s="15">
        <v>49.3</v>
      </c>
      <c r="AW282" s="15">
        <v>6.5</v>
      </c>
      <c r="AX282" s="15">
        <f>100-Table2[[#This Row],[Solids wt%]]-Table2[[#This Row],[Biocrude wt%]]-Table2[[#This Row],[Gas wt%]]</f>
        <v>42.5</v>
      </c>
      <c r="AY282" s="15">
        <v>1.7</v>
      </c>
      <c r="AZ282" s="15"/>
      <c r="BA282" s="15"/>
      <c r="BB282" s="15">
        <f>IF(OR(Table2[[#This Row],[Gas wt%]]&lt;&gt;"",Table2[[#This Row],[Loss]]&lt;&gt;""),Table2[[#This Row],[Gas wt%]]+Table2[[#This Row],[Loss]],"")</f>
        <v>1.7</v>
      </c>
      <c r="BC282" s="15"/>
      <c r="BD282" s="15"/>
      <c r="BE282" s="15"/>
      <c r="BF282" s="15"/>
      <c r="BG282" s="15"/>
      <c r="BH282" s="15"/>
      <c r="BI282" s="15">
        <v>63.2</v>
      </c>
      <c r="BJ282" s="15">
        <v>8.9</v>
      </c>
      <c r="BK282" s="15">
        <v>26.8</v>
      </c>
      <c r="BL282" s="15">
        <v>1.2</v>
      </c>
      <c r="BM282" s="15"/>
      <c r="BN282" s="15">
        <v>29.7</v>
      </c>
      <c r="BO282" s="15">
        <v>8</v>
      </c>
      <c r="BP282" s="15"/>
      <c r="BQ282" s="15">
        <f>Table2[[#This Row],[H% B]]/Table2[[#This Row],[C% B]]*100</f>
        <v>14.082278481012658</v>
      </c>
      <c r="BR282" s="15"/>
      <c r="BS282" s="15"/>
      <c r="BT282" s="15"/>
      <c r="BU282" s="15"/>
      <c r="BV282" s="15"/>
      <c r="BW282" s="15"/>
      <c r="BX282" s="15"/>
      <c r="BY282" s="15"/>
      <c r="BZ282" s="15"/>
      <c r="CA282" s="15"/>
      <c r="CB282" s="15"/>
      <c r="CC282" s="15"/>
      <c r="CD282" s="15"/>
      <c r="CE282" s="15"/>
      <c r="CF282" s="15">
        <v>54.1</v>
      </c>
      <c r="CG282" s="15">
        <v>7.6</v>
      </c>
      <c r="CH282" s="15">
        <v>27.5</v>
      </c>
      <c r="CI282" s="15">
        <v>9.8000000000000007</v>
      </c>
      <c r="CJ282" s="15">
        <v>0.78</v>
      </c>
      <c r="CK282" s="15"/>
      <c r="CL282" s="15"/>
      <c r="CM282" s="15"/>
      <c r="CN282" s="15"/>
      <c r="CO282" s="15"/>
      <c r="CP282" s="15"/>
      <c r="CQ282" s="15"/>
      <c r="CR282" s="15"/>
      <c r="CS282" s="15"/>
      <c r="CT282" s="15"/>
      <c r="CU282" s="15"/>
      <c r="CV282" s="15"/>
      <c r="CW282" s="15"/>
      <c r="CX282" s="15"/>
      <c r="CY282" s="15"/>
      <c r="CZ282" s="15"/>
      <c r="DA282" s="15"/>
      <c r="DB282" s="15">
        <v>0</v>
      </c>
    </row>
    <row r="283" spans="1:106" x14ac:dyDescent="0.25">
      <c r="A283" t="s">
        <v>375</v>
      </c>
      <c r="B283" t="s">
        <v>204</v>
      </c>
      <c r="C283">
        <v>2019</v>
      </c>
      <c r="D283" s="16" t="s">
        <v>372</v>
      </c>
      <c r="E283">
        <v>0</v>
      </c>
      <c r="F283" s="15">
        <v>43.74374374374375</v>
      </c>
      <c r="G283" s="15"/>
      <c r="H283" s="15"/>
      <c r="I283" s="15">
        <v>41.841841841841841</v>
      </c>
      <c r="J283" s="15">
        <v>11.611611611611611</v>
      </c>
      <c r="K283" s="15"/>
      <c r="L283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83" s="15">
        <v>2.8</v>
      </c>
      <c r="Z283" s="15">
        <v>15.9</v>
      </c>
      <c r="AA283" s="15">
        <v>7.3</v>
      </c>
      <c r="AB283" s="15">
        <v>24</v>
      </c>
      <c r="AC283" s="15">
        <v>8.8000000000000007</v>
      </c>
      <c r="AD283" s="15">
        <v>0.7</v>
      </c>
      <c r="AE283" s="15">
        <v>0.94</v>
      </c>
      <c r="AF283" s="15">
        <f>(33.5*Table2[[#This Row],[C%]]+142.3*Table2[[#This Row],[H%]]-15.4*Table2[[#This Row],[O%]]-14.5*Table2[[#This Row],[N%]])/100</f>
        <v>10.742400000000002</v>
      </c>
      <c r="AG283" s="15">
        <v>1.2999999999999999E-3</v>
      </c>
      <c r="AH283" s="15"/>
      <c r="AI283" s="15"/>
      <c r="AJ283" s="15">
        <v>2.912621359223301</v>
      </c>
      <c r="AM283" s="13"/>
      <c r="AO283" s="15"/>
      <c r="AP283" s="15" t="e">
        <f>LN(25/Table2[[#This Row],[Temperature (C)]]/(1-SQRT((Table2[[#This Row],[Temperature (C)]]-5)/Table2[[#This Row],[Temperature (C)]])))/Table2[[#This Row],[b]]</f>
        <v>#DIV/0!</v>
      </c>
      <c r="AQ283" s="15">
        <f>IF(Table2[[#This Row],[b]]&lt;&gt;"",Table2[[#This Row],[T-5]], 0)</f>
        <v>0</v>
      </c>
      <c r="AR283">
        <v>3.2</v>
      </c>
      <c r="AT283" t="s">
        <v>503</v>
      </c>
      <c r="AU283">
        <v>200</v>
      </c>
      <c r="AV283" s="15">
        <v>47.7</v>
      </c>
      <c r="AW283" s="15">
        <v>10.7</v>
      </c>
      <c r="AX283" s="15">
        <f>100-Table2[[#This Row],[Solids wt%]]-Table2[[#This Row],[Biocrude wt%]]-Table2[[#This Row],[Gas wt%]]</f>
        <v>40.799999999999997</v>
      </c>
      <c r="AY283" s="15">
        <v>0.8</v>
      </c>
      <c r="AZ283" s="15"/>
      <c r="BA283" s="15"/>
      <c r="BB283" s="15">
        <f>IF(OR(Table2[[#This Row],[Gas wt%]]&lt;&gt;"",Table2[[#This Row],[Loss]]&lt;&gt;""),Table2[[#This Row],[Gas wt%]]+Table2[[#This Row],[Loss]],"")</f>
        <v>0.8</v>
      </c>
      <c r="BC283" s="15"/>
      <c r="BD283" s="15"/>
      <c r="BE283" s="15"/>
      <c r="BF283" s="15"/>
      <c r="BG283" s="15"/>
      <c r="BH283" s="15"/>
      <c r="BI283" s="15">
        <v>63.1</v>
      </c>
      <c r="BJ283" s="15">
        <v>8.9</v>
      </c>
      <c r="BK283" s="15">
        <v>27.1</v>
      </c>
      <c r="BL283" s="15">
        <v>1</v>
      </c>
      <c r="BM283" s="15"/>
      <c r="BN283" s="15">
        <v>29.7</v>
      </c>
      <c r="BO283" s="15">
        <v>13.2</v>
      </c>
      <c r="BP283" s="15"/>
      <c r="BQ283" s="15">
        <f>Table2[[#This Row],[H% B]]/Table2[[#This Row],[C% B]]*100</f>
        <v>14.104595879556262</v>
      </c>
      <c r="BR283" s="15"/>
      <c r="BS283" s="15"/>
      <c r="BT283" s="15"/>
      <c r="BU283" s="15"/>
      <c r="BV283" s="15"/>
      <c r="BW283" s="15"/>
      <c r="BX283" s="15"/>
      <c r="BY283" s="15"/>
      <c r="BZ283" s="15"/>
      <c r="CA283" s="15"/>
      <c r="CB283" s="15"/>
      <c r="CC283" s="15"/>
      <c r="CD283" s="15"/>
      <c r="CE283" s="15"/>
      <c r="CF283" s="15">
        <v>54.4</v>
      </c>
      <c r="CG283" s="15">
        <v>7.6</v>
      </c>
      <c r="CH283" s="15">
        <v>27.1</v>
      </c>
      <c r="CI283" s="15">
        <v>9.9</v>
      </c>
      <c r="CJ283" s="15">
        <v>0.78</v>
      </c>
      <c r="CK283" s="15"/>
      <c r="CL283" s="15"/>
      <c r="CM283" s="15"/>
      <c r="CN283" s="15"/>
      <c r="CO283" s="15"/>
      <c r="CP283" s="15"/>
      <c r="CQ283" s="15"/>
      <c r="CR283" s="15"/>
      <c r="CS283" s="15"/>
      <c r="CT283" s="15"/>
      <c r="CU283" s="15"/>
      <c r="CV283" s="15"/>
      <c r="CW283" s="15"/>
      <c r="CX283" s="15"/>
      <c r="CY283" s="15"/>
      <c r="CZ283" s="15"/>
      <c r="DA283" s="15"/>
      <c r="DB283" s="15">
        <v>0</v>
      </c>
    </row>
    <row r="284" spans="1:106" x14ac:dyDescent="0.25">
      <c r="A284" t="s">
        <v>375</v>
      </c>
      <c r="B284" t="s">
        <v>204</v>
      </c>
      <c r="C284">
        <v>2019</v>
      </c>
      <c r="D284" s="16" t="s">
        <v>372</v>
      </c>
      <c r="E284">
        <v>0</v>
      </c>
      <c r="F284" s="15">
        <v>43.74374374374375</v>
      </c>
      <c r="G284" s="15"/>
      <c r="H284" s="15"/>
      <c r="I284" s="15">
        <v>41.841841841841841</v>
      </c>
      <c r="J284" s="15">
        <v>11.611611611611611</v>
      </c>
      <c r="K284" s="15"/>
      <c r="L284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84" s="15">
        <v>2.8</v>
      </c>
      <c r="Z284" s="15">
        <v>15.9</v>
      </c>
      <c r="AA284" s="15">
        <v>7.3</v>
      </c>
      <c r="AB284" s="15">
        <v>24</v>
      </c>
      <c r="AC284" s="15">
        <v>8.8000000000000007</v>
      </c>
      <c r="AD284" s="15">
        <v>0.7</v>
      </c>
      <c r="AE284" s="15">
        <v>0.94</v>
      </c>
      <c r="AF284" s="15">
        <f>(33.5*Table2[[#This Row],[C%]]+142.3*Table2[[#This Row],[H%]]-15.4*Table2[[#This Row],[O%]]-14.5*Table2[[#This Row],[N%]])/100</f>
        <v>10.742400000000002</v>
      </c>
      <c r="AG284" s="15">
        <v>1.2999999999999999E-3</v>
      </c>
      <c r="AH284" s="15"/>
      <c r="AI284" s="15"/>
      <c r="AJ284" s="15">
        <v>2.912621359223301</v>
      </c>
      <c r="AM284" s="13"/>
      <c r="AO284" s="15"/>
      <c r="AP284" s="15" t="e">
        <f>LN(25/Table2[[#This Row],[Temperature (C)]]/(1-SQRT((Table2[[#This Row],[Temperature (C)]]-5)/Table2[[#This Row],[Temperature (C)]])))/Table2[[#This Row],[b]]</f>
        <v>#DIV/0!</v>
      </c>
      <c r="AQ284" s="15">
        <f>IF(Table2[[#This Row],[b]]&lt;&gt;"",Table2[[#This Row],[T-5]], 0)</f>
        <v>0</v>
      </c>
      <c r="AR284">
        <v>31.6</v>
      </c>
      <c r="AT284" t="s">
        <v>503</v>
      </c>
      <c r="AU284">
        <v>200</v>
      </c>
      <c r="AV284" s="15">
        <v>22.1</v>
      </c>
      <c r="AW284" s="15">
        <v>18.600000000000001</v>
      </c>
      <c r="AX284" s="15">
        <f>100-Table2[[#This Row],[Solids wt%]]-Table2[[#This Row],[Biocrude wt%]]-Table2[[#This Row],[Gas wt%]]</f>
        <v>57.1</v>
      </c>
      <c r="AY284" s="15">
        <v>2.2000000000000002</v>
      </c>
      <c r="AZ284" s="15"/>
      <c r="BA284" s="15"/>
      <c r="BB284" s="15">
        <f>IF(OR(Table2[[#This Row],[Gas wt%]]&lt;&gt;"",Table2[[#This Row],[Loss]]&lt;&gt;""),Table2[[#This Row],[Gas wt%]]+Table2[[#This Row],[Loss]],"")</f>
        <v>2.2000000000000002</v>
      </c>
      <c r="BC284" s="15"/>
      <c r="BD284" s="15"/>
      <c r="BE284" s="15"/>
      <c r="BF284" s="15"/>
      <c r="BG284" s="15"/>
      <c r="BH284" s="15"/>
      <c r="BI284" s="15">
        <v>64.900000000000006</v>
      </c>
      <c r="BJ284" s="15">
        <v>9.1</v>
      </c>
      <c r="BK284" s="15">
        <v>24.1</v>
      </c>
      <c r="BL284" s="15">
        <v>1.7</v>
      </c>
      <c r="BM284" s="15">
        <v>0.22</v>
      </c>
      <c r="BN284" s="15">
        <v>30.9</v>
      </c>
      <c r="BO284" s="15">
        <v>23.9</v>
      </c>
      <c r="BP284" s="15"/>
      <c r="BQ284" s="15">
        <f>Table2[[#This Row],[H% B]]/Table2[[#This Row],[C% B]]*100</f>
        <v>14.021571648690291</v>
      </c>
      <c r="BR284" s="15"/>
      <c r="BS284" s="15"/>
      <c r="BT284" s="15"/>
      <c r="BU284" s="15"/>
      <c r="BV284" s="15"/>
      <c r="BW284" s="15"/>
      <c r="BX284" s="15"/>
      <c r="BY284" s="15"/>
      <c r="BZ284" s="15"/>
      <c r="CA284" s="15"/>
      <c r="CB284" s="15"/>
      <c r="CC284" s="15"/>
      <c r="CD284" s="15"/>
      <c r="CE284" s="15"/>
      <c r="CF284" s="15">
        <v>54</v>
      </c>
      <c r="CG284" s="15">
        <v>7.5</v>
      </c>
      <c r="CH284" s="15">
        <v>25.9</v>
      </c>
      <c r="CI284" s="15">
        <v>9.5</v>
      </c>
      <c r="CJ284" s="15">
        <v>0.74</v>
      </c>
      <c r="CK284" s="15"/>
      <c r="CL284" s="15"/>
      <c r="CM284" s="15"/>
      <c r="CN284" s="15"/>
      <c r="CO284" s="15"/>
      <c r="CP284" s="15"/>
      <c r="CQ284" s="15"/>
      <c r="CR284" s="15"/>
      <c r="CS284" s="15"/>
      <c r="CT284" s="15"/>
      <c r="CU284" s="15"/>
      <c r="CV284" s="15"/>
      <c r="CW284" s="15"/>
      <c r="CX284" s="15"/>
      <c r="CY284" s="15"/>
      <c r="CZ284" s="15"/>
      <c r="DA284" s="15"/>
      <c r="DB284" s="15">
        <v>0</v>
      </c>
    </row>
    <row r="285" spans="1:106" x14ac:dyDescent="0.25">
      <c r="A285" t="s">
        <v>375</v>
      </c>
      <c r="B285" t="s">
        <v>204</v>
      </c>
      <c r="C285">
        <v>2019</v>
      </c>
      <c r="D285" s="16" t="s">
        <v>372</v>
      </c>
      <c r="E285">
        <v>0</v>
      </c>
      <c r="F285" s="15">
        <v>43.74374374374375</v>
      </c>
      <c r="G285" s="15"/>
      <c r="H285" s="15"/>
      <c r="I285" s="15">
        <v>41.841841841841841</v>
      </c>
      <c r="J285" s="15">
        <v>11.611611611611611</v>
      </c>
      <c r="K285" s="15"/>
      <c r="L285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85" s="15">
        <v>2.8</v>
      </c>
      <c r="Z285" s="15">
        <v>15.9</v>
      </c>
      <c r="AA285" s="15">
        <v>7.3</v>
      </c>
      <c r="AB285" s="15">
        <v>24</v>
      </c>
      <c r="AC285" s="15">
        <v>8.8000000000000007</v>
      </c>
      <c r="AD285" s="15">
        <v>0.7</v>
      </c>
      <c r="AE285" s="15">
        <v>0.94</v>
      </c>
      <c r="AF285" s="15">
        <f>(33.5*Table2[[#This Row],[C%]]+142.3*Table2[[#This Row],[H%]]-15.4*Table2[[#This Row],[O%]]-14.5*Table2[[#This Row],[N%]])/100</f>
        <v>10.742400000000002</v>
      </c>
      <c r="AG285" s="15">
        <v>1.2999999999999999E-3</v>
      </c>
      <c r="AH285" s="15"/>
      <c r="AI285" s="15"/>
      <c r="AJ285" s="15">
        <v>2.912621359223301</v>
      </c>
      <c r="AM285" s="13"/>
      <c r="AO285" s="15"/>
      <c r="AP285" s="15" t="e">
        <f>LN(25/Table2[[#This Row],[Temperature (C)]]/(1-SQRT((Table2[[#This Row],[Temperature (C)]]-5)/Table2[[#This Row],[Temperature (C)]])))/Table2[[#This Row],[b]]</f>
        <v>#DIV/0!</v>
      </c>
      <c r="AQ285" s="15">
        <f>IF(Table2[[#This Row],[b]]&lt;&gt;"",Table2[[#This Row],[T-5]], 0)</f>
        <v>0</v>
      </c>
      <c r="AR285">
        <v>1</v>
      </c>
      <c r="AT285" t="s">
        <v>503</v>
      </c>
      <c r="AU285">
        <v>250</v>
      </c>
      <c r="AV285" s="15">
        <v>38.200000000000003</v>
      </c>
      <c r="AW285" s="15">
        <v>14.5</v>
      </c>
      <c r="AX285" s="15">
        <f>100-Table2[[#This Row],[Solids wt%]]-Table2[[#This Row],[Biocrude wt%]]-Table2[[#This Row],[Gas wt%]]</f>
        <v>45.599999999999994</v>
      </c>
      <c r="AY285" s="15">
        <v>1.7</v>
      </c>
      <c r="AZ285" s="15"/>
      <c r="BA285" s="15"/>
      <c r="BB285" s="15">
        <f>IF(OR(Table2[[#This Row],[Gas wt%]]&lt;&gt;"",Table2[[#This Row],[Loss]]&lt;&gt;""),Table2[[#This Row],[Gas wt%]]+Table2[[#This Row],[Loss]],"")</f>
        <v>1.7</v>
      </c>
      <c r="BC285" s="15"/>
      <c r="BD285" s="15"/>
      <c r="BE285" s="15"/>
      <c r="BF285" s="15"/>
      <c r="BG285" s="15"/>
      <c r="BH285" s="15"/>
      <c r="BI285" s="15">
        <v>62.9</v>
      </c>
      <c r="BJ285" s="15">
        <v>8.6999999999999993</v>
      </c>
      <c r="BK285" s="15">
        <v>26.8</v>
      </c>
      <c r="BL285" s="15">
        <v>1.5</v>
      </c>
      <c r="BM285" s="15">
        <v>0.19</v>
      </c>
      <c r="BN285" s="15">
        <v>29.4</v>
      </c>
      <c r="BO285" s="15">
        <v>17.7</v>
      </c>
      <c r="BP285" s="15"/>
      <c r="BQ285" s="15">
        <f>Table2[[#This Row],[H% B]]/Table2[[#This Row],[C% B]]*100</f>
        <v>13.831478537360889</v>
      </c>
      <c r="BR285" s="15"/>
      <c r="BS285" s="15"/>
      <c r="BT285" s="15"/>
      <c r="BU285" s="15"/>
      <c r="BV285" s="15"/>
      <c r="BW285" s="15"/>
      <c r="BX285" s="15"/>
      <c r="BY285" s="15"/>
      <c r="BZ285" s="15"/>
      <c r="CA285" s="15"/>
      <c r="CB285" s="15"/>
      <c r="CC285" s="15"/>
      <c r="CD285" s="15"/>
      <c r="CE285" s="15"/>
      <c r="CF285" s="15">
        <v>54.6</v>
      </c>
      <c r="CG285" s="15">
        <v>7.7</v>
      </c>
      <c r="CH285" s="15">
        <v>25.8</v>
      </c>
      <c r="CI285" s="15">
        <v>10.7</v>
      </c>
      <c r="CJ285" s="15">
        <v>0.81</v>
      </c>
      <c r="CK285" s="15"/>
      <c r="CL285" s="15"/>
      <c r="CM285" s="15"/>
      <c r="CN285" s="15"/>
      <c r="CO285" s="15"/>
      <c r="CP285" s="15"/>
      <c r="CQ285" s="15"/>
      <c r="CR285" s="15"/>
      <c r="CS285" s="15"/>
      <c r="CT285" s="15"/>
      <c r="CU285" s="15"/>
      <c r="CV285" s="15"/>
      <c r="CW285" s="15"/>
      <c r="CX285" s="15"/>
      <c r="CY285" s="15"/>
      <c r="CZ285" s="15"/>
      <c r="DA285" s="15"/>
      <c r="DB285" s="15">
        <v>0</v>
      </c>
    </row>
    <row r="286" spans="1:106" x14ac:dyDescent="0.25">
      <c r="A286" t="s">
        <v>375</v>
      </c>
      <c r="B286" t="s">
        <v>204</v>
      </c>
      <c r="C286">
        <v>2019</v>
      </c>
      <c r="D286" s="16" t="s">
        <v>372</v>
      </c>
      <c r="E286">
        <v>0</v>
      </c>
      <c r="F286" s="15">
        <v>43.74374374374375</v>
      </c>
      <c r="G286" s="15"/>
      <c r="H286" s="15"/>
      <c r="I286" s="15">
        <v>41.841841841841841</v>
      </c>
      <c r="J286" s="15">
        <v>11.611611611611611</v>
      </c>
      <c r="K286" s="15"/>
      <c r="L286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86" s="15">
        <v>2.8</v>
      </c>
      <c r="Z286" s="15">
        <v>15.9</v>
      </c>
      <c r="AA286" s="15">
        <v>7.3</v>
      </c>
      <c r="AB286" s="15">
        <v>24</v>
      </c>
      <c r="AC286" s="15">
        <v>8.8000000000000007</v>
      </c>
      <c r="AD286" s="15">
        <v>0.7</v>
      </c>
      <c r="AE286" s="15">
        <v>0.94</v>
      </c>
      <c r="AF286" s="15">
        <f>(33.5*Table2[[#This Row],[C%]]+142.3*Table2[[#This Row],[H%]]-15.4*Table2[[#This Row],[O%]]-14.5*Table2[[#This Row],[N%]])/100</f>
        <v>10.742400000000002</v>
      </c>
      <c r="AG286" s="15">
        <v>1.2999999999999999E-3</v>
      </c>
      <c r="AH286" s="15"/>
      <c r="AI286" s="15"/>
      <c r="AJ286" s="15">
        <v>2.912621359223301</v>
      </c>
      <c r="AM286" s="13"/>
      <c r="AO286" s="15"/>
      <c r="AP286" s="15" t="e">
        <f>LN(25/Table2[[#This Row],[Temperature (C)]]/(1-SQRT((Table2[[#This Row],[Temperature (C)]]-5)/Table2[[#This Row],[Temperature (C)]])))/Table2[[#This Row],[b]]</f>
        <v>#DIV/0!</v>
      </c>
      <c r="AQ286" s="15">
        <f>IF(Table2[[#This Row],[b]]&lt;&gt;"",Table2[[#This Row],[T-5]], 0)</f>
        <v>0</v>
      </c>
      <c r="AR286">
        <v>10</v>
      </c>
      <c r="AT286" t="s">
        <v>503</v>
      </c>
      <c r="AU286">
        <v>250</v>
      </c>
      <c r="AV286" s="15">
        <v>10.6</v>
      </c>
      <c r="AW286" s="15">
        <v>25.6</v>
      </c>
      <c r="AX286" s="15">
        <f>100-Table2[[#This Row],[Solids wt%]]-Table2[[#This Row],[Biocrude wt%]]-Table2[[#This Row],[Gas wt%]]</f>
        <v>58.500000000000007</v>
      </c>
      <c r="AY286" s="15">
        <v>5.3</v>
      </c>
      <c r="AZ286" s="15"/>
      <c r="BA286" s="15"/>
      <c r="BB286" s="15">
        <f>IF(OR(Table2[[#This Row],[Gas wt%]]&lt;&gt;"",Table2[[#This Row],[Loss]]&lt;&gt;""),Table2[[#This Row],[Gas wt%]]+Table2[[#This Row],[Loss]],"")</f>
        <v>5.3</v>
      </c>
      <c r="BC286" s="15"/>
      <c r="BD286" s="15"/>
      <c r="BE286" s="15"/>
      <c r="BF286" s="15"/>
      <c r="BG286" s="15"/>
      <c r="BH286" s="15"/>
      <c r="BI286" s="15">
        <v>65</v>
      </c>
      <c r="BJ286" s="15">
        <v>8.6</v>
      </c>
      <c r="BK286" s="15">
        <v>22.4</v>
      </c>
      <c r="BL286" s="15">
        <v>3.6</v>
      </c>
      <c r="BM286" s="15">
        <v>0.48</v>
      </c>
      <c r="BN286" s="15">
        <v>30.4</v>
      </c>
      <c r="BO286" s="15">
        <v>32.4</v>
      </c>
      <c r="BP286" s="15"/>
      <c r="BQ286" s="15">
        <f>Table2[[#This Row],[H% B]]/Table2[[#This Row],[C% B]]*100</f>
        <v>13.23076923076923</v>
      </c>
      <c r="BR286" s="15"/>
      <c r="BS286" s="15"/>
      <c r="BT286" s="15"/>
      <c r="BU286" s="15"/>
      <c r="BV286" s="15"/>
      <c r="BW286" s="15"/>
      <c r="BX286" s="15"/>
      <c r="BY286" s="15"/>
      <c r="BZ286" s="15"/>
      <c r="CA286" s="15"/>
      <c r="CB286" s="15"/>
      <c r="CC286" s="15"/>
      <c r="CD286" s="15"/>
      <c r="CE286" s="15"/>
      <c r="CF286" s="15">
        <v>58.2</v>
      </c>
      <c r="CG286" s="15">
        <v>7.4</v>
      </c>
      <c r="CH286" s="15">
        <v>24.2</v>
      </c>
      <c r="CI286" s="15">
        <v>8.6999999999999993</v>
      </c>
      <c r="CJ286" s="15">
        <v>0.65</v>
      </c>
      <c r="CK286" s="15"/>
      <c r="CL286" s="15"/>
      <c r="CM286" s="15"/>
      <c r="CN286" s="15"/>
      <c r="CO286" s="15"/>
      <c r="CP286" s="15"/>
      <c r="CQ286" s="15"/>
      <c r="CR286" s="15"/>
      <c r="CS286" s="15"/>
      <c r="CT286" s="15"/>
      <c r="CU286" s="15"/>
      <c r="CV286" s="15"/>
      <c r="CW286" s="15"/>
      <c r="CX286" s="15"/>
      <c r="CY286" s="15"/>
      <c r="CZ286" s="15"/>
      <c r="DA286" s="15"/>
      <c r="DB286" s="15">
        <v>0</v>
      </c>
    </row>
    <row r="287" spans="1:106" x14ac:dyDescent="0.25">
      <c r="A287" t="s">
        <v>375</v>
      </c>
      <c r="B287" t="s">
        <v>204</v>
      </c>
      <c r="C287">
        <v>2019</v>
      </c>
      <c r="D287" s="16" t="s">
        <v>372</v>
      </c>
      <c r="E287">
        <v>0</v>
      </c>
      <c r="F287" s="15">
        <v>43.74374374374375</v>
      </c>
      <c r="G287" s="15"/>
      <c r="H287" s="15"/>
      <c r="I287" s="15">
        <v>41.841841841841841</v>
      </c>
      <c r="J287" s="15">
        <v>11.611611611611611</v>
      </c>
      <c r="K287" s="15"/>
      <c r="L287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87" s="15">
        <v>2.8</v>
      </c>
      <c r="Z287" s="15">
        <v>15.9</v>
      </c>
      <c r="AA287" s="15">
        <v>7.3</v>
      </c>
      <c r="AB287" s="15">
        <v>24</v>
      </c>
      <c r="AC287" s="15">
        <v>8.8000000000000007</v>
      </c>
      <c r="AD287" s="15">
        <v>0.7</v>
      </c>
      <c r="AE287" s="15">
        <v>0.94</v>
      </c>
      <c r="AF287" s="15">
        <f>(33.5*Table2[[#This Row],[C%]]+142.3*Table2[[#This Row],[H%]]-15.4*Table2[[#This Row],[O%]]-14.5*Table2[[#This Row],[N%]])/100</f>
        <v>10.742400000000002</v>
      </c>
      <c r="AG287" s="15">
        <v>1.2999999999999999E-3</v>
      </c>
      <c r="AH287" s="15"/>
      <c r="AI287" s="15"/>
      <c r="AJ287" s="15">
        <v>2.912621359223301</v>
      </c>
      <c r="AM287" s="13"/>
      <c r="AO287" s="15"/>
      <c r="AP287" s="15" t="e">
        <f>LN(25/Table2[[#This Row],[Temperature (C)]]/(1-SQRT((Table2[[#This Row],[Temperature (C)]]-5)/Table2[[#This Row],[Temperature (C)]])))/Table2[[#This Row],[b]]</f>
        <v>#DIV/0!</v>
      </c>
      <c r="AQ287" s="15">
        <f>IF(Table2[[#This Row],[b]]&lt;&gt;"",Table2[[#This Row],[T-5]], 0)</f>
        <v>0</v>
      </c>
      <c r="AR287">
        <v>100</v>
      </c>
      <c r="AT287" t="s">
        <v>503</v>
      </c>
      <c r="AU287">
        <v>250</v>
      </c>
      <c r="AV287" s="15">
        <v>1.7</v>
      </c>
      <c r="AW287" s="15">
        <v>35.1</v>
      </c>
      <c r="AX287" s="15">
        <f>100-Table2[[#This Row],[Solids wt%]]-Table2[[#This Row],[Biocrude wt%]]-Table2[[#This Row],[Gas wt%]]</f>
        <v>60.099999999999994</v>
      </c>
      <c r="AY287" s="15">
        <v>3.1</v>
      </c>
      <c r="AZ287" s="15"/>
      <c r="BA287" s="15"/>
      <c r="BB287" s="15">
        <f>IF(OR(Table2[[#This Row],[Gas wt%]]&lt;&gt;"",Table2[[#This Row],[Loss]]&lt;&gt;""),Table2[[#This Row],[Gas wt%]]+Table2[[#This Row],[Loss]],"")</f>
        <v>3.1</v>
      </c>
      <c r="BC287" s="15"/>
      <c r="BD287" s="15"/>
      <c r="BE287" s="15"/>
      <c r="BF287" s="15"/>
      <c r="BG287" s="15"/>
      <c r="BH287" s="15"/>
      <c r="BI287" s="15">
        <v>73.2</v>
      </c>
      <c r="BJ287" s="15">
        <v>9.4</v>
      </c>
      <c r="BK287" s="15">
        <v>11.7</v>
      </c>
      <c r="BL287" s="15">
        <v>5.0999999999999996</v>
      </c>
      <c r="BM287" s="15">
        <v>0.66</v>
      </c>
      <c r="BN287" s="15">
        <v>35.299999999999997</v>
      </c>
      <c r="BO287" s="15">
        <v>51.6</v>
      </c>
      <c r="BP287" s="15"/>
      <c r="BQ287" s="15">
        <f>Table2[[#This Row],[H% B]]/Table2[[#This Row],[C% B]]*100</f>
        <v>12.841530054644808</v>
      </c>
      <c r="BR287" s="15"/>
      <c r="BS287" s="15"/>
      <c r="BT287" s="15"/>
      <c r="BU287" s="15"/>
      <c r="BV287" s="15"/>
      <c r="BW287" s="15"/>
      <c r="BX287" s="15"/>
      <c r="BY287" s="15"/>
      <c r="BZ287" s="15"/>
      <c r="CA287" s="15"/>
      <c r="CB287" s="15"/>
      <c r="CC287" s="15"/>
      <c r="CD287" s="15"/>
      <c r="CE287" s="15"/>
      <c r="CF287" s="15"/>
      <c r="CG287" s="15"/>
      <c r="CH287" s="15"/>
      <c r="CI287" s="15"/>
      <c r="CJ287" s="15"/>
      <c r="CK287" s="15"/>
      <c r="CL287" s="15"/>
      <c r="CM287" s="15"/>
      <c r="CN287" s="15"/>
      <c r="CO287" s="15"/>
      <c r="CP287" s="15"/>
      <c r="CQ287" s="15"/>
      <c r="CR287" s="15"/>
      <c r="CS287" s="15"/>
      <c r="CT287" s="15"/>
      <c r="CU287" s="15"/>
      <c r="CV287" s="15"/>
      <c r="CW287" s="15"/>
      <c r="CX287" s="15"/>
      <c r="CY287" s="15"/>
      <c r="CZ287" s="15"/>
      <c r="DA287" s="15"/>
      <c r="DB287" s="15">
        <v>0</v>
      </c>
    </row>
    <row r="288" spans="1:106" x14ac:dyDescent="0.25">
      <c r="A288" t="s">
        <v>375</v>
      </c>
      <c r="B288" t="s">
        <v>204</v>
      </c>
      <c r="C288">
        <v>2019</v>
      </c>
      <c r="D288" s="16" t="s">
        <v>372</v>
      </c>
      <c r="E288">
        <v>0</v>
      </c>
      <c r="F288" s="15">
        <v>43.74374374374375</v>
      </c>
      <c r="G288" s="15"/>
      <c r="H288" s="15"/>
      <c r="I288" s="15">
        <v>41.841841841841841</v>
      </c>
      <c r="J288" s="15">
        <v>11.611611611611611</v>
      </c>
      <c r="K288" s="15"/>
      <c r="L288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88" s="15">
        <v>2.8</v>
      </c>
      <c r="Z288" s="15">
        <v>15.9</v>
      </c>
      <c r="AA288" s="15">
        <v>7.3</v>
      </c>
      <c r="AB288" s="15">
        <v>24</v>
      </c>
      <c r="AC288" s="15">
        <v>8.8000000000000007</v>
      </c>
      <c r="AD288" s="15">
        <v>0.7</v>
      </c>
      <c r="AE288" s="15">
        <v>0.94</v>
      </c>
      <c r="AF288" s="15">
        <f>(33.5*Table2[[#This Row],[C%]]+142.3*Table2[[#This Row],[H%]]-15.4*Table2[[#This Row],[O%]]-14.5*Table2[[#This Row],[N%]])/100</f>
        <v>10.742400000000002</v>
      </c>
      <c r="AG288" s="15">
        <v>1.2999999999999999E-3</v>
      </c>
      <c r="AH288" s="15"/>
      <c r="AI288" s="15"/>
      <c r="AJ288" s="15">
        <v>2.912621359223301</v>
      </c>
      <c r="AM288" s="13"/>
      <c r="AO288" s="15"/>
      <c r="AP288" s="15" t="e">
        <f>LN(25/Table2[[#This Row],[Temperature (C)]]/(1-SQRT((Table2[[#This Row],[Temperature (C)]]-5)/Table2[[#This Row],[Temperature (C)]])))/Table2[[#This Row],[b]]</f>
        <v>#DIV/0!</v>
      </c>
      <c r="AQ288" s="15">
        <f>IF(Table2[[#This Row],[b]]&lt;&gt;"",Table2[[#This Row],[T-5]], 0)</f>
        <v>0</v>
      </c>
      <c r="AR288">
        <v>3.2</v>
      </c>
      <c r="AT288" t="s">
        <v>503</v>
      </c>
      <c r="AU288">
        <v>300</v>
      </c>
      <c r="AV288" s="15">
        <v>4.2</v>
      </c>
      <c r="AW288" s="15">
        <v>29.5</v>
      </c>
      <c r="AX288" s="15">
        <f>100-Table2[[#This Row],[Solids wt%]]-Table2[[#This Row],[Biocrude wt%]]-Table2[[#This Row],[Gas wt%]]</f>
        <v>61.4</v>
      </c>
      <c r="AY288" s="15">
        <v>4.9000000000000004</v>
      </c>
      <c r="AZ288" s="15"/>
      <c r="BA288" s="15"/>
      <c r="BB288" s="15">
        <f>IF(OR(Table2[[#This Row],[Gas wt%]]&lt;&gt;"",Table2[[#This Row],[Loss]]&lt;&gt;""),Table2[[#This Row],[Gas wt%]]+Table2[[#This Row],[Loss]],"")</f>
        <v>4.9000000000000004</v>
      </c>
      <c r="BC288" s="15"/>
      <c r="BD288" s="15"/>
      <c r="BE288" s="15"/>
      <c r="BF288" s="15"/>
      <c r="BG288" s="15"/>
      <c r="BH288" s="15"/>
      <c r="BI288" s="15">
        <v>64.599999999999994</v>
      </c>
      <c r="BJ288" s="15">
        <v>8.5</v>
      </c>
      <c r="BK288" s="15">
        <v>22</v>
      </c>
      <c r="BL288" s="15">
        <v>4.4000000000000004</v>
      </c>
      <c r="BM288" s="15">
        <v>0.57999999999999996</v>
      </c>
      <c r="BN288" s="15">
        <v>30.2</v>
      </c>
      <c r="BO288" s="15">
        <v>37.200000000000003</v>
      </c>
      <c r="BP288" s="15"/>
      <c r="BQ288" s="15">
        <f>Table2[[#This Row],[H% B]]/Table2[[#This Row],[C% B]]*100</f>
        <v>13.157894736842108</v>
      </c>
      <c r="BR288" s="15"/>
      <c r="BS288" s="15"/>
      <c r="BT288" s="15"/>
      <c r="BU288" s="15"/>
      <c r="BV288" s="15"/>
      <c r="BW288" s="15"/>
      <c r="BX288" s="15"/>
      <c r="BY288" s="15"/>
      <c r="BZ288" s="15"/>
      <c r="CA288" s="15"/>
      <c r="CB288" s="15"/>
      <c r="CC288" s="15"/>
      <c r="CD288" s="15"/>
      <c r="CE288" s="15"/>
      <c r="CF288" s="15"/>
      <c r="CG288" s="15"/>
      <c r="CH288" s="15"/>
      <c r="CI288" s="15"/>
      <c r="CJ288" s="15"/>
      <c r="CK288" s="15"/>
      <c r="CL288" s="15"/>
      <c r="CM288" s="15"/>
      <c r="CN288" s="15"/>
      <c r="CO288" s="15"/>
      <c r="CP288" s="15"/>
      <c r="CQ288" s="15"/>
      <c r="CR288" s="15"/>
      <c r="CS288" s="15"/>
      <c r="CT288" s="15"/>
      <c r="CU288" s="15"/>
      <c r="CV288" s="15"/>
      <c r="CW288" s="15"/>
      <c r="CX288" s="15"/>
      <c r="CY288" s="15"/>
      <c r="CZ288" s="15"/>
      <c r="DA288" s="15"/>
      <c r="DB288" s="15">
        <v>0</v>
      </c>
    </row>
    <row r="289" spans="1:106" x14ac:dyDescent="0.25">
      <c r="A289" t="s">
        <v>375</v>
      </c>
      <c r="B289" t="s">
        <v>204</v>
      </c>
      <c r="C289">
        <v>2019</v>
      </c>
      <c r="D289" s="16" t="s">
        <v>372</v>
      </c>
      <c r="E289">
        <v>0</v>
      </c>
      <c r="F289" s="15">
        <v>43.74374374374375</v>
      </c>
      <c r="G289" s="15"/>
      <c r="H289" s="15"/>
      <c r="I289" s="15">
        <v>41.841841841841841</v>
      </c>
      <c r="J289" s="15">
        <v>11.611611611611611</v>
      </c>
      <c r="K289" s="15"/>
      <c r="L289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89" s="15">
        <v>2.8</v>
      </c>
      <c r="Z289" s="15">
        <v>15.9</v>
      </c>
      <c r="AA289" s="15">
        <v>7.3</v>
      </c>
      <c r="AB289" s="15">
        <v>24</v>
      </c>
      <c r="AC289" s="15">
        <v>8.8000000000000007</v>
      </c>
      <c r="AD289" s="15">
        <v>0.7</v>
      </c>
      <c r="AE289" s="15">
        <v>0.94</v>
      </c>
      <c r="AF289" s="15">
        <f>(33.5*Table2[[#This Row],[C%]]+142.3*Table2[[#This Row],[H%]]-15.4*Table2[[#This Row],[O%]]-14.5*Table2[[#This Row],[N%]])/100</f>
        <v>10.742400000000002</v>
      </c>
      <c r="AG289" s="15">
        <v>1.2999999999999999E-3</v>
      </c>
      <c r="AH289" s="15"/>
      <c r="AI289" s="15"/>
      <c r="AJ289" s="15">
        <v>2.912621359223301</v>
      </c>
      <c r="AM289" s="13"/>
      <c r="AO289" s="15"/>
      <c r="AP289" s="15" t="e">
        <f>LN(25/Table2[[#This Row],[Temperature (C)]]/(1-SQRT((Table2[[#This Row],[Temperature (C)]]-5)/Table2[[#This Row],[Temperature (C)]])))/Table2[[#This Row],[b]]</f>
        <v>#DIV/0!</v>
      </c>
      <c r="AQ289" s="15">
        <f>IF(Table2[[#This Row],[b]]&lt;&gt;"",Table2[[#This Row],[T-5]], 0)</f>
        <v>0</v>
      </c>
      <c r="AR289">
        <v>31.6</v>
      </c>
      <c r="AT289" t="s">
        <v>503</v>
      </c>
      <c r="AU289">
        <v>300</v>
      </c>
      <c r="AV289" s="15">
        <v>1.7</v>
      </c>
      <c r="AW289" s="15">
        <v>31.7</v>
      </c>
      <c r="AX289" s="15">
        <f>100-Table2[[#This Row],[Solids wt%]]-Table2[[#This Row],[Biocrude wt%]]-Table2[[#This Row],[Gas wt%]]</f>
        <v>62.099999999999994</v>
      </c>
      <c r="AY289" s="15">
        <v>4.5</v>
      </c>
      <c r="AZ289" s="15"/>
      <c r="BA289" s="15"/>
      <c r="BB289" s="15">
        <f>IF(OR(Table2[[#This Row],[Gas wt%]]&lt;&gt;"",Table2[[#This Row],[Loss]]&lt;&gt;""),Table2[[#This Row],[Gas wt%]]+Table2[[#This Row],[Loss]],"")</f>
        <v>4.5</v>
      </c>
      <c r="BC289" s="15"/>
      <c r="BD289" s="15"/>
      <c r="BE289" s="15"/>
      <c r="BF289" s="15"/>
      <c r="BG289" s="15"/>
      <c r="BH289" s="15"/>
      <c r="BI289" s="15">
        <v>74.099999999999994</v>
      </c>
      <c r="BJ289" s="15">
        <v>9.5</v>
      </c>
      <c r="BK289" s="15">
        <v>10.7</v>
      </c>
      <c r="BL289" s="15">
        <v>5</v>
      </c>
      <c r="BM289" s="15">
        <v>0.69</v>
      </c>
      <c r="BN289" s="15">
        <v>35.9</v>
      </c>
      <c r="BO289" s="15">
        <v>47.4</v>
      </c>
      <c r="BP289" s="15"/>
      <c r="BQ289" s="15">
        <f>Table2[[#This Row],[H% B]]/Table2[[#This Row],[C% B]]*100</f>
        <v>12.820512820512823</v>
      </c>
      <c r="BR289" s="15"/>
      <c r="BS289" s="15"/>
      <c r="BT289" s="15"/>
      <c r="BU289" s="15"/>
      <c r="BV289" s="15"/>
      <c r="BW289" s="15"/>
      <c r="BX289" s="15"/>
      <c r="BY289" s="15"/>
      <c r="BZ289" s="15"/>
      <c r="CA289" s="15"/>
      <c r="CB289" s="15"/>
      <c r="CC289" s="15"/>
      <c r="CD289" s="15"/>
      <c r="CE289" s="15"/>
      <c r="CF289" s="15"/>
      <c r="CG289" s="15"/>
      <c r="CH289" s="15"/>
      <c r="CI289" s="15"/>
      <c r="CJ289" s="15"/>
      <c r="CK289" s="15"/>
      <c r="CL289" s="15"/>
      <c r="CM289" s="15"/>
      <c r="CN289" s="15"/>
      <c r="CO289" s="15"/>
      <c r="CP289" s="15"/>
      <c r="CQ289" s="15"/>
      <c r="CR289" s="15"/>
      <c r="CS289" s="15"/>
      <c r="CT289" s="15"/>
      <c r="CU289" s="15"/>
      <c r="CV289" s="15"/>
      <c r="CW289" s="15"/>
      <c r="CX289" s="15"/>
      <c r="CY289" s="15"/>
      <c r="CZ289" s="15"/>
      <c r="DA289" s="15"/>
      <c r="DB289" s="15">
        <v>0</v>
      </c>
    </row>
    <row r="290" spans="1:106" x14ac:dyDescent="0.25">
      <c r="A290" t="s">
        <v>375</v>
      </c>
      <c r="B290" t="s">
        <v>204</v>
      </c>
      <c r="C290">
        <v>2019</v>
      </c>
      <c r="D290" s="16" t="s">
        <v>372</v>
      </c>
      <c r="E290">
        <v>0</v>
      </c>
      <c r="F290" s="15">
        <v>43.74374374374375</v>
      </c>
      <c r="G290" s="15"/>
      <c r="H290" s="15"/>
      <c r="I290" s="15">
        <v>41.841841841841841</v>
      </c>
      <c r="J290" s="15">
        <v>11.611611611611611</v>
      </c>
      <c r="K290" s="15"/>
      <c r="L290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90" s="15">
        <v>2.8</v>
      </c>
      <c r="Z290" s="15">
        <v>15.9</v>
      </c>
      <c r="AA290" s="15">
        <v>7.3</v>
      </c>
      <c r="AB290" s="15">
        <v>24</v>
      </c>
      <c r="AC290" s="15">
        <v>8.8000000000000007</v>
      </c>
      <c r="AD290" s="15">
        <v>0.7</v>
      </c>
      <c r="AE290" s="15">
        <v>0.94</v>
      </c>
      <c r="AF290" s="15">
        <f>(33.5*Table2[[#This Row],[C%]]+142.3*Table2[[#This Row],[H%]]-15.4*Table2[[#This Row],[O%]]-14.5*Table2[[#This Row],[N%]])/100</f>
        <v>10.742400000000002</v>
      </c>
      <c r="AG290" s="15">
        <v>1.2999999999999999E-3</v>
      </c>
      <c r="AH290" s="15"/>
      <c r="AI290" s="15"/>
      <c r="AJ290" s="15">
        <v>2.912621359223301</v>
      </c>
      <c r="AM290" s="13"/>
      <c r="AO290" s="15"/>
      <c r="AP290" s="15" t="e">
        <f>LN(25/Table2[[#This Row],[Temperature (C)]]/(1-SQRT((Table2[[#This Row],[Temperature (C)]]-5)/Table2[[#This Row],[Temperature (C)]])))/Table2[[#This Row],[b]]</f>
        <v>#DIV/0!</v>
      </c>
      <c r="AQ290" s="15">
        <f>IF(Table2[[#This Row],[b]]&lt;&gt;"",Table2[[#This Row],[T-5]], 0)</f>
        <v>0</v>
      </c>
      <c r="AR290">
        <v>1</v>
      </c>
      <c r="AT290" t="s">
        <v>503</v>
      </c>
      <c r="AU290">
        <v>350</v>
      </c>
      <c r="AV290" s="15">
        <v>4</v>
      </c>
      <c r="AW290" s="15">
        <v>30.6</v>
      </c>
      <c r="AX290" s="15">
        <f>100-Table2[[#This Row],[Solids wt%]]-Table2[[#This Row],[Biocrude wt%]]-Table2[[#This Row],[Gas wt%]]</f>
        <v>60.7</v>
      </c>
      <c r="AY290" s="15">
        <v>4.7</v>
      </c>
      <c r="AZ290" s="15"/>
      <c r="BA290" s="15"/>
      <c r="BB290" s="15">
        <f>IF(OR(Table2[[#This Row],[Gas wt%]]&lt;&gt;"",Table2[[#This Row],[Loss]]&lt;&gt;""),Table2[[#This Row],[Gas wt%]]+Table2[[#This Row],[Loss]],"")</f>
        <v>4.7</v>
      </c>
      <c r="BC290" s="15"/>
      <c r="BD290" s="15"/>
      <c r="BE290" s="15"/>
      <c r="BF290" s="15"/>
      <c r="BG290" s="15"/>
      <c r="BH290" s="15"/>
      <c r="BI290" s="15">
        <v>64.5</v>
      </c>
      <c r="BJ290" s="15">
        <v>8.6</v>
      </c>
      <c r="BK290" s="15">
        <v>21.9</v>
      </c>
      <c r="BL290" s="15">
        <v>4.3</v>
      </c>
      <c r="BM290" s="15">
        <v>0.6</v>
      </c>
      <c r="BN290" s="15">
        <v>30.4</v>
      </c>
      <c r="BO290" s="15">
        <v>38.700000000000003</v>
      </c>
      <c r="BP290" s="15"/>
      <c r="BQ290" s="15">
        <f>Table2[[#This Row],[H% B]]/Table2[[#This Row],[C% B]]*100</f>
        <v>13.333333333333334</v>
      </c>
      <c r="BR290" s="15"/>
      <c r="BS290" s="15"/>
      <c r="BT290" s="15"/>
      <c r="BU290" s="15"/>
      <c r="BV290" s="15"/>
      <c r="BW290" s="15"/>
      <c r="BX290" s="15"/>
      <c r="BY290" s="15"/>
      <c r="BZ290" s="15"/>
      <c r="CA290" s="15"/>
      <c r="CB290" s="15"/>
      <c r="CC290" s="15"/>
      <c r="CD290" s="15"/>
      <c r="CE290" s="15"/>
      <c r="CF290" s="15"/>
      <c r="CG290" s="15"/>
      <c r="CH290" s="15"/>
      <c r="CI290" s="15"/>
      <c r="CJ290" s="15"/>
      <c r="CK290" s="15"/>
      <c r="CL290" s="15"/>
      <c r="CM290" s="15"/>
      <c r="CN290" s="15"/>
      <c r="CO290" s="15"/>
      <c r="CP290" s="15"/>
      <c r="CQ290" s="15"/>
      <c r="CR290" s="15"/>
      <c r="CS290" s="15"/>
      <c r="CT290" s="15"/>
      <c r="CU290" s="15"/>
      <c r="CV290" s="15"/>
      <c r="CW290" s="15"/>
      <c r="CX290" s="15"/>
      <c r="CY290" s="15"/>
      <c r="CZ290" s="15"/>
      <c r="DA290" s="15"/>
      <c r="DB290" s="15">
        <v>0</v>
      </c>
    </row>
    <row r="291" spans="1:106" x14ac:dyDescent="0.25">
      <c r="A291" t="s">
        <v>375</v>
      </c>
      <c r="B291" t="s">
        <v>204</v>
      </c>
      <c r="C291">
        <v>2019</v>
      </c>
      <c r="D291" s="16" t="s">
        <v>372</v>
      </c>
      <c r="E291">
        <v>0</v>
      </c>
      <c r="F291" s="15">
        <v>43.74374374374375</v>
      </c>
      <c r="G291" s="15"/>
      <c r="H291" s="15"/>
      <c r="I291" s="15">
        <v>41.841841841841841</v>
      </c>
      <c r="J291" s="15">
        <v>11.611611611611611</v>
      </c>
      <c r="K291" s="15"/>
      <c r="L291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91" s="15">
        <v>2.8</v>
      </c>
      <c r="Z291" s="15">
        <v>15.9</v>
      </c>
      <c r="AA291" s="15">
        <v>7.3</v>
      </c>
      <c r="AB291" s="15">
        <v>24</v>
      </c>
      <c r="AC291" s="15">
        <v>8.8000000000000007</v>
      </c>
      <c r="AD291" s="15">
        <v>0.7</v>
      </c>
      <c r="AE291" s="15">
        <v>0.94</v>
      </c>
      <c r="AF291" s="15">
        <f>(33.5*Table2[[#This Row],[C%]]+142.3*Table2[[#This Row],[H%]]-15.4*Table2[[#This Row],[O%]]-14.5*Table2[[#This Row],[N%]])/100</f>
        <v>10.742400000000002</v>
      </c>
      <c r="AG291" s="15">
        <v>1.2999999999999999E-3</v>
      </c>
      <c r="AH291" s="15"/>
      <c r="AI291" s="15"/>
      <c r="AJ291" s="15">
        <v>2.912621359223301</v>
      </c>
      <c r="AM291" s="13"/>
      <c r="AO291" s="15"/>
      <c r="AP291" s="15" t="e">
        <f>LN(25/Table2[[#This Row],[Temperature (C)]]/(1-SQRT((Table2[[#This Row],[Temperature (C)]]-5)/Table2[[#This Row],[Temperature (C)]])))/Table2[[#This Row],[b]]</f>
        <v>#DIV/0!</v>
      </c>
      <c r="AQ291" s="15">
        <f>IF(Table2[[#This Row],[b]]&lt;&gt;"",Table2[[#This Row],[T-5]], 0)</f>
        <v>0</v>
      </c>
      <c r="AR291">
        <v>10</v>
      </c>
      <c r="AT291" t="s">
        <v>503</v>
      </c>
      <c r="AU291">
        <v>350</v>
      </c>
      <c r="AV291" s="15">
        <v>1.8</v>
      </c>
      <c r="AW291" s="15">
        <v>30.8</v>
      </c>
      <c r="AX291" s="15">
        <f>100-Table2[[#This Row],[Solids wt%]]-Table2[[#This Row],[Biocrude wt%]]-Table2[[#This Row],[Gas wt%]]</f>
        <v>60.100000000000009</v>
      </c>
      <c r="AY291" s="15">
        <v>7.3</v>
      </c>
      <c r="AZ291" s="15"/>
      <c r="BA291" s="15"/>
      <c r="BB291" s="15">
        <f>IF(OR(Table2[[#This Row],[Gas wt%]]&lt;&gt;"",Table2[[#This Row],[Loss]]&lt;&gt;""),Table2[[#This Row],[Gas wt%]]+Table2[[#This Row],[Loss]],"")</f>
        <v>7.3</v>
      </c>
      <c r="BC291" s="15"/>
      <c r="BD291" s="15"/>
      <c r="BE291" s="15"/>
      <c r="BF291" s="15"/>
      <c r="BG291" s="15"/>
      <c r="BH291" s="15"/>
      <c r="BI291" s="15">
        <v>73.8</v>
      </c>
      <c r="BJ291" s="15">
        <v>9.4</v>
      </c>
      <c r="BK291" s="15">
        <v>10.9</v>
      </c>
      <c r="BL291" s="15">
        <v>5</v>
      </c>
      <c r="BM291" s="15">
        <v>0.75</v>
      </c>
      <c r="BN291" s="15">
        <v>35.700000000000003</v>
      </c>
      <c r="BO291" s="15">
        <v>45.7</v>
      </c>
      <c r="BP291" s="15"/>
      <c r="BQ291" s="15">
        <f>Table2[[#This Row],[H% B]]/Table2[[#This Row],[C% B]]*100</f>
        <v>12.737127371273713</v>
      </c>
      <c r="BR291" s="15"/>
      <c r="BS291" s="15"/>
      <c r="BT291" s="15"/>
      <c r="BU291" s="15"/>
      <c r="BV291" s="15"/>
      <c r="BW291" s="15"/>
      <c r="BX291" s="15"/>
      <c r="BY291" s="15"/>
      <c r="BZ291" s="15"/>
      <c r="CA291" s="15"/>
      <c r="CB291" s="15"/>
      <c r="CC291" s="15"/>
      <c r="CD291" s="15"/>
      <c r="CE291" s="15"/>
      <c r="CF291" s="15"/>
      <c r="CG291" s="15"/>
      <c r="CH291" s="15"/>
      <c r="CI291" s="15"/>
      <c r="CJ291" s="15"/>
      <c r="CK291" s="15"/>
      <c r="CL291" s="15"/>
      <c r="CM291" s="15"/>
      <c r="CN291" s="15"/>
      <c r="CO291" s="15"/>
      <c r="CP291" s="15"/>
      <c r="CQ291" s="15"/>
      <c r="CR291" s="15"/>
      <c r="CS291" s="15"/>
      <c r="CT291" s="15"/>
      <c r="CU291" s="15"/>
      <c r="CV291" s="15"/>
      <c r="CW291" s="15"/>
      <c r="CX291" s="15"/>
      <c r="CY291" s="15"/>
      <c r="CZ291" s="15"/>
      <c r="DA291" s="15"/>
      <c r="DB291" s="15">
        <v>0</v>
      </c>
    </row>
    <row r="292" spans="1:106" x14ac:dyDescent="0.25">
      <c r="A292" t="s">
        <v>375</v>
      </c>
      <c r="B292" t="s">
        <v>204</v>
      </c>
      <c r="C292">
        <v>2019</v>
      </c>
      <c r="D292" s="16" t="s">
        <v>372</v>
      </c>
      <c r="E292">
        <v>0</v>
      </c>
      <c r="F292" s="15">
        <v>43.74374374374375</v>
      </c>
      <c r="G292" s="15"/>
      <c r="H292" s="15"/>
      <c r="I292" s="15">
        <v>41.841841841841841</v>
      </c>
      <c r="J292" s="15">
        <v>11.611611611611611</v>
      </c>
      <c r="K292" s="15"/>
      <c r="L292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92" s="15">
        <v>2.8</v>
      </c>
      <c r="Z292" s="15">
        <v>15.9</v>
      </c>
      <c r="AA292" s="15">
        <v>7.3</v>
      </c>
      <c r="AB292" s="15">
        <v>24</v>
      </c>
      <c r="AC292" s="15">
        <v>8.8000000000000007</v>
      </c>
      <c r="AD292" s="15">
        <v>0.7</v>
      </c>
      <c r="AE292" s="15">
        <v>0.94</v>
      </c>
      <c r="AF292" s="15">
        <f>(33.5*Table2[[#This Row],[C%]]+142.3*Table2[[#This Row],[H%]]-15.4*Table2[[#This Row],[O%]]-14.5*Table2[[#This Row],[N%]])/100</f>
        <v>10.742400000000002</v>
      </c>
      <c r="AG292" s="15">
        <v>1.2999999999999999E-3</v>
      </c>
      <c r="AH292" s="15"/>
      <c r="AI292" s="15"/>
      <c r="AJ292" s="15">
        <v>2.912621359223301</v>
      </c>
      <c r="AM292" s="13"/>
      <c r="AO292" s="15"/>
      <c r="AP292" s="15" t="e">
        <f>LN(25/Table2[[#This Row],[Temperature (C)]]/(1-SQRT((Table2[[#This Row],[Temperature (C)]]-5)/Table2[[#This Row],[Temperature (C)]])))/Table2[[#This Row],[b]]</f>
        <v>#DIV/0!</v>
      </c>
      <c r="AQ292" s="15">
        <f>IF(Table2[[#This Row],[b]]&lt;&gt;"",Table2[[#This Row],[T-5]], 0)</f>
        <v>0</v>
      </c>
      <c r="AR292">
        <v>100</v>
      </c>
      <c r="AT292" t="s">
        <v>503</v>
      </c>
      <c r="AU292">
        <v>350</v>
      </c>
      <c r="AV292" s="15">
        <v>1.9</v>
      </c>
      <c r="AW292" s="15">
        <v>30.8</v>
      </c>
      <c r="AX292" s="15">
        <f>100-Table2[[#This Row],[Solids wt%]]-Table2[[#This Row],[Biocrude wt%]]-Table2[[#This Row],[Gas wt%]]</f>
        <v>50.3</v>
      </c>
      <c r="AY292" s="15">
        <v>17</v>
      </c>
      <c r="AZ292" s="15"/>
      <c r="BA292" s="15"/>
      <c r="BB292" s="15">
        <f>IF(OR(Table2[[#This Row],[Gas wt%]]&lt;&gt;"",Table2[[#This Row],[Loss]]&lt;&gt;""),Table2[[#This Row],[Gas wt%]]+Table2[[#This Row],[Loss]],"")</f>
        <v>17</v>
      </c>
      <c r="BC292" s="15"/>
      <c r="BD292" s="15"/>
      <c r="BE292" s="15"/>
      <c r="BF292" s="15"/>
      <c r="BG292" s="15"/>
      <c r="BH292" s="15"/>
      <c r="BI292" s="15">
        <v>76.5</v>
      </c>
      <c r="BJ292" s="15">
        <v>9.6999999999999993</v>
      </c>
      <c r="BK292" s="15">
        <v>8.6</v>
      </c>
      <c r="BL292" s="15">
        <v>4.5</v>
      </c>
      <c r="BM292" s="15">
        <v>0.53</v>
      </c>
      <c r="BN292" s="15">
        <v>37.200000000000003</v>
      </c>
      <c r="BO292" s="15">
        <v>47.7</v>
      </c>
      <c r="BP292" s="15"/>
      <c r="BQ292" s="15">
        <f>Table2[[#This Row],[H% B]]/Table2[[#This Row],[C% B]]*100</f>
        <v>12.679738562091503</v>
      </c>
      <c r="BR292" s="15"/>
      <c r="BS292" s="15"/>
      <c r="BT292" s="15"/>
      <c r="BU292" s="15"/>
      <c r="BV292" s="15"/>
      <c r="BW292" s="15"/>
      <c r="BX292" s="15"/>
      <c r="BY292" s="15"/>
      <c r="BZ292" s="15"/>
      <c r="CA292" s="15"/>
      <c r="CB292" s="15"/>
      <c r="CC292" s="15"/>
      <c r="CD292" s="15"/>
      <c r="CE292" s="15"/>
      <c r="CF292" s="15"/>
      <c r="CG292" s="15"/>
      <c r="CH292" s="15"/>
      <c r="CI292" s="15"/>
      <c r="CJ292" s="15"/>
      <c r="CK292" s="15"/>
      <c r="CL292" s="15"/>
      <c r="CM292" s="15"/>
      <c r="CN292" s="15"/>
      <c r="CO292" s="15"/>
      <c r="CP292" s="15"/>
      <c r="CQ292" s="15"/>
      <c r="CR292" s="15"/>
      <c r="CS292" s="15"/>
      <c r="CT292" s="15"/>
      <c r="CU292" s="15"/>
      <c r="CV292" s="15"/>
      <c r="CW292" s="15"/>
      <c r="CX292" s="15"/>
      <c r="CY292" s="15"/>
      <c r="CZ292" s="15"/>
      <c r="DA292" s="15"/>
      <c r="DB292" s="15">
        <v>0</v>
      </c>
    </row>
    <row r="293" spans="1:106" x14ac:dyDescent="0.25">
      <c r="A293" t="s">
        <v>375</v>
      </c>
      <c r="B293" t="s">
        <v>204</v>
      </c>
      <c r="C293">
        <v>2019</v>
      </c>
      <c r="D293" s="16" t="s">
        <v>372</v>
      </c>
      <c r="E293">
        <v>0</v>
      </c>
      <c r="F293" s="15">
        <v>43.74374374374375</v>
      </c>
      <c r="G293" s="15"/>
      <c r="H293" s="15"/>
      <c r="I293" s="15">
        <v>41.841841841841841</v>
      </c>
      <c r="J293" s="15">
        <v>11.611611611611611</v>
      </c>
      <c r="K293" s="15"/>
      <c r="L293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93" s="15">
        <v>2.8</v>
      </c>
      <c r="Z293" s="15">
        <v>15.9</v>
      </c>
      <c r="AA293" s="15">
        <v>7.3</v>
      </c>
      <c r="AB293" s="15">
        <v>24</v>
      </c>
      <c r="AC293" s="15">
        <v>8.8000000000000007</v>
      </c>
      <c r="AD293" s="15">
        <v>0.7</v>
      </c>
      <c r="AE293" s="15">
        <v>0.94</v>
      </c>
      <c r="AF293" s="15">
        <f>(33.5*Table2[[#This Row],[C%]]+142.3*Table2[[#This Row],[H%]]-15.4*Table2[[#This Row],[O%]]-14.5*Table2[[#This Row],[N%]])/100</f>
        <v>10.742400000000002</v>
      </c>
      <c r="AG293" s="15">
        <v>1.2999999999999999E-3</v>
      </c>
      <c r="AH293" s="15"/>
      <c r="AI293" s="15"/>
      <c r="AJ293" s="15">
        <v>10.714285714285714</v>
      </c>
      <c r="AM293" s="13"/>
      <c r="AO293" s="15"/>
      <c r="AP293" s="15" t="e">
        <f>LN(25/Table2[[#This Row],[Temperature (C)]]/(1-SQRT((Table2[[#This Row],[Temperature (C)]]-5)/Table2[[#This Row],[Temperature (C)]])))/Table2[[#This Row],[b]]</f>
        <v>#DIV/0!</v>
      </c>
      <c r="AQ293" s="15">
        <f>IF(Table2[[#This Row],[b]]&lt;&gt;"",Table2[[#This Row],[T-5]], 0)</f>
        <v>0</v>
      </c>
      <c r="AR293">
        <v>0</v>
      </c>
      <c r="AT293" t="s">
        <v>503</v>
      </c>
      <c r="AU293">
        <v>150</v>
      </c>
      <c r="AV293" s="15">
        <v>74.900000000000006</v>
      </c>
      <c r="AW293" s="15">
        <v>1.8</v>
      </c>
      <c r="AX293" s="15">
        <f>100-Table2[[#This Row],[Solids wt%]]-Table2[[#This Row],[Biocrude wt%]]-Table2[[#This Row],[Gas wt%]]</f>
        <v>23.099999999999994</v>
      </c>
      <c r="AY293" s="15">
        <v>0.2</v>
      </c>
      <c r="AZ293" s="15"/>
      <c r="BA293" s="15"/>
      <c r="BB293" s="15">
        <f>IF(OR(Table2[[#This Row],[Gas wt%]]&lt;&gt;"",Table2[[#This Row],[Loss]]&lt;&gt;""),Table2[[#This Row],[Gas wt%]]+Table2[[#This Row],[Loss]],"")</f>
        <v>0.2</v>
      </c>
      <c r="BC293" s="15"/>
      <c r="BD293" s="15"/>
      <c r="BE293" s="15"/>
      <c r="BF293" s="15"/>
      <c r="BG293" s="15"/>
      <c r="BH293" s="15"/>
      <c r="BI293" s="15">
        <v>64.7</v>
      </c>
      <c r="BJ293" s="15">
        <v>9.3000000000000007</v>
      </c>
      <c r="BK293" s="15">
        <v>25.6</v>
      </c>
      <c r="BL293" s="15">
        <v>0.3</v>
      </c>
      <c r="BM293" s="15"/>
      <c r="BN293" s="15">
        <v>30.9</v>
      </c>
      <c r="BO293" s="15">
        <v>2.2999999999999998</v>
      </c>
      <c r="BP293" s="15"/>
      <c r="BQ293" s="15">
        <f>Table2[[#This Row],[H% B]]/Table2[[#This Row],[C% B]]*100</f>
        <v>14.374034003091191</v>
      </c>
      <c r="BR293" s="15"/>
      <c r="BS293" s="15"/>
      <c r="BT293" s="15"/>
      <c r="BU293" s="15"/>
      <c r="BV293" s="15"/>
      <c r="BW293" s="15"/>
      <c r="BX293" s="15"/>
      <c r="BY293" s="15"/>
      <c r="BZ293" s="15"/>
      <c r="CA293" s="15"/>
      <c r="CB293" s="15"/>
      <c r="CC293" s="15"/>
      <c r="CD293" s="15"/>
      <c r="CE293" s="15"/>
      <c r="CF293" s="15">
        <v>53.4</v>
      </c>
      <c r="CG293" s="15">
        <v>7.8</v>
      </c>
      <c r="CH293" s="15">
        <v>27.6</v>
      </c>
      <c r="CI293" s="15">
        <v>9.9</v>
      </c>
      <c r="CJ293" s="15">
        <v>0.74</v>
      </c>
      <c r="CK293" s="15"/>
      <c r="CL293" s="15"/>
      <c r="CM293" s="15"/>
      <c r="CN293" s="15"/>
      <c r="CO293" s="15"/>
      <c r="CP293" s="15"/>
      <c r="CQ293" s="15"/>
      <c r="CR293" s="15"/>
      <c r="CS293" s="15"/>
      <c r="CT293" s="15"/>
      <c r="CU293" s="15"/>
      <c r="CV293" s="15"/>
      <c r="CW293" s="15"/>
      <c r="CX293" s="15"/>
      <c r="CY293" s="15"/>
      <c r="CZ293" s="15"/>
      <c r="DA293" s="15"/>
      <c r="DB293" s="15">
        <v>0</v>
      </c>
    </row>
    <row r="294" spans="1:106" x14ac:dyDescent="0.25">
      <c r="A294" t="s">
        <v>375</v>
      </c>
      <c r="B294" t="s">
        <v>204</v>
      </c>
      <c r="C294">
        <v>2019</v>
      </c>
      <c r="D294" s="16" t="s">
        <v>372</v>
      </c>
      <c r="E294">
        <v>0</v>
      </c>
      <c r="F294" s="15">
        <v>43.74374374374375</v>
      </c>
      <c r="G294" s="15"/>
      <c r="H294" s="15"/>
      <c r="I294" s="15">
        <v>41.841841841841841</v>
      </c>
      <c r="J294" s="15">
        <v>11.611611611611611</v>
      </c>
      <c r="K294" s="15"/>
      <c r="L294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94" s="15">
        <v>2.8</v>
      </c>
      <c r="Z294" s="15">
        <v>15.9</v>
      </c>
      <c r="AA294" s="15">
        <v>7.3</v>
      </c>
      <c r="AB294" s="15">
        <v>24</v>
      </c>
      <c r="AC294" s="15">
        <v>8.8000000000000007</v>
      </c>
      <c r="AD294" s="15">
        <v>0.7</v>
      </c>
      <c r="AE294" s="15">
        <v>0.94</v>
      </c>
      <c r="AF294" s="15">
        <f>(33.5*Table2[[#This Row],[C%]]+142.3*Table2[[#This Row],[H%]]-15.4*Table2[[#This Row],[O%]]-14.5*Table2[[#This Row],[N%]])/100</f>
        <v>10.742400000000002</v>
      </c>
      <c r="AG294" s="15">
        <v>1.2999999999999999E-3</v>
      </c>
      <c r="AH294" s="15"/>
      <c r="AI294" s="15"/>
      <c r="AJ294" s="15">
        <v>10.714285714285714</v>
      </c>
      <c r="AM294" s="13"/>
      <c r="AO294" s="15"/>
      <c r="AP294" s="15" t="e">
        <f>LN(25/Table2[[#This Row],[Temperature (C)]]/(1-SQRT((Table2[[#This Row],[Temperature (C)]]-5)/Table2[[#This Row],[Temperature (C)]])))/Table2[[#This Row],[b]]</f>
        <v>#DIV/0!</v>
      </c>
      <c r="AQ294" s="15">
        <f>IF(Table2[[#This Row],[b]]&lt;&gt;"",Table2[[#This Row],[T-5]], 0)</f>
        <v>0</v>
      </c>
      <c r="AR294">
        <v>1</v>
      </c>
      <c r="AT294" t="s">
        <v>503</v>
      </c>
      <c r="AU294">
        <v>150</v>
      </c>
      <c r="AV294" s="15">
        <v>69.8</v>
      </c>
      <c r="AW294" s="15">
        <v>6.3</v>
      </c>
      <c r="AX294" s="15">
        <f>100-Table2[[#This Row],[Solids wt%]]-Table2[[#This Row],[Biocrude wt%]]-Table2[[#This Row],[Gas wt%]]</f>
        <v>23.6</v>
      </c>
      <c r="AY294" s="15">
        <v>0.3</v>
      </c>
      <c r="AZ294" s="15"/>
      <c r="BA294" s="15"/>
      <c r="BB294" s="15">
        <f>IF(OR(Table2[[#This Row],[Gas wt%]]&lt;&gt;"",Table2[[#This Row],[Loss]]&lt;&gt;""),Table2[[#This Row],[Gas wt%]]+Table2[[#This Row],[Loss]],"")</f>
        <v>0.3</v>
      </c>
      <c r="BC294" s="15"/>
      <c r="BD294" s="15"/>
      <c r="BE294" s="15"/>
      <c r="BF294" s="15"/>
      <c r="BG294" s="15"/>
      <c r="BH294" s="15"/>
      <c r="BI294" s="15">
        <v>65.7</v>
      </c>
      <c r="BJ294" s="15">
        <v>9.6</v>
      </c>
      <c r="BK294" s="15">
        <v>24.2</v>
      </c>
      <c r="BL294" s="15">
        <v>0.5</v>
      </c>
      <c r="BM294" s="15">
        <v>0.03</v>
      </c>
      <c r="BN294" s="15">
        <v>31.7</v>
      </c>
      <c r="BO294" s="15">
        <v>8.3000000000000007</v>
      </c>
      <c r="BP294" s="15"/>
      <c r="BQ294" s="15">
        <f>Table2[[#This Row],[H% B]]/Table2[[#This Row],[C% B]]*100</f>
        <v>14.611872146118721</v>
      </c>
      <c r="BR294" s="15"/>
      <c r="BS294" s="15"/>
      <c r="BT294" s="15"/>
      <c r="BU294" s="15"/>
      <c r="BV294" s="15"/>
      <c r="BW294" s="15"/>
      <c r="BX294" s="15"/>
      <c r="BY294" s="15"/>
      <c r="BZ294" s="15"/>
      <c r="CA294" s="15"/>
      <c r="CB294" s="15"/>
      <c r="CC294" s="15"/>
      <c r="CD294" s="15"/>
      <c r="CE294" s="15"/>
      <c r="CF294" s="15">
        <v>51.5</v>
      </c>
      <c r="CG294" s="15">
        <v>7.5</v>
      </c>
      <c r="CH294" s="15">
        <v>29.5</v>
      </c>
      <c r="CI294" s="15">
        <v>10.4</v>
      </c>
      <c r="CJ294" s="15">
        <v>0.79</v>
      </c>
      <c r="CK294" s="15"/>
      <c r="CL294" s="15"/>
      <c r="CM294" s="15"/>
      <c r="CN294" s="15"/>
      <c r="CO294" s="15"/>
      <c r="CP294" s="15"/>
      <c r="CQ294" s="15"/>
      <c r="CR294" s="15"/>
      <c r="CS294" s="15"/>
      <c r="CT294" s="15"/>
      <c r="CU294" s="15"/>
      <c r="CV294" s="15"/>
      <c r="CW294" s="15"/>
      <c r="CX294" s="15"/>
      <c r="CY294" s="15"/>
      <c r="CZ294" s="15"/>
      <c r="DA294" s="15"/>
      <c r="DB294" s="15">
        <v>0</v>
      </c>
    </row>
    <row r="295" spans="1:106" x14ac:dyDescent="0.25">
      <c r="A295" t="s">
        <v>375</v>
      </c>
      <c r="B295" t="s">
        <v>204</v>
      </c>
      <c r="C295">
        <v>2019</v>
      </c>
      <c r="D295" s="16" t="s">
        <v>372</v>
      </c>
      <c r="E295">
        <v>0</v>
      </c>
      <c r="F295" s="15">
        <v>43.74374374374375</v>
      </c>
      <c r="G295" s="15"/>
      <c r="H295" s="15"/>
      <c r="I295" s="15">
        <v>41.841841841841841</v>
      </c>
      <c r="J295" s="15">
        <v>11.611611611611611</v>
      </c>
      <c r="K295" s="15"/>
      <c r="L295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95" s="15">
        <v>2.8</v>
      </c>
      <c r="Z295" s="15">
        <v>15.9</v>
      </c>
      <c r="AA295" s="15">
        <v>7.3</v>
      </c>
      <c r="AB295" s="15">
        <v>24</v>
      </c>
      <c r="AC295" s="15">
        <v>8.8000000000000007</v>
      </c>
      <c r="AD295" s="15">
        <v>0.7</v>
      </c>
      <c r="AE295" s="15">
        <v>0.94</v>
      </c>
      <c r="AF295" s="15">
        <f>(33.5*Table2[[#This Row],[C%]]+142.3*Table2[[#This Row],[H%]]-15.4*Table2[[#This Row],[O%]]-14.5*Table2[[#This Row],[N%]])/100</f>
        <v>10.742400000000002</v>
      </c>
      <c r="AG295" s="15">
        <v>1.2999999999999999E-3</v>
      </c>
      <c r="AH295" s="15"/>
      <c r="AI295" s="15"/>
      <c r="AJ295" s="15">
        <v>10.714285714285714</v>
      </c>
      <c r="AM295" s="13"/>
      <c r="AO295" s="15"/>
      <c r="AP295" s="15" t="e">
        <f>LN(25/Table2[[#This Row],[Temperature (C)]]/(1-SQRT((Table2[[#This Row],[Temperature (C)]]-5)/Table2[[#This Row],[Temperature (C)]])))/Table2[[#This Row],[b]]</f>
        <v>#DIV/0!</v>
      </c>
      <c r="AQ295" s="15">
        <f>IF(Table2[[#This Row],[b]]&lt;&gt;"",Table2[[#This Row],[T-5]], 0)</f>
        <v>0</v>
      </c>
      <c r="AR295">
        <v>10</v>
      </c>
      <c r="AT295" t="s">
        <v>503</v>
      </c>
      <c r="AU295">
        <v>150</v>
      </c>
      <c r="AV295" s="15">
        <v>61.7</v>
      </c>
      <c r="AW295" s="15">
        <v>8.6</v>
      </c>
      <c r="AX295" s="15">
        <f>100-Table2[[#This Row],[Solids wt%]]-Table2[[#This Row],[Biocrude wt%]]-Table2[[#This Row],[Gas wt%]]</f>
        <v>29.199999999999996</v>
      </c>
      <c r="AY295" s="15">
        <v>0.5</v>
      </c>
      <c r="AZ295" s="15"/>
      <c r="BA295" s="15"/>
      <c r="BB295" s="15">
        <f>IF(OR(Table2[[#This Row],[Gas wt%]]&lt;&gt;"",Table2[[#This Row],[Loss]]&lt;&gt;""),Table2[[#This Row],[Gas wt%]]+Table2[[#This Row],[Loss]],"")</f>
        <v>0.5</v>
      </c>
      <c r="BC295" s="15"/>
      <c r="BD295" s="15"/>
      <c r="BE295" s="15"/>
      <c r="BF295" s="15"/>
      <c r="BG295" s="15"/>
      <c r="BH295" s="15"/>
      <c r="BI295" s="15">
        <v>64.900000000000006</v>
      </c>
      <c r="BJ295" s="15">
        <v>9.4</v>
      </c>
      <c r="BK295" s="15">
        <v>25</v>
      </c>
      <c r="BL295" s="15">
        <v>0.7</v>
      </c>
      <c r="BM295" s="15">
        <v>0.06</v>
      </c>
      <c r="BN295" s="15">
        <v>31.1</v>
      </c>
      <c r="BO295" s="15">
        <v>11.1</v>
      </c>
      <c r="BP295" s="15"/>
      <c r="BQ295" s="15">
        <f>Table2[[#This Row],[H% B]]/Table2[[#This Row],[C% B]]*100</f>
        <v>14.48382126348228</v>
      </c>
      <c r="BR295" s="15"/>
      <c r="BS295" s="15"/>
      <c r="BT295" s="15"/>
      <c r="BU295" s="15"/>
      <c r="BV295" s="15"/>
      <c r="BW295" s="15"/>
      <c r="BX295" s="15"/>
      <c r="BY295" s="15"/>
      <c r="BZ295" s="15"/>
      <c r="CA295" s="15"/>
      <c r="CB295" s="15"/>
      <c r="CC295" s="15"/>
      <c r="CD295" s="15"/>
      <c r="CE295" s="15"/>
      <c r="CF295" s="15">
        <v>52.8</v>
      </c>
      <c r="CG295" s="15">
        <v>7.6</v>
      </c>
      <c r="CH295" s="15">
        <v>28.3</v>
      </c>
      <c r="CI295" s="15">
        <v>10.3</v>
      </c>
      <c r="CJ295" s="15">
        <v>0.8</v>
      </c>
      <c r="CK295" s="15"/>
      <c r="CL295" s="15"/>
      <c r="CM295" s="15"/>
      <c r="CN295" s="15"/>
      <c r="CO295" s="15"/>
      <c r="CP295" s="15"/>
      <c r="CQ295" s="15"/>
      <c r="CR295" s="15"/>
      <c r="CS295" s="15"/>
      <c r="CT295" s="15"/>
      <c r="CU295" s="15"/>
      <c r="CV295" s="15"/>
      <c r="CW295" s="15"/>
      <c r="CX295" s="15"/>
      <c r="CY295" s="15"/>
      <c r="CZ295" s="15"/>
      <c r="DA295" s="15"/>
      <c r="DB295" s="15">
        <v>0</v>
      </c>
    </row>
    <row r="296" spans="1:106" x14ac:dyDescent="0.25">
      <c r="A296" t="s">
        <v>375</v>
      </c>
      <c r="B296" t="s">
        <v>204</v>
      </c>
      <c r="C296">
        <v>2019</v>
      </c>
      <c r="D296" s="16" t="s">
        <v>372</v>
      </c>
      <c r="E296">
        <v>0</v>
      </c>
      <c r="F296" s="15">
        <v>43.74374374374375</v>
      </c>
      <c r="G296" s="15"/>
      <c r="H296" s="15"/>
      <c r="I296" s="15">
        <v>41.841841841841841</v>
      </c>
      <c r="J296" s="15">
        <v>11.611611611611611</v>
      </c>
      <c r="K296" s="15"/>
      <c r="L296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96" s="15">
        <v>2.8</v>
      </c>
      <c r="Z296" s="15">
        <v>15.9</v>
      </c>
      <c r="AA296" s="15">
        <v>7.3</v>
      </c>
      <c r="AB296" s="15">
        <v>24</v>
      </c>
      <c r="AC296" s="15">
        <v>8.8000000000000007</v>
      </c>
      <c r="AD296" s="15">
        <v>0.7</v>
      </c>
      <c r="AE296" s="15">
        <v>0.94</v>
      </c>
      <c r="AF296" s="15">
        <f>(33.5*Table2[[#This Row],[C%]]+142.3*Table2[[#This Row],[H%]]-15.4*Table2[[#This Row],[O%]]-14.5*Table2[[#This Row],[N%]])/100</f>
        <v>10.742400000000002</v>
      </c>
      <c r="AG296" s="15">
        <v>1.2999999999999999E-3</v>
      </c>
      <c r="AH296" s="15"/>
      <c r="AI296" s="15"/>
      <c r="AJ296" s="15">
        <v>10.714285714285714</v>
      </c>
      <c r="AM296" s="13"/>
      <c r="AO296" s="15"/>
      <c r="AP296" s="15" t="e">
        <f>LN(25/Table2[[#This Row],[Temperature (C)]]/(1-SQRT((Table2[[#This Row],[Temperature (C)]]-5)/Table2[[#This Row],[Temperature (C)]])))/Table2[[#This Row],[b]]</f>
        <v>#DIV/0!</v>
      </c>
      <c r="AQ296" s="15">
        <f>IF(Table2[[#This Row],[b]]&lt;&gt;"",Table2[[#This Row],[T-5]], 0)</f>
        <v>0</v>
      </c>
      <c r="AR296">
        <v>100</v>
      </c>
      <c r="AT296" t="s">
        <v>503</v>
      </c>
      <c r="AU296">
        <v>150</v>
      </c>
      <c r="AV296" s="15">
        <v>50.3</v>
      </c>
      <c r="AW296" s="15">
        <v>9.8000000000000007</v>
      </c>
      <c r="AX296" s="15">
        <f>100-Table2[[#This Row],[Solids wt%]]-Table2[[#This Row],[Biocrude wt%]]-Table2[[#This Row],[Gas wt%]]</f>
        <v>39.100000000000009</v>
      </c>
      <c r="AY296" s="15">
        <v>0.8</v>
      </c>
      <c r="AZ296" s="15"/>
      <c r="BA296" s="15"/>
      <c r="BB296" s="15">
        <f>IF(OR(Table2[[#This Row],[Gas wt%]]&lt;&gt;"",Table2[[#This Row],[Loss]]&lt;&gt;""),Table2[[#This Row],[Gas wt%]]+Table2[[#This Row],[Loss]],"")</f>
        <v>0.8</v>
      </c>
      <c r="BC296" s="15"/>
      <c r="BD296" s="15"/>
      <c r="BE296" s="15"/>
      <c r="BF296" s="15"/>
      <c r="BG296" s="15"/>
      <c r="BH296" s="15"/>
      <c r="BI296" s="15">
        <v>64.5</v>
      </c>
      <c r="BJ296" s="15">
        <v>9.1999999999999993</v>
      </c>
      <c r="BK296" s="15">
        <v>25.2</v>
      </c>
      <c r="BL296" s="15">
        <v>1</v>
      </c>
      <c r="BM296" s="15">
        <v>0.14000000000000001</v>
      </c>
      <c r="BN296" s="15">
        <v>30.8</v>
      </c>
      <c r="BO296" s="15">
        <v>12.6</v>
      </c>
      <c r="BP296" s="15"/>
      <c r="BQ296" s="15">
        <f>Table2[[#This Row],[H% B]]/Table2[[#This Row],[C% B]]*100</f>
        <v>14.263565891472869</v>
      </c>
      <c r="BR296" s="15"/>
      <c r="BS296" s="15"/>
      <c r="BT296" s="15"/>
      <c r="BU296" s="15"/>
      <c r="BV296" s="15"/>
      <c r="BW296" s="15"/>
      <c r="BX296" s="15"/>
      <c r="BY296" s="15"/>
      <c r="BZ296" s="15"/>
      <c r="CA296" s="15"/>
      <c r="CB296" s="15"/>
      <c r="CC296" s="15"/>
      <c r="CD296" s="15"/>
      <c r="CE296" s="15"/>
      <c r="CF296" s="15">
        <v>54.3</v>
      </c>
      <c r="CG296" s="15">
        <v>7.6</v>
      </c>
      <c r="CH296" s="15">
        <v>27.1</v>
      </c>
      <c r="CI296" s="15">
        <v>9.9</v>
      </c>
      <c r="CJ296" s="15">
        <v>0.83</v>
      </c>
      <c r="CK296" s="15"/>
      <c r="CL296" s="15"/>
      <c r="CM296" s="15"/>
      <c r="CN296" s="15"/>
      <c r="CO296" s="15"/>
      <c r="CP296" s="15"/>
      <c r="CQ296" s="15"/>
      <c r="CR296" s="15"/>
      <c r="CS296" s="15"/>
      <c r="CT296" s="15"/>
      <c r="CU296" s="15"/>
      <c r="CV296" s="15"/>
      <c r="CW296" s="15"/>
      <c r="CX296" s="15"/>
      <c r="CY296" s="15"/>
      <c r="CZ296" s="15"/>
      <c r="DA296" s="15"/>
      <c r="DB296" s="15">
        <v>0</v>
      </c>
    </row>
    <row r="297" spans="1:106" x14ac:dyDescent="0.25">
      <c r="A297" t="s">
        <v>375</v>
      </c>
      <c r="B297" t="s">
        <v>204</v>
      </c>
      <c r="C297">
        <v>2019</v>
      </c>
      <c r="D297" s="16" t="s">
        <v>372</v>
      </c>
      <c r="E297">
        <v>0</v>
      </c>
      <c r="F297" s="15">
        <v>43.74374374374375</v>
      </c>
      <c r="G297" s="15"/>
      <c r="H297" s="15"/>
      <c r="I297" s="15">
        <v>41.841841841841841</v>
      </c>
      <c r="J297" s="15">
        <v>11.611611611611611</v>
      </c>
      <c r="K297" s="15"/>
      <c r="L297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97" s="15">
        <v>2.8</v>
      </c>
      <c r="Z297" s="15">
        <v>15.9</v>
      </c>
      <c r="AA297" s="15">
        <v>7.3</v>
      </c>
      <c r="AB297" s="15">
        <v>24</v>
      </c>
      <c r="AC297" s="15">
        <v>8.8000000000000007</v>
      </c>
      <c r="AD297" s="15">
        <v>0.7</v>
      </c>
      <c r="AE297" s="15">
        <v>0.94</v>
      </c>
      <c r="AF297" s="15">
        <f>(33.5*Table2[[#This Row],[C%]]+142.3*Table2[[#This Row],[H%]]-15.4*Table2[[#This Row],[O%]]-14.5*Table2[[#This Row],[N%]])/100</f>
        <v>10.742400000000002</v>
      </c>
      <c r="AG297" s="15">
        <v>1.2999999999999999E-3</v>
      </c>
      <c r="AH297" s="15"/>
      <c r="AI297" s="15"/>
      <c r="AJ297" s="15">
        <v>10.714285714285714</v>
      </c>
      <c r="AM297" s="13"/>
      <c r="AO297" s="15"/>
      <c r="AP297" s="15" t="e">
        <f>LN(25/Table2[[#This Row],[Temperature (C)]]/(1-SQRT((Table2[[#This Row],[Temperature (C)]]-5)/Table2[[#This Row],[Temperature (C)]])))/Table2[[#This Row],[b]]</f>
        <v>#DIV/0!</v>
      </c>
      <c r="AQ297" s="15">
        <f>IF(Table2[[#This Row],[b]]&lt;&gt;"",Table2[[#This Row],[T-5]], 0)</f>
        <v>0</v>
      </c>
      <c r="AR297">
        <v>3.2</v>
      </c>
      <c r="AT297" t="s">
        <v>503</v>
      </c>
      <c r="AU297">
        <v>200</v>
      </c>
      <c r="AV297" s="15">
        <v>52.5</v>
      </c>
      <c r="AW297" s="15">
        <v>9.5</v>
      </c>
      <c r="AX297" s="15">
        <f>100-Table2[[#This Row],[Solids wt%]]-Table2[[#This Row],[Biocrude wt%]]-Table2[[#This Row],[Gas wt%]]</f>
        <v>37.5</v>
      </c>
      <c r="AY297" s="15">
        <v>0.5</v>
      </c>
      <c r="AZ297" s="15"/>
      <c r="BA297" s="15"/>
      <c r="BB297" s="15">
        <f>IF(OR(Table2[[#This Row],[Gas wt%]]&lt;&gt;"",Table2[[#This Row],[Loss]]&lt;&gt;""),Table2[[#This Row],[Gas wt%]]+Table2[[#This Row],[Loss]],"")</f>
        <v>0.5</v>
      </c>
      <c r="BC297" s="15"/>
      <c r="BD297" s="15"/>
      <c r="BE297" s="15"/>
      <c r="BF297" s="15"/>
      <c r="BG297" s="15"/>
      <c r="BH297" s="15"/>
      <c r="BI297" s="15">
        <v>64.8</v>
      </c>
      <c r="BJ297" s="15">
        <v>9.1999999999999993</v>
      </c>
      <c r="BK297" s="15">
        <v>24.5</v>
      </c>
      <c r="BL297" s="15">
        <v>1.2</v>
      </c>
      <c r="BM297" s="15">
        <v>0.18</v>
      </c>
      <c r="BN297" s="15">
        <v>31</v>
      </c>
      <c r="BO297" s="15">
        <v>12.3</v>
      </c>
      <c r="BP297" s="15"/>
      <c r="BQ297" s="15">
        <f>Table2[[#This Row],[H% B]]/Table2[[#This Row],[C% B]]*100</f>
        <v>14.19753086419753</v>
      </c>
      <c r="BR297" s="15"/>
      <c r="BS297" s="15"/>
      <c r="BT297" s="15"/>
      <c r="BU297" s="15"/>
      <c r="BV297" s="15"/>
      <c r="BW297" s="15"/>
      <c r="BX297" s="15"/>
      <c r="BY297" s="15"/>
      <c r="BZ297" s="15"/>
      <c r="CA297" s="15"/>
      <c r="CB297" s="15"/>
      <c r="CC297" s="15"/>
      <c r="CD297" s="15"/>
      <c r="CE297" s="15"/>
      <c r="CF297" s="15">
        <v>53.8</v>
      </c>
      <c r="CG297" s="15">
        <v>7.5</v>
      </c>
      <c r="CH297" s="15">
        <v>27.6</v>
      </c>
      <c r="CI297" s="15">
        <v>10.1</v>
      </c>
      <c r="CJ297" s="15">
        <v>0.82</v>
      </c>
      <c r="CK297" s="15"/>
      <c r="CL297" s="15"/>
      <c r="CM297" s="15"/>
      <c r="CN297" s="15"/>
      <c r="CO297" s="15"/>
      <c r="CP297" s="15"/>
      <c r="CQ297" s="15"/>
      <c r="CR297" s="15"/>
      <c r="CS297" s="15"/>
      <c r="CT297" s="15"/>
      <c r="CU297" s="15"/>
      <c r="CV297" s="15"/>
      <c r="CW297" s="15"/>
      <c r="CX297" s="15"/>
      <c r="CY297" s="15"/>
      <c r="CZ297" s="15"/>
      <c r="DA297" s="15"/>
      <c r="DB297" s="15">
        <v>0</v>
      </c>
    </row>
    <row r="298" spans="1:106" x14ac:dyDescent="0.25">
      <c r="A298" t="s">
        <v>375</v>
      </c>
      <c r="B298" t="s">
        <v>204</v>
      </c>
      <c r="C298">
        <v>2019</v>
      </c>
      <c r="D298" s="16" t="s">
        <v>372</v>
      </c>
      <c r="E298">
        <v>0</v>
      </c>
      <c r="F298" s="15">
        <v>43.74374374374375</v>
      </c>
      <c r="G298" s="15"/>
      <c r="H298" s="15"/>
      <c r="I298" s="15">
        <v>41.841841841841841</v>
      </c>
      <c r="J298" s="15">
        <v>11.611611611611611</v>
      </c>
      <c r="K298" s="15"/>
      <c r="L298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98" s="15">
        <v>2.8</v>
      </c>
      <c r="Z298" s="15">
        <v>15.9</v>
      </c>
      <c r="AA298" s="15">
        <v>7.3</v>
      </c>
      <c r="AB298" s="15">
        <v>24</v>
      </c>
      <c r="AC298" s="15">
        <v>8.8000000000000007</v>
      </c>
      <c r="AD298" s="15">
        <v>0.7</v>
      </c>
      <c r="AE298" s="15">
        <v>0.94</v>
      </c>
      <c r="AF298" s="15">
        <f>(33.5*Table2[[#This Row],[C%]]+142.3*Table2[[#This Row],[H%]]-15.4*Table2[[#This Row],[O%]]-14.5*Table2[[#This Row],[N%]])/100</f>
        <v>10.742400000000002</v>
      </c>
      <c r="AG298" s="15">
        <v>1.2999999999999999E-3</v>
      </c>
      <c r="AH298" s="15"/>
      <c r="AI298" s="15"/>
      <c r="AJ298" s="15">
        <v>10.714285714285714</v>
      </c>
      <c r="AM298" s="13"/>
      <c r="AO298" s="15"/>
      <c r="AP298" s="15" t="e">
        <f>LN(25/Table2[[#This Row],[Temperature (C)]]/(1-SQRT((Table2[[#This Row],[Temperature (C)]]-5)/Table2[[#This Row],[Temperature (C)]])))/Table2[[#This Row],[b]]</f>
        <v>#DIV/0!</v>
      </c>
      <c r="AQ298" s="15">
        <f>IF(Table2[[#This Row],[b]]&lt;&gt;"",Table2[[#This Row],[T-5]], 0)</f>
        <v>0</v>
      </c>
      <c r="AR298">
        <v>31.6</v>
      </c>
      <c r="AT298" t="s">
        <v>503</v>
      </c>
      <c r="AU298">
        <v>200</v>
      </c>
      <c r="AV298" s="15">
        <v>31.3</v>
      </c>
      <c r="AW298" s="15">
        <v>16.600000000000001</v>
      </c>
      <c r="AX298" s="15">
        <f>100-Table2[[#This Row],[Solids wt%]]-Table2[[#This Row],[Biocrude wt%]]-Table2[[#This Row],[Gas wt%]]</f>
        <v>49.4</v>
      </c>
      <c r="AY298" s="15">
        <v>2.7</v>
      </c>
      <c r="AZ298" s="15"/>
      <c r="BA298" s="15"/>
      <c r="BB298" s="15">
        <f>IF(OR(Table2[[#This Row],[Gas wt%]]&lt;&gt;"",Table2[[#This Row],[Loss]]&lt;&gt;""),Table2[[#This Row],[Gas wt%]]+Table2[[#This Row],[Loss]],"")</f>
        <v>2.7</v>
      </c>
      <c r="BC298" s="15"/>
      <c r="BD298" s="15"/>
      <c r="BE298" s="15"/>
      <c r="BF298" s="15"/>
      <c r="BG298" s="15"/>
      <c r="BH298" s="15"/>
      <c r="BI298" s="15">
        <v>64.099999999999994</v>
      </c>
      <c r="BJ298" s="15">
        <v>8.8000000000000007</v>
      </c>
      <c r="BK298" s="15">
        <v>24.4</v>
      </c>
      <c r="BL298" s="15">
        <v>2.4</v>
      </c>
      <c r="BM298" s="15">
        <v>0.3</v>
      </c>
      <c r="BN298" s="15">
        <v>30.2</v>
      </c>
      <c r="BO298" s="15">
        <v>20.9</v>
      </c>
      <c r="BP298" s="15"/>
      <c r="BQ298" s="15">
        <f>Table2[[#This Row],[H% B]]/Table2[[#This Row],[C% B]]*100</f>
        <v>13.728549141965681</v>
      </c>
      <c r="BR298" s="15"/>
      <c r="BS298" s="15"/>
      <c r="BT298" s="15"/>
      <c r="BU298" s="15"/>
      <c r="BV298" s="15"/>
      <c r="BW298" s="15"/>
      <c r="BX298" s="15"/>
      <c r="BY298" s="15"/>
      <c r="BZ298" s="15"/>
      <c r="CA298" s="15"/>
      <c r="CB298" s="15"/>
      <c r="CC298" s="15"/>
      <c r="CD298" s="15"/>
      <c r="CE298" s="15"/>
      <c r="CF298" s="15">
        <v>56.2</v>
      </c>
      <c r="CG298" s="15">
        <v>7.7</v>
      </c>
      <c r="CH298" s="15">
        <v>26.9</v>
      </c>
      <c r="CI298" s="15">
        <v>8.1</v>
      </c>
      <c r="CJ298" s="15">
        <v>0.68</v>
      </c>
      <c r="CK298" s="15"/>
      <c r="CL298" s="15"/>
      <c r="CM298" s="15"/>
      <c r="CN298" s="15"/>
      <c r="CO298" s="15"/>
      <c r="CP298" s="15"/>
      <c r="CQ298" s="15"/>
      <c r="CR298" s="15"/>
      <c r="CS298" s="15"/>
      <c r="CT298" s="15"/>
      <c r="CU298" s="15"/>
      <c r="CV298" s="15"/>
      <c r="CW298" s="15"/>
      <c r="CX298" s="15"/>
      <c r="CY298" s="15"/>
      <c r="CZ298" s="15"/>
      <c r="DA298" s="15"/>
      <c r="DB298" s="15">
        <v>0</v>
      </c>
    </row>
    <row r="299" spans="1:106" x14ac:dyDescent="0.25">
      <c r="A299" t="s">
        <v>375</v>
      </c>
      <c r="B299" t="s">
        <v>204</v>
      </c>
      <c r="C299">
        <v>2019</v>
      </c>
      <c r="D299" s="16" t="s">
        <v>372</v>
      </c>
      <c r="E299">
        <v>0</v>
      </c>
      <c r="F299" s="15">
        <v>43.74374374374375</v>
      </c>
      <c r="G299" s="15"/>
      <c r="H299" s="15"/>
      <c r="I299" s="15">
        <v>41.841841841841841</v>
      </c>
      <c r="J299" s="15">
        <v>11.611611611611611</v>
      </c>
      <c r="K299" s="15"/>
      <c r="L299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299" s="15">
        <v>2.8</v>
      </c>
      <c r="Z299" s="15">
        <v>15.9</v>
      </c>
      <c r="AA299" s="15">
        <v>7.3</v>
      </c>
      <c r="AB299" s="15">
        <v>24</v>
      </c>
      <c r="AC299" s="15">
        <v>8.8000000000000007</v>
      </c>
      <c r="AD299" s="15">
        <v>0.7</v>
      </c>
      <c r="AE299" s="15">
        <v>0.94</v>
      </c>
      <c r="AF299" s="15">
        <f>(33.5*Table2[[#This Row],[C%]]+142.3*Table2[[#This Row],[H%]]-15.4*Table2[[#This Row],[O%]]-14.5*Table2[[#This Row],[N%]])/100</f>
        <v>10.742400000000002</v>
      </c>
      <c r="AG299" s="15">
        <v>1.2999999999999999E-3</v>
      </c>
      <c r="AH299" s="15"/>
      <c r="AI299" s="15"/>
      <c r="AJ299" s="15">
        <v>10.714285714285714</v>
      </c>
      <c r="AM299" s="13"/>
      <c r="AO299" s="15"/>
      <c r="AP299" s="15" t="e">
        <f>LN(25/Table2[[#This Row],[Temperature (C)]]/(1-SQRT((Table2[[#This Row],[Temperature (C)]]-5)/Table2[[#This Row],[Temperature (C)]])))/Table2[[#This Row],[b]]</f>
        <v>#DIV/0!</v>
      </c>
      <c r="AQ299" s="15">
        <f>IF(Table2[[#This Row],[b]]&lt;&gt;"",Table2[[#This Row],[T-5]], 0)</f>
        <v>0</v>
      </c>
      <c r="AR299">
        <v>1</v>
      </c>
      <c r="AT299" t="s">
        <v>503</v>
      </c>
      <c r="AU299">
        <v>250</v>
      </c>
      <c r="AV299" s="15">
        <v>40.1</v>
      </c>
      <c r="AW299" s="15">
        <v>15.7</v>
      </c>
      <c r="AX299" s="15">
        <f>100-Table2[[#This Row],[Solids wt%]]-Table2[[#This Row],[Biocrude wt%]]-Table2[[#This Row],[Gas wt%]]</f>
        <v>43.2</v>
      </c>
      <c r="AY299" s="15">
        <v>1</v>
      </c>
      <c r="AZ299" s="15"/>
      <c r="BA299" s="15"/>
      <c r="BB299" s="15">
        <f>IF(OR(Table2[[#This Row],[Gas wt%]]&lt;&gt;"",Table2[[#This Row],[Loss]]&lt;&gt;""),Table2[[#This Row],[Gas wt%]]+Table2[[#This Row],[Loss]],"")</f>
        <v>1</v>
      </c>
      <c r="BC299" s="15"/>
      <c r="BD299" s="15"/>
      <c r="BE299" s="15"/>
      <c r="BF299" s="15"/>
      <c r="BG299" s="15"/>
      <c r="BH299" s="15"/>
      <c r="BI299" s="15">
        <v>63.5</v>
      </c>
      <c r="BJ299" s="15">
        <v>8.8000000000000007</v>
      </c>
      <c r="BK299" s="15">
        <v>25.4</v>
      </c>
      <c r="BL299" s="15">
        <v>2.1</v>
      </c>
      <c r="BM299" s="15">
        <v>0.28999999999999998</v>
      </c>
      <c r="BN299" s="15">
        <v>29.8</v>
      </c>
      <c r="BO299" s="15">
        <v>19.5</v>
      </c>
      <c r="BP299" s="15"/>
      <c r="BQ299" s="15">
        <f>Table2[[#This Row],[H% B]]/Table2[[#This Row],[C% B]]*100</f>
        <v>13.858267716535433</v>
      </c>
      <c r="BR299" s="15"/>
      <c r="BS299" s="15"/>
      <c r="BT299" s="15"/>
      <c r="BU299" s="15"/>
      <c r="BV299" s="15"/>
      <c r="BW299" s="15"/>
      <c r="BX299" s="15"/>
      <c r="BY299" s="15"/>
      <c r="BZ299" s="15"/>
      <c r="CA299" s="15"/>
      <c r="CB299" s="15"/>
      <c r="CC299" s="15"/>
      <c r="CD299" s="15"/>
      <c r="CE299" s="15"/>
      <c r="CF299" s="15">
        <v>53.2</v>
      </c>
      <c r="CG299" s="15">
        <v>7.6</v>
      </c>
      <c r="CH299" s="15">
        <v>27.5</v>
      </c>
      <c r="CI299" s="15">
        <v>10.5</v>
      </c>
      <c r="CJ299" s="15">
        <v>0.81</v>
      </c>
      <c r="CK299" s="15"/>
      <c r="CL299" s="15"/>
      <c r="CM299" s="15"/>
      <c r="CN299" s="15"/>
      <c r="CO299" s="15"/>
      <c r="CP299" s="15"/>
      <c r="CQ299" s="15"/>
      <c r="CR299" s="15"/>
      <c r="CS299" s="15"/>
      <c r="CT299" s="15"/>
      <c r="CU299" s="15"/>
      <c r="CV299" s="15"/>
      <c r="CW299" s="15"/>
      <c r="CX299" s="15"/>
      <c r="CY299" s="15"/>
      <c r="CZ299" s="15"/>
      <c r="DA299" s="15"/>
      <c r="DB299" s="15">
        <v>0</v>
      </c>
    </row>
    <row r="300" spans="1:106" x14ac:dyDescent="0.25">
      <c r="A300" t="s">
        <v>375</v>
      </c>
      <c r="B300" t="s">
        <v>204</v>
      </c>
      <c r="C300">
        <v>2019</v>
      </c>
      <c r="D300" s="16" t="s">
        <v>372</v>
      </c>
      <c r="E300">
        <v>0</v>
      </c>
      <c r="F300" s="15">
        <v>43.74374374374375</v>
      </c>
      <c r="G300" s="15"/>
      <c r="H300" s="15"/>
      <c r="I300" s="15">
        <v>41.841841841841841</v>
      </c>
      <c r="J300" s="15">
        <v>11.611611611611611</v>
      </c>
      <c r="K300" s="15"/>
      <c r="L300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300" s="15">
        <v>2.8</v>
      </c>
      <c r="Z300" s="15">
        <v>15.9</v>
      </c>
      <c r="AA300" s="15">
        <v>7.3</v>
      </c>
      <c r="AB300" s="15">
        <v>24</v>
      </c>
      <c r="AC300" s="15">
        <v>8.8000000000000007</v>
      </c>
      <c r="AD300" s="15">
        <v>0.7</v>
      </c>
      <c r="AE300" s="15">
        <v>0.94</v>
      </c>
      <c r="AF300" s="15">
        <f>(33.5*Table2[[#This Row],[C%]]+142.3*Table2[[#This Row],[H%]]-15.4*Table2[[#This Row],[O%]]-14.5*Table2[[#This Row],[N%]])/100</f>
        <v>10.742400000000002</v>
      </c>
      <c r="AG300" s="15">
        <v>1.2999999999999999E-3</v>
      </c>
      <c r="AH300" s="15"/>
      <c r="AI300" s="15"/>
      <c r="AJ300" s="15">
        <v>10.714285714285714</v>
      </c>
      <c r="AM300" s="13"/>
      <c r="AO300" s="15"/>
      <c r="AP300" s="15" t="e">
        <f>LN(25/Table2[[#This Row],[Temperature (C)]]/(1-SQRT((Table2[[#This Row],[Temperature (C)]]-5)/Table2[[#This Row],[Temperature (C)]])))/Table2[[#This Row],[b]]</f>
        <v>#DIV/0!</v>
      </c>
      <c r="AQ300" s="15">
        <f>IF(Table2[[#This Row],[b]]&lt;&gt;"",Table2[[#This Row],[T-5]], 0)</f>
        <v>0</v>
      </c>
      <c r="AR300">
        <v>10</v>
      </c>
      <c r="AT300" t="s">
        <v>503</v>
      </c>
      <c r="AU300">
        <v>250</v>
      </c>
      <c r="AV300" s="15">
        <v>9.4</v>
      </c>
      <c r="AW300" s="15">
        <v>27.9</v>
      </c>
      <c r="AX300" s="15">
        <f>100-Table2[[#This Row],[Solids wt%]]-Table2[[#This Row],[Biocrude wt%]]-Table2[[#This Row],[Gas wt%]]</f>
        <v>62.699999999999996</v>
      </c>
      <c r="AY300" s="15"/>
      <c r="AZ300" s="15"/>
      <c r="BA300" s="15"/>
      <c r="BB300" s="15" t="str">
        <f>IF(OR(Table2[[#This Row],[Gas wt%]]&lt;&gt;"",Table2[[#This Row],[Loss]]&lt;&gt;""),Table2[[#This Row],[Gas wt%]]+Table2[[#This Row],[Loss]],"")</f>
        <v/>
      </c>
      <c r="BC300" s="15"/>
      <c r="BD300" s="15"/>
      <c r="BE300" s="15"/>
      <c r="BF300" s="15"/>
      <c r="BG300" s="15"/>
      <c r="BH300" s="15"/>
      <c r="BI300" s="15">
        <v>65.7</v>
      </c>
      <c r="BJ300" s="15">
        <v>8.6</v>
      </c>
      <c r="BK300" s="15">
        <v>21</v>
      </c>
      <c r="BL300" s="15">
        <v>4.2</v>
      </c>
      <c r="BM300" s="15">
        <v>0.53</v>
      </c>
      <c r="BN300" s="15">
        <v>30.8</v>
      </c>
      <c r="BO300" s="15">
        <v>35.799999999999997</v>
      </c>
      <c r="BP300" s="15"/>
      <c r="BQ300" s="15">
        <f>Table2[[#This Row],[H% B]]/Table2[[#This Row],[C% B]]*100</f>
        <v>13.08980213089802</v>
      </c>
      <c r="BR300" s="15"/>
      <c r="BS300" s="15"/>
      <c r="BT300" s="15"/>
      <c r="BU300" s="15"/>
      <c r="BV300" s="15"/>
      <c r="BW300" s="15"/>
      <c r="BX300" s="15"/>
      <c r="BY300" s="15"/>
      <c r="BZ300" s="15"/>
      <c r="CA300" s="15"/>
      <c r="CB300" s="15"/>
      <c r="CC300" s="15"/>
      <c r="CD300" s="15"/>
      <c r="CE300" s="15"/>
      <c r="CF300" s="15">
        <v>55.2</v>
      </c>
      <c r="CG300" s="15">
        <v>7.3</v>
      </c>
      <c r="CH300" s="15">
        <v>26.7</v>
      </c>
      <c r="CI300" s="15">
        <v>8.6</v>
      </c>
      <c r="CJ300" s="15">
        <v>0.59</v>
      </c>
      <c r="CK300" s="15"/>
      <c r="CL300" s="15"/>
      <c r="CM300" s="15"/>
      <c r="CN300" s="15"/>
      <c r="CO300" s="15"/>
      <c r="CP300" s="15"/>
      <c r="CQ300" s="15"/>
      <c r="CR300" s="15"/>
      <c r="CS300" s="15"/>
      <c r="CT300" s="15"/>
      <c r="CU300" s="15"/>
      <c r="CV300" s="15"/>
      <c r="CW300" s="15"/>
      <c r="CX300" s="15"/>
      <c r="CY300" s="15"/>
      <c r="CZ300" s="15"/>
      <c r="DA300" s="15"/>
      <c r="DB300" s="15">
        <v>0</v>
      </c>
    </row>
    <row r="301" spans="1:106" x14ac:dyDescent="0.25">
      <c r="A301" t="s">
        <v>375</v>
      </c>
      <c r="B301" t="s">
        <v>204</v>
      </c>
      <c r="C301">
        <v>2019</v>
      </c>
      <c r="D301" s="16" t="s">
        <v>372</v>
      </c>
      <c r="E301">
        <v>0</v>
      </c>
      <c r="F301" s="15">
        <v>43.74374374374375</v>
      </c>
      <c r="G301" s="15"/>
      <c r="H301" s="15"/>
      <c r="I301" s="15">
        <v>41.841841841841841</v>
      </c>
      <c r="J301" s="15">
        <v>11.611611611611611</v>
      </c>
      <c r="K301" s="15"/>
      <c r="L301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301" s="15">
        <v>2.8</v>
      </c>
      <c r="Z301" s="15">
        <v>15.9</v>
      </c>
      <c r="AA301" s="15">
        <v>7.3</v>
      </c>
      <c r="AB301" s="15">
        <v>24</v>
      </c>
      <c r="AC301" s="15">
        <v>8.8000000000000007</v>
      </c>
      <c r="AD301" s="15">
        <v>0.7</v>
      </c>
      <c r="AE301" s="15">
        <v>0.94</v>
      </c>
      <c r="AF301" s="15">
        <f>(33.5*Table2[[#This Row],[C%]]+142.3*Table2[[#This Row],[H%]]-15.4*Table2[[#This Row],[O%]]-14.5*Table2[[#This Row],[N%]])/100</f>
        <v>10.742400000000002</v>
      </c>
      <c r="AG301" s="15">
        <v>1.2999999999999999E-3</v>
      </c>
      <c r="AH301" s="15"/>
      <c r="AI301" s="15"/>
      <c r="AJ301" s="15">
        <v>10.714285714285714</v>
      </c>
      <c r="AM301" s="13"/>
      <c r="AO301" s="15"/>
      <c r="AP301" s="15" t="e">
        <f>LN(25/Table2[[#This Row],[Temperature (C)]]/(1-SQRT((Table2[[#This Row],[Temperature (C)]]-5)/Table2[[#This Row],[Temperature (C)]])))/Table2[[#This Row],[b]]</f>
        <v>#DIV/0!</v>
      </c>
      <c r="AQ301" s="15">
        <f>IF(Table2[[#This Row],[b]]&lt;&gt;"",Table2[[#This Row],[T-5]], 0)</f>
        <v>0</v>
      </c>
      <c r="AR301">
        <v>100</v>
      </c>
      <c r="AT301" t="s">
        <v>503</v>
      </c>
      <c r="AU301">
        <v>250</v>
      </c>
      <c r="AV301" s="15">
        <v>1.9</v>
      </c>
      <c r="AW301" s="15">
        <v>36.4</v>
      </c>
      <c r="AX301" s="15">
        <f>100-Table2[[#This Row],[Solids wt%]]-Table2[[#This Row],[Biocrude wt%]]-Table2[[#This Row],[Gas wt%]]</f>
        <v>54.199999999999996</v>
      </c>
      <c r="AY301" s="15">
        <v>7.5</v>
      </c>
      <c r="AZ301" s="15"/>
      <c r="BA301" s="15"/>
      <c r="BB301" s="15">
        <f>IF(OR(Table2[[#This Row],[Gas wt%]]&lt;&gt;"",Table2[[#This Row],[Loss]]&lt;&gt;""),Table2[[#This Row],[Gas wt%]]+Table2[[#This Row],[Loss]],"")</f>
        <v>7.5</v>
      </c>
      <c r="BC301" s="15"/>
      <c r="BD301" s="15"/>
      <c r="BE301" s="15"/>
      <c r="BF301" s="15"/>
      <c r="BG301" s="15"/>
      <c r="BH301" s="15"/>
      <c r="BI301" s="15">
        <v>73.3</v>
      </c>
      <c r="BJ301" s="15">
        <v>9.4</v>
      </c>
      <c r="BK301" s="15">
        <v>11.1</v>
      </c>
      <c r="BL301" s="15">
        <v>5.5</v>
      </c>
      <c r="BM301" s="15">
        <v>0.56999999999999995</v>
      </c>
      <c r="BN301" s="15">
        <v>35.5</v>
      </c>
      <c r="BO301" s="15">
        <v>53.8</v>
      </c>
      <c r="BP301" s="15"/>
      <c r="BQ301" s="15">
        <f>Table2[[#This Row],[H% B]]/Table2[[#This Row],[C% B]]*100</f>
        <v>12.824010914051842</v>
      </c>
      <c r="BR301" s="15"/>
      <c r="BS301" s="15"/>
      <c r="BT301" s="15"/>
      <c r="BU301" s="15"/>
      <c r="BV301" s="15"/>
      <c r="BW301" s="15"/>
      <c r="BX301" s="15"/>
      <c r="BY301" s="15"/>
      <c r="BZ301" s="15"/>
      <c r="CA301" s="15"/>
      <c r="CB301" s="15"/>
      <c r="CC301" s="15"/>
      <c r="CD301" s="15"/>
      <c r="CE301" s="15"/>
      <c r="CF301" s="15"/>
      <c r="CG301" s="15"/>
      <c r="CH301" s="15"/>
      <c r="CI301" s="15"/>
      <c r="CJ301" s="15"/>
      <c r="CK301" s="15"/>
      <c r="CL301" s="15"/>
      <c r="CM301" s="15"/>
      <c r="CN301" s="15"/>
      <c r="CO301" s="15"/>
      <c r="CP301" s="15"/>
      <c r="CQ301" s="15"/>
      <c r="CR301" s="15"/>
      <c r="CS301" s="15"/>
      <c r="CT301" s="15"/>
      <c r="CU301" s="15"/>
      <c r="CV301" s="15"/>
      <c r="CW301" s="15"/>
      <c r="CX301" s="15"/>
      <c r="CY301" s="15"/>
      <c r="CZ301" s="15"/>
      <c r="DA301" s="15"/>
      <c r="DB301" s="15">
        <v>0</v>
      </c>
    </row>
    <row r="302" spans="1:106" x14ac:dyDescent="0.25">
      <c r="A302" t="s">
        <v>375</v>
      </c>
      <c r="B302" t="s">
        <v>204</v>
      </c>
      <c r="C302">
        <v>2019</v>
      </c>
      <c r="D302" s="16" t="s">
        <v>372</v>
      </c>
      <c r="E302">
        <v>0</v>
      </c>
      <c r="F302" s="15">
        <v>43.74374374374375</v>
      </c>
      <c r="G302" s="15"/>
      <c r="H302" s="15"/>
      <c r="I302" s="15">
        <v>41.841841841841841</v>
      </c>
      <c r="J302" s="15">
        <v>11.611611611611611</v>
      </c>
      <c r="K302" s="15"/>
      <c r="L302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302" s="15">
        <v>2.8</v>
      </c>
      <c r="Z302" s="15">
        <v>15.9</v>
      </c>
      <c r="AA302" s="15">
        <v>7.3</v>
      </c>
      <c r="AB302" s="15">
        <v>24</v>
      </c>
      <c r="AC302" s="15">
        <v>8.8000000000000007</v>
      </c>
      <c r="AD302" s="15">
        <v>0.7</v>
      </c>
      <c r="AE302" s="15">
        <v>0.94</v>
      </c>
      <c r="AF302" s="15">
        <f>(33.5*Table2[[#This Row],[C%]]+142.3*Table2[[#This Row],[H%]]-15.4*Table2[[#This Row],[O%]]-14.5*Table2[[#This Row],[N%]])/100</f>
        <v>10.742400000000002</v>
      </c>
      <c r="AG302" s="15">
        <v>1.2999999999999999E-3</v>
      </c>
      <c r="AH302" s="15"/>
      <c r="AI302" s="15"/>
      <c r="AJ302" s="15">
        <v>10.714285714285714</v>
      </c>
      <c r="AM302" s="13"/>
      <c r="AO302" s="15"/>
      <c r="AP302" s="15" t="e">
        <f>LN(25/Table2[[#This Row],[Temperature (C)]]/(1-SQRT((Table2[[#This Row],[Temperature (C)]]-5)/Table2[[#This Row],[Temperature (C)]])))/Table2[[#This Row],[b]]</f>
        <v>#DIV/0!</v>
      </c>
      <c r="AQ302" s="15">
        <f>IF(Table2[[#This Row],[b]]&lt;&gt;"",Table2[[#This Row],[T-5]], 0)</f>
        <v>0</v>
      </c>
      <c r="AR302">
        <v>3.2</v>
      </c>
      <c r="AT302" t="s">
        <v>503</v>
      </c>
      <c r="AU302">
        <v>300</v>
      </c>
      <c r="AV302" s="15">
        <v>6.5</v>
      </c>
      <c r="AW302" s="15">
        <v>33.9</v>
      </c>
      <c r="AX302" s="15">
        <f>100-Table2[[#This Row],[Solids wt%]]-Table2[[#This Row],[Biocrude wt%]]-Table2[[#This Row],[Gas wt%]]</f>
        <v>53.7</v>
      </c>
      <c r="AY302" s="15">
        <v>5.9</v>
      </c>
      <c r="AZ302" s="15"/>
      <c r="BA302" s="15"/>
      <c r="BB302" s="15">
        <f>IF(OR(Table2[[#This Row],[Gas wt%]]&lt;&gt;"",Table2[[#This Row],[Loss]]&lt;&gt;""),Table2[[#This Row],[Gas wt%]]+Table2[[#This Row],[Loss]],"")</f>
        <v>5.9</v>
      </c>
      <c r="BC302" s="15"/>
      <c r="BD302" s="15"/>
      <c r="BE302" s="15"/>
      <c r="BF302" s="15"/>
      <c r="BG302" s="15"/>
      <c r="BH302" s="15"/>
      <c r="BI302" s="15">
        <v>66.900000000000006</v>
      </c>
      <c r="BJ302" s="15">
        <v>8.5</v>
      </c>
      <c r="BK302" s="15">
        <v>18.7</v>
      </c>
      <c r="BL302" s="15">
        <v>5.3</v>
      </c>
      <c r="BM302" s="15">
        <v>0.69</v>
      </c>
      <c r="BN302" s="15">
        <v>31.4</v>
      </c>
      <c r="BO302" s="15">
        <v>44.3</v>
      </c>
      <c r="BP302" s="15"/>
      <c r="BQ302" s="15">
        <f>Table2[[#This Row],[H% B]]/Table2[[#This Row],[C% B]]*100</f>
        <v>12.705530642750373</v>
      </c>
      <c r="BR302" s="15"/>
      <c r="BS302" s="15"/>
      <c r="BT302" s="15"/>
      <c r="BU302" s="15"/>
      <c r="BV302" s="15"/>
      <c r="BW302" s="15"/>
      <c r="BX302" s="15"/>
      <c r="BY302" s="15"/>
      <c r="BZ302" s="15"/>
      <c r="CA302" s="15"/>
      <c r="CB302" s="15"/>
      <c r="CC302" s="15"/>
      <c r="CD302" s="15"/>
      <c r="CE302" s="15"/>
      <c r="CF302" s="15">
        <v>51.1</v>
      </c>
      <c r="CG302" s="15">
        <v>6.6</v>
      </c>
      <c r="CH302" s="15">
        <v>35</v>
      </c>
      <c r="CI302" s="15">
        <v>6.3</v>
      </c>
      <c r="CJ302" s="15">
        <v>0.46</v>
      </c>
      <c r="CK302" s="15"/>
      <c r="CL302" s="15"/>
      <c r="CM302" s="15"/>
      <c r="CN302" s="15"/>
      <c r="CO302" s="15"/>
      <c r="CP302" s="15"/>
      <c r="CQ302" s="15"/>
      <c r="CR302" s="15"/>
      <c r="CS302" s="15"/>
      <c r="CT302" s="15"/>
      <c r="CU302" s="15"/>
      <c r="CV302" s="15"/>
      <c r="CW302" s="15"/>
      <c r="CX302" s="15"/>
      <c r="CY302" s="15"/>
      <c r="CZ302" s="15"/>
      <c r="DA302" s="15"/>
      <c r="DB302" s="15">
        <v>0</v>
      </c>
    </row>
    <row r="303" spans="1:106" x14ac:dyDescent="0.25">
      <c r="A303" t="s">
        <v>375</v>
      </c>
      <c r="B303" t="s">
        <v>204</v>
      </c>
      <c r="C303">
        <v>2019</v>
      </c>
      <c r="D303" s="16" t="s">
        <v>372</v>
      </c>
      <c r="E303">
        <v>0</v>
      </c>
      <c r="F303" s="15">
        <v>43.74374374374375</v>
      </c>
      <c r="G303" s="15"/>
      <c r="H303" s="15"/>
      <c r="I303" s="15">
        <v>41.841841841841841</v>
      </c>
      <c r="J303" s="15">
        <v>11.611611611611611</v>
      </c>
      <c r="K303" s="15"/>
      <c r="L303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303" s="15">
        <v>2.8</v>
      </c>
      <c r="Z303" s="15">
        <v>15.9</v>
      </c>
      <c r="AA303" s="15">
        <v>7.3</v>
      </c>
      <c r="AB303" s="15">
        <v>24</v>
      </c>
      <c r="AC303" s="15">
        <v>8.8000000000000007</v>
      </c>
      <c r="AD303" s="15">
        <v>0.7</v>
      </c>
      <c r="AE303" s="15">
        <v>0.94</v>
      </c>
      <c r="AF303" s="15">
        <f>(33.5*Table2[[#This Row],[C%]]+142.3*Table2[[#This Row],[H%]]-15.4*Table2[[#This Row],[O%]]-14.5*Table2[[#This Row],[N%]])/100</f>
        <v>10.742400000000002</v>
      </c>
      <c r="AG303" s="15">
        <v>1.2999999999999999E-3</v>
      </c>
      <c r="AH303" s="15"/>
      <c r="AI303" s="15"/>
      <c r="AJ303" s="15">
        <v>10.714285714285714</v>
      </c>
      <c r="AM303" s="13"/>
      <c r="AO303" s="15"/>
      <c r="AP303" s="15" t="e">
        <f>LN(25/Table2[[#This Row],[Temperature (C)]]/(1-SQRT((Table2[[#This Row],[Temperature (C)]]-5)/Table2[[#This Row],[Temperature (C)]])))/Table2[[#This Row],[b]]</f>
        <v>#DIV/0!</v>
      </c>
      <c r="AQ303" s="15">
        <f>IF(Table2[[#This Row],[b]]&lt;&gt;"",Table2[[#This Row],[T-5]], 0)</f>
        <v>0</v>
      </c>
      <c r="AR303">
        <v>31.6</v>
      </c>
      <c r="AT303" t="s">
        <v>503</v>
      </c>
      <c r="AU303">
        <v>300</v>
      </c>
      <c r="AV303" s="15">
        <v>2.1</v>
      </c>
      <c r="AW303" s="15">
        <v>34</v>
      </c>
      <c r="AX303" s="15">
        <f>100-Table2[[#This Row],[Solids wt%]]-Table2[[#This Row],[Biocrude wt%]]-Table2[[#This Row],[Gas wt%]]</f>
        <v>57.400000000000006</v>
      </c>
      <c r="AY303" s="15">
        <v>6.5</v>
      </c>
      <c r="AZ303" s="15"/>
      <c r="BA303" s="15"/>
      <c r="BB303" s="15">
        <f>IF(OR(Table2[[#This Row],[Gas wt%]]&lt;&gt;"",Table2[[#This Row],[Loss]]&lt;&gt;""),Table2[[#This Row],[Gas wt%]]+Table2[[#This Row],[Loss]],"")</f>
        <v>6.5</v>
      </c>
      <c r="BC303" s="15"/>
      <c r="BD303" s="15"/>
      <c r="BE303" s="15"/>
      <c r="BF303" s="15"/>
      <c r="BG303" s="15"/>
      <c r="BH303" s="15"/>
      <c r="BI303" s="15">
        <v>68.3</v>
      </c>
      <c r="BJ303" s="15">
        <v>8.6999999999999993</v>
      </c>
      <c r="BK303" s="15">
        <v>17.2</v>
      </c>
      <c r="BL303" s="15">
        <v>5.2</v>
      </c>
      <c r="BM303" s="15">
        <v>0.67</v>
      </c>
      <c r="BN303" s="15">
        <v>32.200000000000003</v>
      </c>
      <c r="BO303" s="15">
        <v>45.6</v>
      </c>
      <c r="BP303" s="15"/>
      <c r="BQ303" s="15">
        <f>Table2[[#This Row],[H% B]]/Table2[[#This Row],[C% B]]*100</f>
        <v>12.73792093704246</v>
      </c>
      <c r="BR303" s="15"/>
      <c r="BS303" s="15"/>
      <c r="BT303" s="15"/>
      <c r="BU303" s="15"/>
      <c r="BV303" s="15"/>
      <c r="BW303" s="15"/>
      <c r="BX303" s="15"/>
      <c r="BY303" s="15"/>
      <c r="BZ303" s="15"/>
      <c r="CA303" s="15"/>
      <c r="CB303" s="15"/>
      <c r="CC303" s="15"/>
      <c r="CD303" s="15"/>
      <c r="CE303" s="15"/>
      <c r="CF303" s="15"/>
      <c r="CG303" s="15"/>
      <c r="CH303" s="15"/>
      <c r="CI303" s="15"/>
      <c r="CJ303" s="15"/>
      <c r="CK303" s="15"/>
      <c r="CL303" s="15"/>
      <c r="CM303" s="15"/>
      <c r="CN303" s="15"/>
      <c r="CO303" s="15"/>
      <c r="CP303" s="15"/>
      <c r="CQ303" s="15"/>
      <c r="CR303" s="15"/>
      <c r="CS303" s="15"/>
      <c r="CT303" s="15"/>
      <c r="CU303" s="15"/>
      <c r="CV303" s="15"/>
      <c r="CW303" s="15"/>
      <c r="CX303" s="15"/>
      <c r="CY303" s="15"/>
      <c r="CZ303" s="15"/>
      <c r="DA303" s="15"/>
      <c r="DB303" s="15">
        <v>0</v>
      </c>
    </row>
    <row r="304" spans="1:106" x14ac:dyDescent="0.25">
      <c r="A304" t="s">
        <v>375</v>
      </c>
      <c r="B304" t="s">
        <v>204</v>
      </c>
      <c r="C304">
        <v>2019</v>
      </c>
      <c r="D304" s="16" t="s">
        <v>372</v>
      </c>
      <c r="E304">
        <v>0</v>
      </c>
      <c r="F304" s="15">
        <v>43.74374374374375</v>
      </c>
      <c r="G304" s="15"/>
      <c r="H304" s="15"/>
      <c r="I304" s="15">
        <v>41.841841841841841</v>
      </c>
      <c r="J304" s="15">
        <v>11.611611611611611</v>
      </c>
      <c r="K304" s="15"/>
      <c r="L304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304" s="15">
        <v>2.8</v>
      </c>
      <c r="Z304" s="15">
        <v>15.9</v>
      </c>
      <c r="AA304" s="15">
        <v>7.3</v>
      </c>
      <c r="AB304" s="15">
        <v>24</v>
      </c>
      <c r="AC304" s="15">
        <v>8.8000000000000007</v>
      </c>
      <c r="AD304" s="15">
        <v>0.7</v>
      </c>
      <c r="AE304" s="15">
        <v>0.94</v>
      </c>
      <c r="AF304" s="15">
        <f>(33.5*Table2[[#This Row],[C%]]+142.3*Table2[[#This Row],[H%]]-15.4*Table2[[#This Row],[O%]]-14.5*Table2[[#This Row],[N%]])/100</f>
        <v>10.742400000000002</v>
      </c>
      <c r="AG304" s="15">
        <v>1.2999999999999999E-3</v>
      </c>
      <c r="AH304" s="15"/>
      <c r="AI304" s="15"/>
      <c r="AJ304" s="15">
        <v>10.714285714285714</v>
      </c>
      <c r="AM304" s="13"/>
      <c r="AO304" s="15"/>
      <c r="AP304" s="15" t="e">
        <f>LN(25/Table2[[#This Row],[Temperature (C)]]/(1-SQRT((Table2[[#This Row],[Temperature (C)]]-5)/Table2[[#This Row],[Temperature (C)]])))/Table2[[#This Row],[b]]</f>
        <v>#DIV/0!</v>
      </c>
      <c r="AQ304" s="15">
        <f>IF(Table2[[#This Row],[b]]&lt;&gt;"",Table2[[#This Row],[T-5]], 0)</f>
        <v>0</v>
      </c>
      <c r="AR304">
        <v>0</v>
      </c>
      <c r="AT304" t="s">
        <v>503</v>
      </c>
      <c r="AU304">
        <v>350</v>
      </c>
      <c r="AV304" s="15">
        <v>76.099999999999994</v>
      </c>
      <c r="AW304" s="15">
        <v>2.1</v>
      </c>
      <c r="AX304" s="15">
        <f>100-Table2[[#This Row],[Solids wt%]]-Table2[[#This Row],[Biocrude wt%]]-Table2[[#This Row],[Gas wt%]]</f>
        <v>21.800000000000004</v>
      </c>
      <c r="AY304" s="15"/>
      <c r="AZ304" s="15"/>
      <c r="BA304" s="15"/>
      <c r="BB304" s="15" t="str">
        <f>IF(OR(Table2[[#This Row],[Gas wt%]]&lt;&gt;"",Table2[[#This Row],[Loss]]&lt;&gt;""),Table2[[#This Row],[Gas wt%]]+Table2[[#This Row],[Loss]],"")</f>
        <v/>
      </c>
      <c r="BC304" s="15"/>
      <c r="BD304" s="15"/>
      <c r="BE304" s="15"/>
      <c r="BF304" s="15"/>
      <c r="BG304" s="15"/>
      <c r="BH304" s="15"/>
      <c r="BI304" s="15">
        <v>64.7</v>
      </c>
      <c r="BJ304" s="15">
        <v>9.3000000000000007</v>
      </c>
      <c r="BK304" s="15">
        <v>25.6</v>
      </c>
      <c r="BL304" s="15">
        <v>0.3</v>
      </c>
      <c r="BM304" s="15"/>
      <c r="BN304" s="15">
        <v>30.9</v>
      </c>
      <c r="BO304" s="15">
        <v>2.7</v>
      </c>
      <c r="BP304" s="15"/>
      <c r="BQ304" s="15">
        <f>Table2[[#This Row],[H% B]]/Table2[[#This Row],[C% B]]*100</f>
        <v>14.374034003091191</v>
      </c>
      <c r="BR304" s="15"/>
      <c r="BS304" s="15"/>
      <c r="BT304" s="15"/>
      <c r="BU304" s="15"/>
      <c r="BV304" s="15"/>
      <c r="BW304" s="15"/>
      <c r="BX304" s="15"/>
      <c r="BY304" s="15"/>
      <c r="BZ304" s="15"/>
      <c r="CA304" s="15"/>
      <c r="CB304" s="15"/>
      <c r="CC304" s="15"/>
      <c r="CD304" s="15"/>
      <c r="CE304" s="15"/>
      <c r="CF304" s="15">
        <v>53.2</v>
      </c>
      <c r="CG304" s="15">
        <v>7.7</v>
      </c>
      <c r="CH304" s="15">
        <v>27.7</v>
      </c>
      <c r="CI304" s="15">
        <v>10.1</v>
      </c>
      <c r="CJ304" s="15">
        <v>0.74</v>
      </c>
      <c r="CK304" s="15"/>
      <c r="CL304" s="15"/>
      <c r="CM304" s="15"/>
      <c r="CN304" s="15"/>
      <c r="CO304" s="15"/>
      <c r="CP304" s="15"/>
      <c r="CQ304" s="15"/>
      <c r="CR304" s="15"/>
      <c r="CS304" s="15"/>
      <c r="CT304" s="15"/>
      <c r="CU304" s="15"/>
      <c r="CV304" s="15"/>
      <c r="CW304" s="15"/>
      <c r="CX304" s="15"/>
      <c r="CY304" s="15"/>
      <c r="CZ304" s="15"/>
      <c r="DA304" s="15"/>
      <c r="DB304" s="15">
        <v>0</v>
      </c>
    </row>
    <row r="305" spans="1:106" x14ac:dyDescent="0.25">
      <c r="A305" t="s">
        <v>375</v>
      </c>
      <c r="B305" t="s">
        <v>204</v>
      </c>
      <c r="C305">
        <v>2019</v>
      </c>
      <c r="D305" s="16" t="s">
        <v>372</v>
      </c>
      <c r="E305">
        <v>0</v>
      </c>
      <c r="F305" s="15">
        <v>43.74374374374375</v>
      </c>
      <c r="G305" s="15"/>
      <c r="H305" s="15"/>
      <c r="I305" s="15">
        <v>41.841841841841841</v>
      </c>
      <c r="J305" s="15">
        <v>11.611611611611611</v>
      </c>
      <c r="K305" s="15"/>
      <c r="L305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305" s="15">
        <v>2.8</v>
      </c>
      <c r="Z305" s="15">
        <v>15.9</v>
      </c>
      <c r="AA305" s="15">
        <v>7.3</v>
      </c>
      <c r="AB305" s="15">
        <v>24</v>
      </c>
      <c r="AC305" s="15">
        <v>8.8000000000000007</v>
      </c>
      <c r="AD305" s="15">
        <v>0.7</v>
      </c>
      <c r="AE305" s="15">
        <v>0.94</v>
      </c>
      <c r="AF305" s="15">
        <f>(33.5*Table2[[#This Row],[C%]]+142.3*Table2[[#This Row],[H%]]-15.4*Table2[[#This Row],[O%]]-14.5*Table2[[#This Row],[N%]])/100</f>
        <v>10.742400000000002</v>
      </c>
      <c r="AG305" s="15">
        <v>1.2999999999999999E-3</v>
      </c>
      <c r="AH305" s="15"/>
      <c r="AI305" s="15"/>
      <c r="AJ305" s="15">
        <v>10.714285714285714</v>
      </c>
      <c r="AM305" s="13"/>
      <c r="AO305" s="15"/>
      <c r="AP305" s="15" t="e">
        <f>LN(25/Table2[[#This Row],[Temperature (C)]]/(1-SQRT((Table2[[#This Row],[Temperature (C)]]-5)/Table2[[#This Row],[Temperature (C)]])))/Table2[[#This Row],[b]]</f>
        <v>#DIV/0!</v>
      </c>
      <c r="AQ305" s="15">
        <f>IF(Table2[[#This Row],[b]]&lt;&gt;"",Table2[[#This Row],[T-5]], 0)</f>
        <v>0</v>
      </c>
      <c r="AR305">
        <v>1</v>
      </c>
      <c r="AT305" t="s">
        <v>503</v>
      </c>
      <c r="AU305">
        <v>350</v>
      </c>
      <c r="AV305" s="15">
        <v>5.5</v>
      </c>
      <c r="AW305" s="15">
        <v>38.1</v>
      </c>
      <c r="AX305" s="15">
        <f>100-Table2[[#This Row],[Solids wt%]]-Table2[[#This Row],[Biocrude wt%]]-Table2[[#This Row],[Gas wt%]]</f>
        <v>51.3</v>
      </c>
      <c r="AY305" s="15">
        <v>5.0999999999999996</v>
      </c>
      <c r="AZ305" s="15"/>
      <c r="BA305" s="15"/>
      <c r="BB305" s="15">
        <f>IF(OR(Table2[[#This Row],[Gas wt%]]&lt;&gt;"",Table2[[#This Row],[Loss]]&lt;&gt;""),Table2[[#This Row],[Gas wt%]]+Table2[[#This Row],[Loss]],"")</f>
        <v>5.0999999999999996</v>
      </c>
      <c r="BC305" s="15"/>
      <c r="BD305" s="15"/>
      <c r="BE305" s="15"/>
      <c r="BF305" s="15"/>
      <c r="BG305" s="15"/>
      <c r="BH305" s="15"/>
      <c r="BI305" s="15">
        <v>65.7</v>
      </c>
      <c r="BJ305" s="15">
        <v>8.6</v>
      </c>
      <c r="BK305" s="15">
        <v>19.7</v>
      </c>
      <c r="BL305" s="15">
        <v>5.3</v>
      </c>
      <c r="BM305" s="15">
        <v>0.68</v>
      </c>
      <c r="BN305" s="15">
        <v>30.9</v>
      </c>
      <c r="BO305" s="15">
        <v>49</v>
      </c>
      <c r="BP305" s="15"/>
      <c r="BQ305" s="15">
        <f>Table2[[#This Row],[H% B]]/Table2[[#This Row],[C% B]]*100</f>
        <v>13.08980213089802</v>
      </c>
      <c r="BR305" s="15"/>
      <c r="BS305" s="15"/>
      <c r="BT305" s="15"/>
      <c r="BU305" s="15"/>
      <c r="BV305" s="15"/>
      <c r="BW305" s="15"/>
      <c r="BX305" s="15"/>
      <c r="BY305" s="15"/>
      <c r="BZ305" s="15"/>
      <c r="CA305" s="15"/>
      <c r="CB305" s="15"/>
      <c r="CC305" s="15"/>
      <c r="CD305" s="15"/>
      <c r="CE305" s="15"/>
      <c r="CF305" s="15">
        <v>46.3</v>
      </c>
      <c r="CG305" s="15">
        <v>6</v>
      </c>
      <c r="CH305" s="15">
        <v>40.1</v>
      </c>
      <c r="CI305" s="15">
        <v>6.2</v>
      </c>
      <c r="CJ305" s="15">
        <v>0.46</v>
      </c>
      <c r="CK305" s="15"/>
      <c r="CL305" s="15"/>
      <c r="CM305" s="15"/>
      <c r="CN305" s="15"/>
      <c r="CO305" s="15"/>
      <c r="CP305" s="15"/>
      <c r="CQ305" s="15"/>
      <c r="CR305" s="15"/>
      <c r="CS305" s="15"/>
      <c r="CT305" s="15"/>
      <c r="CU305" s="15"/>
      <c r="CV305" s="15"/>
      <c r="CW305" s="15"/>
      <c r="CX305" s="15"/>
      <c r="CY305" s="15"/>
      <c r="CZ305" s="15"/>
      <c r="DA305" s="15"/>
      <c r="DB305" s="15">
        <v>0</v>
      </c>
    </row>
    <row r="306" spans="1:106" x14ac:dyDescent="0.25">
      <c r="A306" t="s">
        <v>375</v>
      </c>
      <c r="B306" t="s">
        <v>204</v>
      </c>
      <c r="C306">
        <v>2019</v>
      </c>
      <c r="D306" s="16" t="s">
        <v>372</v>
      </c>
      <c r="E306">
        <v>0</v>
      </c>
      <c r="F306" s="15">
        <v>43.74374374374375</v>
      </c>
      <c r="G306" s="15"/>
      <c r="H306" s="15"/>
      <c r="I306" s="15">
        <v>41.841841841841841</v>
      </c>
      <c r="J306" s="15">
        <v>11.611611611611611</v>
      </c>
      <c r="K306" s="15"/>
      <c r="L306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306" s="15">
        <v>2.8</v>
      </c>
      <c r="Z306" s="15">
        <v>15.9</v>
      </c>
      <c r="AA306" s="15">
        <v>7.3</v>
      </c>
      <c r="AB306" s="15">
        <v>24</v>
      </c>
      <c r="AC306" s="15">
        <v>8.8000000000000007</v>
      </c>
      <c r="AD306" s="15">
        <v>0.7</v>
      </c>
      <c r="AE306" s="15">
        <v>0.94</v>
      </c>
      <c r="AF306" s="15">
        <f>(33.5*Table2[[#This Row],[C%]]+142.3*Table2[[#This Row],[H%]]-15.4*Table2[[#This Row],[O%]]-14.5*Table2[[#This Row],[N%]])/100</f>
        <v>10.742400000000002</v>
      </c>
      <c r="AG306" s="15">
        <v>1.2999999999999999E-3</v>
      </c>
      <c r="AH306" s="15"/>
      <c r="AI306" s="15"/>
      <c r="AJ306" s="15">
        <v>10.714285714285714</v>
      </c>
      <c r="AM306" s="13"/>
      <c r="AO306" s="15"/>
      <c r="AP306" s="15" t="e">
        <f>LN(25/Table2[[#This Row],[Temperature (C)]]/(1-SQRT((Table2[[#This Row],[Temperature (C)]]-5)/Table2[[#This Row],[Temperature (C)]])))/Table2[[#This Row],[b]]</f>
        <v>#DIV/0!</v>
      </c>
      <c r="AQ306" s="15">
        <f>IF(Table2[[#This Row],[b]]&lt;&gt;"",Table2[[#This Row],[T-5]], 0)</f>
        <v>0</v>
      </c>
      <c r="AR306">
        <v>10</v>
      </c>
      <c r="AT306" t="s">
        <v>503</v>
      </c>
      <c r="AU306">
        <v>350</v>
      </c>
      <c r="AV306" s="15">
        <v>2.6</v>
      </c>
      <c r="AW306" s="15">
        <v>39</v>
      </c>
      <c r="AX306" s="15">
        <f>100-Table2[[#This Row],[Solids wt%]]-Table2[[#This Row],[Biocrude wt%]]-Table2[[#This Row],[Gas wt%]]</f>
        <v>47.400000000000006</v>
      </c>
      <c r="AY306" s="15">
        <v>11</v>
      </c>
      <c r="AZ306" s="15"/>
      <c r="BA306" s="15"/>
      <c r="BB306" s="15">
        <f>IF(OR(Table2[[#This Row],[Gas wt%]]&lt;&gt;"",Table2[[#This Row],[Loss]]&lt;&gt;""),Table2[[#This Row],[Gas wt%]]+Table2[[#This Row],[Loss]],"")</f>
        <v>11</v>
      </c>
      <c r="BC306" s="15"/>
      <c r="BD306" s="15"/>
      <c r="BE306" s="15"/>
      <c r="BF306" s="15"/>
      <c r="BG306" s="15"/>
      <c r="BH306" s="15"/>
      <c r="BI306" s="15">
        <v>72.099999999999994</v>
      </c>
      <c r="BJ306" s="15">
        <v>9.1</v>
      </c>
      <c r="BK306" s="15">
        <v>12.6</v>
      </c>
      <c r="BL306" s="15">
        <v>5.6</v>
      </c>
      <c r="BM306" s="15">
        <v>0.64</v>
      </c>
      <c r="BN306" s="15">
        <v>34.4</v>
      </c>
      <c r="BO306" s="15">
        <v>55.9</v>
      </c>
      <c r="BP306" s="15"/>
      <c r="BQ306" s="15">
        <f>Table2[[#This Row],[H% B]]/Table2[[#This Row],[C% B]]*100</f>
        <v>12.621359223300971</v>
      </c>
      <c r="BR306" s="15"/>
      <c r="BS306" s="15"/>
      <c r="BT306" s="15"/>
      <c r="BU306" s="15"/>
      <c r="BV306" s="15"/>
      <c r="BW306" s="15"/>
      <c r="BX306" s="15"/>
      <c r="BY306" s="15"/>
      <c r="BZ306" s="15"/>
      <c r="CA306" s="15"/>
      <c r="CB306" s="15"/>
      <c r="CC306" s="15"/>
      <c r="CD306" s="15"/>
      <c r="CE306" s="15"/>
      <c r="CF306" s="15"/>
      <c r="CG306" s="15"/>
      <c r="CH306" s="15"/>
      <c r="CI306" s="15"/>
      <c r="CJ306" s="15"/>
      <c r="CK306" s="15"/>
      <c r="CL306" s="15"/>
      <c r="CM306" s="15"/>
      <c r="CN306" s="15"/>
      <c r="CO306" s="15"/>
      <c r="CP306" s="15"/>
      <c r="CQ306" s="15"/>
      <c r="CR306" s="15"/>
      <c r="CS306" s="15"/>
      <c r="CT306" s="15"/>
      <c r="CU306" s="15"/>
      <c r="CV306" s="15"/>
      <c r="CW306" s="15"/>
      <c r="CX306" s="15"/>
      <c r="CY306" s="15"/>
      <c r="CZ306" s="15"/>
      <c r="DA306" s="15"/>
      <c r="DB306" s="15">
        <v>0</v>
      </c>
    </row>
    <row r="307" spans="1:106" x14ac:dyDescent="0.25">
      <c r="A307" t="s">
        <v>375</v>
      </c>
      <c r="B307" t="s">
        <v>204</v>
      </c>
      <c r="C307">
        <v>2019</v>
      </c>
      <c r="D307" s="16" t="s">
        <v>372</v>
      </c>
      <c r="E307">
        <v>0</v>
      </c>
      <c r="F307" s="15">
        <v>43.74374374374375</v>
      </c>
      <c r="G307" s="15"/>
      <c r="H307" s="15"/>
      <c r="I307" s="15">
        <v>41.841841841841841</v>
      </c>
      <c r="J307" s="15">
        <v>11.611611611611611</v>
      </c>
      <c r="K307" s="15"/>
      <c r="L307" s="15">
        <f>IF(Table2[[#This Row],[Lipids wt%]]+Table2[[#This Row],[Protein wt%]]+Table2[[#This Row],[Carbs wt%]] =0,"",SUM(Table2[[#This Row],[Lipids wt%]],Table2[[#This Row],[Protein wt%]],Table2[[#This Row],[Carbs wt%]]))</f>
        <v>97.197197197197198</v>
      </c>
      <c r="M307" s="15">
        <v>2.8</v>
      </c>
      <c r="Z307" s="15">
        <v>15.9</v>
      </c>
      <c r="AA307" s="15">
        <v>7.3</v>
      </c>
      <c r="AB307" s="15">
        <v>24</v>
      </c>
      <c r="AC307" s="15">
        <v>8.8000000000000007</v>
      </c>
      <c r="AD307" s="15">
        <v>0.7</v>
      </c>
      <c r="AE307" s="15">
        <v>0.94</v>
      </c>
      <c r="AF307" s="15">
        <f>(33.5*Table2[[#This Row],[C%]]+142.3*Table2[[#This Row],[H%]]-15.4*Table2[[#This Row],[O%]]-14.5*Table2[[#This Row],[N%]])/100</f>
        <v>10.742400000000002</v>
      </c>
      <c r="AG307" s="15">
        <v>1.2999999999999999E-3</v>
      </c>
      <c r="AH307" s="15"/>
      <c r="AI307" s="15"/>
      <c r="AJ307" s="15">
        <v>10.714285714285714</v>
      </c>
      <c r="AM307" s="13"/>
      <c r="AO307" s="15"/>
      <c r="AP307" s="15" t="e">
        <f>LN(25/Table2[[#This Row],[Temperature (C)]]/(1-SQRT((Table2[[#This Row],[Temperature (C)]]-5)/Table2[[#This Row],[Temperature (C)]])))/Table2[[#This Row],[b]]</f>
        <v>#DIV/0!</v>
      </c>
      <c r="AQ307" s="15">
        <f>IF(Table2[[#This Row],[b]]&lt;&gt;"",Table2[[#This Row],[T-5]], 0)</f>
        <v>0</v>
      </c>
      <c r="AR307">
        <v>100</v>
      </c>
      <c r="AT307" t="s">
        <v>503</v>
      </c>
      <c r="AU307">
        <v>350</v>
      </c>
      <c r="AV307" s="15">
        <v>2.4</v>
      </c>
      <c r="AW307" s="15">
        <v>34.799999999999997</v>
      </c>
      <c r="AX307" s="15">
        <f>100-Table2[[#This Row],[Solids wt%]]-Table2[[#This Row],[Biocrude wt%]]-Table2[[#This Row],[Gas wt%]]</f>
        <v>53.199999999999996</v>
      </c>
      <c r="AY307" s="15">
        <v>9.6</v>
      </c>
      <c r="AZ307" s="15"/>
      <c r="BA307" s="15"/>
      <c r="BB307" s="15">
        <f>IF(OR(Table2[[#This Row],[Gas wt%]]&lt;&gt;"",Table2[[#This Row],[Loss]]&lt;&gt;""),Table2[[#This Row],[Gas wt%]]+Table2[[#This Row],[Loss]],"")</f>
        <v>9.6</v>
      </c>
      <c r="BC307" s="15"/>
      <c r="BD307" s="15"/>
      <c r="BE307" s="15"/>
      <c r="BF307" s="15"/>
      <c r="BG307" s="15"/>
      <c r="BH307" s="15"/>
      <c r="BI307" s="15">
        <v>76.2</v>
      </c>
      <c r="BJ307" s="15">
        <v>9.6999999999999993</v>
      </c>
      <c r="BK307" s="15">
        <v>8.5</v>
      </c>
      <c r="BL307" s="15">
        <v>5</v>
      </c>
      <c r="BM307" s="15">
        <v>0.56999999999999995</v>
      </c>
      <c r="BN307" s="15">
        <v>37.1</v>
      </c>
      <c r="BO307" s="15">
        <v>53.7</v>
      </c>
      <c r="BP307" s="15"/>
      <c r="BQ307" s="15">
        <f>Table2[[#This Row],[H% B]]/Table2[[#This Row],[C% B]]*100</f>
        <v>12.729658792650916</v>
      </c>
      <c r="BR307" s="15"/>
      <c r="BS307" s="15"/>
      <c r="BT307" s="15"/>
      <c r="BU307" s="15"/>
      <c r="BV307" s="15"/>
      <c r="BW307" s="15"/>
      <c r="BX307" s="15"/>
      <c r="BY307" s="15"/>
      <c r="BZ307" s="15"/>
      <c r="CA307" s="15"/>
      <c r="CB307" s="15"/>
      <c r="CC307" s="15"/>
      <c r="CD307" s="15"/>
      <c r="CE307" s="15"/>
      <c r="CF307" s="15"/>
      <c r="CG307" s="15"/>
      <c r="CH307" s="15"/>
      <c r="CI307" s="15"/>
      <c r="CJ307" s="15"/>
      <c r="CK307" s="15"/>
      <c r="CL307" s="15"/>
      <c r="CM307" s="15"/>
      <c r="CN307" s="15"/>
      <c r="CO307" s="15"/>
      <c r="CP307" s="15"/>
      <c r="CQ307" s="15"/>
      <c r="CR307" s="15"/>
      <c r="CS307" s="15"/>
      <c r="CT307" s="15"/>
      <c r="CU307" s="15"/>
      <c r="CV307" s="15"/>
      <c r="CW307" s="15"/>
      <c r="CX307" s="15"/>
      <c r="CY307" s="15"/>
      <c r="CZ307" s="15"/>
      <c r="DA307" s="15"/>
      <c r="DB307" s="15">
        <v>0</v>
      </c>
    </row>
    <row r="308" spans="1:106" x14ac:dyDescent="0.25">
      <c r="A308" t="s">
        <v>375</v>
      </c>
      <c r="B308" t="s">
        <v>204</v>
      </c>
      <c r="C308">
        <v>2019</v>
      </c>
      <c r="D308" s="16" t="s">
        <v>373</v>
      </c>
      <c r="E308">
        <v>0</v>
      </c>
      <c r="F308" s="15">
        <v>44.7</v>
      </c>
      <c r="G308" s="15"/>
      <c r="H308" s="15"/>
      <c r="I308" s="15">
        <v>20.100000000000001</v>
      </c>
      <c r="J308" s="15">
        <v>28.5</v>
      </c>
      <c r="K308" s="15"/>
      <c r="L308" s="15">
        <f>IF(Table2[[#This Row],[Lipids wt%]]+Table2[[#This Row],[Protein wt%]]+Table2[[#This Row],[Carbs wt%]] =0,"",SUM(Table2[[#This Row],[Lipids wt%]],Table2[[#This Row],[Protein wt%]],Table2[[#This Row],[Carbs wt%]]))</f>
        <v>93.300000000000011</v>
      </c>
      <c r="M308" s="15">
        <v>6.7</v>
      </c>
      <c r="Z308" s="15">
        <v>56.2</v>
      </c>
      <c r="AA308" s="15">
        <v>8</v>
      </c>
      <c r="AB308" s="15">
        <v>22.4</v>
      </c>
      <c r="AC308" s="15">
        <v>4.2</v>
      </c>
      <c r="AD308" s="15">
        <v>0.51</v>
      </c>
      <c r="AE308" s="15">
        <v>0.97</v>
      </c>
      <c r="AF308" s="15">
        <f>(33.5*Table2[[#This Row],[C%]]+142.3*Table2[[#This Row],[H%]]-15.4*Table2[[#This Row],[O%]]-14.5*Table2[[#This Row],[N%]])/100</f>
        <v>26.152400000000004</v>
      </c>
      <c r="AG308" s="15">
        <v>1.2999999999999999E-3</v>
      </c>
      <c r="AH308" s="15"/>
      <c r="AI308" s="15"/>
      <c r="AJ308" s="15">
        <v>2.912621359223301</v>
      </c>
      <c r="AM308" s="13"/>
      <c r="AO308" s="15"/>
      <c r="AP308" s="15" t="e">
        <f>LN(25/Table2[[#This Row],[Temperature (C)]]/(1-SQRT((Table2[[#This Row],[Temperature (C)]]-5)/Table2[[#This Row],[Temperature (C)]])))/Table2[[#This Row],[b]]</f>
        <v>#DIV/0!</v>
      </c>
      <c r="AQ308" s="15">
        <f>IF(Table2[[#This Row],[b]]&lt;&gt;"",Table2[[#This Row],[T-5]], 0)</f>
        <v>0</v>
      </c>
      <c r="AR308">
        <v>1</v>
      </c>
      <c r="AT308" t="s">
        <v>503</v>
      </c>
      <c r="AU308">
        <v>150</v>
      </c>
      <c r="AV308" s="15">
        <v>45.5</v>
      </c>
      <c r="AW308" s="15">
        <v>11.6</v>
      </c>
      <c r="AX308" s="15">
        <f>100-Table2[[#This Row],[Solids wt%]]-Table2[[#This Row],[Biocrude wt%]]-Table2[[#This Row],[Gas wt%]]</f>
        <v>41.9</v>
      </c>
      <c r="AY308" s="15">
        <v>1</v>
      </c>
      <c r="AZ308" s="15"/>
      <c r="BA308" s="15"/>
      <c r="BB308" s="15">
        <f>IF(OR(Table2[[#This Row],[Gas wt%]]&lt;&gt;"",Table2[[#This Row],[Loss]]&lt;&gt;""),Table2[[#This Row],[Gas wt%]]+Table2[[#This Row],[Loss]],"")</f>
        <v>1</v>
      </c>
      <c r="BC308" s="15"/>
      <c r="BD308" s="15"/>
      <c r="BE308" s="15"/>
      <c r="BF308" s="15"/>
      <c r="BG308" s="15"/>
      <c r="BH308" s="15"/>
      <c r="BI308" s="15">
        <v>73.5</v>
      </c>
      <c r="BJ308" s="15">
        <v>11</v>
      </c>
      <c r="BK308" s="15">
        <v>14.9</v>
      </c>
      <c r="BL308" s="15">
        <v>0.6</v>
      </c>
      <c r="BM308" s="15">
        <v>0.05</v>
      </c>
      <c r="BN308" s="15">
        <v>37.1</v>
      </c>
      <c r="BO308" s="15">
        <v>16.2</v>
      </c>
      <c r="BP308" s="15"/>
      <c r="BQ308" s="15">
        <f>Table2[[#This Row],[H% B]]/Table2[[#This Row],[C% B]]*100</f>
        <v>14.965986394557824</v>
      </c>
      <c r="BR308" s="15"/>
      <c r="BS308" s="15"/>
      <c r="BT308" s="15"/>
      <c r="BU308" s="15"/>
      <c r="BV308" s="15"/>
      <c r="BW308" s="15"/>
      <c r="BX308" s="15"/>
      <c r="BY308" s="15"/>
      <c r="BZ308" s="15"/>
      <c r="CA308" s="15"/>
      <c r="CB308" s="15"/>
      <c r="CC308" s="15"/>
      <c r="CD308" s="15"/>
      <c r="CE308" s="15"/>
      <c r="CF308" s="15">
        <v>57.6</v>
      </c>
      <c r="CG308" s="15">
        <v>8.1999999999999993</v>
      </c>
      <c r="CH308" s="15">
        <v>28.6</v>
      </c>
      <c r="CI308" s="15">
        <v>4.9000000000000004</v>
      </c>
      <c r="CJ308" s="15">
        <v>0.49</v>
      </c>
      <c r="CK308" s="15"/>
      <c r="CL308" s="15"/>
      <c r="CM308" s="15"/>
      <c r="CN308" s="15"/>
      <c r="CO308" s="15"/>
      <c r="CP308" s="15"/>
      <c r="CQ308" s="15"/>
      <c r="CR308" s="15"/>
      <c r="CS308" s="15"/>
      <c r="CT308" s="15"/>
      <c r="CU308" s="15"/>
      <c r="CV308" s="15"/>
      <c r="CW308" s="15"/>
      <c r="CX308" s="15"/>
      <c r="CY308" s="15"/>
      <c r="CZ308" s="15"/>
      <c r="DA308" s="15"/>
      <c r="DB308" s="15">
        <v>0</v>
      </c>
    </row>
    <row r="309" spans="1:106" x14ac:dyDescent="0.25">
      <c r="A309" t="s">
        <v>375</v>
      </c>
      <c r="B309" t="s">
        <v>204</v>
      </c>
      <c r="C309">
        <v>2019</v>
      </c>
      <c r="D309" s="16" t="s">
        <v>373</v>
      </c>
      <c r="E309">
        <v>0</v>
      </c>
      <c r="F309" s="15">
        <v>44.7</v>
      </c>
      <c r="G309" s="15"/>
      <c r="H309" s="15"/>
      <c r="I309" s="15">
        <v>20.100000000000001</v>
      </c>
      <c r="J309" s="15">
        <v>28.5</v>
      </c>
      <c r="K309" s="15"/>
      <c r="L309" s="15">
        <f>IF(Table2[[#This Row],[Lipids wt%]]+Table2[[#This Row],[Protein wt%]]+Table2[[#This Row],[Carbs wt%]] =0,"",SUM(Table2[[#This Row],[Lipids wt%]],Table2[[#This Row],[Protein wt%]],Table2[[#This Row],[Carbs wt%]]))</f>
        <v>93.300000000000011</v>
      </c>
      <c r="M309" s="15">
        <v>6.7</v>
      </c>
      <c r="Z309" s="15">
        <v>56.2</v>
      </c>
      <c r="AA309" s="15">
        <v>8</v>
      </c>
      <c r="AB309" s="15">
        <v>22.4</v>
      </c>
      <c r="AC309" s="15">
        <v>4.2</v>
      </c>
      <c r="AD309" s="15">
        <v>0.51</v>
      </c>
      <c r="AE309" s="15">
        <v>0.97</v>
      </c>
      <c r="AF309" s="15">
        <f>(33.5*Table2[[#This Row],[C%]]+142.3*Table2[[#This Row],[H%]]-15.4*Table2[[#This Row],[O%]]-14.5*Table2[[#This Row],[N%]])/100</f>
        <v>26.152400000000004</v>
      </c>
      <c r="AG309" s="15">
        <v>1.2999999999999999E-3</v>
      </c>
      <c r="AH309" s="15"/>
      <c r="AI309" s="15"/>
      <c r="AJ309" s="15">
        <v>2.912621359223301</v>
      </c>
      <c r="AM309" s="13"/>
      <c r="AO309" s="15"/>
      <c r="AP309" s="15" t="e">
        <f>LN(25/Table2[[#This Row],[Temperature (C)]]/(1-SQRT((Table2[[#This Row],[Temperature (C)]]-5)/Table2[[#This Row],[Temperature (C)]])))/Table2[[#This Row],[b]]</f>
        <v>#DIV/0!</v>
      </c>
      <c r="AQ309" s="15">
        <f>IF(Table2[[#This Row],[b]]&lt;&gt;"",Table2[[#This Row],[T-5]], 0)</f>
        <v>0</v>
      </c>
      <c r="AR309">
        <v>0</v>
      </c>
      <c r="AT309" t="s">
        <v>503</v>
      </c>
      <c r="AU309">
        <v>200</v>
      </c>
      <c r="AV309" s="15">
        <v>48.6</v>
      </c>
      <c r="AW309" s="15">
        <v>13.5</v>
      </c>
      <c r="AX309" s="15">
        <f>100-Table2[[#This Row],[Solids wt%]]-Table2[[#This Row],[Biocrude wt%]]-Table2[[#This Row],[Gas wt%]]</f>
        <v>36.6</v>
      </c>
      <c r="AY309" s="15">
        <v>1.3</v>
      </c>
      <c r="AZ309" s="15"/>
      <c r="BA309" s="15"/>
      <c r="BB309" s="15">
        <f>IF(OR(Table2[[#This Row],[Gas wt%]]&lt;&gt;"",Table2[[#This Row],[Loss]]&lt;&gt;""),Table2[[#This Row],[Gas wt%]]+Table2[[#This Row],[Loss]],"")</f>
        <v>1.3</v>
      </c>
      <c r="BC309" s="15"/>
      <c r="BD309" s="15"/>
      <c r="BE309" s="15"/>
      <c r="BF309" s="15"/>
      <c r="BG309" s="15"/>
      <c r="BH309" s="15"/>
      <c r="BI309" s="15">
        <v>75.2</v>
      </c>
      <c r="BJ309" s="15">
        <v>11.3</v>
      </c>
      <c r="BK309" s="15">
        <v>12.9</v>
      </c>
      <c r="BL309" s="15">
        <v>0.6</v>
      </c>
      <c r="BM309" s="15">
        <v>0.06</v>
      </c>
      <c r="BN309" s="15">
        <v>38.200000000000003</v>
      </c>
      <c r="BO309" s="15">
        <v>19.399999999999999</v>
      </c>
      <c r="BP309" s="15"/>
      <c r="BQ309" s="15">
        <f>Table2[[#This Row],[H% B]]/Table2[[#This Row],[C% B]]*100</f>
        <v>15.026595744680851</v>
      </c>
      <c r="BR309" s="15"/>
      <c r="BS309" s="15"/>
      <c r="BT309" s="15"/>
      <c r="BU309" s="15"/>
      <c r="BV309" s="15"/>
      <c r="BW309" s="15"/>
      <c r="BX309" s="15"/>
      <c r="BY309" s="15"/>
      <c r="BZ309" s="15"/>
      <c r="CA309" s="15"/>
      <c r="CB309" s="15"/>
      <c r="CC309" s="15"/>
      <c r="CD309" s="15"/>
      <c r="CE309" s="15"/>
      <c r="CF309" s="15">
        <v>57.6</v>
      </c>
      <c r="CG309" s="15">
        <v>8.1999999999999993</v>
      </c>
      <c r="CH309" s="15">
        <v>28.5</v>
      </c>
      <c r="CI309" s="15">
        <v>4.9000000000000004</v>
      </c>
      <c r="CJ309" s="15">
        <v>0.5</v>
      </c>
      <c r="CK309" s="15"/>
      <c r="CL309" s="15"/>
      <c r="CM309" s="15"/>
      <c r="CN309" s="15"/>
      <c r="CO309" s="15"/>
      <c r="CP309" s="15"/>
      <c r="CQ309" s="15"/>
      <c r="CR309" s="15"/>
      <c r="CS309" s="15"/>
      <c r="CT309" s="15"/>
      <c r="CU309" s="15"/>
      <c r="CV309" s="15"/>
      <c r="CW309" s="15"/>
      <c r="CX309" s="15"/>
      <c r="CY309" s="15"/>
      <c r="CZ309" s="15"/>
      <c r="DA309" s="15"/>
      <c r="DB309" s="15">
        <v>0</v>
      </c>
    </row>
    <row r="310" spans="1:106" x14ac:dyDescent="0.25">
      <c r="A310" t="s">
        <v>375</v>
      </c>
      <c r="B310" t="s">
        <v>204</v>
      </c>
      <c r="C310">
        <v>2019</v>
      </c>
      <c r="D310" s="16" t="s">
        <v>373</v>
      </c>
      <c r="E310">
        <v>0</v>
      </c>
      <c r="F310" s="15">
        <v>44.7</v>
      </c>
      <c r="G310" s="15"/>
      <c r="H310" s="15"/>
      <c r="I310" s="15">
        <v>20.100000000000001</v>
      </c>
      <c r="J310" s="15">
        <v>28.5</v>
      </c>
      <c r="K310" s="15"/>
      <c r="L310" s="15">
        <f>IF(Table2[[#This Row],[Lipids wt%]]+Table2[[#This Row],[Protein wt%]]+Table2[[#This Row],[Carbs wt%]] =0,"",SUM(Table2[[#This Row],[Lipids wt%]],Table2[[#This Row],[Protein wt%]],Table2[[#This Row],[Carbs wt%]]))</f>
        <v>93.300000000000011</v>
      </c>
      <c r="M310" s="15">
        <v>6.7</v>
      </c>
      <c r="Z310" s="15">
        <v>56.2</v>
      </c>
      <c r="AA310" s="15">
        <v>8</v>
      </c>
      <c r="AB310" s="15">
        <v>22.4</v>
      </c>
      <c r="AC310" s="15">
        <v>4.2</v>
      </c>
      <c r="AD310" s="15">
        <v>0.51</v>
      </c>
      <c r="AE310" s="15">
        <v>0.97</v>
      </c>
      <c r="AF310" s="15">
        <f>(33.5*Table2[[#This Row],[C%]]+142.3*Table2[[#This Row],[H%]]-15.4*Table2[[#This Row],[O%]]-14.5*Table2[[#This Row],[N%]])/100</f>
        <v>26.152400000000004</v>
      </c>
      <c r="AG310" s="15">
        <v>1.2999999999999999E-3</v>
      </c>
      <c r="AH310" s="15"/>
      <c r="AI310" s="15"/>
      <c r="AJ310" s="15">
        <v>2.912621359223301</v>
      </c>
      <c r="AM310" s="13"/>
      <c r="AO310" s="15"/>
      <c r="AP310" s="15" t="e">
        <f>LN(25/Table2[[#This Row],[Temperature (C)]]/(1-SQRT((Table2[[#This Row],[Temperature (C)]]-5)/Table2[[#This Row],[Temperature (C)]])))/Table2[[#This Row],[b]]</f>
        <v>#DIV/0!</v>
      </c>
      <c r="AQ310" s="15">
        <f>IF(Table2[[#This Row],[b]]&lt;&gt;"",Table2[[#This Row],[T-5]], 0)</f>
        <v>0</v>
      </c>
      <c r="AR310">
        <v>3.2</v>
      </c>
      <c r="AT310" t="s">
        <v>503</v>
      </c>
      <c r="AU310">
        <v>200</v>
      </c>
      <c r="AV310" s="15">
        <v>27.8</v>
      </c>
      <c r="AW310" s="15">
        <v>27.4</v>
      </c>
      <c r="AX310" s="15">
        <f>100-Table2[[#This Row],[Solids wt%]]-Table2[[#This Row],[Biocrude wt%]]-Table2[[#This Row],[Gas wt%]]</f>
        <v>43.7</v>
      </c>
      <c r="AY310" s="15">
        <v>1.1000000000000001</v>
      </c>
      <c r="AZ310" s="15"/>
      <c r="BA310" s="15"/>
      <c r="BB310" s="15">
        <f>IF(OR(Table2[[#This Row],[Gas wt%]]&lt;&gt;"",Table2[[#This Row],[Loss]]&lt;&gt;""),Table2[[#This Row],[Gas wt%]]+Table2[[#This Row],[Loss]],"")</f>
        <v>1.1000000000000001</v>
      </c>
      <c r="BC310" s="15"/>
      <c r="BD310" s="15"/>
      <c r="BE310" s="15"/>
      <c r="BF310" s="15"/>
      <c r="BG310" s="15"/>
      <c r="BH310" s="15"/>
      <c r="BI310" s="15">
        <v>69.900000000000006</v>
      </c>
      <c r="BJ310" s="15">
        <v>10.4</v>
      </c>
      <c r="BK310" s="15">
        <v>19.100000000000001</v>
      </c>
      <c r="BL310" s="15">
        <v>0.5</v>
      </c>
      <c r="BM310" s="15">
        <v>0.08</v>
      </c>
      <c r="BN310" s="15">
        <v>34.700000000000003</v>
      </c>
      <c r="BO310" s="15">
        <v>35.799999999999997</v>
      </c>
      <c r="BP310" s="15"/>
      <c r="BQ310" s="15">
        <f>Table2[[#This Row],[H% B]]/Table2[[#This Row],[C% B]]*100</f>
        <v>14.878397711015737</v>
      </c>
      <c r="BR310" s="15"/>
      <c r="BS310" s="15"/>
      <c r="BT310" s="15"/>
      <c r="BU310" s="15"/>
      <c r="BV310" s="15"/>
      <c r="BW310" s="15"/>
      <c r="BX310" s="15"/>
      <c r="BY310" s="15"/>
      <c r="BZ310" s="15"/>
      <c r="CA310" s="15"/>
      <c r="CB310" s="15"/>
      <c r="CC310" s="15"/>
      <c r="CD310" s="15"/>
      <c r="CE310" s="15"/>
      <c r="CF310" s="15">
        <v>57.6</v>
      </c>
      <c r="CG310" s="15">
        <v>7.7</v>
      </c>
      <c r="CH310" s="15">
        <v>27.7</v>
      </c>
      <c r="CI310" s="15">
        <v>6.4</v>
      </c>
      <c r="CJ310" s="15">
        <v>0.46</v>
      </c>
      <c r="CK310" s="15"/>
      <c r="CL310" s="15"/>
      <c r="CM310" s="15"/>
      <c r="CN310" s="15"/>
      <c r="CO310" s="15"/>
      <c r="CP310" s="15"/>
      <c r="CQ310" s="15"/>
      <c r="CR310" s="15"/>
      <c r="CS310" s="15"/>
      <c r="CT310" s="15"/>
      <c r="CU310" s="15"/>
      <c r="CV310" s="15"/>
      <c r="CW310" s="15"/>
      <c r="CX310" s="15"/>
      <c r="CY310" s="15"/>
      <c r="CZ310" s="15"/>
      <c r="DA310" s="15"/>
      <c r="DB310" s="15">
        <v>0</v>
      </c>
    </row>
    <row r="311" spans="1:106" x14ac:dyDescent="0.25">
      <c r="A311" t="s">
        <v>375</v>
      </c>
      <c r="B311" t="s">
        <v>204</v>
      </c>
      <c r="C311">
        <v>2019</v>
      </c>
      <c r="D311" s="16" t="s">
        <v>373</v>
      </c>
      <c r="E311">
        <v>0</v>
      </c>
      <c r="F311" s="15">
        <v>44.7</v>
      </c>
      <c r="G311" s="15"/>
      <c r="H311" s="15"/>
      <c r="I311" s="15">
        <v>20.100000000000001</v>
      </c>
      <c r="J311" s="15">
        <v>28.5</v>
      </c>
      <c r="K311" s="15"/>
      <c r="L311" s="15">
        <f>IF(Table2[[#This Row],[Lipids wt%]]+Table2[[#This Row],[Protein wt%]]+Table2[[#This Row],[Carbs wt%]] =0,"",SUM(Table2[[#This Row],[Lipids wt%]],Table2[[#This Row],[Protein wt%]],Table2[[#This Row],[Carbs wt%]]))</f>
        <v>93.300000000000011</v>
      </c>
      <c r="M311" s="15">
        <v>6.7</v>
      </c>
      <c r="Z311" s="15">
        <v>56.2</v>
      </c>
      <c r="AA311" s="15">
        <v>8</v>
      </c>
      <c r="AB311" s="15">
        <v>22.4</v>
      </c>
      <c r="AC311" s="15">
        <v>4.2</v>
      </c>
      <c r="AD311" s="15">
        <v>0.51</v>
      </c>
      <c r="AE311" s="15">
        <v>0.97</v>
      </c>
      <c r="AF311" s="15">
        <f>(33.5*Table2[[#This Row],[C%]]+142.3*Table2[[#This Row],[H%]]-15.4*Table2[[#This Row],[O%]]-14.5*Table2[[#This Row],[N%]])/100</f>
        <v>26.152400000000004</v>
      </c>
      <c r="AG311" s="15">
        <v>1.2999999999999999E-3</v>
      </c>
      <c r="AH311" s="15"/>
      <c r="AI311" s="15"/>
      <c r="AJ311" s="15">
        <v>2.912621359223301</v>
      </c>
      <c r="AM311" s="13"/>
      <c r="AO311" s="15"/>
      <c r="AP311" s="15" t="e">
        <f>LN(25/Table2[[#This Row],[Temperature (C)]]/(1-SQRT((Table2[[#This Row],[Temperature (C)]]-5)/Table2[[#This Row],[Temperature (C)]])))/Table2[[#This Row],[b]]</f>
        <v>#DIV/0!</v>
      </c>
      <c r="AQ311" s="15">
        <f>IF(Table2[[#This Row],[b]]&lt;&gt;"",Table2[[#This Row],[T-5]], 0)</f>
        <v>0</v>
      </c>
      <c r="AR311">
        <v>31.6</v>
      </c>
      <c r="AT311" t="s">
        <v>503</v>
      </c>
      <c r="AU311">
        <v>200</v>
      </c>
      <c r="AV311" s="15">
        <v>16.399999999999999</v>
      </c>
      <c r="AW311" s="15">
        <v>35.200000000000003</v>
      </c>
      <c r="AX311" s="15">
        <f>100-Table2[[#This Row],[Solids wt%]]-Table2[[#This Row],[Biocrude wt%]]-Table2[[#This Row],[Gas wt%]]</f>
        <v>44.999999999999993</v>
      </c>
      <c r="AY311" s="15">
        <v>3.4</v>
      </c>
      <c r="AZ311" s="15"/>
      <c r="BA311" s="15"/>
      <c r="BB311" s="15">
        <f>IF(OR(Table2[[#This Row],[Gas wt%]]&lt;&gt;"",Table2[[#This Row],[Loss]]&lt;&gt;""),Table2[[#This Row],[Gas wt%]]+Table2[[#This Row],[Loss]],"")</f>
        <v>3.4</v>
      </c>
      <c r="BC311" s="15"/>
      <c r="BD311" s="15"/>
      <c r="BE311" s="15"/>
      <c r="BF311" s="15"/>
      <c r="BG311" s="15"/>
      <c r="BH311" s="15"/>
      <c r="BI311" s="15">
        <v>69</v>
      </c>
      <c r="BJ311" s="15">
        <v>10.199999999999999</v>
      </c>
      <c r="BK311" s="15">
        <v>19.899999999999999</v>
      </c>
      <c r="BL311" s="15">
        <v>0.8</v>
      </c>
      <c r="BM311" s="15">
        <v>0.11</v>
      </c>
      <c r="BN311" s="15">
        <v>34</v>
      </c>
      <c r="BO311" s="15">
        <v>45.1</v>
      </c>
      <c r="BP311" s="15"/>
      <c r="BQ311" s="15">
        <f>Table2[[#This Row],[H% B]]/Table2[[#This Row],[C% B]]*100</f>
        <v>14.782608695652172</v>
      </c>
      <c r="BR311" s="15"/>
      <c r="BS311" s="15"/>
      <c r="BT311" s="15"/>
      <c r="BU311" s="15"/>
      <c r="BV311" s="15"/>
      <c r="BW311" s="15"/>
      <c r="BX311" s="15"/>
      <c r="BY311" s="15"/>
      <c r="BZ311" s="15"/>
      <c r="CA311" s="15"/>
      <c r="CB311" s="15"/>
      <c r="CC311" s="15"/>
      <c r="CD311" s="15"/>
      <c r="CE311" s="15"/>
      <c r="CF311" s="15">
        <v>59.2</v>
      </c>
      <c r="CG311" s="15">
        <v>7.1</v>
      </c>
      <c r="CH311" s="15">
        <v>25.6</v>
      </c>
      <c r="CI311" s="15">
        <v>7.3</v>
      </c>
      <c r="CJ311" s="15">
        <v>0.43</v>
      </c>
      <c r="CK311" s="15"/>
      <c r="CL311" s="15"/>
      <c r="CM311" s="15"/>
      <c r="CN311" s="15"/>
      <c r="CO311" s="15"/>
      <c r="CP311" s="15"/>
      <c r="CQ311" s="15"/>
      <c r="CR311" s="15"/>
      <c r="CS311" s="15"/>
      <c r="CT311" s="15"/>
      <c r="CU311" s="15"/>
      <c r="CV311" s="15"/>
      <c r="CW311" s="15"/>
      <c r="CX311" s="15"/>
      <c r="CY311" s="15"/>
      <c r="CZ311" s="15"/>
      <c r="DA311" s="15"/>
      <c r="DB311" s="15">
        <v>0</v>
      </c>
    </row>
    <row r="312" spans="1:106" x14ac:dyDescent="0.25">
      <c r="A312" t="s">
        <v>375</v>
      </c>
      <c r="B312" t="s">
        <v>204</v>
      </c>
      <c r="C312">
        <v>2019</v>
      </c>
      <c r="D312" s="16" t="s">
        <v>373</v>
      </c>
      <c r="E312">
        <v>0</v>
      </c>
      <c r="F312" s="15">
        <v>44.7</v>
      </c>
      <c r="G312" s="15"/>
      <c r="H312" s="15"/>
      <c r="I312" s="15">
        <v>20.100000000000001</v>
      </c>
      <c r="J312" s="15">
        <v>28.5</v>
      </c>
      <c r="K312" s="15"/>
      <c r="L312" s="15">
        <f>IF(Table2[[#This Row],[Lipids wt%]]+Table2[[#This Row],[Protein wt%]]+Table2[[#This Row],[Carbs wt%]] =0,"",SUM(Table2[[#This Row],[Lipids wt%]],Table2[[#This Row],[Protein wt%]],Table2[[#This Row],[Carbs wt%]]))</f>
        <v>93.300000000000011</v>
      </c>
      <c r="M312" s="15">
        <v>6.7</v>
      </c>
      <c r="Z312" s="15">
        <v>56.2</v>
      </c>
      <c r="AA312" s="15">
        <v>8</v>
      </c>
      <c r="AB312" s="15">
        <v>22.4</v>
      </c>
      <c r="AC312" s="15">
        <v>4.2</v>
      </c>
      <c r="AD312" s="15">
        <v>0.51</v>
      </c>
      <c r="AE312" s="15">
        <v>0.97</v>
      </c>
      <c r="AF312" s="15">
        <f>(33.5*Table2[[#This Row],[C%]]+142.3*Table2[[#This Row],[H%]]-15.4*Table2[[#This Row],[O%]]-14.5*Table2[[#This Row],[N%]])/100</f>
        <v>26.152400000000004</v>
      </c>
      <c r="AG312" s="15">
        <v>1.2999999999999999E-3</v>
      </c>
      <c r="AH312" s="15"/>
      <c r="AI312" s="15"/>
      <c r="AJ312" s="15">
        <v>2.912621359223301</v>
      </c>
      <c r="AM312" s="13"/>
      <c r="AO312" s="15"/>
      <c r="AP312" s="15" t="e">
        <f>LN(25/Table2[[#This Row],[Temperature (C)]]/(1-SQRT((Table2[[#This Row],[Temperature (C)]]-5)/Table2[[#This Row],[Temperature (C)]])))/Table2[[#This Row],[b]]</f>
        <v>#DIV/0!</v>
      </c>
      <c r="AQ312" s="15">
        <f>IF(Table2[[#This Row],[b]]&lt;&gt;"",Table2[[#This Row],[T-5]], 0)</f>
        <v>0</v>
      </c>
      <c r="AR312">
        <v>3.2</v>
      </c>
      <c r="AT312" t="s">
        <v>503</v>
      </c>
      <c r="AU312">
        <v>300</v>
      </c>
      <c r="AV312" s="15">
        <v>5.0999999999999996</v>
      </c>
      <c r="AW312" s="15">
        <v>42.3</v>
      </c>
      <c r="AX312" s="15">
        <f>100-Table2[[#This Row],[Solids wt%]]-Table2[[#This Row],[Biocrude wt%]]-Table2[[#This Row],[Gas wt%]]</f>
        <v>43.900000000000006</v>
      </c>
      <c r="AY312" s="15">
        <v>8.6999999999999993</v>
      </c>
      <c r="AZ312" s="15"/>
      <c r="BA312" s="15"/>
      <c r="BB312" s="15">
        <f>IF(OR(Table2[[#This Row],[Gas wt%]]&lt;&gt;"",Table2[[#This Row],[Loss]]&lt;&gt;""),Table2[[#This Row],[Gas wt%]]+Table2[[#This Row],[Loss]],"")</f>
        <v>8.6999999999999993</v>
      </c>
      <c r="BC312" s="15"/>
      <c r="BD312" s="15"/>
      <c r="BE312" s="15"/>
      <c r="BF312" s="15"/>
      <c r="BG312" s="15"/>
      <c r="BH312" s="15"/>
      <c r="BI312" s="15">
        <v>74.7</v>
      </c>
      <c r="BJ312" s="15">
        <v>10.5</v>
      </c>
      <c r="BK312" s="15">
        <v>12.3</v>
      </c>
      <c r="BL312" s="15">
        <v>2.2999999999999998</v>
      </c>
      <c r="BM312" s="15">
        <v>0.26</v>
      </c>
      <c r="BN312" s="15">
        <v>37.200000000000003</v>
      </c>
      <c r="BO312" s="15">
        <v>59.2</v>
      </c>
      <c r="BP312" s="15"/>
      <c r="BQ312" s="15">
        <f>Table2[[#This Row],[H% B]]/Table2[[#This Row],[C% B]]*100</f>
        <v>14.056224899598394</v>
      </c>
      <c r="BR312" s="15"/>
      <c r="BS312" s="15"/>
      <c r="BT312" s="15"/>
      <c r="BU312" s="15"/>
      <c r="BV312" s="15"/>
      <c r="BW312" s="15"/>
      <c r="BX312" s="15"/>
      <c r="BY312" s="15"/>
      <c r="BZ312" s="15"/>
      <c r="CA312" s="15"/>
      <c r="CB312" s="15"/>
      <c r="CC312" s="15"/>
      <c r="CD312" s="15"/>
      <c r="CE312" s="15"/>
      <c r="CF312" s="15"/>
      <c r="CG312" s="15"/>
      <c r="CH312" s="15"/>
      <c r="CI312" s="15"/>
      <c r="CJ312" s="15"/>
      <c r="CK312" s="15"/>
      <c r="CL312" s="15"/>
      <c r="CM312" s="15"/>
      <c r="CN312" s="15"/>
      <c r="CO312" s="15"/>
      <c r="CP312" s="15"/>
      <c r="CQ312" s="15"/>
      <c r="CR312" s="15"/>
      <c r="CS312" s="15"/>
      <c r="CT312" s="15"/>
      <c r="CU312" s="15"/>
      <c r="CV312" s="15"/>
      <c r="CW312" s="15"/>
      <c r="CX312" s="15"/>
      <c r="CY312" s="15"/>
      <c r="CZ312" s="15"/>
      <c r="DA312" s="15"/>
      <c r="DB312" s="15">
        <v>0</v>
      </c>
    </row>
    <row r="313" spans="1:106" x14ac:dyDescent="0.25">
      <c r="A313" t="s">
        <v>375</v>
      </c>
      <c r="B313" t="s">
        <v>204</v>
      </c>
      <c r="C313">
        <v>2019</v>
      </c>
      <c r="D313" s="16" t="s">
        <v>373</v>
      </c>
      <c r="E313">
        <v>0</v>
      </c>
      <c r="F313" s="15">
        <v>44.7</v>
      </c>
      <c r="G313" s="15"/>
      <c r="H313" s="15"/>
      <c r="I313" s="15">
        <v>20.100000000000001</v>
      </c>
      <c r="J313" s="15">
        <v>28.5</v>
      </c>
      <c r="K313" s="15"/>
      <c r="L313" s="15">
        <f>IF(Table2[[#This Row],[Lipids wt%]]+Table2[[#This Row],[Protein wt%]]+Table2[[#This Row],[Carbs wt%]] =0,"",SUM(Table2[[#This Row],[Lipids wt%]],Table2[[#This Row],[Protein wt%]],Table2[[#This Row],[Carbs wt%]]))</f>
        <v>93.300000000000011</v>
      </c>
      <c r="M313" s="15">
        <v>6.7</v>
      </c>
      <c r="Z313" s="15">
        <v>56.2</v>
      </c>
      <c r="AA313" s="15">
        <v>8</v>
      </c>
      <c r="AB313" s="15">
        <v>22.4</v>
      </c>
      <c r="AC313" s="15">
        <v>4.2</v>
      </c>
      <c r="AD313" s="15">
        <v>0.51</v>
      </c>
      <c r="AE313" s="15">
        <v>0.97</v>
      </c>
      <c r="AF313" s="15">
        <f>(33.5*Table2[[#This Row],[C%]]+142.3*Table2[[#This Row],[H%]]-15.4*Table2[[#This Row],[O%]]-14.5*Table2[[#This Row],[N%]])/100</f>
        <v>26.152400000000004</v>
      </c>
      <c r="AG313" s="15">
        <v>1.2999999999999999E-3</v>
      </c>
      <c r="AH313" s="15"/>
      <c r="AI313" s="15"/>
      <c r="AJ313" s="15">
        <v>2.912621359223301</v>
      </c>
      <c r="AM313" s="13"/>
      <c r="AO313" s="15"/>
      <c r="AP313" s="15" t="e">
        <f>LN(25/Table2[[#This Row],[Temperature (C)]]/(1-SQRT((Table2[[#This Row],[Temperature (C)]]-5)/Table2[[#This Row],[Temperature (C)]])))/Table2[[#This Row],[b]]</f>
        <v>#DIV/0!</v>
      </c>
      <c r="AQ313" s="15">
        <f>IF(Table2[[#This Row],[b]]&lt;&gt;"",Table2[[#This Row],[T-5]], 0)</f>
        <v>0</v>
      </c>
      <c r="AR313">
        <v>31.6</v>
      </c>
      <c r="AT313" t="s">
        <v>503</v>
      </c>
      <c r="AU313">
        <v>300</v>
      </c>
      <c r="AV313" s="15">
        <v>6.9</v>
      </c>
      <c r="AW313" s="15">
        <v>40.6</v>
      </c>
      <c r="AX313" s="15">
        <f>100-Table2[[#This Row],[Solids wt%]]-Table2[[#This Row],[Biocrude wt%]]-Table2[[#This Row],[Gas wt%]]</f>
        <v>43.499999999999993</v>
      </c>
      <c r="AY313" s="15">
        <v>9</v>
      </c>
      <c r="AZ313" s="15"/>
      <c r="BA313" s="15"/>
      <c r="BB313" s="15">
        <f>IF(OR(Table2[[#This Row],[Gas wt%]]&lt;&gt;"",Table2[[#This Row],[Loss]]&lt;&gt;""),Table2[[#This Row],[Gas wt%]]+Table2[[#This Row],[Loss]],"")</f>
        <v>9</v>
      </c>
      <c r="BC313" s="15"/>
      <c r="BD313" s="15"/>
      <c r="BE313" s="15"/>
      <c r="BF313" s="15"/>
      <c r="BG313" s="15"/>
      <c r="BH313" s="15"/>
      <c r="BI313" s="15">
        <v>75.599999999999994</v>
      </c>
      <c r="BJ313" s="15">
        <v>10.4</v>
      </c>
      <c r="BK313" s="15">
        <v>11.2</v>
      </c>
      <c r="BL313" s="15">
        <v>2.5</v>
      </c>
      <c r="BM313" s="15">
        <v>0.27</v>
      </c>
      <c r="BN313" s="15">
        <v>37.4</v>
      </c>
      <c r="BO313" s="15">
        <v>57.1</v>
      </c>
      <c r="BP313" s="15"/>
      <c r="BQ313" s="15">
        <f>Table2[[#This Row],[H% B]]/Table2[[#This Row],[C% B]]*100</f>
        <v>13.756613756613758</v>
      </c>
      <c r="BR313" s="15"/>
      <c r="BS313" s="15"/>
      <c r="BT313" s="15"/>
      <c r="BU313" s="15"/>
      <c r="BV313" s="15"/>
      <c r="BW313" s="15"/>
      <c r="BX313" s="15"/>
      <c r="BY313" s="15"/>
      <c r="BZ313" s="15"/>
      <c r="CA313" s="15"/>
      <c r="CB313" s="15"/>
      <c r="CC313" s="15"/>
      <c r="CD313" s="15"/>
      <c r="CE313" s="15"/>
      <c r="CF313" s="15"/>
      <c r="CG313" s="15"/>
      <c r="CH313" s="15"/>
      <c r="CI313" s="15"/>
      <c r="CJ313" s="15"/>
      <c r="CK313" s="15"/>
      <c r="CL313" s="15"/>
      <c r="CM313" s="15"/>
      <c r="CN313" s="15"/>
      <c r="CO313" s="15"/>
      <c r="CP313" s="15"/>
      <c r="CQ313" s="15"/>
      <c r="CR313" s="15"/>
      <c r="CS313" s="15"/>
      <c r="CT313" s="15"/>
      <c r="CU313" s="15"/>
      <c r="CV313" s="15"/>
      <c r="CW313" s="15"/>
      <c r="CX313" s="15"/>
      <c r="CY313" s="15"/>
      <c r="CZ313" s="15"/>
      <c r="DA313" s="15"/>
      <c r="DB313" s="15">
        <v>0</v>
      </c>
    </row>
    <row r="314" spans="1:106" x14ac:dyDescent="0.25">
      <c r="A314" t="s">
        <v>375</v>
      </c>
      <c r="B314" t="s">
        <v>204</v>
      </c>
      <c r="C314">
        <v>2019</v>
      </c>
      <c r="D314" s="16" t="s">
        <v>373</v>
      </c>
      <c r="E314">
        <v>0</v>
      </c>
      <c r="F314" s="15">
        <v>44.7</v>
      </c>
      <c r="G314" s="15"/>
      <c r="H314" s="15"/>
      <c r="I314" s="15">
        <v>20.100000000000001</v>
      </c>
      <c r="J314" s="15">
        <v>28.5</v>
      </c>
      <c r="K314" s="15"/>
      <c r="L314" s="15">
        <f>IF(Table2[[#This Row],[Lipids wt%]]+Table2[[#This Row],[Protein wt%]]+Table2[[#This Row],[Carbs wt%]] =0,"",SUM(Table2[[#This Row],[Lipids wt%]],Table2[[#This Row],[Protein wt%]],Table2[[#This Row],[Carbs wt%]]))</f>
        <v>93.300000000000011</v>
      </c>
      <c r="M314" s="15">
        <v>6.7</v>
      </c>
      <c r="Z314" s="15">
        <v>56.2</v>
      </c>
      <c r="AA314" s="15">
        <v>8</v>
      </c>
      <c r="AB314" s="15">
        <v>22.4</v>
      </c>
      <c r="AC314" s="15">
        <v>4.2</v>
      </c>
      <c r="AD314" s="15">
        <v>0.51</v>
      </c>
      <c r="AE314" s="15">
        <v>0.97</v>
      </c>
      <c r="AF314" s="15">
        <f>(33.5*Table2[[#This Row],[C%]]+142.3*Table2[[#This Row],[H%]]-15.4*Table2[[#This Row],[O%]]-14.5*Table2[[#This Row],[N%]])/100</f>
        <v>26.152400000000004</v>
      </c>
      <c r="AG314" s="15">
        <v>1.2999999999999999E-3</v>
      </c>
      <c r="AH314" s="15"/>
      <c r="AI314" s="15"/>
      <c r="AJ314" s="15">
        <v>2.912621359223301</v>
      </c>
      <c r="AM314" s="13"/>
      <c r="AO314" s="15"/>
      <c r="AP314" s="15" t="e">
        <f>LN(25/Table2[[#This Row],[Temperature (C)]]/(1-SQRT((Table2[[#This Row],[Temperature (C)]]-5)/Table2[[#This Row],[Temperature (C)]])))/Table2[[#This Row],[b]]</f>
        <v>#DIV/0!</v>
      </c>
      <c r="AQ314" s="15">
        <f>IF(Table2[[#This Row],[b]]&lt;&gt;"",Table2[[#This Row],[T-5]], 0)</f>
        <v>0</v>
      </c>
      <c r="AR314">
        <v>100</v>
      </c>
      <c r="AT314" t="s">
        <v>503</v>
      </c>
      <c r="AU314">
        <v>350</v>
      </c>
      <c r="AV314" s="15">
        <v>2.1</v>
      </c>
      <c r="AW314" s="15">
        <v>41.2</v>
      </c>
      <c r="AX314" s="15">
        <f>100-Table2[[#This Row],[Solids wt%]]-Table2[[#This Row],[Biocrude wt%]]-Table2[[#This Row],[Gas wt%]]</f>
        <v>44.7</v>
      </c>
      <c r="AY314" s="15">
        <v>12</v>
      </c>
      <c r="AZ314" s="15"/>
      <c r="BA314" s="15"/>
      <c r="BB314" s="15">
        <f>IF(OR(Table2[[#This Row],[Gas wt%]]&lt;&gt;"",Table2[[#This Row],[Loss]]&lt;&gt;""),Table2[[#This Row],[Gas wt%]]+Table2[[#This Row],[Loss]],"")</f>
        <v>12</v>
      </c>
      <c r="BC314" s="15"/>
      <c r="BD314" s="15"/>
      <c r="BE314" s="15"/>
      <c r="BF314" s="15"/>
      <c r="BG314" s="15"/>
      <c r="BH314" s="15"/>
      <c r="BI314" s="15">
        <v>75.5</v>
      </c>
      <c r="BJ314" s="15">
        <v>10.4</v>
      </c>
      <c r="BK314" s="15">
        <v>11.1</v>
      </c>
      <c r="BL314" s="15">
        <v>2.5</v>
      </c>
      <c r="BM314" s="15">
        <v>0.31</v>
      </c>
      <c r="BN314" s="15">
        <v>37.4</v>
      </c>
      <c r="BO314" s="15">
        <v>58</v>
      </c>
      <c r="BP314" s="15"/>
      <c r="BQ314" s="15">
        <f>Table2[[#This Row],[H% B]]/Table2[[#This Row],[C% B]]*100</f>
        <v>13.774834437086092</v>
      </c>
      <c r="BR314" s="15"/>
      <c r="BS314" s="15"/>
      <c r="BT314" s="15"/>
      <c r="BU314" s="15"/>
      <c r="BV314" s="15"/>
      <c r="BW314" s="15"/>
      <c r="BX314" s="15"/>
      <c r="BY314" s="15"/>
      <c r="BZ314" s="15"/>
      <c r="CA314" s="15"/>
      <c r="CB314" s="15"/>
      <c r="CC314" s="15"/>
      <c r="CD314" s="15"/>
      <c r="CE314" s="15"/>
      <c r="CF314" s="15"/>
      <c r="CG314" s="15"/>
      <c r="CH314" s="15"/>
      <c r="CI314" s="15"/>
      <c r="CJ314" s="15"/>
      <c r="CK314" s="15"/>
      <c r="CL314" s="15"/>
      <c r="CM314" s="15"/>
      <c r="CN314" s="15"/>
      <c r="CO314" s="15"/>
      <c r="CP314" s="15"/>
      <c r="CQ314" s="15"/>
      <c r="CR314" s="15"/>
      <c r="CS314" s="15"/>
      <c r="CT314" s="15"/>
      <c r="CU314" s="15"/>
      <c r="CV314" s="15"/>
      <c r="CW314" s="15"/>
      <c r="CX314" s="15"/>
      <c r="CY314" s="15"/>
      <c r="CZ314" s="15"/>
      <c r="DA314" s="15"/>
      <c r="DB314" s="15">
        <v>0</v>
      </c>
    </row>
    <row r="315" spans="1:106" x14ac:dyDescent="0.25">
      <c r="A315" t="s">
        <v>375</v>
      </c>
      <c r="B315" t="s">
        <v>204</v>
      </c>
      <c r="C315">
        <v>2019</v>
      </c>
      <c r="D315" s="16" t="s">
        <v>373</v>
      </c>
      <c r="E315">
        <v>0</v>
      </c>
      <c r="F315" s="15">
        <v>44.7</v>
      </c>
      <c r="G315" s="15"/>
      <c r="H315" s="15"/>
      <c r="I315" s="15">
        <v>20.100000000000001</v>
      </c>
      <c r="J315" s="15">
        <v>28.5</v>
      </c>
      <c r="K315" s="15"/>
      <c r="L315" s="15">
        <f>IF(Table2[[#This Row],[Lipids wt%]]+Table2[[#This Row],[Protein wt%]]+Table2[[#This Row],[Carbs wt%]] =0,"",SUM(Table2[[#This Row],[Lipids wt%]],Table2[[#This Row],[Protein wt%]],Table2[[#This Row],[Carbs wt%]]))</f>
        <v>93.300000000000011</v>
      </c>
      <c r="M315" s="15">
        <v>6.7</v>
      </c>
      <c r="Z315" s="15">
        <v>56.2</v>
      </c>
      <c r="AA315" s="15">
        <v>8</v>
      </c>
      <c r="AB315" s="15">
        <v>22.4</v>
      </c>
      <c r="AC315" s="15">
        <v>4.2</v>
      </c>
      <c r="AD315" s="15">
        <v>0.51</v>
      </c>
      <c r="AE315" s="15">
        <v>0.97</v>
      </c>
      <c r="AF315" s="15">
        <f>(33.5*Table2[[#This Row],[C%]]+142.3*Table2[[#This Row],[H%]]-15.4*Table2[[#This Row],[O%]]-14.5*Table2[[#This Row],[N%]])/100</f>
        <v>26.152400000000004</v>
      </c>
      <c r="AG315" s="15">
        <v>1.2999999999999999E-3</v>
      </c>
      <c r="AH315" s="15"/>
      <c r="AI315" s="15"/>
      <c r="AJ315" s="15">
        <v>10.714285714285714</v>
      </c>
      <c r="AM315" s="13"/>
      <c r="AO315" s="15"/>
      <c r="AP315" s="15" t="e">
        <f>LN(25/Table2[[#This Row],[Temperature (C)]]/(1-SQRT((Table2[[#This Row],[Temperature (C)]]-5)/Table2[[#This Row],[Temperature (C)]])))/Table2[[#This Row],[b]]</f>
        <v>#DIV/0!</v>
      </c>
      <c r="AQ315" s="15">
        <f>IF(Table2[[#This Row],[b]]&lt;&gt;"",Table2[[#This Row],[T-5]], 0)</f>
        <v>0</v>
      </c>
      <c r="AR315">
        <v>1</v>
      </c>
      <c r="AT315" t="s">
        <v>503</v>
      </c>
      <c r="AU315">
        <v>150</v>
      </c>
      <c r="AV315" s="15">
        <v>48.7</v>
      </c>
      <c r="AW315" s="15">
        <v>15</v>
      </c>
      <c r="AX315" s="15">
        <f>100-Table2[[#This Row],[Solids wt%]]-Table2[[#This Row],[Biocrude wt%]]-Table2[[#This Row],[Gas wt%]]</f>
        <v>35.799999999999997</v>
      </c>
      <c r="AY315" s="15">
        <v>0.5</v>
      </c>
      <c r="AZ315" s="15"/>
      <c r="BA315" s="15"/>
      <c r="BB315" s="15">
        <f>IF(OR(Table2[[#This Row],[Gas wt%]]&lt;&gt;"",Table2[[#This Row],[Loss]]&lt;&gt;""),Table2[[#This Row],[Gas wt%]]+Table2[[#This Row],[Loss]],"")</f>
        <v>0.5</v>
      </c>
      <c r="BC315" s="15"/>
      <c r="BD315" s="15"/>
      <c r="BE315" s="15"/>
      <c r="BF315" s="15"/>
      <c r="BG315" s="15"/>
      <c r="BH315" s="15"/>
      <c r="BI315" s="15">
        <v>75.599999999999994</v>
      </c>
      <c r="BJ315" s="15">
        <v>11.3</v>
      </c>
      <c r="BK315" s="15">
        <v>12.5</v>
      </c>
      <c r="BL315" s="15">
        <v>0.6</v>
      </c>
      <c r="BM315" s="15"/>
      <c r="BN315" s="15">
        <v>38.4</v>
      </c>
      <c r="BO315" s="15">
        <v>21.7</v>
      </c>
      <c r="BP315" s="15"/>
      <c r="BQ315" s="15">
        <f>Table2[[#This Row],[H% B]]/Table2[[#This Row],[C% B]]*100</f>
        <v>14.94708994708995</v>
      </c>
      <c r="BR315" s="15"/>
      <c r="BS315" s="15"/>
      <c r="BT315" s="15"/>
      <c r="BU315" s="15"/>
      <c r="BV315" s="15"/>
      <c r="BW315" s="15"/>
      <c r="BX315" s="15"/>
      <c r="BY315" s="15"/>
      <c r="BZ315" s="15"/>
      <c r="CA315" s="15"/>
      <c r="CB315" s="15"/>
      <c r="CC315" s="15"/>
      <c r="CD315" s="15"/>
      <c r="CE315" s="15"/>
      <c r="CF315" s="15">
        <v>59.3</v>
      </c>
      <c r="CG315" s="15">
        <v>8.3000000000000007</v>
      </c>
      <c r="CH315" s="15">
        <v>26.6</v>
      </c>
      <c r="CI315" s="15">
        <v>5</v>
      </c>
      <c r="CJ315" s="15">
        <v>0.49</v>
      </c>
      <c r="CK315" s="15"/>
      <c r="CL315" s="15"/>
      <c r="CM315" s="15"/>
      <c r="CN315" s="15"/>
      <c r="CO315" s="15"/>
      <c r="CP315" s="15"/>
      <c r="CQ315" s="15"/>
      <c r="CR315" s="15"/>
      <c r="CS315" s="15"/>
      <c r="CT315" s="15"/>
      <c r="CU315" s="15"/>
      <c r="CV315" s="15"/>
      <c r="CW315" s="15"/>
      <c r="CX315" s="15"/>
      <c r="CY315" s="15"/>
      <c r="CZ315" s="15"/>
      <c r="DA315" s="15"/>
      <c r="DB315" s="15">
        <v>0</v>
      </c>
    </row>
    <row r="316" spans="1:106" x14ac:dyDescent="0.25">
      <c r="A316" t="s">
        <v>375</v>
      </c>
      <c r="B316" t="s">
        <v>204</v>
      </c>
      <c r="C316">
        <v>2019</v>
      </c>
      <c r="D316" s="16" t="s">
        <v>373</v>
      </c>
      <c r="E316">
        <v>0</v>
      </c>
      <c r="F316" s="15">
        <v>44.7</v>
      </c>
      <c r="G316" s="15"/>
      <c r="H316" s="15"/>
      <c r="I316" s="15">
        <v>20.100000000000001</v>
      </c>
      <c r="J316" s="15">
        <v>28.5</v>
      </c>
      <c r="K316" s="15"/>
      <c r="L316" s="15">
        <f>IF(Table2[[#This Row],[Lipids wt%]]+Table2[[#This Row],[Protein wt%]]+Table2[[#This Row],[Carbs wt%]] =0,"",SUM(Table2[[#This Row],[Lipids wt%]],Table2[[#This Row],[Protein wt%]],Table2[[#This Row],[Carbs wt%]]))</f>
        <v>93.300000000000011</v>
      </c>
      <c r="M316" s="15">
        <v>6.7</v>
      </c>
      <c r="Z316" s="15">
        <v>56.2</v>
      </c>
      <c r="AA316" s="15">
        <v>8</v>
      </c>
      <c r="AB316" s="15">
        <v>22.4</v>
      </c>
      <c r="AC316" s="15">
        <v>4.2</v>
      </c>
      <c r="AD316" s="15">
        <v>0.51</v>
      </c>
      <c r="AE316" s="15">
        <v>0.97</v>
      </c>
      <c r="AF316" s="15">
        <f>(33.5*Table2[[#This Row],[C%]]+142.3*Table2[[#This Row],[H%]]-15.4*Table2[[#This Row],[O%]]-14.5*Table2[[#This Row],[N%]])/100</f>
        <v>26.152400000000004</v>
      </c>
      <c r="AG316" s="15">
        <v>1.2999999999999999E-3</v>
      </c>
      <c r="AH316" s="15"/>
      <c r="AI316" s="15"/>
      <c r="AJ316" s="15">
        <v>10.714285714285714</v>
      </c>
      <c r="AM316" s="13"/>
      <c r="AO316" s="15"/>
      <c r="AP316" s="15" t="e">
        <f>LN(25/Table2[[#This Row],[Temperature (C)]]/(1-SQRT((Table2[[#This Row],[Temperature (C)]]-5)/Table2[[#This Row],[Temperature (C)]])))/Table2[[#This Row],[b]]</f>
        <v>#DIV/0!</v>
      </c>
      <c r="AQ316" s="15">
        <f>IF(Table2[[#This Row],[b]]&lt;&gt;"",Table2[[#This Row],[T-5]], 0)</f>
        <v>0</v>
      </c>
      <c r="AR316">
        <v>3.2</v>
      </c>
      <c r="AT316" t="s">
        <v>503</v>
      </c>
      <c r="AU316">
        <v>200</v>
      </c>
      <c r="AV316" s="15">
        <v>29.6</v>
      </c>
      <c r="AW316" s="15">
        <v>28.3</v>
      </c>
      <c r="AX316" s="15">
        <f>100-Table2[[#This Row],[Solids wt%]]-Table2[[#This Row],[Biocrude wt%]]-Table2[[#This Row],[Gas wt%]]</f>
        <v>41.300000000000011</v>
      </c>
      <c r="AY316" s="15">
        <v>0.8</v>
      </c>
      <c r="AZ316" s="15"/>
      <c r="BA316" s="15"/>
      <c r="BB316" s="15">
        <f>IF(OR(Table2[[#This Row],[Gas wt%]]&lt;&gt;"",Table2[[#This Row],[Loss]]&lt;&gt;""),Table2[[#This Row],[Gas wt%]]+Table2[[#This Row],[Loss]],"")</f>
        <v>0.8</v>
      </c>
      <c r="BC316" s="15"/>
      <c r="BD316" s="15"/>
      <c r="BE316" s="15"/>
      <c r="BF316" s="15"/>
      <c r="BG316" s="15"/>
      <c r="BH316" s="15"/>
      <c r="BI316" s="15">
        <v>70.3</v>
      </c>
      <c r="BJ316" s="15">
        <v>10.5</v>
      </c>
      <c r="BK316" s="15">
        <v>18.5</v>
      </c>
      <c r="BL316" s="15">
        <v>0.6</v>
      </c>
      <c r="BM316" s="15">
        <v>7.0000000000000007E-2</v>
      </c>
      <c r="BN316" s="15">
        <v>35</v>
      </c>
      <c r="BO316" s="15">
        <v>37.299999999999997</v>
      </c>
      <c r="BP316" s="15"/>
      <c r="BQ316" s="15">
        <f>Table2[[#This Row],[H% B]]/Table2[[#This Row],[C% B]]*100</f>
        <v>14.935988620199147</v>
      </c>
      <c r="BR316" s="15"/>
      <c r="BS316" s="15"/>
      <c r="BT316" s="15"/>
      <c r="BU316" s="15"/>
      <c r="BV316" s="15"/>
      <c r="BW316" s="15"/>
      <c r="BX316" s="15"/>
      <c r="BY316" s="15"/>
      <c r="BZ316" s="15"/>
      <c r="CA316" s="15"/>
      <c r="CB316" s="15"/>
      <c r="CC316" s="15"/>
      <c r="CD316" s="15"/>
      <c r="CE316" s="15"/>
      <c r="CF316" s="15">
        <v>58.8</v>
      </c>
      <c r="CG316" s="15">
        <v>7.8</v>
      </c>
      <c r="CH316" s="15">
        <v>26.4</v>
      </c>
      <c r="CI316" s="15">
        <v>6.3</v>
      </c>
      <c r="CJ316" s="15">
        <v>0.49</v>
      </c>
      <c r="CK316" s="15"/>
      <c r="CL316" s="15"/>
      <c r="CM316" s="15"/>
      <c r="CN316" s="15"/>
      <c r="CO316" s="15"/>
      <c r="CP316" s="15"/>
      <c r="CQ316" s="15"/>
      <c r="CR316" s="15"/>
      <c r="CS316" s="15"/>
      <c r="CT316" s="15"/>
      <c r="CU316" s="15"/>
      <c r="CV316" s="15"/>
      <c r="CW316" s="15"/>
      <c r="CX316" s="15"/>
      <c r="CY316" s="15"/>
      <c r="CZ316" s="15"/>
      <c r="DA316" s="15"/>
      <c r="DB316" s="15">
        <v>0</v>
      </c>
    </row>
    <row r="317" spans="1:106" x14ac:dyDescent="0.25">
      <c r="A317" t="s">
        <v>375</v>
      </c>
      <c r="B317" t="s">
        <v>204</v>
      </c>
      <c r="C317">
        <v>2019</v>
      </c>
      <c r="D317" s="16" t="s">
        <v>373</v>
      </c>
      <c r="E317">
        <v>0</v>
      </c>
      <c r="F317" s="15">
        <v>44.7</v>
      </c>
      <c r="G317" s="15"/>
      <c r="H317" s="15"/>
      <c r="I317" s="15">
        <v>20.100000000000001</v>
      </c>
      <c r="J317" s="15">
        <v>28.5</v>
      </c>
      <c r="K317" s="15"/>
      <c r="L317" s="15">
        <f>IF(Table2[[#This Row],[Lipids wt%]]+Table2[[#This Row],[Protein wt%]]+Table2[[#This Row],[Carbs wt%]] =0,"",SUM(Table2[[#This Row],[Lipids wt%]],Table2[[#This Row],[Protein wt%]],Table2[[#This Row],[Carbs wt%]]))</f>
        <v>93.300000000000011</v>
      </c>
      <c r="M317" s="15">
        <v>6.7</v>
      </c>
      <c r="Z317" s="15">
        <v>56.2</v>
      </c>
      <c r="AA317" s="15">
        <v>8</v>
      </c>
      <c r="AB317" s="15">
        <v>22.4</v>
      </c>
      <c r="AC317" s="15">
        <v>4.2</v>
      </c>
      <c r="AD317" s="15">
        <v>0.51</v>
      </c>
      <c r="AE317" s="15">
        <v>0.97</v>
      </c>
      <c r="AF317" s="15">
        <f>(33.5*Table2[[#This Row],[C%]]+142.3*Table2[[#This Row],[H%]]-15.4*Table2[[#This Row],[O%]]-14.5*Table2[[#This Row],[N%]])/100</f>
        <v>26.152400000000004</v>
      </c>
      <c r="AG317" s="15">
        <v>1.2999999999999999E-3</v>
      </c>
      <c r="AH317" s="15"/>
      <c r="AI317" s="15"/>
      <c r="AJ317" s="15">
        <v>10.714285714285714</v>
      </c>
      <c r="AM317" s="13"/>
      <c r="AO317" s="15"/>
      <c r="AP317" s="15" t="e">
        <f>LN(25/Table2[[#This Row],[Temperature (C)]]/(1-SQRT((Table2[[#This Row],[Temperature (C)]]-5)/Table2[[#This Row],[Temperature (C)]])))/Table2[[#This Row],[b]]</f>
        <v>#DIV/0!</v>
      </c>
      <c r="AQ317" s="15">
        <f>IF(Table2[[#This Row],[b]]&lt;&gt;"",Table2[[#This Row],[T-5]], 0)</f>
        <v>0</v>
      </c>
      <c r="AR317">
        <v>31.6</v>
      </c>
      <c r="AT317" t="s">
        <v>503</v>
      </c>
      <c r="AU317">
        <v>200</v>
      </c>
      <c r="AV317" s="15">
        <v>17.600000000000001</v>
      </c>
      <c r="AW317" s="15">
        <v>33.9</v>
      </c>
      <c r="AX317" s="15">
        <f>100-Table2[[#This Row],[Solids wt%]]-Table2[[#This Row],[Biocrude wt%]]-Table2[[#This Row],[Gas wt%]]</f>
        <v>45.800000000000004</v>
      </c>
      <c r="AY317" s="15">
        <v>2.7</v>
      </c>
      <c r="AZ317" s="15"/>
      <c r="BA317" s="15"/>
      <c r="BB317" s="15">
        <f>IF(OR(Table2[[#This Row],[Gas wt%]]&lt;&gt;"",Table2[[#This Row],[Loss]]&lt;&gt;""),Table2[[#This Row],[Gas wt%]]+Table2[[#This Row],[Loss]],"")</f>
        <v>2.7</v>
      </c>
      <c r="BC317" s="15"/>
      <c r="BD317" s="15"/>
      <c r="BE317" s="15"/>
      <c r="BF317" s="15"/>
      <c r="BG317" s="15"/>
      <c r="BH317" s="15"/>
      <c r="BI317" s="15">
        <v>70.2</v>
      </c>
      <c r="BJ317" s="15">
        <v>10.4</v>
      </c>
      <c r="BK317" s="15">
        <v>18.399999999999999</v>
      </c>
      <c r="BL317" s="15">
        <v>0.9</v>
      </c>
      <c r="BM317" s="15">
        <v>0.11</v>
      </c>
      <c r="BN317" s="15">
        <v>34.799999999999997</v>
      </c>
      <c r="BO317" s="15">
        <v>44.5</v>
      </c>
      <c r="BP317" s="15"/>
      <c r="BQ317" s="15">
        <f>Table2[[#This Row],[H% B]]/Table2[[#This Row],[C% B]]*100</f>
        <v>14.814814814814813</v>
      </c>
      <c r="BR317" s="15"/>
      <c r="BS317" s="15"/>
      <c r="BT317" s="15"/>
      <c r="BU317" s="15"/>
      <c r="BV317" s="15"/>
      <c r="BW317" s="15"/>
      <c r="BX317" s="15"/>
      <c r="BY317" s="15"/>
      <c r="BZ317" s="15"/>
      <c r="CA317" s="15"/>
      <c r="CB317" s="15"/>
      <c r="CC317" s="15"/>
      <c r="CD317" s="15"/>
      <c r="CE317" s="15"/>
      <c r="CF317" s="15">
        <v>60.1</v>
      </c>
      <c r="CG317" s="15">
        <v>7.2</v>
      </c>
      <c r="CH317" s="15">
        <v>24.7</v>
      </c>
      <c r="CI317" s="15">
        <v>7</v>
      </c>
      <c r="CJ317" s="15">
        <v>0.43</v>
      </c>
      <c r="CK317" s="15"/>
      <c r="CL317" s="15"/>
      <c r="CM317" s="15"/>
      <c r="CN317" s="15"/>
      <c r="CO317" s="15"/>
      <c r="CP317" s="15"/>
      <c r="CQ317" s="15"/>
      <c r="CR317" s="15"/>
      <c r="CS317" s="15"/>
      <c r="CT317" s="15"/>
      <c r="CU317" s="15"/>
      <c r="CV317" s="15"/>
      <c r="CW317" s="15"/>
      <c r="CX317" s="15"/>
      <c r="CY317" s="15"/>
      <c r="CZ317" s="15"/>
      <c r="DA317" s="15"/>
      <c r="DB317" s="15">
        <v>0</v>
      </c>
    </row>
    <row r="318" spans="1:106" x14ac:dyDescent="0.25">
      <c r="A318" t="s">
        <v>375</v>
      </c>
      <c r="B318" t="s">
        <v>204</v>
      </c>
      <c r="C318">
        <v>2019</v>
      </c>
      <c r="D318" s="16" t="s">
        <v>373</v>
      </c>
      <c r="E318">
        <v>0</v>
      </c>
      <c r="F318" s="15">
        <v>44.7</v>
      </c>
      <c r="G318" s="15"/>
      <c r="H318" s="15"/>
      <c r="I318" s="15">
        <v>20.100000000000001</v>
      </c>
      <c r="J318" s="15">
        <v>28.5</v>
      </c>
      <c r="K318" s="15"/>
      <c r="L318" s="15">
        <f>IF(Table2[[#This Row],[Lipids wt%]]+Table2[[#This Row],[Protein wt%]]+Table2[[#This Row],[Carbs wt%]] =0,"",SUM(Table2[[#This Row],[Lipids wt%]],Table2[[#This Row],[Protein wt%]],Table2[[#This Row],[Carbs wt%]]))</f>
        <v>93.300000000000011</v>
      </c>
      <c r="M318" s="15">
        <v>6.7</v>
      </c>
      <c r="Z318" s="15">
        <v>56.2</v>
      </c>
      <c r="AA318" s="15">
        <v>8</v>
      </c>
      <c r="AB318" s="15">
        <v>22.4</v>
      </c>
      <c r="AC318" s="15">
        <v>4.2</v>
      </c>
      <c r="AD318" s="15">
        <v>0.51</v>
      </c>
      <c r="AE318" s="15">
        <v>0.97</v>
      </c>
      <c r="AF318" s="15">
        <f>(33.5*Table2[[#This Row],[C%]]+142.3*Table2[[#This Row],[H%]]-15.4*Table2[[#This Row],[O%]]-14.5*Table2[[#This Row],[N%]])/100</f>
        <v>26.152400000000004</v>
      </c>
      <c r="AG318" s="15">
        <v>1.2999999999999999E-3</v>
      </c>
      <c r="AH318" s="15"/>
      <c r="AI318" s="15"/>
      <c r="AJ318" s="15">
        <v>10.714285714285714</v>
      </c>
      <c r="AM318" s="13"/>
      <c r="AO318" s="15"/>
      <c r="AP318" s="15" t="e">
        <f>LN(25/Table2[[#This Row],[Temperature (C)]]/(1-SQRT((Table2[[#This Row],[Temperature (C)]]-5)/Table2[[#This Row],[Temperature (C)]])))/Table2[[#This Row],[b]]</f>
        <v>#DIV/0!</v>
      </c>
      <c r="AQ318" s="15">
        <f>IF(Table2[[#This Row],[b]]&lt;&gt;"",Table2[[#This Row],[T-5]], 0)</f>
        <v>0</v>
      </c>
      <c r="AR318">
        <v>0</v>
      </c>
      <c r="AT318" t="s">
        <v>503</v>
      </c>
      <c r="AU318">
        <v>300</v>
      </c>
      <c r="AV318" s="15">
        <v>45.8</v>
      </c>
      <c r="AW318" s="15">
        <v>20.3</v>
      </c>
      <c r="AX318" s="15">
        <f>100-Table2[[#This Row],[Solids wt%]]-Table2[[#This Row],[Biocrude wt%]]-Table2[[#This Row],[Gas wt%]]</f>
        <v>33.600000000000009</v>
      </c>
      <c r="AY318" s="15">
        <v>0.3</v>
      </c>
      <c r="AZ318" s="15"/>
      <c r="BA318" s="15"/>
      <c r="BB318" s="15">
        <f>IF(OR(Table2[[#This Row],[Gas wt%]]&lt;&gt;"",Table2[[#This Row],[Loss]]&lt;&gt;""),Table2[[#This Row],[Gas wt%]]+Table2[[#This Row],[Loss]],"")</f>
        <v>0.3</v>
      </c>
      <c r="BC318" s="15"/>
      <c r="BD318" s="15"/>
      <c r="BE318" s="15"/>
      <c r="BF318" s="15"/>
      <c r="BG318" s="15"/>
      <c r="BH318" s="15"/>
      <c r="BI318" s="15">
        <v>75.400000000000006</v>
      </c>
      <c r="BJ318" s="15">
        <v>11.3</v>
      </c>
      <c r="BK318" s="15">
        <v>12.7</v>
      </c>
      <c r="BL318" s="15">
        <v>0.6</v>
      </c>
      <c r="BM318" s="15">
        <v>0.06</v>
      </c>
      <c r="BN318" s="15">
        <v>38.299999999999997</v>
      </c>
      <c r="BO318" s="15">
        <v>29.3</v>
      </c>
      <c r="BP318" s="15"/>
      <c r="BQ318" s="15">
        <f>Table2[[#This Row],[H% B]]/Table2[[#This Row],[C% B]]*100</f>
        <v>14.986737400530503</v>
      </c>
      <c r="BR318" s="15"/>
      <c r="BS318" s="15"/>
      <c r="BT318" s="15"/>
      <c r="BU318" s="15"/>
      <c r="BV318" s="15"/>
      <c r="BW318" s="15"/>
      <c r="BX318" s="15"/>
      <c r="BY318" s="15"/>
      <c r="BZ318" s="15"/>
      <c r="CA318" s="15"/>
      <c r="CB318" s="15"/>
      <c r="CC318" s="15"/>
      <c r="CD318" s="15"/>
      <c r="CE318" s="15"/>
      <c r="CF318" s="15">
        <v>54.8</v>
      </c>
      <c r="CG318" s="15">
        <v>7.8</v>
      </c>
      <c r="CH318" s="15">
        <v>31</v>
      </c>
      <c r="CI318" s="15">
        <v>5.5</v>
      </c>
      <c r="CJ318" s="15">
        <v>0.56999999999999995</v>
      </c>
      <c r="CK318" s="15"/>
      <c r="CL318" s="15"/>
      <c r="CM318" s="15"/>
      <c r="CN318" s="15"/>
      <c r="CO318" s="15"/>
      <c r="CP318" s="15"/>
      <c r="CQ318" s="15"/>
      <c r="CR318" s="15"/>
      <c r="CS318" s="15"/>
      <c r="CT318" s="15"/>
      <c r="CU318" s="15"/>
      <c r="CV318" s="15"/>
      <c r="CW318" s="15"/>
      <c r="CX318" s="15"/>
      <c r="CY318" s="15"/>
      <c r="CZ318" s="15"/>
      <c r="DA318" s="15"/>
      <c r="DB318" s="15">
        <v>0</v>
      </c>
    </row>
    <row r="319" spans="1:106" x14ac:dyDescent="0.25">
      <c r="A319" t="s">
        <v>375</v>
      </c>
      <c r="B319" t="s">
        <v>204</v>
      </c>
      <c r="C319">
        <v>2019</v>
      </c>
      <c r="D319" s="16" t="s">
        <v>373</v>
      </c>
      <c r="E319">
        <v>0</v>
      </c>
      <c r="F319" s="15">
        <v>44.7</v>
      </c>
      <c r="G319" s="15"/>
      <c r="H319" s="15"/>
      <c r="I319" s="15">
        <v>20.100000000000001</v>
      </c>
      <c r="J319" s="15">
        <v>28.5</v>
      </c>
      <c r="K319" s="15"/>
      <c r="L319" s="15">
        <f>IF(Table2[[#This Row],[Lipids wt%]]+Table2[[#This Row],[Protein wt%]]+Table2[[#This Row],[Carbs wt%]] =0,"",SUM(Table2[[#This Row],[Lipids wt%]],Table2[[#This Row],[Protein wt%]],Table2[[#This Row],[Carbs wt%]]))</f>
        <v>93.300000000000011</v>
      </c>
      <c r="M319" s="15">
        <v>6.7</v>
      </c>
      <c r="Z319" s="15">
        <v>56.2</v>
      </c>
      <c r="AA319" s="15">
        <v>8</v>
      </c>
      <c r="AB319" s="15">
        <v>22.4</v>
      </c>
      <c r="AC319" s="15">
        <v>4.2</v>
      </c>
      <c r="AD319" s="15">
        <v>0.51</v>
      </c>
      <c r="AE319" s="15">
        <v>0.97</v>
      </c>
      <c r="AF319" s="15">
        <f>(33.5*Table2[[#This Row],[C%]]+142.3*Table2[[#This Row],[H%]]-15.4*Table2[[#This Row],[O%]]-14.5*Table2[[#This Row],[N%]])/100</f>
        <v>26.152400000000004</v>
      </c>
      <c r="AG319" s="15">
        <v>1.2999999999999999E-3</v>
      </c>
      <c r="AH319" s="15"/>
      <c r="AI319" s="15"/>
      <c r="AJ319" s="15">
        <v>10.714285714285714</v>
      </c>
      <c r="AM319" s="13"/>
      <c r="AO319" s="15"/>
      <c r="AP319" s="15" t="e">
        <f>LN(25/Table2[[#This Row],[Temperature (C)]]/(1-SQRT((Table2[[#This Row],[Temperature (C)]]-5)/Table2[[#This Row],[Temperature (C)]])))/Table2[[#This Row],[b]]</f>
        <v>#DIV/0!</v>
      </c>
      <c r="AQ319" s="15">
        <f>IF(Table2[[#This Row],[b]]&lt;&gt;"",Table2[[#This Row],[T-5]], 0)</f>
        <v>0</v>
      </c>
      <c r="AR319">
        <v>3.2</v>
      </c>
      <c r="AT319" t="s">
        <v>503</v>
      </c>
      <c r="AU319">
        <v>300</v>
      </c>
      <c r="AV319" s="15">
        <v>9.1999999999999993</v>
      </c>
      <c r="AW319" s="15">
        <v>43.1</v>
      </c>
      <c r="AX319" s="15">
        <f>100-Table2[[#This Row],[Solids wt%]]-Table2[[#This Row],[Biocrude wt%]]-Table2[[#This Row],[Gas wt%]]</f>
        <v>47.699999999999996</v>
      </c>
      <c r="AY319" s="15"/>
      <c r="AZ319" s="15"/>
      <c r="BA319" s="15"/>
      <c r="BB319" s="15" t="str">
        <f>IF(OR(Table2[[#This Row],[Gas wt%]]&lt;&gt;"",Table2[[#This Row],[Loss]]&lt;&gt;""),Table2[[#This Row],[Gas wt%]]+Table2[[#This Row],[Loss]],"")</f>
        <v/>
      </c>
      <c r="BC319" s="15"/>
      <c r="BD319" s="15"/>
      <c r="BE319" s="15"/>
      <c r="BF319" s="15"/>
      <c r="BG319" s="15"/>
      <c r="BH319" s="15"/>
      <c r="BI319" s="15">
        <v>73.900000000000006</v>
      </c>
      <c r="BJ319" s="15">
        <v>10.4</v>
      </c>
      <c r="BK319" s="15">
        <v>13.1</v>
      </c>
      <c r="BL319" s="15">
        <v>2.2999999999999998</v>
      </c>
      <c r="BM319" s="15">
        <v>0.26</v>
      </c>
      <c r="BN319" s="15">
        <v>36.700000000000003</v>
      </c>
      <c r="BO319" s="15">
        <v>59.6</v>
      </c>
      <c r="BP319" s="15"/>
      <c r="BQ319" s="15">
        <f>Table2[[#This Row],[H% B]]/Table2[[#This Row],[C% B]]*100</f>
        <v>14.073071718538566</v>
      </c>
      <c r="BR319" s="15"/>
      <c r="BS319" s="15"/>
      <c r="BT319" s="15"/>
      <c r="BU319" s="15"/>
      <c r="BV319" s="15"/>
      <c r="BW319" s="15"/>
      <c r="BX319" s="15"/>
      <c r="BY319" s="15"/>
      <c r="BZ319" s="15"/>
      <c r="CA319" s="15"/>
      <c r="CB319" s="15"/>
      <c r="CC319" s="15"/>
      <c r="CD319" s="15"/>
      <c r="CE319" s="15"/>
      <c r="CF319" s="15">
        <v>61.1</v>
      </c>
      <c r="CG319" s="15">
        <v>7</v>
      </c>
      <c r="CH319" s="15">
        <v>24.4</v>
      </c>
      <c r="CI319" s="15">
        <v>5.8</v>
      </c>
      <c r="CJ319" s="15">
        <v>0.28000000000000003</v>
      </c>
      <c r="CK319" s="15"/>
      <c r="CL319" s="15"/>
      <c r="CM319" s="15"/>
      <c r="CN319" s="15"/>
      <c r="CO319" s="15"/>
      <c r="CP319" s="15"/>
      <c r="CQ319" s="15"/>
      <c r="CR319" s="15"/>
      <c r="CS319" s="15"/>
      <c r="CT319" s="15"/>
      <c r="CU319" s="15"/>
      <c r="CV319" s="15"/>
      <c r="CW319" s="15"/>
      <c r="CX319" s="15"/>
      <c r="CY319" s="15"/>
      <c r="CZ319" s="15"/>
      <c r="DA319" s="15"/>
      <c r="DB319" s="15">
        <v>0</v>
      </c>
    </row>
    <row r="320" spans="1:106" x14ac:dyDescent="0.25">
      <c r="A320" t="s">
        <v>375</v>
      </c>
      <c r="B320" t="s">
        <v>204</v>
      </c>
      <c r="C320">
        <v>2019</v>
      </c>
      <c r="D320" s="16" t="s">
        <v>373</v>
      </c>
      <c r="E320">
        <v>0</v>
      </c>
      <c r="F320" s="15">
        <v>44.7</v>
      </c>
      <c r="G320" s="15"/>
      <c r="H320" s="15"/>
      <c r="I320" s="15">
        <v>20.100000000000001</v>
      </c>
      <c r="J320" s="15">
        <v>28.5</v>
      </c>
      <c r="K320" s="15"/>
      <c r="L320" s="15">
        <f>IF(Table2[[#This Row],[Lipids wt%]]+Table2[[#This Row],[Protein wt%]]+Table2[[#This Row],[Carbs wt%]] =0,"",SUM(Table2[[#This Row],[Lipids wt%]],Table2[[#This Row],[Protein wt%]],Table2[[#This Row],[Carbs wt%]]))</f>
        <v>93.300000000000011</v>
      </c>
      <c r="M320" s="15">
        <v>6.7</v>
      </c>
      <c r="Z320" s="15">
        <v>56.2</v>
      </c>
      <c r="AA320" s="15">
        <v>8</v>
      </c>
      <c r="AB320" s="15">
        <v>22.4</v>
      </c>
      <c r="AC320" s="15">
        <v>4.2</v>
      </c>
      <c r="AD320" s="15">
        <v>0.51</v>
      </c>
      <c r="AE320" s="15">
        <v>0.97</v>
      </c>
      <c r="AF320" s="15">
        <f>(33.5*Table2[[#This Row],[C%]]+142.3*Table2[[#This Row],[H%]]-15.4*Table2[[#This Row],[O%]]-14.5*Table2[[#This Row],[N%]])/100</f>
        <v>26.152400000000004</v>
      </c>
      <c r="AG320" s="15">
        <v>1.2999999999999999E-3</v>
      </c>
      <c r="AH320" s="15"/>
      <c r="AI320" s="15"/>
      <c r="AJ320" s="15">
        <v>10.714285714285714</v>
      </c>
      <c r="AM320" s="13"/>
      <c r="AO320" s="15"/>
      <c r="AP320" s="15" t="e">
        <f>LN(25/Table2[[#This Row],[Temperature (C)]]/(1-SQRT((Table2[[#This Row],[Temperature (C)]]-5)/Table2[[#This Row],[Temperature (C)]])))/Table2[[#This Row],[b]]</f>
        <v>#DIV/0!</v>
      </c>
      <c r="AQ320" s="15">
        <f>IF(Table2[[#This Row],[b]]&lt;&gt;"",Table2[[#This Row],[T-5]], 0)</f>
        <v>0</v>
      </c>
      <c r="AR320">
        <v>31.6</v>
      </c>
      <c r="AT320" t="s">
        <v>503</v>
      </c>
      <c r="AU320">
        <v>300</v>
      </c>
      <c r="AV320" s="15">
        <v>4.0999999999999996</v>
      </c>
      <c r="AW320" s="15">
        <v>49.4</v>
      </c>
      <c r="AX320" s="15">
        <f>100-Table2[[#This Row],[Solids wt%]]-Table2[[#This Row],[Biocrude wt%]]-Table2[[#This Row],[Gas wt%]]</f>
        <v>46.500000000000007</v>
      </c>
      <c r="AY320" s="15"/>
      <c r="AZ320" s="15"/>
      <c r="BA320" s="15"/>
      <c r="BB320" s="15" t="str">
        <f>IF(OR(Table2[[#This Row],[Gas wt%]]&lt;&gt;"",Table2[[#This Row],[Loss]]&lt;&gt;""),Table2[[#This Row],[Gas wt%]]+Table2[[#This Row],[Loss]],"")</f>
        <v/>
      </c>
      <c r="BC320" s="15"/>
      <c r="BD320" s="15"/>
      <c r="BE320" s="15"/>
      <c r="BF320" s="15"/>
      <c r="BG320" s="15"/>
      <c r="BH320" s="15"/>
      <c r="BI320" s="15">
        <v>74.8</v>
      </c>
      <c r="BJ320" s="15">
        <v>10.3</v>
      </c>
      <c r="BK320" s="15">
        <v>11.2</v>
      </c>
      <c r="BL320" s="15">
        <v>3.4</v>
      </c>
      <c r="BM320" s="15">
        <v>0.3</v>
      </c>
      <c r="BN320" s="15">
        <v>37</v>
      </c>
      <c r="BO320" s="15">
        <v>68.900000000000006</v>
      </c>
      <c r="BP320" s="15"/>
      <c r="BQ320" s="15">
        <f>Table2[[#This Row],[H% B]]/Table2[[#This Row],[C% B]]*100</f>
        <v>13.770053475935832</v>
      </c>
      <c r="BR320" s="15"/>
      <c r="BS320" s="15"/>
      <c r="BT320" s="15"/>
      <c r="BU320" s="15"/>
      <c r="BV320" s="15"/>
      <c r="BW320" s="15"/>
      <c r="BX320" s="15"/>
      <c r="BY320" s="15"/>
      <c r="BZ320" s="15"/>
      <c r="CA320" s="15"/>
      <c r="CB320" s="15"/>
      <c r="CC320" s="15"/>
      <c r="CD320" s="15"/>
      <c r="CE320" s="15"/>
      <c r="CF320" s="15">
        <v>56.7</v>
      </c>
      <c r="CG320" s="15">
        <v>6.6</v>
      </c>
      <c r="CH320" s="15">
        <v>29.3</v>
      </c>
      <c r="CI320" s="15">
        <v>3.8</v>
      </c>
      <c r="CJ320" s="15">
        <v>0.24</v>
      </c>
      <c r="CK320" s="15"/>
      <c r="CL320" s="15"/>
      <c r="CM320" s="15"/>
      <c r="CN320" s="15"/>
      <c r="CO320" s="15"/>
      <c r="CP320" s="15"/>
      <c r="CQ320" s="15"/>
      <c r="CR320" s="15"/>
      <c r="CS320" s="15"/>
      <c r="CT320" s="15"/>
      <c r="CU320" s="15"/>
      <c r="CV320" s="15"/>
      <c r="CW320" s="15"/>
      <c r="CX320" s="15"/>
      <c r="CY320" s="15"/>
      <c r="CZ320" s="15"/>
      <c r="DA320" s="15"/>
      <c r="DB320" s="15">
        <v>0</v>
      </c>
    </row>
    <row r="321" spans="1:106" x14ac:dyDescent="0.25">
      <c r="A321" t="s">
        <v>375</v>
      </c>
      <c r="B321" t="s">
        <v>204</v>
      </c>
      <c r="C321">
        <v>2019</v>
      </c>
      <c r="D321" s="16" t="s">
        <v>373</v>
      </c>
      <c r="E321">
        <v>0</v>
      </c>
      <c r="F321" s="15">
        <v>44.7</v>
      </c>
      <c r="G321" s="15"/>
      <c r="H321" s="15"/>
      <c r="I321" s="15">
        <v>20.100000000000001</v>
      </c>
      <c r="J321" s="15">
        <v>28.5</v>
      </c>
      <c r="K321" s="15"/>
      <c r="L321" s="15">
        <f>IF(Table2[[#This Row],[Lipids wt%]]+Table2[[#This Row],[Protein wt%]]+Table2[[#This Row],[Carbs wt%]] =0,"",SUM(Table2[[#This Row],[Lipids wt%]],Table2[[#This Row],[Protein wt%]],Table2[[#This Row],[Carbs wt%]]))</f>
        <v>93.300000000000011</v>
      </c>
      <c r="M321" s="15">
        <v>6.7</v>
      </c>
      <c r="Z321" s="15">
        <v>56.2</v>
      </c>
      <c r="AA321" s="15">
        <v>8</v>
      </c>
      <c r="AB321" s="15">
        <v>22.4</v>
      </c>
      <c r="AC321" s="15">
        <v>4.2</v>
      </c>
      <c r="AD321" s="15">
        <v>0.51</v>
      </c>
      <c r="AE321" s="15">
        <v>0.97</v>
      </c>
      <c r="AF321" s="15">
        <f>(33.5*Table2[[#This Row],[C%]]+142.3*Table2[[#This Row],[H%]]-15.4*Table2[[#This Row],[O%]]-14.5*Table2[[#This Row],[N%]])/100</f>
        <v>26.152400000000004</v>
      </c>
      <c r="AG321" s="15">
        <v>1.2999999999999999E-3</v>
      </c>
      <c r="AH321" s="15"/>
      <c r="AI321" s="15"/>
      <c r="AJ321" s="15">
        <v>10.714285714285714</v>
      </c>
      <c r="AM321" s="13"/>
      <c r="AO321" s="15"/>
      <c r="AP321" s="15" t="e">
        <f>LN(25/Table2[[#This Row],[Temperature (C)]]/(1-SQRT((Table2[[#This Row],[Temperature (C)]]-5)/Table2[[#This Row],[Temperature (C)]])))/Table2[[#This Row],[b]]</f>
        <v>#DIV/0!</v>
      </c>
      <c r="AQ321" s="15">
        <f>IF(Table2[[#This Row],[b]]&lt;&gt;"",Table2[[#This Row],[T-5]], 0)</f>
        <v>0</v>
      </c>
      <c r="AR321">
        <v>100</v>
      </c>
      <c r="AT321" t="s">
        <v>503</v>
      </c>
      <c r="AU321">
        <v>350</v>
      </c>
      <c r="AV321" s="15">
        <v>4.5</v>
      </c>
      <c r="AW321" s="15">
        <v>47.9</v>
      </c>
      <c r="AX321" s="15">
        <f>100-Table2[[#This Row],[Solids wt%]]-Table2[[#This Row],[Biocrude wt%]]-Table2[[#This Row],[Gas wt%]]</f>
        <v>47.6</v>
      </c>
      <c r="AY321" s="15"/>
      <c r="AZ321" s="15"/>
      <c r="BA321" s="15"/>
      <c r="BB321" s="15" t="str">
        <f>IF(OR(Table2[[#This Row],[Gas wt%]]&lt;&gt;"",Table2[[#This Row],[Loss]]&lt;&gt;""),Table2[[#This Row],[Gas wt%]]+Table2[[#This Row],[Loss]],"")</f>
        <v/>
      </c>
      <c r="BC321" s="15"/>
      <c r="BD321" s="15"/>
      <c r="BE321" s="15"/>
      <c r="BF321" s="15"/>
      <c r="BG321" s="15"/>
      <c r="BH321" s="15"/>
      <c r="BI321" s="15">
        <v>76.599999999999994</v>
      </c>
      <c r="BJ321" s="15">
        <v>10.4</v>
      </c>
      <c r="BK321" s="15">
        <v>9.5</v>
      </c>
      <c r="BL321" s="15">
        <v>3.1</v>
      </c>
      <c r="BM321" s="15">
        <v>0.26</v>
      </c>
      <c r="BN321" s="15">
        <v>38</v>
      </c>
      <c r="BO321" s="15">
        <v>68.599999999999994</v>
      </c>
      <c r="BP321" s="15"/>
      <c r="BQ321" s="15">
        <f>Table2[[#This Row],[H% B]]/Table2[[#This Row],[C% B]]*100</f>
        <v>13.577023498694519</v>
      </c>
      <c r="BR321" s="15"/>
      <c r="BS321" s="15"/>
      <c r="BT321" s="15"/>
      <c r="BU321" s="15"/>
      <c r="BV321" s="15"/>
      <c r="BW321" s="15"/>
      <c r="BX321" s="15"/>
      <c r="BY321" s="15"/>
      <c r="BZ321" s="15"/>
      <c r="CA321" s="15"/>
      <c r="CB321" s="15"/>
      <c r="CC321" s="15"/>
      <c r="CD321" s="15"/>
      <c r="CE321" s="15"/>
      <c r="CF321" s="15">
        <v>42.6</v>
      </c>
      <c r="CG321" s="15">
        <v>4.3</v>
      </c>
      <c r="CH321" s="15">
        <v>46.9</v>
      </c>
      <c r="CI321" s="15">
        <v>2.5</v>
      </c>
      <c r="CJ321" s="15">
        <v>0.25</v>
      </c>
      <c r="CK321" s="15"/>
      <c r="CL321" s="15"/>
      <c r="CM321" s="15"/>
      <c r="CN321" s="15"/>
      <c r="CO321" s="15"/>
      <c r="CP321" s="15"/>
      <c r="CQ321" s="15"/>
      <c r="CR321" s="15"/>
      <c r="CS321" s="15"/>
      <c r="CT321" s="15"/>
      <c r="CU321" s="15"/>
      <c r="CV321" s="15"/>
      <c r="CW321" s="15"/>
      <c r="CX321" s="15"/>
      <c r="CY321" s="15"/>
      <c r="CZ321" s="15"/>
      <c r="DA321" s="15"/>
      <c r="DB321" s="15">
        <v>0</v>
      </c>
    </row>
    <row r="322" spans="1:106" x14ac:dyDescent="0.25">
      <c r="A322" t="s">
        <v>375</v>
      </c>
      <c r="B322" t="s">
        <v>204</v>
      </c>
      <c r="C322">
        <v>2019</v>
      </c>
      <c r="D322" s="16" t="s">
        <v>374</v>
      </c>
      <c r="E322">
        <v>0</v>
      </c>
      <c r="F322" s="15">
        <v>42.5</v>
      </c>
      <c r="G322" s="15"/>
      <c r="H322" s="15"/>
      <c r="I322" s="15">
        <v>43.3</v>
      </c>
      <c r="J322" s="15">
        <v>9.4</v>
      </c>
      <c r="K322" s="15"/>
      <c r="L322" s="15">
        <f>IF(Table2[[#This Row],[Lipids wt%]]+Table2[[#This Row],[Protein wt%]]+Table2[[#This Row],[Carbs wt%]] =0,"",SUM(Table2[[#This Row],[Lipids wt%]],Table2[[#This Row],[Protein wt%]],Table2[[#This Row],[Carbs wt%]]))</f>
        <v>95.199999999999989</v>
      </c>
      <c r="M322" s="15">
        <v>4.8</v>
      </c>
      <c r="Z322" s="15">
        <v>51</v>
      </c>
      <c r="AA322" s="15">
        <v>7.2</v>
      </c>
      <c r="AB322" s="15">
        <v>26.5</v>
      </c>
      <c r="AC322" s="15">
        <v>9.1</v>
      </c>
      <c r="AD322" s="15">
        <v>0.53</v>
      </c>
      <c r="AE322" s="15">
        <v>1.03</v>
      </c>
      <c r="AF322" s="15">
        <f>(33.5*Table2[[#This Row],[C%]]+142.3*Table2[[#This Row],[H%]]-15.4*Table2[[#This Row],[O%]]-14.5*Table2[[#This Row],[N%]])/100</f>
        <v>21.930100000000007</v>
      </c>
      <c r="AG322" s="15">
        <v>1.2999999999999999E-3</v>
      </c>
      <c r="AH322" s="15"/>
      <c r="AI322" s="15"/>
      <c r="AJ322" s="15">
        <v>2.912621359223301</v>
      </c>
      <c r="AM322" s="13"/>
      <c r="AO322" s="15"/>
      <c r="AP322" s="15" t="e">
        <f>LN(25/Table2[[#This Row],[Temperature (C)]]/(1-SQRT((Table2[[#This Row],[Temperature (C)]]-5)/Table2[[#This Row],[Temperature (C)]])))/Table2[[#This Row],[b]]</f>
        <v>#DIV/0!</v>
      </c>
      <c r="AQ322" s="15">
        <f>IF(Table2[[#This Row],[b]]&lt;&gt;"",Table2[[#This Row],[T-5]], 0)</f>
        <v>0</v>
      </c>
      <c r="AR322">
        <v>0</v>
      </c>
      <c r="AT322" t="s">
        <v>503</v>
      </c>
      <c r="AU322">
        <v>200</v>
      </c>
      <c r="AV322" s="15">
        <v>95.6</v>
      </c>
      <c r="AW322" s="15">
        <v>0.8</v>
      </c>
      <c r="AX322" s="15">
        <f>100-Table2[[#This Row],[Solids wt%]]-Table2[[#This Row],[Biocrude wt%]]-Table2[[#This Row],[Gas wt%]]</f>
        <v>3.300000000000006</v>
      </c>
      <c r="AY322" s="15">
        <v>0.3</v>
      </c>
      <c r="AZ322" s="15"/>
      <c r="BA322" s="15"/>
      <c r="BB322" s="15">
        <f>IF(OR(Table2[[#This Row],[Gas wt%]]&lt;&gt;"",Table2[[#This Row],[Loss]]&lt;&gt;""),Table2[[#This Row],[Gas wt%]]+Table2[[#This Row],[Loss]],"")</f>
        <v>0.3</v>
      </c>
      <c r="BC322" s="15"/>
      <c r="BD322" s="15"/>
      <c r="BE322" s="15"/>
      <c r="BF322" s="15"/>
      <c r="BG322" s="15"/>
      <c r="BH322" s="15"/>
      <c r="BI322" s="15">
        <v>62.4</v>
      </c>
      <c r="BJ322" s="15">
        <v>8.4</v>
      </c>
      <c r="BK322" s="15">
        <v>29.2</v>
      </c>
      <c r="BL322" s="15"/>
      <c r="BM322" s="15"/>
      <c r="BN322" s="15">
        <f>(33.5*Table2[[#This Row],[C% B]]+142.3*Table2[[#This Row],[H% B]]-15.4*Table2[[#This Row],[O% B]]-14.5*Table2[[#This Row],[N% B]])/100</f>
        <v>28.360400000000006</v>
      </c>
      <c r="BO322" s="15"/>
      <c r="BP322" s="15"/>
      <c r="BQ322" s="15">
        <f>Table2[[#This Row],[H% B]]/Table2[[#This Row],[C% B]]*100</f>
        <v>13.461538461538463</v>
      </c>
      <c r="BR322" s="15"/>
      <c r="BS322" s="15"/>
      <c r="BT322" s="15"/>
      <c r="BU322" s="15"/>
      <c r="BV322" s="15"/>
      <c r="BW322" s="15"/>
      <c r="BX322" s="15"/>
      <c r="BY322" s="15"/>
      <c r="BZ322" s="15"/>
      <c r="CA322" s="15"/>
      <c r="CB322" s="15"/>
      <c r="CC322" s="15"/>
      <c r="CD322" s="15"/>
      <c r="CE322" s="15"/>
      <c r="CF322" s="15">
        <v>47.1</v>
      </c>
      <c r="CG322" s="15">
        <v>6.7</v>
      </c>
      <c r="CH322" s="15">
        <v>36.700000000000003</v>
      </c>
      <c r="CI322" s="15">
        <v>8.8000000000000007</v>
      </c>
      <c r="CJ322" s="15">
        <v>0.56000000000000005</v>
      </c>
      <c r="CK322" s="15"/>
      <c r="CL322" s="15"/>
      <c r="CM322" s="15"/>
      <c r="CN322" s="15"/>
      <c r="CO322" s="15"/>
      <c r="CP322" s="15"/>
      <c r="CQ322" s="15"/>
      <c r="CR322" s="15"/>
      <c r="CS322" s="15"/>
      <c r="CT322" s="15"/>
      <c r="CU322" s="15"/>
      <c r="CV322" s="15"/>
      <c r="CW322" s="15"/>
      <c r="CX322" s="15"/>
      <c r="CY322" s="15"/>
      <c r="CZ322" s="15"/>
      <c r="DA322" s="15"/>
      <c r="DB322" s="15">
        <v>0</v>
      </c>
    </row>
    <row r="323" spans="1:106" x14ac:dyDescent="0.25">
      <c r="A323" t="s">
        <v>375</v>
      </c>
      <c r="B323" t="s">
        <v>204</v>
      </c>
      <c r="C323">
        <v>2019</v>
      </c>
      <c r="D323" s="16" t="s">
        <v>374</v>
      </c>
      <c r="E323">
        <v>0</v>
      </c>
      <c r="F323" s="15">
        <v>42.5</v>
      </c>
      <c r="G323" s="15"/>
      <c r="H323" s="15"/>
      <c r="I323" s="15">
        <v>43.3</v>
      </c>
      <c r="J323" s="15">
        <v>9.4</v>
      </c>
      <c r="K323" s="15"/>
      <c r="L323" s="15">
        <f>IF(Table2[[#This Row],[Lipids wt%]]+Table2[[#This Row],[Protein wt%]]+Table2[[#This Row],[Carbs wt%]] =0,"",SUM(Table2[[#This Row],[Lipids wt%]],Table2[[#This Row],[Protein wt%]],Table2[[#This Row],[Carbs wt%]]))</f>
        <v>95.199999999999989</v>
      </c>
      <c r="M323" s="15">
        <v>4.8</v>
      </c>
      <c r="Z323" s="15">
        <v>51</v>
      </c>
      <c r="AA323" s="15">
        <v>7.2</v>
      </c>
      <c r="AB323" s="15">
        <v>26.5</v>
      </c>
      <c r="AC323" s="15">
        <v>9.1</v>
      </c>
      <c r="AD323" s="15">
        <v>0.53</v>
      </c>
      <c r="AE323" s="15">
        <v>1.03</v>
      </c>
      <c r="AF323" s="15">
        <f>(33.5*Table2[[#This Row],[C%]]+142.3*Table2[[#This Row],[H%]]-15.4*Table2[[#This Row],[O%]]-14.5*Table2[[#This Row],[N%]])/100</f>
        <v>21.930100000000007</v>
      </c>
      <c r="AG323" s="15">
        <v>1.2999999999999999E-3</v>
      </c>
      <c r="AH323" s="15"/>
      <c r="AI323" s="15"/>
      <c r="AJ323" s="15">
        <v>2.912621359223301</v>
      </c>
      <c r="AM323" s="13"/>
      <c r="AO323" s="15"/>
      <c r="AP323" s="15" t="e">
        <f>LN(25/Table2[[#This Row],[Temperature (C)]]/(1-SQRT((Table2[[#This Row],[Temperature (C)]]-5)/Table2[[#This Row],[Temperature (C)]])))/Table2[[#This Row],[b]]</f>
        <v>#DIV/0!</v>
      </c>
      <c r="AQ323" s="15">
        <f>IF(Table2[[#This Row],[b]]&lt;&gt;"",Table2[[#This Row],[T-5]], 0)</f>
        <v>0</v>
      </c>
      <c r="AR323">
        <v>3.2</v>
      </c>
      <c r="AT323" t="s">
        <v>503</v>
      </c>
      <c r="AU323">
        <v>200</v>
      </c>
      <c r="AV323" s="15">
        <v>56.8</v>
      </c>
      <c r="AW323" s="15">
        <v>4.3</v>
      </c>
      <c r="AX323" s="15">
        <f>100-Table2[[#This Row],[Solids wt%]]-Table2[[#This Row],[Biocrude wt%]]-Table2[[#This Row],[Gas wt%]]</f>
        <v>37.700000000000003</v>
      </c>
      <c r="AY323" s="15">
        <v>1.2</v>
      </c>
      <c r="AZ323" s="15"/>
      <c r="BA323" s="15"/>
      <c r="BB323" s="15">
        <f>IF(OR(Table2[[#This Row],[Gas wt%]]&lt;&gt;"",Table2[[#This Row],[Loss]]&lt;&gt;""),Table2[[#This Row],[Gas wt%]]+Table2[[#This Row],[Loss]],"")</f>
        <v>1.2</v>
      </c>
      <c r="BC323" s="15"/>
      <c r="BD323" s="15"/>
      <c r="BE323" s="15"/>
      <c r="BF323" s="15"/>
      <c r="BG323" s="15"/>
      <c r="BH323" s="15"/>
      <c r="BI323" s="15">
        <v>68.599999999999994</v>
      </c>
      <c r="BJ323" s="15">
        <v>9</v>
      </c>
      <c r="BK323" s="15">
        <v>20.7</v>
      </c>
      <c r="BL323" s="15">
        <v>1.7</v>
      </c>
      <c r="BM323" s="15"/>
      <c r="BN323" s="15">
        <v>32.299999999999997</v>
      </c>
      <c r="BO323" s="15">
        <v>6</v>
      </c>
      <c r="BP323" s="15"/>
      <c r="BQ323" s="15">
        <f>Table2[[#This Row],[H% B]]/Table2[[#This Row],[C% B]]*100</f>
        <v>13.119533527696795</v>
      </c>
      <c r="BR323" s="15"/>
      <c r="BS323" s="15"/>
      <c r="BT323" s="15"/>
      <c r="BU323" s="15"/>
      <c r="BV323" s="15"/>
      <c r="BW323" s="15"/>
      <c r="BX323" s="15"/>
      <c r="BY323" s="15"/>
      <c r="BZ323" s="15"/>
      <c r="CA323" s="15"/>
      <c r="CB323" s="15"/>
      <c r="CC323" s="15"/>
      <c r="CD323" s="15"/>
      <c r="CE323" s="15"/>
      <c r="CF323" s="15">
        <v>53</v>
      </c>
      <c r="CG323" s="15">
        <v>7.4</v>
      </c>
      <c r="CH323" s="15">
        <v>29.2</v>
      </c>
      <c r="CI323" s="15">
        <v>9.6999999999999993</v>
      </c>
      <c r="CJ323" s="15">
        <v>0.57999999999999996</v>
      </c>
      <c r="CK323" s="15"/>
      <c r="CL323" s="15"/>
      <c r="CM323" s="15"/>
      <c r="CN323" s="15"/>
      <c r="CO323" s="15"/>
      <c r="CP323" s="15"/>
      <c r="CQ323" s="15"/>
      <c r="CR323" s="15"/>
      <c r="CS323" s="15"/>
      <c r="CT323" s="15"/>
      <c r="CU323" s="15"/>
      <c r="CV323" s="15"/>
      <c r="CW323" s="15"/>
      <c r="CX323" s="15"/>
      <c r="CY323" s="15"/>
      <c r="CZ323" s="15"/>
      <c r="DA323" s="15"/>
      <c r="DB323" s="15">
        <v>0</v>
      </c>
    </row>
    <row r="324" spans="1:106" x14ac:dyDescent="0.25">
      <c r="A324" t="s">
        <v>375</v>
      </c>
      <c r="B324" t="s">
        <v>204</v>
      </c>
      <c r="C324">
        <v>2019</v>
      </c>
      <c r="D324" s="16" t="s">
        <v>374</v>
      </c>
      <c r="E324">
        <v>0</v>
      </c>
      <c r="F324" s="15">
        <v>42.5</v>
      </c>
      <c r="G324" s="15"/>
      <c r="H324" s="15"/>
      <c r="I324" s="15">
        <v>43.3</v>
      </c>
      <c r="J324" s="15">
        <v>9.4</v>
      </c>
      <c r="K324" s="15"/>
      <c r="L324" s="15">
        <f>IF(Table2[[#This Row],[Lipids wt%]]+Table2[[#This Row],[Protein wt%]]+Table2[[#This Row],[Carbs wt%]] =0,"",SUM(Table2[[#This Row],[Lipids wt%]],Table2[[#This Row],[Protein wt%]],Table2[[#This Row],[Carbs wt%]]))</f>
        <v>95.199999999999989</v>
      </c>
      <c r="M324" s="15">
        <v>4.8</v>
      </c>
      <c r="Z324" s="15">
        <v>51</v>
      </c>
      <c r="AA324" s="15">
        <v>7.2</v>
      </c>
      <c r="AB324" s="15">
        <v>26.5</v>
      </c>
      <c r="AC324" s="15">
        <v>9.1</v>
      </c>
      <c r="AD324" s="15">
        <v>0.53</v>
      </c>
      <c r="AE324" s="15">
        <v>1.03</v>
      </c>
      <c r="AF324" s="15">
        <f>(33.5*Table2[[#This Row],[C%]]+142.3*Table2[[#This Row],[H%]]-15.4*Table2[[#This Row],[O%]]-14.5*Table2[[#This Row],[N%]])/100</f>
        <v>21.930100000000007</v>
      </c>
      <c r="AG324" s="15">
        <v>1.2999999999999999E-3</v>
      </c>
      <c r="AH324" s="15"/>
      <c r="AI324" s="15"/>
      <c r="AJ324" s="15">
        <v>2.912621359223301</v>
      </c>
      <c r="AM324" s="13"/>
      <c r="AO324" s="15"/>
      <c r="AP324" s="15" t="e">
        <f>LN(25/Table2[[#This Row],[Temperature (C)]]/(1-SQRT((Table2[[#This Row],[Temperature (C)]]-5)/Table2[[#This Row],[Temperature (C)]])))/Table2[[#This Row],[b]]</f>
        <v>#DIV/0!</v>
      </c>
      <c r="AQ324" s="15">
        <f>IF(Table2[[#This Row],[b]]&lt;&gt;"",Table2[[#This Row],[T-5]], 0)</f>
        <v>0</v>
      </c>
      <c r="AR324">
        <v>31.6</v>
      </c>
      <c r="AT324" t="s">
        <v>503</v>
      </c>
      <c r="AU324">
        <v>200</v>
      </c>
      <c r="AV324" s="15">
        <v>32.700000000000003</v>
      </c>
      <c r="AW324" s="15">
        <v>5.6</v>
      </c>
      <c r="AX324" s="15">
        <f>100-Table2[[#This Row],[Solids wt%]]-Table2[[#This Row],[Biocrude wt%]]-Table2[[#This Row],[Gas wt%]]</f>
        <v>60.099999999999994</v>
      </c>
      <c r="AY324" s="15">
        <v>1.6</v>
      </c>
      <c r="AZ324" s="15"/>
      <c r="BA324" s="15"/>
      <c r="BB324" s="15">
        <f>IF(OR(Table2[[#This Row],[Gas wt%]]&lt;&gt;"",Table2[[#This Row],[Loss]]&lt;&gt;""),Table2[[#This Row],[Gas wt%]]+Table2[[#This Row],[Loss]],"")</f>
        <v>1.6</v>
      </c>
      <c r="BC324" s="15"/>
      <c r="BD324" s="15"/>
      <c r="BE324" s="15"/>
      <c r="BF324" s="15"/>
      <c r="BG324" s="15"/>
      <c r="BH324" s="15"/>
      <c r="BI324" s="15">
        <v>66.099999999999994</v>
      </c>
      <c r="BJ324" s="15">
        <v>8.8000000000000007</v>
      </c>
      <c r="BK324" s="15">
        <v>21.8</v>
      </c>
      <c r="BL324" s="15">
        <v>3.2</v>
      </c>
      <c r="BM324" s="15"/>
      <c r="BN324" s="15">
        <v>31.2</v>
      </c>
      <c r="BO324" s="15">
        <v>7.4</v>
      </c>
      <c r="BP324" s="15"/>
      <c r="BQ324" s="15">
        <f>Table2[[#This Row],[H% B]]/Table2[[#This Row],[C% B]]*100</f>
        <v>13.313161875945539</v>
      </c>
      <c r="BR324" s="15"/>
      <c r="BS324" s="15"/>
      <c r="BT324" s="15"/>
      <c r="BU324" s="15"/>
      <c r="BV324" s="15"/>
      <c r="BW324" s="15"/>
      <c r="BX324" s="15"/>
      <c r="BY324" s="15"/>
      <c r="BZ324" s="15"/>
      <c r="CA324" s="15"/>
      <c r="CB324" s="15"/>
      <c r="CC324" s="15"/>
      <c r="CD324" s="15"/>
      <c r="CE324" s="15"/>
      <c r="CF324" s="15">
        <v>59.7</v>
      </c>
      <c r="CG324" s="15">
        <v>7.7</v>
      </c>
      <c r="CH324" s="15">
        <v>22.7</v>
      </c>
      <c r="CI324" s="15">
        <v>9.1999999999999993</v>
      </c>
      <c r="CJ324" s="15">
        <v>0.63</v>
      </c>
      <c r="CK324" s="15"/>
      <c r="CL324" s="15"/>
      <c r="CM324" s="15"/>
      <c r="CN324" s="15"/>
      <c r="CO324" s="15"/>
      <c r="CP324" s="15"/>
      <c r="CQ324" s="15"/>
      <c r="CR324" s="15"/>
      <c r="CS324" s="15"/>
      <c r="CT324" s="15"/>
      <c r="CU324" s="15"/>
      <c r="CV324" s="15"/>
      <c r="CW324" s="15"/>
      <c r="CX324" s="15"/>
      <c r="CY324" s="15"/>
      <c r="CZ324" s="15"/>
      <c r="DA324" s="15"/>
      <c r="DB324" s="15">
        <v>0</v>
      </c>
    </row>
    <row r="325" spans="1:106" x14ac:dyDescent="0.25">
      <c r="A325" t="s">
        <v>375</v>
      </c>
      <c r="B325" t="s">
        <v>204</v>
      </c>
      <c r="C325">
        <v>2019</v>
      </c>
      <c r="D325" s="16" t="s">
        <v>374</v>
      </c>
      <c r="E325">
        <v>0</v>
      </c>
      <c r="F325" s="15">
        <v>42.5</v>
      </c>
      <c r="G325" s="15"/>
      <c r="H325" s="15"/>
      <c r="I325" s="15">
        <v>43.3</v>
      </c>
      <c r="J325" s="15">
        <v>9.4</v>
      </c>
      <c r="K325" s="15"/>
      <c r="L325" s="15">
        <f>IF(Table2[[#This Row],[Lipids wt%]]+Table2[[#This Row],[Protein wt%]]+Table2[[#This Row],[Carbs wt%]] =0,"",SUM(Table2[[#This Row],[Lipids wt%]],Table2[[#This Row],[Protein wt%]],Table2[[#This Row],[Carbs wt%]]))</f>
        <v>95.199999999999989</v>
      </c>
      <c r="M325" s="15">
        <v>4.8</v>
      </c>
      <c r="Z325" s="15">
        <v>51</v>
      </c>
      <c r="AA325" s="15">
        <v>7.2</v>
      </c>
      <c r="AB325" s="15">
        <v>26.5</v>
      </c>
      <c r="AC325" s="15">
        <v>9.1</v>
      </c>
      <c r="AD325" s="15">
        <v>0.53</v>
      </c>
      <c r="AE325" s="15">
        <v>1.03</v>
      </c>
      <c r="AF325" s="15">
        <f>(33.5*Table2[[#This Row],[C%]]+142.3*Table2[[#This Row],[H%]]-15.4*Table2[[#This Row],[O%]]-14.5*Table2[[#This Row],[N%]])/100</f>
        <v>21.930100000000007</v>
      </c>
      <c r="AG325" s="15">
        <v>1.2999999999999999E-3</v>
      </c>
      <c r="AH325" s="15"/>
      <c r="AI325" s="15"/>
      <c r="AJ325" s="15">
        <v>2.912621359223301</v>
      </c>
      <c r="AM325" s="13"/>
      <c r="AO325" s="15"/>
      <c r="AP325" s="15" t="e">
        <f>LN(25/Table2[[#This Row],[Temperature (C)]]/(1-SQRT((Table2[[#This Row],[Temperature (C)]]-5)/Table2[[#This Row],[Temperature (C)]])))/Table2[[#This Row],[b]]</f>
        <v>#DIV/0!</v>
      </c>
      <c r="AQ325" s="15">
        <f>IF(Table2[[#This Row],[b]]&lt;&gt;"",Table2[[#This Row],[T-5]], 0)</f>
        <v>0</v>
      </c>
      <c r="AR325">
        <v>3.2</v>
      </c>
      <c r="AT325" t="s">
        <v>503</v>
      </c>
      <c r="AU325">
        <v>300</v>
      </c>
      <c r="AV325" s="15">
        <v>6.9</v>
      </c>
      <c r="AW325" s="15">
        <v>28.8</v>
      </c>
      <c r="AX325" s="15">
        <f>100-Table2[[#This Row],[Solids wt%]]-Table2[[#This Row],[Biocrude wt%]]-Table2[[#This Row],[Gas wt%]]</f>
        <v>58.3</v>
      </c>
      <c r="AY325" s="15">
        <v>6</v>
      </c>
      <c r="AZ325" s="15"/>
      <c r="BA325" s="15"/>
      <c r="BB325" s="15">
        <f>IF(OR(Table2[[#This Row],[Gas wt%]]&lt;&gt;"",Table2[[#This Row],[Loss]]&lt;&gt;""),Table2[[#This Row],[Gas wt%]]+Table2[[#This Row],[Loss]],"")</f>
        <v>6</v>
      </c>
      <c r="BC325" s="15"/>
      <c r="BD325" s="15"/>
      <c r="BE325" s="15"/>
      <c r="BF325" s="15"/>
      <c r="BG325" s="15"/>
      <c r="BH325" s="15"/>
      <c r="BI325" s="15">
        <v>69.3</v>
      </c>
      <c r="BJ325" s="15">
        <v>8.6</v>
      </c>
      <c r="BK325" s="15">
        <v>15.5</v>
      </c>
      <c r="BL325" s="15">
        <v>5.8</v>
      </c>
      <c r="BM325" s="15">
        <v>0.77</v>
      </c>
      <c r="BN325" s="15">
        <v>32.6</v>
      </c>
      <c r="BO325" s="15">
        <v>40.299999999999997</v>
      </c>
      <c r="BP325" s="15"/>
      <c r="BQ325" s="15">
        <f>Table2[[#This Row],[H% B]]/Table2[[#This Row],[C% B]]*100</f>
        <v>12.40981240981241</v>
      </c>
      <c r="BR325" s="15"/>
      <c r="BS325" s="15"/>
      <c r="BT325" s="15"/>
      <c r="BU325" s="15"/>
      <c r="BV325" s="15"/>
      <c r="BW325" s="15"/>
      <c r="BX325" s="15"/>
      <c r="BY325" s="15"/>
      <c r="BZ325" s="15"/>
      <c r="CA325" s="15"/>
      <c r="CB325" s="15"/>
      <c r="CC325" s="15"/>
      <c r="CD325" s="15"/>
      <c r="CE325" s="15"/>
      <c r="CF325" s="15">
        <v>56.2</v>
      </c>
      <c r="CG325" s="15">
        <v>6.5</v>
      </c>
      <c r="CH325" s="15">
        <v>27.2</v>
      </c>
      <c r="CI325" s="15">
        <v>8.6</v>
      </c>
      <c r="CJ325" s="15"/>
      <c r="CK325" s="15"/>
      <c r="CL325" s="15"/>
      <c r="CM325" s="15"/>
      <c r="CN325" s="15"/>
      <c r="CO325" s="15"/>
      <c r="CP325" s="15"/>
      <c r="CQ325" s="15"/>
      <c r="CR325" s="15"/>
      <c r="CS325" s="15"/>
      <c r="CT325" s="15"/>
      <c r="CU325" s="15"/>
      <c r="CV325" s="15"/>
      <c r="CW325" s="15"/>
      <c r="CX325" s="15"/>
      <c r="CY325" s="15"/>
      <c r="CZ325" s="15"/>
      <c r="DA325" s="15"/>
      <c r="DB325" s="15">
        <v>0</v>
      </c>
    </row>
    <row r="326" spans="1:106" x14ac:dyDescent="0.25">
      <c r="A326" t="s">
        <v>375</v>
      </c>
      <c r="B326" t="s">
        <v>204</v>
      </c>
      <c r="C326">
        <v>2019</v>
      </c>
      <c r="D326" s="16" t="s">
        <v>374</v>
      </c>
      <c r="E326">
        <v>0</v>
      </c>
      <c r="F326" s="15">
        <v>42.5</v>
      </c>
      <c r="G326" s="15"/>
      <c r="H326" s="15"/>
      <c r="I326" s="15">
        <v>43.3</v>
      </c>
      <c r="J326" s="15">
        <v>9.4</v>
      </c>
      <c r="K326" s="15"/>
      <c r="L326" s="15">
        <f>IF(Table2[[#This Row],[Lipids wt%]]+Table2[[#This Row],[Protein wt%]]+Table2[[#This Row],[Carbs wt%]] =0,"",SUM(Table2[[#This Row],[Lipids wt%]],Table2[[#This Row],[Protein wt%]],Table2[[#This Row],[Carbs wt%]]))</f>
        <v>95.199999999999989</v>
      </c>
      <c r="M326" s="15">
        <v>4.8</v>
      </c>
      <c r="Z326" s="15">
        <v>51</v>
      </c>
      <c r="AA326" s="15">
        <v>7.2</v>
      </c>
      <c r="AB326" s="15">
        <v>26.5</v>
      </c>
      <c r="AC326" s="15">
        <v>9.1</v>
      </c>
      <c r="AD326" s="15">
        <v>0.53</v>
      </c>
      <c r="AE326" s="15">
        <v>1.03</v>
      </c>
      <c r="AF326" s="15">
        <f>(33.5*Table2[[#This Row],[C%]]+142.3*Table2[[#This Row],[H%]]-15.4*Table2[[#This Row],[O%]]-14.5*Table2[[#This Row],[N%]])/100</f>
        <v>21.930100000000007</v>
      </c>
      <c r="AG326" s="15">
        <v>1.2999999999999999E-3</v>
      </c>
      <c r="AH326" s="15"/>
      <c r="AI326" s="15"/>
      <c r="AJ326" s="15">
        <v>2.912621359223301</v>
      </c>
      <c r="AM326" s="13"/>
      <c r="AO326" s="15"/>
      <c r="AP326" s="15" t="e">
        <f>LN(25/Table2[[#This Row],[Temperature (C)]]/(1-SQRT((Table2[[#This Row],[Temperature (C)]]-5)/Table2[[#This Row],[Temperature (C)]])))/Table2[[#This Row],[b]]</f>
        <v>#DIV/0!</v>
      </c>
      <c r="AQ326" s="15">
        <f>IF(Table2[[#This Row],[b]]&lt;&gt;"",Table2[[#This Row],[T-5]], 0)</f>
        <v>0</v>
      </c>
      <c r="AR326">
        <v>31.6</v>
      </c>
      <c r="AT326" t="s">
        <v>503</v>
      </c>
      <c r="AU326">
        <v>300</v>
      </c>
      <c r="AV326" s="15">
        <v>1.9</v>
      </c>
      <c r="AW326" s="15">
        <v>34.700000000000003</v>
      </c>
      <c r="AX326" s="15">
        <f>100-Table2[[#This Row],[Solids wt%]]-Table2[[#This Row],[Biocrude wt%]]-Table2[[#This Row],[Gas wt%]]</f>
        <v>54.399999999999991</v>
      </c>
      <c r="AY326" s="15">
        <v>9</v>
      </c>
      <c r="AZ326" s="15"/>
      <c r="BA326" s="15"/>
      <c r="BB326" s="15">
        <f>IF(OR(Table2[[#This Row],[Gas wt%]]&lt;&gt;"",Table2[[#This Row],[Loss]]&lt;&gt;""),Table2[[#This Row],[Gas wt%]]+Table2[[#This Row],[Loss]],"")</f>
        <v>9</v>
      </c>
      <c r="BC326" s="15"/>
      <c r="BD326" s="15"/>
      <c r="BE326" s="15"/>
      <c r="BF326" s="15"/>
      <c r="BG326" s="15"/>
      <c r="BH326" s="15"/>
      <c r="BI326" s="15">
        <v>72.8</v>
      </c>
      <c r="BJ326" s="15">
        <v>8.6999999999999993</v>
      </c>
      <c r="BK326" s="15">
        <v>11.5</v>
      </c>
      <c r="BL326" s="15">
        <v>6.1</v>
      </c>
      <c r="BM326" s="15">
        <v>0.8</v>
      </c>
      <c r="BN326" s="15">
        <v>34.4</v>
      </c>
      <c r="BO326" s="15">
        <v>51.2</v>
      </c>
      <c r="BP326" s="15"/>
      <c r="BQ326" s="15">
        <f>Table2[[#This Row],[H% B]]/Table2[[#This Row],[C% B]]*100</f>
        <v>11.950549450549449</v>
      </c>
      <c r="BR326" s="15"/>
      <c r="BS326" s="15"/>
      <c r="BT326" s="15"/>
      <c r="BU326" s="15"/>
      <c r="BV326" s="15"/>
      <c r="BW326" s="15"/>
      <c r="BX326" s="15"/>
      <c r="BY326" s="15"/>
      <c r="BZ326" s="15"/>
      <c r="CA326" s="15"/>
      <c r="CB326" s="15"/>
      <c r="CC326" s="15"/>
      <c r="CD326" s="15"/>
      <c r="CE326" s="15"/>
      <c r="CF326" s="15">
        <v>39.799999999999997</v>
      </c>
      <c r="CG326" s="15">
        <v>4.3</v>
      </c>
      <c r="CH326" s="15">
        <v>52</v>
      </c>
      <c r="CI326" s="15">
        <v>3.9</v>
      </c>
      <c r="CJ326" s="15"/>
      <c r="CK326" s="15"/>
      <c r="CL326" s="15"/>
      <c r="CM326" s="15"/>
      <c r="CN326" s="15"/>
      <c r="CO326" s="15"/>
      <c r="CP326" s="15"/>
      <c r="CQ326" s="15"/>
      <c r="CR326" s="15"/>
      <c r="CS326" s="15"/>
      <c r="CT326" s="15"/>
      <c r="CU326" s="15"/>
      <c r="CV326" s="15"/>
      <c r="CW326" s="15"/>
      <c r="CX326" s="15"/>
      <c r="CY326" s="15"/>
      <c r="CZ326" s="15"/>
      <c r="DA326" s="15"/>
      <c r="DB326" s="15">
        <v>0</v>
      </c>
    </row>
    <row r="327" spans="1:106" x14ac:dyDescent="0.25">
      <c r="A327" t="s">
        <v>375</v>
      </c>
      <c r="B327" t="s">
        <v>204</v>
      </c>
      <c r="C327">
        <v>2019</v>
      </c>
      <c r="D327" s="16" t="s">
        <v>374</v>
      </c>
      <c r="E327">
        <v>0</v>
      </c>
      <c r="F327" s="15">
        <v>42.5</v>
      </c>
      <c r="G327" s="15"/>
      <c r="H327" s="15"/>
      <c r="I327" s="15">
        <v>43.3</v>
      </c>
      <c r="J327" s="15">
        <v>9.4</v>
      </c>
      <c r="K327" s="15"/>
      <c r="L327" s="15">
        <f>IF(Table2[[#This Row],[Lipids wt%]]+Table2[[#This Row],[Protein wt%]]+Table2[[#This Row],[Carbs wt%]] =0,"",SUM(Table2[[#This Row],[Lipids wt%]],Table2[[#This Row],[Protein wt%]],Table2[[#This Row],[Carbs wt%]]))</f>
        <v>95.199999999999989</v>
      </c>
      <c r="M327" s="15">
        <v>4.8</v>
      </c>
      <c r="Z327" s="15">
        <v>51</v>
      </c>
      <c r="AA327" s="15">
        <v>7.2</v>
      </c>
      <c r="AB327" s="15">
        <v>26.5</v>
      </c>
      <c r="AC327" s="15">
        <v>9.1</v>
      </c>
      <c r="AD327" s="15">
        <v>0.53</v>
      </c>
      <c r="AE327" s="15">
        <v>1.03</v>
      </c>
      <c r="AF327" s="15">
        <f>(33.5*Table2[[#This Row],[C%]]+142.3*Table2[[#This Row],[H%]]-15.4*Table2[[#This Row],[O%]]-14.5*Table2[[#This Row],[N%]])/100</f>
        <v>21.930100000000007</v>
      </c>
      <c r="AG327" s="15">
        <v>1.2999999999999999E-3</v>
      </c>
      <c r="AH327" s="15"/>
      <c r="AI327" s="15"/>
      <c r="AJ327" s="15">
        <v>10.714285714285714</v>
      </c>
      <c r="AM327" s="13"/>
      <c r="AO327" s="15"/>
      <c r="AP327" s="15" t="e">
        <f>LN(25/Table2[[#This Row],[Temperature (C)]]/(1-SQRT((Table2[[#This Row],[Temperature (C)]]-5)/Table2[[#This Row],[Temperature (C)]])))/Table2[[#This Row],[b]]</f>
        <v>#DIV/0!</v>
      </c>
      <c r="AQ327" s="15">
        <f>IF(Table2[[#This Row],[b]]&lt;&gt;"",Table2[[#This Row],[T-5]], 0)</f>
        <v>0</v>
      </c>
      <c r="AR327">
        <v>3.2</v>
      </c>
      <c r="AT327" t="s">
        <v>503</v>
      </c>
      <c r="AU327">
        <v>200</v>
      </c>
      <c r="AV327" s="15">
        <v>66.400000000000006</v>
      </c>
      <c r="AW327" s="15">
        <v>2.9</v>
      </c>
      <c r="AX327" s="15">
        <f>100-Table2[[#This Row],[Solids wt%]]-Table2[[#This Row],[Biocrude wt%]]-Table2[[#This Row],[Gas wt%]]</f>
        <v>30.399999999999995</v>
      </c>
      <c r="AY327" s="15">
        <v>0.3</v>
      </c>
      <c r="AZ327" s="15"/>
      <c r="BA327" s="15"/>
      <c r="BB327" s="15">
        <f>IF(OR(Table2[[#This Row],[Gas wt%]]&lt;&gt;"",Table2[[#This Row],[Loss]]&lt;&gt;""),Table2[[#This Row],[Gas wt%]]+Table2[[#This Row],[Loss]],"")</f>
        <v>0.3</v>
      </c>
      <c r="BC327" s="15"/>
      <c r="BD327" s="15"/>
      <c r="BE327" s="15"/>
      <c r="BF327" s="15"/>
      <c r="BG327" s="15"/>
      <c r="BH327" s="15"/>
      <c r="BI327" s="15">
        <v>64.2</v>
      </c>
      <c r="BJ327" s="15">
        <v>8.6999999999999993</v>
      </c>
      <c r="BK327" s="15">
        <v>25.5</v>
      </c>
      <c r="BL327" s="15">
        <v>1.6</v>
      </c>
      <c r="BM327" s="15"/>
      <c r="BN327" s="15">
        <v>30</v>
      </c>
      <c r="BO327" s="15">
        <v>3.7</v>
      </c>
      <c r="BP327" s="15"/>
      <c r="BQ327" s="15">
        <f>Table2[[#This Row],[H% B]]/Table2[[#This Row],[C% B]]*100</f>
        <v>13.551401869158877</v>
      </c>
      <c r="BR327" s="15"/>
      <c r="BS327" s="15"/>
      <c r="BT327" s="15"/>
      <c r="BU327" s="15"/>
      <c r="BV327" s="15"/>
      <c r="BW327" s="15"/>
      <c r="BX327" s="15"/>
      <c r="BY327" s="15"/>
      <c r="BZ327" s="15"/>
      <c r="CA327" s="15"/>
      <c r="CB327" s="15"/>
      <c r="CC327" s="15"/>
      <c r="CD327" s="15"/>
      <c r="CE327" s="15"/>
      <c r="CF327" s="15">
        <v>54.2</v>
      </c>
      <c r="CG327" s="15">
        <v>7.5</v>
      </c>
      <c r="CH327" s="15">
        <v>27.9</v>
      </c>
      <c r="CI327" s="15">
        <v>9.6999999999999993</v>
      </c>
      <c r="CJ327" s="15">
        <v>0.57999999999999996</v>
      </c>
      <c r="CK327" s="15"/>
      <c r="CL327" s="15"/>
      <c r="CM327" s="15"/>
      <c r="CN327" s="15"/>
      <c r="CO327" s="15"/>
      <c r="CP327" s="15"/>
      <c r="CQ327" s="15"/>
      <c r="CR327" s="15"/>
      <c r="CS327" s="15"/>
      <c r="CT327" s="15"/>
      <c r="CU327" s="15"/>
      <c r="CV327" s="15"/>
      <c r="CW327" s="15"/>
      <c r="CX327" s="15"/>
      <c r="CY327" s="15"/>
      <c r="CZ327" s="15"/>
      <c r="DA327" s="15"/>
      <c r="DB327" s="15">
        <v>0</v>
      </c>
    </row>
    <row r="328" spans="1:106" x14ac:dyDescent="0.25">
      <c r="A328" t="s">
        <v>375</v>
      </c>
      <c r="B328" t="s">
        <v>204</v>
      </c>
      <c r="C328">
        <v>2019</v>
      </c>
      <c r="D328" s="16" t="s">
        <v>374</v>
      </c>
      <c r="E328">
        <v>0</v>
      </c>
      <c r="F328" s="15">
        <v>42.5</v>
      </c>
      <c r="G328" s="15"/>
      <c r="H328" s="15"/>
      <c r="I328" s="15">
        <v>43.3</v>
      </c>
      <c r="J328" s="15">
        <v>9.4</v>
      </c>
      <c r="K328" s="15"/>
      <c r="L328" s="15">
        <f>IF(Table2[[#This Row],[Lipids wt%]]+Table2[[#This Row],[Protein wt%]]+Table2[[#This Row],[Carbs wt%]] =0,"",SUM(Table2[[#This Row],[Lipids wt%]],Table2[[#This Row],[Protein wt%]],Table2[[#This Row],[Carbs wt%]]))</f>
        <v>95.199999999999989</v>
      </c>
      <c r="M328" s="15">
        <v>4.8</v>
      </c>
      <c r="Z328" s="15">
        <v>51</v>
      </c>
      <c r="AA328" s="15">
        <v>7.2</v>
      </c>
      <c r="AB328" s="15">
        <v>26.5</v>
      </c>
      <c r="AC328" s="15">
        <v>9.1</v>
      </c>
      <c r="AD328" s="15">
        <v>0.53</v>
      </c>
      <c r="AE328" s="15">
        <v>1.03</v>
      </c>
      <c r="AF328" s="15">
        <f>(33.5*Table2[[#This Row],[C%]]+142.3*Table2[[#This Row],[H%]]-15.4*Table2[[#This Row],[O%]]-14.5*Table2[[#This Row],[N%]])/100</f>
        <v>21.930100000000007</v>
      </c>
      <c r="AG328" s="15">
        <v>1.2999999999999999E-3</v>
      </c>
      <c r="AH328" s="15"/>
      <c r="AI328" s="15"/>
      <c r="AJ328" s="15">
        <v>10.714285714285714</v>
      </c>
      <c r="AM328" s="13"/>
      <c r="AO328" s="15"/>
      <c r="AP328" s="15" t="e">
        <f>LN(25/Table2[[#This Row],[Temperature (C)]]/(1-SQRT((Table2[[#This Row],[Temperature (C)]]-5)/Table2[[#This Row],[Temperature (C)]])))/Table2[[#This Row],[b]]</f>
        <v>#DIV/0!</v>
      </c>
      <c r="AQ328" s="15">
        <f>IF(Table2[[#This Row],[b]]&lt;&gt;"",Table2[[#This Row],[T-5]], 0)</f>
        <v>0</v>
      </c>
      <c r="AR328">
        <v>31.6</v>
      </c>
      <c r="AT328" t="s">
        <v>503</v>
      </c>
      <c r="AU328">
        <v>200</v>
      </c>
      <c r="AV328" s="15">
        <v>42.6</v>
      </c>
      <c r="AW328" s="15">
        <v>4.4000000000000004</v>
      </c>
      <c r="AX328" s="15">
        <f>100-Table2[[#This Row],[Solids wt%]]-Table2[[#This Row],[Biocrude wt%]]-Table2[[#This Row],[Gas wt%]]</f>
        <v>51.7</v>
      </c>
      <c r="AY328" s="15">
        <v>1.3</v>
      </c>
      <c r="AZ328" s="15"/>
      <c r="BA328" s="15"/>
      <c r="BB328" s="15">
        <f>IF(OR(Table2[[#This Row],[Gas wt%]]&lt;&gt;"",Table2[[#This Row],[Loss]]&lt;&gt;""),Table2[[#This Row],[Gas wt%]]+Table2[[#This Row],[Loss]],"")</f>
        <v>1.3</v>
      </c>
      <c r="BC328" s="15"/>
      <c r="BD328" s="15"/>
      <c r="BE328" s="15"/>
      <c r="BF328" s="15"/>
      <c r="BG328" s="15"/>
      <c r="BH328" s="15"/>
      <c r="BI328" s="15">
        <v>65.599999999999994</v>
      </c>
      <c r="BJ328" s="15">
        <v>8.6999999999999993</v>
      </c>
      <c r="BK328" s="15">
        <v>20.399999999999999</v>
      </c>
      <c r="BL328" s="15">
        <v>4.7</v>
      </c>
      <c r="BM328" s="15">
        <v>0.69</v>
      </c>
      <c r="BN328" s="15">
        <v>30.9</v>
      </c>
      <c r="BO328" s="15">
        <v>5.9</v>
      </c>
      <c r="BP328" s="15"/>
      <c r="BQ328" s="15">
        <f>Table2[[#This Row],[H% B]]/Table2[[#This Row],[C% B]]*100</f>
        <v>13.262195121951221</v>
      </c>
      <c r="BR328" s="15"/>
      <c r="BS328" s="15"/>
      <c r="BT328" s="15"/>
      <c r="BU328" s="15"/>
      <c r="BV328" s="15"/>
      <c r="BW328" s="15"/>
      <c r="BX328" s="15"/>
      <c r="BY328" s="15"/>
      <c r="BZ328" s="15"/>
      <c r="CA328" s="15"/>
      <c r="CB328" s="15"/>
      <c r="CC328" s="15"/>
      <c r="CD328" s="15"/>
      <c r="CE328" s="15"/>
      <c r="CF328" s="15">
        <v>60.5</v>
      </c>
      <c r="CG328" s="15">
        <v>7.7</v>
      </c>
      <c r="CH328" s="15">
        <v>22.1</v>
      </c>
      <c r="CI328" s="15">
        <v>8.9</v>
      </c>
      <c r="CJ328" s="15">
        <v>0.59</v>
      </c>
      <c r="CK328" s="15"/>
      <c r="CL328" s="15"/>
      <c r="CM328" s="15"/>
      <c r="CN328" s="15"/>
      <c r="CO328" s="15"/>
      <c r="CP328" s="15"/>
      <c r="CQ328" s="15"/>
      <c r="CR328" s="15"/>
      <c r="CS328" s="15"/>
      <c r="CT328" s="15"/>
      <c r="CU328" s="15"/>
      <c r="CV328" s="15"/>
      <c r="CW328" s="15"/>
      <c r="CX328" s="15"/>
      <c r="CY328" s="15"/>
      <c r="CZ328" s="15"/>
      <c r="DA328" s="15"/>
      <c r="DB328" s="15">
        <v>0</v>
      </c>
    </row>
    <row r="329" spans="1:106" x14ac:dyDescent="0.25">
      <c r="A329" t="s">
        <v>375</v>
      </c>
      <c r="B329" t="s">
        <v>204</v>
      </c>
      <c r="C329">
        <v>2019</v>
      </c>
      <c r="D329" s="16" t="s">
        <v>374</v>
      </c>
      <c r="E329">
        <v>0</v>
      </c>
      <c r="F329" s="15">
        <v>42.5</v>
      </c>
      <c r="G329" s="15"/>
      <c r="H329" s="15"/>
      <c r="I329" s="15">
        <v>43.3</v>
      </c>
      <c r="J329" s="15">
        <v>9.4</v>
      </c>
      <c r="K329" s="15"/>
      <c r="L329" s="15">
        <f>IF(Table2[[#This Row],[Lipids wt%]]+Table2[[#This Row],[Protein wt%]]+Table2[[#This Row],[Carbs wt%]] =0,"",SUM(Table2[[#This Row],[Lipids wt%]],Table2[[#This Row],[Protein wt%]],Table2[[#This Row],[Carbs wt%]]))</f>
        <v>95.199999999999989</v>
      </c>
      <c r="M329" s="15">
        <v>4.8</v>
      </c>
      <c r="Z329" s="15">
        <v>51</v>
      </c>
      <c r="AA329" s="15">
        <v>7.2</v>
      </c>
      <c r="AB329" s="15">
        <v>26.5</v>
      </c>
      <c r="AC329" s="15">
        <v>9.1</v>
      </c>
      <c r="AD329" s="15">
        <v>0.53</v>
      </c>
      <c r="AE329" s="15">
        <v>1.03</v>
      </c>
      <c r="AF329" s="15">
        <f>(33.5*Table2[[#This Row],[C%]]+142.3*Table2[[#This Row],[H%]]-15.4*Table2[[#This Row],[O%]]-14.5*Table2[[#This Row],[N%]])/100</f>
        <v>21.930100000000007</v>
      </c>
      <c r="AG329" s="15">
        <v>1.2999999999999999E-3</v>
      </c>
      <c r="AH329" s="15"/>
      <c r="AI329" s="15"/>
      <c r="AJ329" s="15">
        <v>10.714285714285714</v>
      </c>
      <c r="AM329" s="13"/>
      <c r="AO329" s="15"/>
      <c r="AP329" s="15" t="e">
        <f>LN(25/Table2[[#This Row],[Temperature (C)]]/(1-SQRT((Table2[[#This Row],[Temperature (C)]]-5)/Table2[[#This Row],[Temperature (C)]])))/Table2[[#This Row],[b]]</f>
        <v>#DIV/0!</v>
      </c>
      <c r="AQ329" s="15">
        <f>IF(Table2[[#This Row],[b]]&lt;&gt;"",Table2[[#This Row],[T-5]], 0)</f>
        <v>0</v>
      </c>
      <c r="AR329">
        <v>0</v>
      </c>
      <c r="AT329" t="s">
        <v>503</v>
      </c>
      <c r="AU329">
        <v>300</v>
      </c>
      <c r="AV329" s="15">
        <v>89.5</v>
      </c>
      <c r="AW329" s="15">
        <v>0.8</v>
      </c>
      <c r="AX329" s="15">
        <f>100-Table2[[#This Row],[Solids wt%]]-Table2[[#This Row],[Biocrude wt%]]-Table2[[#This Row],[Gas wt%]]</f>
        <v>9.3999999999999986</v>
      </c>
      <c r="AY329" s="15">
        <v>0.3</v>
      </c>
      <c r="AZ329" s="15"/>
      <c r="BA329" s="15"/>
      <c r="BB329" s="15">
        <f>IF(OR(Table2[[#This Row],[Gas wt%]]&lt;&gt;"",Table2[[#This Row],[Loss]]&lt;&gt;""),Table2[[#This Row],[Gas wt%]]+Table2[[#This Row],[Loss]],"")</f>
        <v>0.3</v>
      </c>
      <c r="BC329" s="15"/>
      <c r="BD329" s="15"/>
      <c r="BE329" s="15"/>
      <c r="BF329" s="15"/>
      <c r="BG329" s="15"/>
      <c r="BH329" s="15"/>
      <c r="BI329" s="15">
        <v>62.4</v>
      </c>
      <c r="BJ329" s="15">
        <v>8.4</v>
      </c>
      <c r="BK329" s="15">
        <v>29.2</v>
      </c>
      <c r="BL329" s="15"/>
      <c r="BM329" s="15"/>
      <c r="BN329" s="15"/>
      <c r="BO329" s="15"/>
      <c r="BP329" s="15"/>
      <c r="BQ329" s="15">
        <f>Table2[[#This Row],[H% B]]/Table2[[#This Row],[C% B]]*100</f>
        <v>13.461538461538463</v>
      </c>
      <c r="BR329" s="15"/>
      <c r="BS329" s="15"/>
      <c r="BT329" s="15"/>
      <c r="BU329" s="15"/>
      <c r="BV329" s="15"/>
      <c r="BW329" s="15"/>
      <c r="BX329" s="15"/>
      <c r="BY329" s="15"/>
      <c r="BZ329" s="15"/>
      <c r="CA329" s="15"/>
      <c r="CB329" s="15"/>
      <c r="CC329" s="15"/>
      <c r="CD329" s="15"/>
      <c r="CE329" s="15"/>
      <c r="CF329" s="15">
        <v>51.4</v>
      </c>
      <c r="CG329" s="15">
        <v>7.3</v>
      </c>
      <c r="CH329" s="15">
        <v>30.5</v>
      </c>
      <c r="CI329" s="15">
        <v>9.6999999999999993</v>
      </c>
      <c r="CJ329" s="15">
        <v>0.55000000000000004</v>
      </c>
      <c r="CK329" s="15"/>
      <c r="CL329" s="15"/>
      <c r="CM329" s="15"/>
      <c r="CN329" s="15"/>
      <c r="CO329" s="15"/>
      <c r="CP329" s="15"/>
      <c r="CQ329" s="15"/>
      <c r="CR329" s="15"/>
      <c r="CS329" s="15"/>
      <c r="CT329" s="15"/>
      <c r="CU329" s="15"/>
      <c r="CV329" s="15"/>
      <c r="CW329" s="15"/>
      <c r="CX329" s="15"/>
      <c r="CY329" s="15"/>
      <c r="CZ329" s="15"/>
      <c r="DA329" s="15"/>
      <c r="DB329" s="15">
        <v>0</v>
      </c>
    </row>
    <row r="330" spans="1:106" x14ac:dyDescent="0.25">
      <c r="A330" t="s">
        <v>375</v>
      </c>
      <c r="B330" t="s">
        <v>204</v>
      </c>
      <c r="C330">
        <v>2019</v>
      </c>
      <c r="D330" s="16" t="s">
        <v>374</v>
      </c>
      <c r="E330">
        <v>0</v>
      </c>
      <c r="F330" s="15">
        <v>42.5</v>
      </c>
      <c r="G330" s="15"/>
      <c r="H330" s="15"/>
      <c r="I330" s="15">
        <v>43.3</v>
      </c>
      <c r="J330" s="15">
        <v>9.4</v>
      </c>
      <c r="K330" s="15"/>
      <c r="L330" s="15">
        <f>IF(Table2[[#This Row],[Lipids wt%]]+Table2[[#This Row],[Protein wt%]]+Table2[[#This Row],[Carbs wt%]] =0,"",SUM(Table2[[#This Row],[Lipids wt%]],Table2[[#This Row],[Protein wt%]],Table2[[#This Row],[Carbs wt%]]))</f>
        <v>95.199999999999989</v>
      </c>
      <c r="M330" s="15">
        <v>4.8</v>
      </c>
      <c r="Z330" s="15">
        <v>51</v>
      </c>
      <c r="AA330" s="15">
        <v>7.2</v>
      </c>
      <c r="AB330" s="15">
        <v>26.5</v>
      </c>
      <c r="AC330" s="15">
        <v>9.1</v>
      </c>
      <c r="AD330" s="15">
        <v>0.53</v>
      </c>
      <c r="AE330" s="15">
        <v>1.03</v>
      </c>
      <c r="AF330" s="15">
        <f>(33.5*Table2[[#This Row],[C%]]+142.3*Table2[[#This Row],[H%]]-15.4*Table2[[#This Row],[O%]]-14.5*Table2[[#This Row],[N%]])/100</f>
        <v>21.930100000000007</v>
      </c>
      <c r="AG330" s="15">
        <v>1.2999999999999999E-3</v>
      </c>
      <c r="AH330" s="15"/>
      <c r="AI330" s="15"/>
      <c r="AJ330" s="15">
        <v>10.714285714285714</v>
      </c>
      <c r="AM330" s="13"/>
      <c r="AO330" s="15"/>
      <c r="AP330" s="15" t="e">
        <f>LN(25/Table2[[#This Row],[Temperature (C)]]/(1-SQRT((Table2[[#This Row],[Temperature (C)]]-5)/Table2[[#This Row],[Temperature (C)]])))/Table2[[#This Row],[b]]</f>
        <v>#DIV/0!</v>
      </c>
      <c r="AQ330" s="15">
        <f>IF(Table2[[#This Row],[b]]&lt;&gt;"",Table2[[#This Row],[T-5]], 0)</f>
        <v>0</v>
      </c>
      <c r="AR330">
        <v>3.2</v>
      </c>
      <c r="AT330" t="s">
        <v>503</v>
      </c>
      <c r="AU330">
        <v>300</v>
      </c>
      <c r="AV330" s="15">
        <v>7.4</v>
      </c>
      <c r="AW330" s="15">
        <v>30.5</v>
      </c>
      <c r="AX330" s="15">
        <f>100-Table2[[#This Row],[Solids wt%]]-Table2[[#This Row],[Biocrude wt%]]-Table2[[#This Row],[Gas wt%]]</f>
        <v>62.099999999999994</v>
      </c>
      <c r="AY330" s="15"/>
      <c r="AZ330" s="15"/>
      <c r="BA330" s="15"/>
      <c r="BB330" s="15" t="str">
        <f>IF(OR(Table2[[#This Row],[Gas wt%]]&lt;&gt;"",Table2[[#This Row],[Loss]]&lt;&gt;""),Table2[[#This Row],[Gas wt%]]+Table2[[#This Row],[Loss]],"")</f>
        <v/>
      </c>
      <c r="BC330" s="15"/>
      <c r="BD330" s="15"/>
      <c r="BE330" s="15"/>
      <c r="BF330" s="15"/>
      <c r="BG330" s="15"/>
      <c r="BH330" s="15"/>
      <c r="BI330" s="15">
        <v>69.2</v>
      </c>
      <c r="BJ330" s="15">
        <v>8.6999999999999993</v>
      </c>
      <c r="BK330" s="15">
        <v>15.1</v>
      </c>
      <c r="BL330" s="15">
        <v>6.3</v>
      </c>
      <c r="BM330" s="15">
        <v>0.72</v>
      </c>
      <c r="BN330" s="15">
        <v>32.700000000000003</v>
      </c>
      <c r="BO330" s="15">
        <v>43</v>
      </c>
      <c r="BP330" s="15"/>
      <c r="BQ330" s="15">
        <f>Table2[[#This Row],[H% B]]/Table2[[#This Row],[C% B]]*100</f>
        <v>12.572254335260114</v>
      </c>
      <c r="BR330" s="15"/>
      <c r="BS330" s="15"/>
      <c r="BT330" s="15"/>
      <c r="BU330" s="15"/>
      <c r="BV330" s="15"/>
      <c r="BW330" s="15"/>
      <c r="BX330" s="15"/>
      <c r="BY330" s="15"/>
      <c r="BZ330" s="15"/>
      <c r="CA330" s="15"/>
      <c r="CB330" s="15"/>
      <c r="CC330" s="15"/>
      <c r="CD330" s="15"/>
      <c r="CE330" s="15"/>
      <c r="CF330" s="15">
        <v>56.7</v>
      </c>
      <c r="CG330" s="15">
        <v>6.5</v>
      </c>
      <c r="CH330" s="15">
        <v>25.8</v>
      </c>
      <c r="CI330" s="15">
        <v>9.1</v>
      </c>
      <c r="CJ330" s="15">
        <v>0.5</v>
      </c>
      <c r="CK330" s="15"/>
      <c r="CL330" s="15"/>
      <c r="CM330" s="15"/>
      <c r="CN330" s="15"/>
      <c r="CO330" s="15"/>
      <c r="CP330" s="15"/>
      <c r="CQ330" s="15"/>
      <c r="CR330" s="15"/>
      <c r="CS330" s="15"/>
      <c r="CT330" s="15"/>
      <c r="CU330" s="15"/>
      <c r="CV330" s="15"/>
      <c r="CW330" s="15"/>
      <c r="CX330" s="15"/>
      <c r="CY330" s="15"/>
      <c r="CZ330" s="15"/>
      <c r="DA330" s="15"/>
      <c r="DB330" s="15">
        <v>0</v>
      </c>
    </row>
    <row r="331" spans="1:106" x14ac:dyDescent="0.25">
      <c r="A331" t="s">
        <v>375</v>
      </c>
      <c r="B331" t="s">
        <v>204</v>
      </c>
      <c r="C331">
        <v>2019</v>
      </c>
      <c r="D331" s="16" t="s">
        <v>374</v>
      </c>
      <c r="E331">
        <v>0</v>
      </c>
      <c r="F331" s="15">
        <v>42.5</v>
      </c>
      <c r="G331" s="15"/>
      <c r="H331" s="15"/>
      <c r="I331" s="15">
        <v>43.3</v>
      </c>
      <c r="J331" s="15">
        <v>9.4</v>
      </c>
      <c r="K331" s="15"/>
      <c r="L331" s="15">
        <f>IF(Table2[[#This Row],[Lipids wt%]]+Table2[[#This Row],[Protein wt%]]+Table2[[#This Row],[Carbs wt%]] =0,"",SUM(Table2[[#This Row],[Lipids wt%]],Table2[[#This Row],[Protein wt%]],Table2[[#This Row],[Carbs wt%]]))</f>
        <v>95.199999999999989</v>
      </c>
      <c r="M331" s="15">
        <v>4.8</v>
      </c>
      <c r="Z331" s="15">
        <v>51</v>
      </c>
      <c r="AA331" s="15">
        <v>7.2</v>
      </c>
      <c r="AB331" s="15">
        <v>26.5</v>
      </c>
      <c r="AC331" s="15">
        <v>9.1</v>
      </c>
      <c r="AD331" s="15">
        <v>0.53</v>
      </c>
      <c r="AE331" s="15">
        <v>1.03</v>
      </c>
      <c r="AF331" s="15">
        <f>(33.5*Table2[[#This Row],[C%]]+142.3*Table2[[#This Row],[H%]]-15.4*Table2[[#This Row],[O%]]-14.5*Table2[[#This Row],[N%]])/100</f>
        <v>21.930100000000007</v>
      </c>
      <c r="AG331" s="15">
        <v>1.2999999999999999E-3</v>
      </c>
      <c r="AH331" s="15"/>
      <c r="AI331" s="15"/>
      <c r="AJ331" s="15">
        <v>10.714285714285714</v>
      </c>
      <c r="AM331" s="13"/>
      <c r="AO331" s="15"/>
      <c r="AP331" s="15" t="e">
        <f>LN(25/Table2[[#This Row],[Temperature (C)]]/(1-SQRT((Table2[[#This Row],[Temperature (C)]]-5)/Table2[[#This Row],[Temperature (C)]])))/Table2[[#This Row],[b]]</f>
        <v>#DIV/0!</v>
      </c>
      <c r="AQ331" s="15">
        <f>IF(Table2[[#This Row],[b]]&lt;&gt;"",Table2[[#This Row],[T-5]], 0)</f>
        <v>0</v>
      </c>
      <c r="AR331">
        <v>31.6</v>
      </c>
      <c r="AT331" t="s">
        <v>503</v>
      </c>
      <c r="AU331">
        <v>300</v>
      </c>
      <c r="AV331" s="15">
        <v>2.1</v>
      </c>
      <c r="AW331" s="15">
        <v>38.200000000000003</v>
      </c>
      <c r="AX331" s="15">
        <f>100-Table2[[#This Row],[Solids wt%]]-Table2[[#This Row],[Biocrude wt%]]-Table2[[#This Row],[Gas wt%]]</f>
        <v>59.7</v>
      </c>
      <c r="AY331" s="15"/>
      <c r="AZ331" s="15"/>
      <c r="BA331" s="15"/>
      <c r="BB331" s="15" t="str">
        <f>IF(OR(Table2[[#This Row],[Gas wt%]]&lt;&gt;"",Table2[[#This Row],[Loss]]&lt;&gt;""),Table2[[#This Row],[Gas wt%]]+Table2[[#This Row],[Loss]],"")</f>
        <v/>
      </c>
      <c r="BC331" s="15"/>
      <c r="BD331" s="15"/>
      <c r="BE331" s="15"/>
      <c r="BF331" s="15"/>
      <c r="BG331" s="15"/>
      <c r="BH331" s="15"/>
      <c r="BI331" s="15">
        <v>72.3</v>
      </c>
      <c r="BJ331" s="15">
        <v>8.6</v>
      </c>
      <c r="BK331" s="15">
        <v>12.1</v>
      </c>
      <c r="BL331" s="15">
        <v>6.3</v>
      </c>
      <c r="BM331" s="15">
        <v>0.61</v>
      </c>
      <c r="BN331" s="15">
        <v>34.1</v>
      </c>
      <c r="BO331" s="15">
        <v>55.9</v>
      </c>
      <c r="BP331" s="15"/>
      <c r="BQ331" s="15">
        <f>Table2[[#This Row],[H% B]]/Table2[[#This Row],[C% B]]*100</f>
        <v>11.89488243430152</v>
      </c>
      <c r="BR331" s="15"/>
      <c r="BS331" s="15"/>
      <c r="BT331" s="15"/>
      <c r="BU331" s="15"/>
      <c r="BV331" s="15"/>
      <c r="BW331" s="15"/>
      <c r="BX331" s="15"/>
      <c r="BY331" s="15"/>
      <c r="BZ331" s="15"/>
      <c r="CA331" s="15"/>
      <c r="CB331" s="15"/>
      <c r="CC331" s="15"/>
      <c r="CD331" s="15"/>
      <c r="CE331" s="15"/>
      <c r="CF331" s="15"/>
      <c r="CG331" s="15"/>
      <c r="CH331" s="15"/>
      <c r="CI331" s="15"/>
      <c r="CJ331" s="15"/>
      <c r="CK331" s="15"/>
      <c r="CL331" s="15"/>
      <c r="CM331" s="15"/>
      <c r="CN331" s="15"/>
      <c r="CO331" s="15"/>
      <c r="CP331" s="15"/>
      <c r="CQ331" s="15"/>
      <c r="CR331" s="15"/>
      <c r="CS331" s="15"/>
      <c r="CT331" s="15"/>
      <c r="CU331" s="15"/>
      <c r="CV331" s="15"/>
      <c r="CW331" s="15"/>
      <c r="CX331" s="15"/>
      <c r="CY331" s="15"/>
      <c r="CZ331" s="15"/>
      <c r="DA331" s="15"/>
      <c r="DB331" s="15">
        <v>0</v>
      </c>
    </row>
    <row r="332" spans="1:106" x14ac:dyDescent="0.25">
      <c r="A332" t="s">
        <v>375</v>
      </c>
      <c r="B332" t="s">
        <v>204</v>
      </c>
      <c r="C332">
        <v>2019</v>
      </c>
      <c r="D332" s="16" t="s">
        <v>376</v>
      </c>
      <c r="E332">
        <v>0</v>
      </c>
      <c r="F332" s="15">
        <v>61.961961961961954</v>
      </c>
      <c r="G332" s="15"/>
      <c r="H332" s="15"/>
      <c r="I332" s="15">
        <v>14.714714714714713</v>
      </c>
      <c r="J332" s="15">
        <v>19.919919919919916</v>
      </c>
      <c r="K332" s="15"/>
      <c r="L332" s="15">
        <f>IF(Table2[[#This Row],[Lipids wt%]]+Table2[[#This Row],[Protein wt%]]+Table2[[#This Row],[Carbs wt%]] =0,"",SUM(Table2[[#This Row],[Lipids wt%]],Table2[[#This Row],[Protein wt%]],Table2[[#This Row],[Carbs wt%]]))</f>
        <v>96.596596596596584</v>
      </c>
      <c r="M332" s="15">
        <v>3.4</v>
      </c>
      <c r="Z332" s="15">
        <v>49.9</v>
      </c>
      <c r="AA332" s="15">
        <v>7.5</v>
      </c>
      <c r="AB332" s="15">
        <v>34.6</v>
      </c>
      <c r="AC332" s="15">
        <v>3.1</v>
      </c>
      <c r="AD332" s="15">
        <v>0.22</v>
      </c>
      <c r="AE332" s="15">
        <v>1.1100000000000001</v>
      </c>
      <c r="AF332" s="15">
        <f>(33.5*Table2[[#This Row],[C%]]+142.3*Table2[[#This Row],[H%]]-15.4*Table2[[#This Row],[O%]]-14.5*Table2[[#This Row],[N%]])/100</f>
        <v>21.611099999999997</v>
      </c>
      <c r="AG332" s="15">
        <v>1.2999999999999999E-3</v>
      </c>
      <c r="AH332" s="15"/>
      <c r="AI332" s="15"/>
      <c r="AJ332" s="15">
        <v>2.912621359223301</v>
      </c>
      <c r="AM332" s="13"/>
      <c r="AO332" s="15"/>
      <c r="AP332" s="15" t="e">
        <f>LN(25/Table2[[#This Row],[Temperature (C)]]/(1-SQRT((Table2[[#This Row],[Temperature (C)]]-5)/Table2[[#This Row],[Temperature (C)]])))/Table2[[#This Row],[b]]</f>
        <v>#DIV/0!</v>
      </c>
      <c r="AQ332" s="15">
        <f>IF(Table2[[#This Row],[b]]&lt;&gt;"",Table2[[#This Row],[T-5]], 0)</f>
        <v>0</v>
      </c>
      <c r="AR332">
        <v>0</v>
      </c>
      <c r="AT332" t="s">
        <v>503</v>
      </c>
      <c r="AU332">
        <v>150</v>
      </c>
      <c r="AV332" s="15">
        <v>87.4</v>
      </c>
      <c r="AW332" s="15"/>
      <c r="AX332" s="15">
        <f>100-Table2[[#This Row],[Solids wt%]]-Table2[[#This Row],[Biocrude wt%]]-Table2[[#This Row],[Gas wt%]]</f>
        <v>12.599999999999994</v>
      </c>
      <c r="AY332" s="15"/>
      <c r="AZ332" s="15"/>
      <c r="BA332" s="15"/>
      <c r="BB332" s="15" t="str">
        <f>IF(OR(Table2[[#This Row],[Gas wt%]]&lt;&gt;"",Table2[[#This Row],[Loss]]&lt;&gt;""),Table2[[#This Row],[Gas wt%]]+Table2[[#This Row],[Loss]],"")</f>
        <v/>
      </c>
      <c r="BC332" s="15"/>
      <c r="BD332" s="15"/>
      <c r="BE332" s="15"/>
      <c r="BF332" s="15"/>
      <c r="BG332" s="15"/>
      <c r="BH332" s="15"/>
      <c r="BI332" s="15"/>
      <c r="BJ332" s="15"/>
      <c r="BK332" s="15"/>
      <c r="BL332" s="15"/>
      <c r="BM332" s="15"/>
      <c r="BN332" s="15"/>
      <c r="BO332" s="15"/>
      <c r="BP332" s="15"/>
      <c r="BQ332" s="15"/>
      <c r="BR332" s="15"/>
      <c r="BS332" s="15"/>
      <c r="BT332" s="15"/>
      <c r="BU332" s="15"/>
      <c r="BV332" s="15"/>
      <c r="BW332" s="15"/>
      <c r="BX332" s="15"/>
      <c r="BY332" s="15"/>
      <c r="BZ332" s="15"/>
      <c r="CA332" s="15"/>
      <c r="CB332" s="15"/>
      <c r="CC332" s="15"/>
      <c r="CD332" s="15"/>
      <c r="CE332" s="15"/>
      <c r="CF332" s="15">
        <v>49.5</v>
      </c>
      <c r="CG332" s="15">
        <v>7.6</v>
      </c>
      <c r="CH332" s="15">
        <v>38.6</v>
      </c>
      <c r="CI332" s="15">
        <v>3.1</v>
      </c>
      <c r="CJ332" s="15">
        <v>0.2</v>
      </c>
      <c r="CK332" s="15"/>
      <c r="CL332" s="15"/>
      <c r="CM332" s="15"/>
      <c r="CN332" s="15"/>
      <c r="CO332" s="15"/>
      <c r="CP332" s="15"/>
      <c r="CQ332" s="15"/>
      <c r="CR332" s="15"/>
      <c r="CS332" s="15"/>
      <c r="CT332" s="15"/>
      <c r="CU332" s="15"/>
      <c r="CV332" s="15"/>
      <c r="CW332" s="15"/>
      <c r="CX332" s="15"/>
      <c r="CY332" s="15"/>
      <c r="CZ332" s="15"/>
      <c r="DA332" s="15"/>
      <c r="DB332" s="15">
        <v>0</v>
      </c>
    </row>
    <row r="333" spans="1:106" x14ac:dyDescent="0.25">
      <c r="A333" t="s">
        <v>375</v>
      </c>
      <c r="B333" t="s">
        <v>204</v>
      </c>
      <c r="C333">
        <v>2019</v>
      </c>
      <c r="D333" s="16" t="s">
        <v>376</v>
      </c>
      <c r="E333">
        <v>0</v>
      </c>
      <c r="F333" s="15">
        <v>61.961961961961954</v>
      </c>
      <c r="G333" s="15"/>
      <c r="H333" s="15"/>
      <c r="I333" s="15">
        <v>14.714714714714713</v>
      </c>
      <c r="J333" s="15">
        <v>19.919919919919916</v>
      </c>
      <c r="K333" s="15"/>
      <c r="L333" s="15">
        <f>IF(Table2[[#This Row],[Lipids wt%]]+Table2[[#This Row],[Protein wt%]]+Table2[[#This Row],[Carbs wt%]] =0,"",SUM(Table2[[#This Row],[Lipids wt%]],Table2[[#This Row],[Protein wt%]],Table2[[#This Row],[Carbs wt%]]))</f>
        <v>96.596596596596584</v>
      </c>
      <c r="M333" s="15">
        <v>3.4</v>
      </c>
      <c r="Z333" s="15">
        <v>49.9</v>
      </c>
      <c r="AA333" s="15">
        <v>7.5</v>
      </c>
      <c r="AB333" s="15">
        <v>34.6</v>
      </c>
      <c r="AC333" s="15">
        <v>3.1</v>
      </c>
      <c r="AD333" s="15">
        <v>0.22</v>
      </c>
      <c r="AE333" s="15">
        <v>1.1100000000000001</v>
      </c>
      <c r="AF333" s="15">
        <f>(33.5*Table2[[#This Row],[C%]]+142.3*Table2[[#This Row],[H%]]-15.4*Table2[[#This Row],[O%]]-14.5*Table2[[#This Row],[N%]])/100</f>
        <v>21.611099999999997</v>
      </c>
      <c r="AG333" s="15">
        <v>1.2999999999999999E-3</v>
      </c>
      <c r="AH333" s="15"/>
      <c r="AI333" s="15"/>
      <c r="AJ333" s="15">
        <v>2.912621359223301</v>
      </c>
      <c r="AM333" s="13"/>
      <c r="AO333" s="15"/>
      <c r="AP333" s="15" t="e">
        <f>LN(25/Table2[[#This Row],[Temperature (C)]]/(1-SQRT((Table2[[#This Row],[Temperature (C)]]-5)/Table2[[#This Row],[Temperature (C)]])))/Table2[[#This Row],[b]]</f>
        <v>#DIV/0!</v>
      </c>
      <c r="AQ333" s="15">
        <f>IF(Table2[[#This Row],[b]]&lt;&gt;"",Table2[[#This Row],[T-5]], 0)</f>
        <v>0</v>
      </c>
      <c r="AR333">
        <v>1</v>
      </c>
      <c r="AT333" t="s">
        <v>503</v>
      </c>
      <c r="AU333">
        <v>150</v>
      </c>
      <c r="AV333" s="15">
        <v>86.2</v>
      </c>
      <c r="AW333" s="15">
        <v>1</v>
      </c>
      <c r="AX333" s="15">
        <f>100-Table2[[#This Row],[Solids wt%]]-Table2[[#This Row],[Biocrude wt%]]-Table2[[#This Row],[Gas wt%]]</f>
        <v>11.199999999999998</v>
      </c>
      <c r="AY333" s="15">
        <v>1.6</v>
      </c>
      <c r="AZ333" s="15"/>
      <c r="BA333" s="15"/>
      <c r="BB333" s="15">
        <f>IF(OR(Table2[[#This Row],[Gas wt%]]&lt;&gt;"",Table2[[#This Row],[Loss]]&lt;&gt;""),Table2[[#This Row],[Gas wt%]]+Table2[[#This Row],[Loss]],"")</f>
        <v>1.6</v>
      </c>
      <c r="BC333" s="15"/>
      <c r="BD333" s="15"/>
      <c r="BE333" s="15"/>
      <c r="BF333" s="15"/>
      <c r="BG333" s="15"/>
      <c r="BH333" s="15"/>
      <c r="BI333" s="15"/>
      <c r="BJ333" s="15"/>
      <c r="BK333" s="15"/>
      <c r="BL333" s="15"/>
      <c r="BM333" s="15"/>
      <c r="BN333" s="15"/>
      <c r="BO333" s="15"/>
      <c r="BP333" s="15"/>
      <c r="BQ333" s="15"/>
      <c r="BR333" s="15"/>
      <c r="BS333" s="15"/>
      <c r="BT333" s="15"/>
      <c r="BU333" s="15"/>
      <c r="BV333" s="15"/>
      <c r="BW333" s="15"/>
      <c r="BX333" s="15"/>
      <c r="BY333" s="15"/>
      <c r="BZ333" s="15"/>
      <c r="CA333" s="15"/>
      <c r="CB333" s="15"/>
      <c r="CC333" s="15"/>
      <c r="CD333" s="15"/>
      <c r="CE333" s="15"/>
      <c r="CF333" s="15">
        <v>50.2</v>
      </c>
      <c r="CG333" s="15">
        <v>7.5</v>
      </c>
      <c r="CH333" s="15">
        <v>38.799999999999997</v>
      </c>
      <c r="CI333" s="15">
        <v>3.1</v>
      </c>
      <c r="CJ333" s="15">
        <v>0.2</v>
      </c>
      <c r="CK333" s="15"/>
      <c r="CL333" s="15"/>
      <c r="CM333" s="15"/>
      <c r="CN333" s="15"/>
      <c r="CO333" s="15"/>
      <c r="CP333" s="15"/>
      <c r="CQ333" s="15"/>
      <c r="CR333" s="15"/>
      <c r="CS333" s="15"/>
      <c r="CT333" s="15"/>
      <c r="CU333" s="15"/>
      <c r="CV333" s="15"/>
      <c r="CW333" s="15"/>
      <c r="CX333" s="15"/>
      <c r="CY333" s="15"/>
      <c r="CZ333" s="15"/>
      <c r="DA333" s="15"/>
      <c r="DB333" s="15">
        <v>0</v>
      </c>
    </row>
    <row r="334" spans="1:106" x14ac:dyDescent="0.25">
      <c r="A334" t="s">
        <v>375</v>
      </c>
      <c r="B334" t="s">
        <v>204</v>
      </c>
      <c r="C334">
        <v>2019</v>
      </c>
      <c r="D334" s="16" t="s">
        <v>376</v>
      </c>
      <c r="E334">
        <v>0</v>
      </c>
      <c r="F334" s="15">
        <v>61.961961961961954</v>
      </c>
      <c r="G334" s="15"/>
      <c r="H334" s="15"/>
      <c r="I334" s="15">
        <v>14.714714714714713</v>
      </c>
      <c r="J334" s="15">
        <v>19.919919919919916</v>
      </c>
      <c r="K334" s="15"/>
      <c r="L334" s="15">
        <f>IF(Table2[[#This Row],[Lipids wt%]]+Table2[[#This Row],[Protein wt%]]+Table2[[#This Row],[Carbs wt%]] =0,"",SUM(Table2[[#This Row],[Lipids wt%]],Table2[[#This Row],[Protein wt%]],Table2[[#This Row],[Carbs wt%]]))</f>
        <v>96.596596596596584</v>
      </c>
      <c r="M334" s="15">
        <v>3.4</v>
      </c>
      <c r="Z334" s="15">
        <v>49.9</v>
      </c>
      <c r="AA334" s="15">
        <v>7.5</v>
      </c>
      <c r="AB334" s="15">
        <v>34.6</v>
      </c>
      <c r="AC334" s="15">
        <v>3.1</v>
      </c>
      <c r="AD334" s="15">
        <v>0.22</v>
      </c>
      <c r="AE334" s="15">
        <v>1.1100000000000001</v>
      </c>
      <c r="AF334" s="15">
        <f>(33.5*Table2[[#This Row],[C%]]+142.3*Table2[[#This Row],[H%]]-15.4*Table2[[#This Row],[O%]]-14.5*Table2[[#This Row],[N%]])/100</f>
        <v>21.611099999999997</v>
      </c>
      <c r="AG334" s="15">
        <v>1.2999999999999999E-3</v>
      </c>
      <c r="AH334" s="15"/>
      <c r="AI334" s="15"/>
      <c r="AJ334" s="15">
        <v>2.912621359223301</v>
      </c>
      <c r="AM334" s="13"/>
      <c r="AO334" s="15"/>
      <c r="AP334" s="15" t="e">
        <f>LN(25/Table2[[#This Row],[Temperature (C)]]/(1-SQRT((Table2[[#This Row],[Temperature (C)]]-5)/Table2[[#This Row],[Temperature (C)]])))/Table2[[#This Row],[b]]</f>
        <v>#DIV/0!</v>
      </c>
      <c r="AQ334" s="15">
        <f>IF(Table2[[#This Row],[b]]&lt;&gt;"",Table2[[#This Row],[T-5]], 0)</f>
        <v>0</v>
      </c>
      <c r="AR334">
        <v>10</v>
      </c>
      <c r="AT334" t="s">
        <v>503</v>
      </c>
      <c r="AU334">
        <v>150</v>
      </c>
      <c r="AV334" s="15">
        <v>69</v>
      </c>
      <c r="AW334" s="15">
        <v>5.0999999999999996</v>
      </c>
      <c r="AX334" s="15">
        <f>100-Table2[[#This Row],[Solids wt%]]-Table2[[#This Row],[Biocrude wt%]]-Table2[[#This Row],[Gas wt%]]</f>
        <v>25</v>
      </c>
      <c r="AY334" s="15">
        <v>0.9</v>
      </c>
      <c r="AZ334" s="15"/>
      <c r="BA334" s="15"/>
      <c r="BB334" s="15">
        <f>IF(OR(Table2[[#This Row],[Gas wt%]]&lt;&gt;"",Table2[[#This Row],[Loss]]&lt;&gt;""),Table2[[#This Row],[Gas wt%]]+Table2[[#This Row],[Loss]],"")</f>
        <v>0.9</v>
      </c>
      <c r="BC334" s="15"/>
      <c r="BD334" s="15"/>
      <c r="BE334" s="15"/>
      <c r="BF334" s="15"/>
      <c r="BG334" s="15"/>
      <c r="BH334" s="15"/>
      <c r="BI334" s="15">
        <v>67.7</v>
      </c>
      <c r="BJ334" s="15">
        <v>9.1999999999999993</v>
      </c>
      <c r="BK334" s="15">
        <v>22.3</v>
      </c>
      <c r="BL334" s="15">
        <v>0.8</v>
      </c>
      <c r="BM334" s="15"/>
      <c r="BN334" s="15">
        <v>32.200000000000003</v>
      </c>
      <c r="BO334" s="15">
        <v>7.3</v>
      </c>
      <c r="BP334" s="15"/>
      <c r="BQ334" s="15">
        <f>Table2[[#This Row],[H% B]]/Table2[[#This Row],[C% B]]*100</f>
        <v>13.589364844903987</v>
      </c>
      <c r="BR334" s="15"/>
      <c r="BS334" s="15"/>
      <c r="BT334" s="15"/>
      <c r="BU334" s="15"/>
      <c r="BV334" s="15"/>
      <c r="BW334" s="15"/>
      <c r="BX334" s="15"/>
      <c r="BY334" s="15"/>
      <c r="BZ334" s="15"/>
      <c r="CA334" s="15"/>
      <c r="CB334" s="15"/>
      <c r="CC334" s="15"/>
      <c r="CD334" s="15"/>
      <c r="CE334" s="15"/>
      <c r="CF334" s="15">
        <v>50.3</v>
      </c>
      <c r="CG334" s="15">
        <v>7.4</v>
      </c>
      <c r="CH334" s="15">
        <v>38.9</v>
      </c>
      <c r="CI334" s="15">
        <v>3</v>
      </c>
      <c r="CJ334" s="15">
        <v>0.22</v>
      </c>
      <c r="CK334" s="15"/>
      <c r="CL334" s="15"/>
      <c r="CM334" s="15"/>
      <c r="CN334" s="15"/>
      <c r="CO334" s="15"/>
      <c r="CP334" s="15"/>
      <c r="CQ334" s="15"/>
      <c r="CR334" s="15"/>
      <c r="CS334" s="15"/>
      <c r="CT334" s="15"/>
      <c r="CU334" s="15"/>
      <c r="CV334" s="15"/>
      <c r="CW334" s="15"/>
      <c r="CX334" s="15"/>
      <c r="CY334" s="15"/>
      <c r="CZ334" s="15"/>
      <c r="DA334" s="15"/>
      <c r="DB334" s="15">
        <v>0</v>
      </c>
    </row>
    <row r="335" spans="1:106" x14ac:dyDescent="0.25">
      <c r="A335" t="s">
        <v>375</v>
      </c>
      <c r="B335" t="s">
        <v>204</v>
      </c>
      <c r="C335">
        <v>2019</v>
      </c>
      <c r="D335" s="16" t="s">
        <v>376</v>
      </c>
      <c r="E335">
        <v>0</v>
      </c>
      <c r="F335" s="15">
        <v>61.961961961961954</v>
      </c>
      <c r="G335" s="15"/>
      <c r="H335" s="15"/>
      <c r="I335" s="15">
        <v>14.714714714714713</v>
      </c>
      <c r="J335" s="15">
        <v>19.919919919919916</v>
      </c>
      <c r="K335" s="15"/>
      <c r="L335" s="15">
        <f>IF(Table2[[#This Row],[Lipids wt%]]+Table2[[#This Row],[Protein wt%]]+Table2[[#This Row],[Carbs wt%]] =0,"",SUM(Table2[[#This Row],[Lipids wt%]],Table2[[#This Row],[Protein wt%]],Table2[[#This Row],[Carbs wt%]]))</f>
        <v>96.596596596596584</v>
      </c>
      <c r="M335" s="15">
        <v>3.4</v>
      </c>
      <c r="Z335" s="15">
        <v>49.9</v>
      </c>
      <c r="AA335" s="15">
        <v>7.5</v>
      </c>
      <c r="AB335" s="15">
        <v>34.6</v>
      </c>
      <c r="AC335" s="15">
        <v>3.1</v>
      </c>
      <c r="AD335" s="15">
        <v>0.22</v>
      </c>
      <c r="AE335" s="15">
        <v>1.1100000000000001</v>
      </c>
      <c r="AF335" s="15">
        <f>(33.5*Table2[[#This Row],[C%]]+142.3*Table2[[#This Row],[H%]]-15.4*Table2[[#This Row],[O%]]-14.5*Table2[[#This Row],[N%]])/100</f>
        <v>21.611099999999997</v>
      </c>
      <c r="AG335" s="15">
        <v>1.2999999999999999E-3</v>
      </c>
      <c r="AH335" s="15"/>
      <c r="AI335" s="15"/>
      <c r="AJ335" s="15">
        <v>2.912621359223301</v>
      </c>
      <c r="AM335" s="13"/>
      <c r="AO335" s="15"/>
      <c r="AP335" s="15" t="e">
        <f>LN(25/Table2[[#This Row],[Temperature (C)]]/(1-SQRT((Table2[[#This Row],[Temperature (C)]]-5)/Table2[[#This Row],[Temperature (C)]])))/Table2[[#This Row],[b]]</f>
        <v>#DIV/0!</v>
      </c>
      <c r="AQ335" s="15">
        <f>IF(Table2[[#This Row],[b]]&lt;&gt;"",Table2[[#This Row],[T-5]], 0)</f>
        <v>0</v>
      </c>
      <c r="AR335">
        <v>100</v>
      </c>
      <c r="AT335" t="s">
        <v>503</v>
      </c>
      <c r="AU335">
        <v>150</v>
      </c>
      <c r="AV335" s="15">
        <v>44.9</v>
      </c>
      <c r="AW335" s="15">
        <v>20.8</v>
      </c>
      <c r="AX335" s="15">
        <f>100-Table2[[#This Row],[Solids wt%]]-Table2[[#This Row],[Biocrude wt%]]-Table2[[#This Row],[Gas wt%]]</f>
        <v>33</v>
      </c>
      <c r="AY335" s="15">
        <v>1.3</v>
      </c>
      <c r="AZ335" s="15"/>
      <c r="BA335" s="15"/>
      <c r="BB335" s="15">
        <f>IF(OR(Table2[[#This Row],[Gas wt%]]&lt;&gt;"",Table2[[#This Row],[Loss]]&lt;&gt;""),Table2[[#This Row],[Gas wt%]]+Table2[[#This Row],[Loss]],"")</f>
        <v>1.3</v>
      </c>
      <c r="BC335" s="15"/>
      <c r="BD335" s="15"/>
      <c r="BE335" s="15"/>
      <c r="BF335" s="15"/>
      <c r="BG335" s="15"/>
      <c r="BH335" s="15"/>
      <c r="BI335" s="15">
        <v>65.2</v>
      </c>
      <c r="BJ335" s="15">
        <v>9.3000000000000007</v>
      </c>
      <c r="BK335" s="15">
        <v>24.9</v>
      </c>
      <c r="BL335" s="15">
        <v>0.6</v>
      </c>
      <c r="BM335" s="15">
        <v>0.06</v>
      </c>
      <c r="BN335" s="15">
        <v>31.1</v>
      </c>
      <c r="BO335" s="15">
        <v>28.8</v>
      </c>
      <c r="BP335" s="15"/>
      <c r="BQ335" s="15">
        <f>Table2[[#This Row],[H% B]]/Table2[[#This Row],[C% B]]*100</f>
        <v>14.263803680981596</v>
      </c>
      <c r="BR335" s="15"/>
      <c r="BS335" s="15"/>
      <c r="BT335" s="15"/>
      <c r="BU335" s="15"/>
      <c r="BV335" s="15"/>
      <c r="BW335" s="15"/>
      <c r="BX335" s="15"/>
      <c r="BY335" s="15"/>
      <c r="BZ335" s="15"/>
      <c r="CA335" s="15"/>
      <c r="CB335" s="15"/>
      <c r="CC335" s="15"/>
      <c r="CD335" s="15"/>
      <c r="CE335" s="15"/>
      <c r="CF335" s="15">
        <v>46.2</v>
      </c>
      <c r="CG335" s="15">
        <v>7</v>
      </c>
      <c r="CH335" s="15">
        <v>42.5</v>
      </c>
      <c r="CI335" s="15">
        <v>3.9</v>
      </c>
      <c r="CJ335" s="15">
        <v>0.26</v>
      </c>
      <c r="CK335" s="15"/>
      <c r="CL335" s="15"/>
      <c r="CM335" s="15"/>
      <c r="CN335" s="15"/>
      <c r="CO335" s="15"/>
      <c r="CP335" s="15"/>
      <c r="CQ335" s="15"/>
      <c r="CR335" s="15"/>
      <c r="CS335" s="15"/>
      <c r="CT335" s="15"/>
      <c r="CU335" s="15"/>
      <c r="CV335" s="15"/>
      <c r="CW335" s="15"/>
      <c r="CX335" s="15"/>
      <c r="CY335" s="15"/>
      <c r="CZ335" s="15"/>
      <c r="DA335" s="15"/>
      <c r="DB335" s="15">
        <v>0</v>
      </c>
    </row>
    <row r="336" spans="1:106" x14ac:dyDescent="0.25">
      <c r="A336" t="s">
        <v>375</v>
      </c>
      <c r="B336" t="s">
        <v>204</v>
      </c>
      <c r="C336">
        <v>2019</v>
      </c>
      <c r="D336" s="16" t="s">
        <v>376</v>
      </c>
      <c r="E336">
        <v>0</v>
      </c>
      <c r="F336" s="15">
        <v>61.961961961961954</v>
      </c>
      <c r="G336" s="15"/>
      <c r="H336" s="15"/>
      <c r="I336" s="15">
        <v>14.714714714714713</v>
      </c>
      <c r="J336" s="15">
        <v>19.919919919919916</v>
      </c>
      <c r="K336" s="15"/>
      <c r="L336" s="15">
        <f>IF(Table2[[#This Row],[Lipids wt%]]+Table2[[#This Row],[Protein wt%]]+Table2[[#This Row],[Carbs wt%]] =0,"",SUM(Table2[[#This Row],[Lipids wt%]],Table2[[#This Row],[Protein wt%]],Table2[[#This Row],[Carbs wt%]]))</f>
        <v>96.596596596596584</v>
      </c>
      <c r="M336" s="15">
        <v>3.4</v>
      </c>
      <c r="Z336" s="15">
        <v>49.9</v>
      </c>
      <c r="AA336" s="15">
        <v>7.5</v>
      </c>
      <c r="AB336" s="15">
        <v>34.6</v>
      </c>
      <c r="AC336" s="15">
        <v>3.1</v>
      </c>
      <c r="AD336" s="15">
        <v>0.22</v>
      </c>
      <c r="AE336" s="15">
        <v>1.1100000000000001</v>
      </c>
      <c r="AF336" s="15">
        <f>(33.5*Table2[[#This Row],[C%]]+142.3*Table2[[#This Row],[H%]]-15.4*Table2[[#This Row],[O%]]-14.5*Table2[[#This Row],[N%]])/100</f>
        <v>21.611099999999997</v>
      </c>
      <c r="AG336" s="15">
        <v>1.2999999999999999E-3</v>
      </c>
      <c r="AH336" s="15"/>
      <c r="AI336" s="15"/>
      <c r="AJ336" s="15">
        <v>2.912621359223301</v>
      </c>
      <c r="AM336" s="13"/>
      <c r="AO336" s="15"/>
      <c r="AP336" s="15" t="e">
        <f>LN(25/Table2[[#This Row],[Temperature (C)]]/(1-SQRT((Table2[[#This Row],[Temperature (C)]]-5)/Table2[[#This Row],[Temperature (C)]])))/Table2[[#This Row],[b]]</f>
        <v>#DIV/0!</v>
      </c>
      <c r="AQ336" s="15">
        <f>IF(Table2[[#This Row],[b]]&lt;&gt;"",Table2[[#This Row],[T-5]], 0)</f>
        <v>0</v>
      </c>
      <c r="AR336">
        <v>3.2</v>
      </c>
      <c r="AT336" t="s">
        <v>503</v>
      </c>
      <c r="AU336">
        <v>200</v>
      </c>
      <c r="AV336" s="15">
        <v>36.700000000000003</v>
      </c>
      <c r="AW336" s="15">
        <v>20.5</v>
      </c>
      <c r="AX336" s="15">
        <f>100-Table2[[#This Row],[Solids wt%]]-Table2[[#This Row],[Biocrude wt%]]-Table2[[#This Row],[Gas wt%]]</f>
        <v>41.699999999999996</v>
      </c>
      <c r="AY336" s="15">
        <v>1.1000000000000001</v>
      </c>
      <c r="AZ336" s="15"/>
      <c r="BA336" s="15"/>
      <c r="BB336" s="15">
        <f>IF(OR(Table2[[#This Row],[Gas wt%]]&lt;&gt;"",Table2[[#This Row],[Loss]]&lt;&gt;""),Table2[[#This Row],[Gas wt%]]+Table2[[#This Row],[Loss]],"")</f>
        <v>1.1000000000000001</v>
      </c>
      <c r="BC336" s="15"/>
      <c r="BD336" s="15"/>
      <c r="BE336" s="15"/>
      <c r="BF336" s="15"/>
      <c r="BG336" s="15"/>
      <c r="BH336" s="15"/>
      <c r="BI336" s="15">
        <v>63.6</v>
      </c>
      <c r="BJ336" s="15">
        <v>8.9</v>
      </c>
      <c r="BK336" s="15">
        <v>26.7</v>
      </c>
      <c r="BL336" s="15">
        <v>0.8</v>
      </c>
      <c r="BM336" s="15">
        <v>0.11</v>
      </c>
      <c r="BN336" s="15">
        <v>29.9</v>
      </c>
      <c r="BO336" s="15">
        <v>27.2</v>
      </c>
      <c r="BP336" s="15"/>
      <c r="BQ336" s="15">
        <f>Table2[[#This Row],[H% B]]/Table2[[#This Row],[C% B]]*100</f>
        <v>13.9937106918239</v>
      </c>
      <c r="BR336" s="15"/>
      <c r="BS336" s="15"/>
      <c r="BT336" s="15"/>
      <c r="BU336" s="15"/>
      <c r="BV336" s="15"/>
      <c r="BW336" s="15"/>
      <c r="BX336" s="15"/>
      <c r="BY336" s="15"/>
      <c r="BZ336" s="15"/>
      <c r="CA336" s="15"/>
      <c r="CB336" s="15"/>
      <c r="CC336" s="15"/>
      <c r="CD336" s="15"/>
      <c r="CE336" s="15"/>
      <c r="CF336" s="15">
        <v>46.8</v>
      </c>
      <c r="CG336" s="15">
        <v>7</v>
      </c>
      <c r="CH336" s="15">
        <v>41.6</v>
      </c>
      <c r="CI336" s="15">
        <v>4.2</v>
      </c>
      <c r="CJ336" s="15">
        <v>0.28000000000000003</v>
      </c>
      <c r="CK336" s="15"/>
      <c r="CL336" s="15"/>
      <c r="CM336" s="15"/>
      <c r="CN336" s="15"/>
      <c r="CO336" s="15"/>
      <c r="CP336" s="15"/>
      <c r="CQ336" s="15"/>
      <c r="CR336" s="15"/>
      <c r="CS336" s="15"/>
      <c r="CT336" s="15"/>
      <c r="CU336" s="15"/>
      <c r="CV336" s="15"/>
      <c r="CW336" s="15"/>
      <c r="CX336" s="15"/>
      <c r="CY336" s="15"/>
      <c r="CZ336" s="15"/>
      <c r="DA336" s="15"/>
      <c r="DB336" s="15">
        <v>0</v>
      </c>
    </row>
    <row r="337" spans="1:106" x14ac:dyDescent="0.25">
      <c r="A337" t="s">
        <v>375</v>
      </c>
      <c r="B337" t="s">
        <v>204</v>
      </c>
      <c r="C337">
        <v>2019</v>
      </c>
      <c r="D337" s="16" t="s">
        <v>376</v>
      </c>
      <c r="E337">
        <v>0</v>
      </c>
      <c r="F337" s="15">
        <v>61.961961961961954</v>
      </c>
      <c r="G337" s="15"/>
      <c r="H337" s="15"/>
      <c r="I337" s="15">
        <v>14.714714714714713</v>
      </c>
      <c r="J337" s="15">
        <v>19.919919919919916</v>
      </c>
      <c r="K337" s="15"/>
      <c r="L337" s="15">
        <f>IF(Table2[[#This Row],[Lipids wt%]]+Table2[[#This Row],[Protein wt%]]+Table2[[#This Row],[Carbs wt%]] =0,"",SUM(Table2[[#This Row],[Lipids wt%]],Table2[[#This Row],[Protein wt%]],Table2[[#This Row],[Carbs wt%]]))</f>
        <v>96.596596596596584</v>
      </c>
      <c r="M337" s="15">
        <v>3.4</v>
      </c>
      <c r="Z337" s="15">
        <v>49.9</v>
      </c>
      <c r="AA337" s="15">
        <v>7.5</v>
      </c>
      <c r="AB337" s="15">
        <v>34.6</v>
      </c>
      <c r="AC337" s="15">
        <v>3.1</v>
      </c>
      <c r="AD337" s="15">
        <v>0.22</v>
      </c>
      <c r="AE337" s="15">
        <v>1.1100000000000001</v>
      </c>
      <c r="AF337" s="15">
        <f>(33.5*Table2[[#This Row],[C%]]+142.3*Table2[[#This Row],[H%]]-15.4*Table2[[#This Row],[O%]]-14.5*Table2[[#This Row],[N%]])/100</f>
        <v>21.611099999999997</v>
      </c>
      <c r="AG337" s="15">
        <v>1.2999999999999999E-3</v>
      </c>
      <c r="AH337" s="15"/>
      <c r="AI337" s="15"/>
      <c r="AJ337" s="15">
        <v>2.912621359223301</v>
      </c>
      <c r="AM337" s="13"/>
      <c r="AO337" s="15"/>
      <c r="AP337" s="15" t="e">
        <f>LN(25/Table2[[#This Row],[Temperature (C)]]/(1-SQRT((Table2[[#This Row],[Temperature (C)]]-5)/Table2[[#This Row],[Temperature (C)]])))/Table2[[#This Row],[b]]</f>
        <v>#DIV/0!</v>
      </c>
      <c r="AQ337" s="15">
        <f>IF(Table2[[#This Row],[b]]&lt;&gt;"",Table2[[#This Row],[T-5]], 0)</f>
        <v>0</v>
      </c>
      <c r="AR337">
        <v>31.6</v>
      </c>
      <c r="AT337" t="s">
        <v>503</v>
      </c>
      <c r="AU337">
        <v>200</v>
      </c>
      <c r="AV337" s="15">
        <v>11.6</v>
      </c>
      <c r="AW337" s="15">
        <v>22.2</v>
      </c>
      <c r="AX337" s="15">
        <f>100-Table2[[#This Row],[Solids wt%]]-Table2[[#This Row],[Biocrude wt%]]-Table2[[#This Row],[Gas wt%]]</f>
        <v>65.3</v>
      </c>
      <c r="AY337" s="15">
        <v>0.9</v>
      </c>
      <c r="AZ337" s="15"/>
      <c r="BA337" s="15"/>
      <c r="BB337" s="15">
        <f>IF(OR(Table2[[#This Row],[Gas wt%]]&lt;&gt;"",Table2[[#This Row],[Loss]]&lt;&gt;""),Table2[[#This Row],[Gas wt%]]+Table2[[#This Row],[Loss]],"")</f>
        <v>0.9</v>
      </c>
      <c r="BC337" s="15"/>
      <c r="BD337" s="15"/>
      <c r="BE337" s="15"/>
      <c r="BF337" s="15"/>
      <c r="BG337" s="15"/>
      <c r="BH337" s="15"/>
      <c r="BI337" s="15">
        <v>67.5</v>
      </c>
      <c r="BJ337" s="15">
        <v>9.4</v>
      </c>
      <c r="BK337" s="15">
        <v>21.9</v>
      </c>
      <c r="BL337" s="15">
        <v>1</v>
      </c>
      <c r="BM337" s="15">
        <v>0.16</v>
      </c>
      <c r="BN337" s="15">
        <v>32.4</v>
      </c>
      <c r="BO337" s="15">
        <v>31.9</v>
      </c>
      <c r="BP337" s="15"/>
      <c r="BQ337" s="15">
        <f>Table2[[#This Row],[H% B]]/Table2[[#This Row],[C% B]]*100</f>
        <v>13.925925925925927</v>
      </c>
      <c r="BR337" s="15"/>
      <c r="BS337" s="15"/>
      <c r="BT337" s="15"/>
      <c r="BU337" s="15"/>
      <c r="BV337" s="15"/>
      <c r="BW337" s="15"/>
      <c r="BX337" s="15"/>
      <c r="BY337" s="15"/>
      <c r="BZ337" s="15"/>
      <c r="CA337" s="15"/>
      <c r="CB337" s="15"/>
      <c r="CC337" s="15"/>
      <c r="CD337" s="15"/>
      <c r="CE337" s="15"/>
      <c r="CF337" s="15">
        <v>58.3</v>
      </c>
      <c r="CG337" s="15">
        <v>7</v>
      </c>
      <c r="CH337" s="15">
        <v>25.7</v>
      </c>
      <c r="CI337" s="15">
        <v>8.1</v>
      </c>
      <c r="CJ337" s="15">
        <v>0.5</v>
      </c>
      <c r="CK337" s="15"/>
      <c r="CL337" s="15"/>
      <c r="CM337" s="15"/>
      <c r="CN337" s="15"/>
      <c r="CO337" s="15"/>
      <c r="CP337" s="15"/>
      <c r="CQ337" s="15"/>
      <c r="CR337" s="15"/>
      <c r="CS337" s="15"/>
      <c r="CT337" s="15"/>
      <c r="CU337" s="15"/>
      <c r="CV337" s="15"/>
      <c r="CW337" s="15"/>
      <c r="CX337" s="15"/>
      <c r="CY337" s="15"/>
      <c r="CZ337" s="15"/>
      <c r="DA337" s="15"/>
      <c r="DB337" s="15">
        <v>0</v>
      </c>
    </row>
    <row r="338" spans="1:106" x14ac:dyDescent="0.25">
      <c r="A338" t="s">
        <v>375</v>
      </c>
      <c r="B338" t="s">
        <v>204</v>
      </c>
      <c r="C338">
        <v>2019</v>
      </c>
      <c r="D338" s="16" t="s">
        <v>376</v>
      </c>
      <c r="E338">
        <v>0</v>
      </c>
      <c r="F338" s="15">
        <v>61.961961961961954</v>
      </c>
      <c r="G338" s="15"/>
      <c r="H338" s="15"/>
      <c r="I338" s="15">
        <v>14.714714714714713</v>
      </c>
      <c r="J338" s="15">
        <v>19.919919919919916</v>
      </c>
      <c r="K338" s="15"/>
      <c r="L338" s="15">
        <f>IF(Table2[[#This Row],[Lipids wt%]]+Table2[[#This Row],[Protein wt%]]+Table2[[#This Row],[Carbs wt%]] =0,"",SUM(Table2[[#This Row],[Lipids wt%]],Table2[[#This Row],[Protein wt%]],Table2[[#This Row],[Carbs wt%]]))</f>
        <v>96.596596596596584</v>
      </c>
      <c r="M338" s="15">
        <v>3.4</v>
      </c>
      <c r="Z338" s="15">
        <v>49.9</v>
      </c>
      <c r="AA338" s="15">
        <v>7.5</v>
      </c>
      <c r="AB338" s="15">
        <v>34.6</v>
      </c>
      <c r="AC338" s="15">
        <v>3.1</v>
      </c>
      <c r="AD338" s="15">
        <v>0.22</v>
      </c>
      <c r="AE338" s="15">
        <v>1.1100000000000001</v>
      </c>
      <c r="AF338" s="15">
        <f>(33.5*Table2[[#This Row],[C%]]+142.3*Table2[[#This Row],[H%]]-15.4*Table2[[#This Row],[O%]]-14.5*Table2[[#This Row],[N%]])/100</f>
        <v>21.611099999999997</v>
      </c>
      <c r="AG338" s="15">
        <v>1.2999999999999999E-3</v>
      </c>
      <c r="AH338" s="15"/>
      <c r="AI338" s="15"/>
      <c r="AJ338" s="15">
        <v>2.912621359223301</v>
      </c>
      <c r="AM338" s="13"/>
      <c r="AO338" s="15"/>
      <c r="AP338" s="15" t="e">
        <f>LN(25/Table2[[#This Row],[Temperature (C)]]/(1-SQRT((Table2[[#This Row],[Temperature (C)]]-5)/Table2[[#This Row],[Temperature (C)]])))/Table2[[#This Row],[b]]</f>
        <v>#DIV/0!</v>
      </c>
      <c r="AQ338" s="15">
        <f>IF(Table2[[#This Row],[b]]&lt;&gt;"",Table2[[#This Row],[T-5]], 0)</f>
        <v>0</v>
      </c>
      <c r="AR338">
        <v>1</v>
      </c>
      <c r="AT338" t="s">
        <v>503</v>
      </c>
      <c r="AU338">
        <v>250</v>
      </c>
      <c r="AV338" s="15">
        <v>20.2</v>
      </c>
      <c r="AW338" s="15">
        <v>19.600000000000001</v>
      </c>
      <c r="AX338" s="15">
        <f>100-Table2[[#This Row],[Solids wt%]]-Table2[[#This Row],[Biocrude wt%]]-Table2[[#This Row],[Gas wt%]]</f>
        <v>57.9</v>
      </c>
      <c r="AY338" s="15">
        <v>2.2999999999999998</v>
      </c>
      <c r="AZ338" s="15"/>
      <c r="BA338" s="15"/>
      <c r="BB338" s="15">
        <f>IF(OR(Table2[[#This Row],[Gas wt%]]&lt;&gt;"",Table2[[#This Row],[Loss]]&lt;&gt;""),Table2[[#This Row],[Gas wt%]]+Table2[[#This Row],[Loss]],"")</f>
        <v>2.2999999999999998</v>
      </c>
      <c r="BC338" s="15"/>
      <c r="BD338" s="15"/>
      <c r="BE338" s="15"/>
      <c r="BF338" s="15"/>
      <c r="BG338" s="15"/>
      <c r="BH338" s="15"/>
      <c r="BI338" s="15">
        <v>65.7</v>
      </c>
      <c r="BJ338" s="15">
        <v>9.1999999999999993</v>
      </c>
      <c r="BK338" s="15">
        <v>24.2</v>
      </c>
      <c r="BL338" s="15">
        <v>0.8</v>
      </c>
      <c r="BM338" s="15">
        <v>0.09</v>
      </c>
      <c r="BN338" s="15">
        <v>31.3</v>
      </c>
      <c r="BO338" s="15">
        <v>27.2</v>
      </c>
      <c r="BP338" s="15"/>
      <c r="BQ338" s="15">
        <f>Table2[[#This Row],[H% B]]/Table2[[#This Row],[C% B]]*100</f>
        <v>14.00304414003044</v>
      </c>
      <c r="BR338" s="15"/>
      <c r="BS338" s="15"/>
      <c r="BT338" s="15"/>
      <c r="BU338" s="15"/>
      <c r="BV338" s="15"/>
      <c r="BW338" s="15"/>
      <c r="BX338" s="15"/>
      <c r="BY338" s="15"/>
      <c r="BZ338" s="15"/>
      <c r="CA338" s="15"/>
      <c r="CB338" s="15"/>
      <c r="CC338" s="15"/>
      <c r="CD338" s="15"/>
      <c r="CE338" s="15"/>
      <c r="CF338" s="15">
        <v>52</v>
      </c>
      <c r="CG338" s="15">
        <v>7.5</v>
      </c>
      <c r="CH338" s="15">
        <v>32.799999999999997</v>
      </c>
      <c r="CI338" s="15">
        <v>7</v>
      </c>
      <c r="CJ338" s="15">
        <v>0.47</v>
      </c>
      <c r="CK338" s="15"/>
      <c r="CL338" s="15"/>
      <c r="CM338" s="15"/>
      <c r="CN338" s="15"/>
      <c r="CO338" s="15"/>
      <c r="CP338" s="15"/>
      <c r="CQ338" s="15"/>
      <c r="CR338" s="15"/>
      <c r="CS338" s="15"/>
      <c r="CT338" s="15"/>
      <c r="CU338" s="15"/>
      <c r="CV338" s="15"/>
      <c r="CW338" s="15"/>
      <c r="CX338" s="15"/>
      <c r="CY338" s="15"/>
      <c r="CZ338" s="15"/>
      <c r="DA338" s="15"/>
      <c r="DB338" s="15">
        <v>0</v>
      </c>
    </row>
    <row r="339" spans="1:106" x14ac:dyDescent="0.25">
      <c r="A339" t="s">
        <v>375</v>
      </c>
      <c r="B339" t="s">
        <v>204</v>
      </c>
      <c r="C339">
        <v>2019</v>
      </c>
      <c r="D339" s="16" t="s">
        <v>376</v>
      </c>
      <c r="E339">
        <v>0</v>
      </c>
      <c r="F339" s="15">
        <v>61.961961961961954</v>
      </c>
      <c r="G339" s="15"/>
      <c r="H339" s="15"/>
      <c r="I339" s="15">
        <v>14.714714714714713</v>
      </c>
      <c r="J339" s="15">
        <v>19.919919919919916</v>
      </c>
      <c r="K339" s="15"/>
      <c r="L339" s="15">
        <f>IF(Table2[[#This Row],[Lipids wt%]]+Table2[[#This Row],[Protein wt%]]+Table2[[#This Row],[Carbs wt%]] =0,"",SUM(Table2[[#This Row],[Lipids wt%]],Table2[[#This Row],[Protein wt%]],Table2[[#This Row],[Carbs wt%]]))</f>
        <v>96.596596596596584</v>
      </c>
      <c r="M339" s="15">
        <v>3.4</v>
      </c>
      <c r="Z339" s="15">
        <v>49.9</v>
      </c>
      <c r="AA339" s="15">
        <v>7.5</v>
      </c>
      <c r="AB339" s="15">
        <v>34.6</v>
      </c>
      <c r="AC339" s="15">
        <v>3.1</v>
      </c>
      <c r="AD339" s="15">
        <v>0.22</v>
      </c>
      <c r="AE339" s="15">
        <v>1.1100000000000001</v>
      </c>
      <c r="AF339" s="15">
        <f>(33.5*Table2[[#This Row],[C%]]+142.3*Table2[[#This Row],[H%]]-15.4*Table2[[#This Row],[O%]]-14.5*Table2[[#This Row],[N%]])/100</f>
        <v>21.611099999999997</v>
      </c>
      <c r="AG339" s="15">
        <v>1.2999999999999999E-3</v>
      </c>
      <c r="AH339" s="15"/>
      <c r="AI339" s="15"/>
      <c r="AJ339" s="15">
        <v>2.912621359223301</v>
      </c>
      <c r="AM339" s="13"/>
      <c r="AO339" s="15"/>
      <c r="AP339" s="15" t="e">
        <f>LN(25/Table2[[#This Row],[Temperature (C)]]/(1-SQRT((Table2[[#This Row],[Temperature (C)]]-5)/Table2[[#This Row],[Temperature (C)]])))/Table2[[#This Row],[b]]</f>
        <v>#DIV/0!</v>
      </c>
      <c r="AQ339" s="15">
        <f>IF(Table2[[#This Row],[b]]&lt;&gt;"",Table2[[#This Row],[T-5]], 0)</f>
        <v>0</v>
      </c>
      <c r="AR339">
        <v>10</v>
      </c>
      <c r="AT339" t="s">
        <v>503</v>
      </c>
      <c r="AU339">
        <v>250</v>
      </c>
      <c r="AV339" s="15">
        <v>15.8</v>
      </c>
      <c r="AW339" s="15">
        <v>22.8</v>
      </c>
      <c r="AX339" s="15">
        <f>100-Table2[[#This Row],[Solids wt%]]-Table2[[#This Row],[Biocrude wt%]]-Table2[[#This Row],[Gas wt%]]</f>
        <v>55.300000000000004</v>
      </c>
      <c r="AY339" s="15">
        <v>6.1</v>
      </c>
      <c r="AZ339" s="15"/>
      <c r="BA339" s="15"/>
      <c r="BB339" s="15">
        <f>IF(OR(Table2[[#This Row],[Gas wt%]]&lt;&gt;"",Table2[[#This Row],[Loss]]&lt;&gt;""),Table2[[#This Row],[Gas wt%]]+Table2[[#This Row],[Loss]],"")</f>
        <v>6.1</v>
      </c>
      <c r="BC339" s="15"/>
      <c r="BD339" s="15"/>
      <c r="BE339" s="15"/>
      <c r="BF339" s="15"/>
      <c r="BG339" s="15"/>
      <c r="BH339" s="15"/>
      <c r="BI339" s="15">
        <v>72.400000000000006</v>
      </c>
      <c r="BJ339" s="15">
        <v>9.5</v>
      </c>
      <c r="BK339" s="15">
        <v>16.5</v>
      </c>
      <c r="BL339" s="15">
        <v>1.4</v>
      </c>
      <c r="BM339" s="15">
        <v>0.17</v>
      </c>
      <c r="BN339" s="15">
        <v>34.799999999999997</v>
      </c>
      <c r="BO339" s="15">
        <v>35.299999999999997</v>
      </c>
      <c r="BP339" s="15"/>
      <c r="BQ339" s="15">
        <f>Table2[[#This Row],[H% B]]/Table2[[#This Row],[C% B]]*100</f>
        <v>13.121546961325967</v>
      </c>
      <c r="BR339" s="15"/>
      <c r="BS339" s="15"/>
      <c r="BT339" s="15"/>
      <c r="BU339" s="15"/>
      <c r="BV339" s="15"/>
      <c r="BW339" s="15"/>
      <c r="BX339" s="15"/>
      <c r="BY339" s="15"/>
      <c r="BZ339" s="15"/>
      <c r="CA339" s="15"/>
      <c r="CB339" s="15"/>
      <c r="CC339" s="15"/>
      <c r="CD339" s="15"/>
      <c r="CE339" s="15"/>
      <c r="CF339" s="15">
        <v>66.400000000000006</v>
      </c>
      <c r="CG339" s="15">
        <v>7.3</v>
      </c>
      <c r="CH339" s="15">
        <v>20.5</v>
      </c>
      <c r="CI339" s="15">
        <v>4.7</v>
      </c>
      <c r="CJ339" s="15">
        <v>0.25</v>
      </c>
      <c r="CK339" s="15"/>
      <c r="CL339" s="15"/>
      <c r="CM339" s="15"/>
      <c r="CN339" s="15"/>
      <c r="CO339" s="15"/>
      <c r="CP339" s="15"/>
      <c r="CQ339" s="15"/>
      <c r="CR339" s="15"/>
      <c r="CS339" s="15"/>
      <c r="CT339" s="15"/>
      <c r="CU339" s="15"/>
      <c r="CV339" s="15"/>
      <c r="CW339" s="15"/>
      <c r="CX339" s="15"/>
      <c r="CY339" s="15"/>
      <c r="CZ339" s="15"/>
      <c r="DA339" s="15"/>
      <c r="DB339" s="15">
        <v>0</v>
      </c>
    </row>
    <row r="340" spans="1:106" x14ac:dyDescent="0.25">
      <c r="A340" t="s">
        <v>375</v>
      </c>
      <c r="B340" t="s">
        <v>204</v>
      </c>
      <c r="C340">
        <v>2019</v>
      </c>
      <c r="D340" s="16" t="s">
        <v>376</v>
      </c>
      <c r="E340">
        <v>0</v>
      </c>
      <c r="F340" s="15">
        <v>61.961961961961954</v>
      </c>
      <c r="G340" s="15"/>
      <c r="H340" s="15"/>
      <c r="I340" s="15">
        <v>14.714714714714713</v>
      </c>
      <c r="J340" s="15">
        <v>19.919919919919916</v>
      </c>
      <c r="K340" s="15"/>
      <c r="L340" s="15">
        <f>IF(Table2[[#This Row],[Lipids wt%]]+Table2[[#This Row],[Protein wt%]]+Table2[[#This Row],[Carbs wt%]] =0,"",SUM(Table2[[#This Row],[Lipids wt%]],Table2[[#This Row],[Protein wt%]],Table2[[#This Row],[Carbs wt%]]))</f>
        <v>96.596596596596584</v>
      </c>
      <c r="M340" s="15">
        <v>3.4</v>
      </c>
      <c r="Z340" s="15">
        <v>49.9</v>
      </c>
      <c r="AA340" s="15">
        <v>7.5</v>
      </c>
      <c r="AB340" s="15">
        <v>34.6</v>
      </c>
      <c r="AC340" s="15">
        <v>3.1</v>
      </c>
      <c r="AD340" s="15">
        <v>0.22</v>
      </c>
      <c r="AE340" s="15">
        <v>1.1100000000000001</v>
      </c>
      <c r="AF340" s="15">
        <f>(33.5*Table2[[#This Row],[C%]]+142.3*Table2[[#This Row],[H%]]-15.4*Table2[[#This Row],[O%]]-14.5*Table2[[#This Row],[N%]])/100</f>
        <v>21.611099999999997</v>
      </c>
      <c r="AG340" s="15">
        <v>1.2999999999999999E-3</v>
      </c>
      <c r="AH340" s="15"/>
      <c r="AI340" s="15"/>
      <c r="AJ340" s="15">
        <v>2.912621359223301</v>
      </c>
      <c r="AM340" s="13"/>
      <c r="AO340" s="15"/>
      <c r="AP340" s="15" t="e">
        <f>LN(25/Table2[[#This Row],[Temperature (C)]]/(1-SQRT((Table2[[#This Row],[Temperature (C)]]-5)/Table2[[#This Row],[Temperature (C)]])))/Table2[[#This Row],[b]]</f>
        <v>#DIV/0!</v>
      </c>
      <c r="AQ340" s="15">
        <f>IF(Table2[[#This Row],[b]]&lt;&gt;"",Table2[[#This Row],[T-5]], 0)</f>
        <v>0</v>
      </c>
      <c r="AR340">
        <v>100</v>
      </c>
      <c r="AT340" t="s">
        <v>503</v>
      </c>
      <c r="AU340">
        <v>250</v>
      </c>
      <c r="AV340" s="15">
        <v>14.9</v>
      </c>
      <c r="AW340" s="15">
        <v>29.1</v>
      </c>
      <c r="AX340" s="15">
        <f>100-Table2[[#This Row],[Solids wt%]]-Table2[[#This Row],[Biocrude wt%]]-Table2[[#This Row],[Gas wt%]]</f>
        <v>44.999999999999993</v>
      </c>
      <c r="AY340" s="15">
        <v>11</v>
      </c>
      <c r="AZ340" s="15"/>
      <c r="BA340" s="15"/>
      <c r="BB340" s="15">
        <f>IF(OR(Table2[[#This Row],[Gas wt%]]&lt;&gt;"",Table2[[#This Row],[Loss]]&lt;&gt;""),Table2[[#This Row],[Gas wt%]]+Table2[[#This Row],[Loss]],"")</f>
        <v>11</v>
      </c>
      <c r="BC340" s="15"/>
      <c r="BD340" s="15"/>
      <c r="BE340" s="15"/>
      <c r="BF340" s="15"/>
      <c r="BG340" s="15"/>
      <c r="BH340" s="15"/>
      <c r="BI340" s="15">
        <v>73.3</v>
      </c>
      <c r="BJ340" s="15">
        <v>9.6</v>
      </c>
      <c r="BK340" s="15">
        <v>14.6</v>
      </c>
      <c r="BL340" s="15">
        <v>2.2999999999999998</v>
      </c>
      <c r="BM340" s="15">
        <v>0.21</v>
      </c>
      <c r="BN340" s="15">
        <v>35.299999999999997</v>
      </c>
      <c r="BO340" s="15">
        <v>45.7</v>
      </c>
      <c r="BP340" s="15"/>
      <c r="BQ340" s="15">
        <f>Table2[[#This Row],[H% B]]/Table2[[#This Row],[C% B]]*100</f>
        <v>13.096862210095498</v>
      </c>
      <c r="BR340" s="15"/>
      <c r="BS340" s="15"/>
      <c r="BT340" s="15"/>
      <c r="BU340" s="15"/>
      <c r="BV340" s="15"/>
      <c r="BW340" s="15"/>
      <c r="BX340" s="15"/>
      <c r="BY340" s="15"/>
      <c r="BZ340" s="15"/>
      <c r="CA340" s="15"/>
      <c r="CB340" s="15"/>
      <c r="CC340" s="15"/>
      <c r="CD340" s="15"/>
      <c r="CE340" s="15"/>
      <c r="CF340" s="15">
        <v>67.099999999999994</v>
      </c>
      <c r="CG340" s="15">
        <v>6.1</v>
      </c>
      <c r="CH340" s="15">
        <v>21.3</v>
      </c>
      <c r="CI340" s="15">
        <v>4.4000000000000004</v>
      </c>
      <c r="CJ340" s="15">
        <v>0.2</v>
      </c>
      <c r="CK340" s="15"/>
      <c r="CL340" s="15"/>
      <c r="CM340" s="15"/>
      <c r="CN340" s="15"/>
      <c r="CO340" s="15"/>
      <c r="CP340" s="15"/>
      <c r="CQ340" s="15"/>
      <c r="CR340" s="15"/>
      <c r="CS340" s="15"/>
      <c r="CT340" s="15"/>
      <c r="CU340" s="15"/>
      <c r="CV340" s="15"/>
      <c r="CW340" s="15"/>
      <c r="CX340" s="15"/>
      <c r="CY340" s="15"/>
      <c r="CZ340" s="15"/>
      <c r="DA340" s="15"/>
      <c r="DB340" s="15">
        <v>0</v>
      </c>
    </row>
    <row r="341" spans="1:106" x14ac:dyDescent="0.25">
      <c r="A341" t="s">
        <v>375</v>
      </c>
      <c r="B341" t="s">
        <v>204</v>
      </c>
      <c r="C341">
        <v>2019</v>
      </c>
      <c r="D341" s="16" t="s">
        <v>376</v>
      </c>
      <c r="E341">
        <v>0</v>
      </c>
      <c r="F341" s="15">
        <v>61.961961961961954</v>
      </c>
      <c r="G341" s="15"/>
      <c r="H341" s="15"/>
      <c r="I341" s="15">
        <v>14.714714714714713</v>
      </c>
      <c r="J341" s="15">
        <v>19.919919919919916</v>
      </c>
      <c r="K341" s="15"/>
      <c r="L341" s="15">
        <f>IF(Table2[[#This Row],[Lipids wt%]]+Table2[[#This Row],[Protein wt%]]+Table2[[#This Row],[Carbs wt%]] =0,"",SUM(Table2[[#This Row],[Lipids wt%]],Table2[[#This Row],[Protein wt%]],Table2[[#This Row],[Carbs wt%]]))</f>
        <v>96.596596596596584</v>
      </c>
      <c r="M341" s="15">
        <v>3.4</v>
      </c>
      <c r="Z341" s="15">
        <v>49.9</v>
      </c>
      <c r="AA341" s="15">
        <v>7.5</v>
      </c>
      <c r="AB341" s="15">
        <v>34.6</v>
      </c>
      <c r="AC341" s="15">
        <v>3.1</v>
      </c>
      <c r="AD341" s="15">
        <v>0.22</v>
      </c>
      <c r="AE341" s="15">
        <v>1.1100000000000001</v>
      </c>
      <c r="AF341" s="15">
        <f>(33.5*Table2[[#This Row],[C%]]+142.3*Table2[[#This Row],[H%]]-15.4*Table2[[#This Row],[O%]]-14.5*Table2[[#This Row],[N%]])/100</f>
        <v>21.611099999999997</v>
      </c>
      <c r="AG341" s="15">
        <v>1.2999999999999999E-3</v>
      </c>
      <c r="AH341" s="15"/>
      <c r="AI341" s="15"/>
      <c r="AJ341" s="15">
        <v>2.912621359223301</v>
      </c>
      <c r="AM341" s="13"/>
      <c r="AO341" s="15"/>
      <c r="AP341" s="15" t="e">
        <f>LN(25/Table2[[#This Row],[Temperature (C)]]/(1-SQRT((Table2[[#This Row],[Temperature (C)]]-5)/Table2[[#This Row],[Temperature (C)]])))/Table2[[#This Row],[b]]</f>
        <v>#DIV/0!</v>
      </c>
      <c r="AQ341" s="15">
        <f>IF(Table2[[#This Row],[b]]&lt;&gt;"",Table2[[#This Row],[T-5]], 0)</f>
        <v>0</v>
      </c>
      <c r="AR341">
        <v>3.2</v>
      </c>
      <c r="AT341" t="s">
        <v>503</v>
      </c>
      <c r="AU341">
        <v>300</v>
      </c>
      <c r="AV341" s="15">
        <v>7.5</v>
      </c>
      <c r="AW341" s="15">
        <v>35</v>
      </c>
      <c r="AX341" s="15">
        <f>100-Table2[[#This Row],[Solids wt%]]-Table2[[#This Row],[Biocrude wt%]]-Table2[[#This Row],[Gas wt%]]</f>
        <v>47.5</v>
      </c>
      <c r="AY341" s="15">
        <v>10</v>
      </c>
      <c r="AZ341" s="15"/>
      <c r="BA341" s="15"/>
      <c r="BB341" s="15">
        <f>IF(OR(Table2[[#This Row],[Gas wt%]]&lt;&gt;"",Table2[[#This Row],[Loss]]&lt;&gt;""),Table2[[#This Row],[Gas wt%]]+Table2[[#This Row],[Loss]],"")</f>
        <v>10</v>
      </c>
      <c r="BC341" s="15"/>
      <c r="BD341" s="15"/>
      <c r="BE341" s="15"/>
      <c r="BF341" s="15"/>
      <c r="BG341" s="15"/>
      <c r="BH341" s="15"/>
      <c r="BI341" s="15">
        <v>73.2</v>
      </c>
      <c r="BJ341" s="15">
        <v>9.1999999999999993</v>
      </c>
      <c r="BK341" s="15">
        <v>15.1</v>
      </c>
      <c r="BL341" s="15">
        <v>2.2000000000000002</v>
      </c>
      <c r="BM341" s="15">
        <v>0.28000000000000003</v>
      </c>
      <c r="BN341" s="15">
        <v>34.700000000000003</v>
      </c>
      <c r="BO341" s="15">
        <v>54.1</v>
      </c>
      <c r="BP341" s="15"/>
      <c r="BQ341" s="15">
        <f>Table2[[#This Row],[H% B]]/Table2[[#This Row],[C% B]]*100</f>
        <v>12.568306010928959</v>
      </c>
      <c r="BR341" s="15"/>
      <c r="BS341" s="15"/>
      <c r="BT341" s="15"/>
      <c r="BU341" s="15"/>
      <c r="BV341" s="15"/>
      <c r="BW341" s="15"/>
      <c r="BX341" s="15"/>
      <c r="BY341" s="15"/>
      <c r="BZ341" s="15"/>
      <c r="CA341" s="15"/>
      <c r="CB341" s="15"/>
      <c r="CC341" s="15"/>
      <c r="CD341" s="15"/>
      <c r="CE341" s="15"/>
      <c r="CF341" s="15">
        <v>62.8</v>
      </c>
      <c r="CG341" s="15">
        <v>6.1</v>
      </c>
      <c r="CH341" s="15">
        <v>24.6</v>
      </c>
      <c r="CI341" s="15">
        <v>5.3</v>
      </c>
      <c r="CJ341" s="15">
        <v>0.25</v>
      </c>
      <c r="CK341" s="15"/>
      <c r="CL341" s="15"/>
      <c r="CM341" s="15"/>
      <c r="CN341" s="15"/>
      <c r="CO341" s="15"/>
      <c r="CP341" s="15"/>
      <c r="CQ341" s="15"/>
      <c r="CR341" s="15"/>
      <c r="CS341" s="15"/>
      <c r="CT341" s="15"/>
      <c r="CU341" s="15"/>
      <c r="CV341" s="15"/>
      <c r="CW341" s="15"/>
      <c r="CX341" s="15"/>
      <c r="CY341" s="15"/>
      <c r="CZ341" s="15"/>
      <c r="DA341" s="15"/>
      <c r="DB341" s="15">
        <v>0</v>
      </c>
    </row>
    <row r="342" spans="1:106" x14ac:dyDescent="0.25">
      <c r="A342" t="s">
        <v>375</v>
      </c>
      <c r="B342" t="s">
        <v>204</v>
      </c>
      <c r="C342">
        <v>2019</v>
      </c>
      <c r="D342" s="16" t="s">
        <v>376</v>
      </c>
      <c r="E342">
        <v>0</v>
      </c>
      <c r="F342" s="15">
        <v>61.961961961961954</v>
      </c>
      <c r="G342" s="15"/>
      <c r="H342" s="15"/>
      <c r="I342" s="15">
        <v>14.714714714714713</v>
      </c>
      <c r="J342" s="15">
        <v>19.919919919919916</v>
      </c>
      <c r="K342" s="15"/>
      <c r="L342" s="15">
        <f>IF(Table2[[#This Row],[Lipids wt%]]+Table2[[#This Row],[Protein wt%]]+Table2[[#This Row],[Carbs wt%]] =0,"",SUM(Table2[[#This Row],[Lipids wt%]],Table2[[#This Row],[Protein wt%]],Table2[[#This Row],[Carbs wt%]]))</f>
        <v>96.596596596596584</v>
      </c>
      <c r="M342" s="15">
        <v>3.4</v>
      </c>
      <c r="Z342" s="15">
        <v>49.9</v>
      </c>
      <c r="AA342" s="15">
        <v>7.5</v>
      </c>
      <c r="AB342" s="15">
        <v>34.6</v>
      </c>
      <c r="AC342" s="15">
        <v>3.1</v>
      </c>
      <c r="AD342" s="15">
        <v>0.22</v>
      </c>
      <c r="AE342" s="15">
        <v>1.1100000000000001</v>
      </c>
      <c r="AF342" s="15">
        <f>(33.5*Table2[[#This Row],[C%]]+142.3*Table2[[#This Row],[H%]]-15.4*Table2[[#This Row],[O%]]-14.5*Table2[[#This Row],[N%]])/100</f>
        <v>21.611099999999997</v>
      </c>
      <c r="AG342" s="15">
        <v>1.2999999999999999E-3</v>
      </c>
      <c r="AH342" s="15"/>
      <c r="AI342" s="15"/>
      <c r="AJ342" s="15">
        <v>2.912621359223301</v>
      </c>
      <c r="AM342" s="13"/>
      <c r="AO342" s="15"/>
      <c r="AP342" s="15" t="e">
        <f>LN(25/Table2[[#This Row],[Temperature (C)]]/(1-SQRT((Table2[[#This Row],[Temperature (C)]]-5)/Table2[[#This Row],[Temperature (C)]])))/Table2[[#This Row],[b]]</f>
        <v>#DIV/0!</v>
      </c>
      <c r="AQ342" s="15">
        <f>IF(Table2[[#This Row],[b]]&lt;&gt;"",Table2[[#This Row],[T-5]], 0)</f>
        <v>0</v>
      </c>
      <c r="AR342">
        <v>31.6</v>
      </c>
      <c r="AT342" t="s">
        <v>503</v>
      </c>
      <c r="AU342">
        <v>300</v>
      </c>
      <c r="AV342" s="15">
        <v>4.7</v>
      </c>
      <c r="AW342" s="15">
        <v>34.6</v>
      </c>
      <c r="AX342" s="15">
        <f>100-Table2[[#This Row],[Solids wt%]]-Table2[[#This Row],[Biocrude wt%]]-Table2[[#This Row],[Gas wt%]]</f>
        <v>47.699999999999996</v>
      </c>
      <c r="AY342" s="15">
        <v>13</v>
      </c>
      <c r="AZ342" s="15"/>
      <c r="BA342" s="15"/>
      <c r="BB342" s="15">
        <f>IF(OR(Table2[[#This Row],[Gas wt%]]&lt;&gt;"",Table2[[#This Row],[Loss]]&lt;&gt;""),Table2[[#This Row],[Gas wt%]]+Table2[[#This Row],[Loss]],"")</f>
        <v>13</v>
      </c>
      <c r="BC342" s="15"/>
      <c r="BD342" s="15"/>
      <c r="BE342" s="15"/>
      <c r="BF342" s="15"/>
      <c r="BG342" s="15"/>
      <c r="BH342" s="15"/>
      <c r="BI342" s="15">
        <v>74.599999999999994</v>
      </c>
      <c r="BJ342" s="15">
        <v>9.3000000000000007</v>
      </c>
      <c r="BK342" s="15">
        <v>13.1</v>
      </c>
      <c r="BL342" s="15">
        <v>2.8</v>
      </c>
      <c r="BM342" s="15">
        <v>0.23</v>
      </c>
      <c r="BN342" s="15">
        <v>35.6</v>
      </c>
      <c r="BO342" s="15">
        <v>54.7</v>
      </c>
      <c r="BP342" s="15"/>
      <c r="BQ342" s="15">
        <f>Table2[[#This Row],[H% B]]/Table2[[#This Row],[C% B]]*100</f>
        <v>12.466487935656838</v>
      </c>
      <c r="BR342" s="15"/>
      <c r="BS342" s="15"/>
      <c r="BT342" s="15"/>
      <c r="BU342" s="15"/>
      <c r="BV342" s="15"/>
      <c r="BW342" s="15"/>
      <c r="BX342" s="15"/>
      <c r="BY342" s="15"/>
      <c r="BZ342" s="15"/>
      <c r="CA342" s="15"/>
      <c r="CB342" s="15"/>
      <c r="CC342" s="15"/>
      <c r="CD342" s="15"/>
      <c r="CE342" s="15"/>
      <c r="CF342" s="15">
        <v>44.1</v>
      </c>
      <c r="CG342" s="15">
        <v>4.0999999999999996</v>
      </c>
      <c r="CH342" s="15">
        <v>47.3</v>
      </c>
      <c r="CI342" s="15">
        <v>3.1</v>
      </c>
      <c r="CJ342" s="15"/>
      <c r="CK342" s="15"/>
      <c r="CL342" s="15"/>
      <c r="CM342" s="15"/>
      <c r="CN342" s="15"/>
      <c r="CO342" s="15"/>
      <c r="CP342" s="15"/>
      <c r="CQ342" s="15"/>
      <c r="CR342" s="15"/>
      <c r="CS342" s="15"/>
      <c r="CT342" s="15"/>
      <c r="CU342" s="15"/>
      <c r="CV342" s="15"/>
      <c r="CW342" s="15"/>
      <c r="CX342" s="15"/>
      <c r="CY342" s="15"/>
      <c r="CZ342" s="15"/>
      <c r="DA342" s="15"/>
      <c r="DB342" s="15">
        <v>0</v>
      </c>
    </row>
    <row r="343" spans="1:106" x14ac:dyDescent="0.25">
      <c r="A343" t="s">
        <v>375</v>
      </c>
      <c r="B343" t="s">
        <v>204</v>
      </c>
      <c r="C343">
        <v>2019</v>
      </c>
      <c r="D343" s="16" t="s">
        <v>376</v>
      </c>
      <c r="E343">
        <v>0</v>
      </c>
      <c r="F343" s="15">
        <v>61.961961961961954</v>
      </c>
      <c r="G343" s="15"/>
      <c r="H343" s="15"/>
      <c r="I343" s="15">
        <v>14.714714714714713</v>
      </c>
      <c r="J343" s="15">
        <v>19.919919919919916</v>
      </c>
      <c r="K343" s="15"/>
      <c r="L343" s="15">
        <f>IF(Table2[[#This Row],[Lipids wt%]]+Table2[[#This Row],[Protein wt%]]+Table2[[#This Row],[Carbs wt%]] =0,"",SUM(Table2[[#This Row],[Lipids wt%]],Table2[[#This Row],[Protein wt%]],Table2[[#This Row],[Carbs wt%]]))</f>
        <v>96.596596596596584</v>
      </c>
      <c r="M343" s="15">
        <v>3.4</v>
      </c>
      <c r="Z343" s="15">
        <v>49.9</v>
      </c>
      <c r="AA343" s="15">
        <v>7.5</v>
      </c>
      <c r="AB343" s="15">
        <v>34.6</v>
      </c>
      <c r="AC343" s="15">
        <v>3.1</v>
      </c>
      <c r="AD343" s="15">
        <v>0.22</v>
      </c>
      <c r="AE343" s="15">
        <v>1.1100000000000001</v>
      </c>
      <c r="AF343" s="15">
        <f>(33.5*Table2[[#This Row],[C%]]+142.3*Table2[[#This Row],[H%]]-15.4*Table2[[#This Row],[O%]]-14.5*Table2[[#This Row],[N%]])/100</f>
        <v>21.611099999999997</v>
      </c>
      <c r="AG343" s="15">
        <v>1.2999999999999999E-3</v>
      </c>
      <c r="AH343" s="15"/>
      <c r="AI343" s="15"/>
      <c r="AJ343" s="15">
        <v>2.912621359223301</v>
      </c>
      <c r="AM343" s="13"/>
      <c r="AO343" s="15"/>
      <c r="AP343" s="15" t="e">
        <f>LN(25/Table2[[#This Row],[Temperature (C)]]/(1-SQRT((Table2[[#This Row],[Temperature (C)]]-5)/Table2[[#This Row],[Temperature (C)]])))/Table2[[#This Row],[b]]</f>
        <v>#DIV/0!</v>
      </c>
      <c r="AQ343" s="15">
        <f>IF(Table2[[#This Row],[b]]&lt;&gt;"",Table2[[#This Row],[T-5]], 0)</f>
        <v>0</v>
      </c>
      <c r="AR343">
        <v>1</v>
      </c>
      <c r="AT343" t="s">
        <v>503</v>
      </c>
      <c r="AU343">
        <v>350</v>
      </c>
      <c r="AV343" s="15">
        <v>6.9</v>
      </c>
      <c r="AW343" s="15">
        <v>32.6</v>
      </c>
      <c r="AX343" s="15">
        <f>100-Table2[[#This Row],[Solids wt%]]-Table2[[#This Row],[Biocrude wt%]]-Table2[[#This Row],[Gas wt%]]</f>
        <v>47.499999999999993</v>
      </c>
      <c r="AY343" s="15">
        <v>13</v>
      </c>
      <c r="AZ343" s="15"/>
      <c r="BA343" s="15"/>
      <c r="BB343" s="15">
        <f>IF(OR(Table2[[#This Row],[Gas wt%]]&lt;&gt;"",Table2[[#This Row],[Loss]]&lt;&gt;""),Table2[[#This Row],[Gas wt%]]+Table2[[#This Row],[Loss]],"")</f>
        <v>13</v>
      </c>
      <c r="BC343" s="15"/>
      <c r="BD343" s="15"/>
      <c r="BE343" s="15"/>
      <c r="BF343" s="15"/>
      <c r="BG343" s="15"/>
      <c r="BH343" s="15"/>
      <c r="BI343" s="15">
        <v>71.8</v>
      </c>
      <c r="BJ343" s="15">
        <v>9.3000000000000007</v>
      </c>
      <c r="BK343" s="15">
        <v>16.3</v>
      </c>
      <c r="BL343" s="15">
        <v>2.4</v>
      </c>
      <c r="BM343" s="15">
        <v>0.21</v>
      </c>
      <c r="BN343" s="15">
        <v>34.299999999999997</v>
      </c>
      <c r="BO343" s="15">
        <v>49.8</v>
      </c>
      <c r="BP343" s="15"/>
      <c r="BQ343" s="15">
        <f>Table2[[#This Row],[H% B]]/Table2[[#This Row],[C% B]]*100</f>
        <v>12.952646239554319</v>
      </c>
      <c r="BR343" s="15"/>
      <c r="BS343" s="15"/>
      <c r="BT343" s="15"/>
      <c r="BU343" s="15"/>
      <c r="BV343" s="15"/>
      <c r="BW343" s="15"/>
      <c r="BX343" s="15"/>
      <c r="BY343" s="15"/>
      <c r="BZ343" s="15"/>
      <c r="CA343" s="15"/>
      <c r="CB343" s="15"/>
      <c r="CC343" s="15"/>
      <c r="CD343" s="15"/>
      <c r="CE343" s="15"/>
      <c r="CF343" s="15">
        <v>60.3</v>
      </c>
      <c r="CG343" s="15">
        <v>6</v>
      </c>
      <c r="CH343" s="15">
        <v>25.6</v>
      </c>
      <c r="CI343" s="15">
        <v>5.2</v>
      </c>
      <c r="CJ343" s="15"/>
      <c r="CK343" s="15"/>
      <c r="CL343" s="15"/>
      <c r="CM343" s="15"/>
      <c r="CN343" s="15"/>
      <c r="CO343" s="15"/>
      <c r="CP343" s="15"/>
      <c r="CQ343" s="15"/>
      <c r="CR343" s="15"/>
      <c r="CS343" s="15"/>
      <c r="CT343" s="15"/>
      <c r="CU343" s="15"/>
      <c r="CV343" s="15"/>
      <c r="CW343" s="15"/>
      <c r="CX343" s="15"/>
      <c r="CY343" s="15"/>
      <c r="CZ343" s="15"/>
      <c r="DA343" s="15"/>
      <c r="DB343" s="15">
        <v>0</v>
      </c>
    </row>
    <row r="344" spans="1:106" x14ac:dyDescent="0.25">
      <c r="A344" t="s">
        <v>375</v>
      </c>
      <c r="B344" t="s">
        <v>204</v>
      </c>
      <c r="C344">
        <v>2019</v>
      </c>
      <c r="D344" s="16" t="s">
        <v>376</v>
      </c>
      <c r="E344">
        <v>0</v>
      </c>
      <c r="F344" s="15">
        <v>61.961961961961954</v>
      </c>
      <c r="G344" s="15"/>
      <c r="H344" s="15"/>
      <c r="I344" s="15">
        <v>14.714714714714713</v>
      </c>
      <c r="J344" s="15">
        <v>19.919919919919916</v>
      </c>
      <c r="K344" s="15"/>
      <c r="L344" s="15">
        <f>IF(Table2[[#This Row],[Lipids wt%]]+Table2[[#This Row],[Protein wt%]]+Table2[[#This Row],[Carbs wt%]] =0,"",SUM(Table2[[#This Row],[Lipids wt%]],Table2[[#This Row],[Protein wt%]],Table2[[#This Row],[Carbs wt%]]))</f>
        <v>96.596596596596584</v>
      </c>
      <c r="M344" s="15">
        <v>3.4</v>
      </c>
      <c r="Z344" s="15">
        <v>49.9</v>
      </c>
      <c r="AA344" s="15">
        <v>7.5</v>
      </c>
      <c r="AB344" s="15">
        <v>34.6</v>
      </c>
      <c r="AC344" s="15">
        <v>3.1</v>
      </c>
      <c r="AD344" s="15">
        <v>0.22</v>
      </c>
      <c r="AE344" s="15">
        <v>1.1100000000000001</v>
      </c>
      <c r="AF344" s="15">
        <f>(33.5*Table2[[#This Row],[C%]]+142.3*Table2[[#This Row],[H%]]-15.4*Table2[[#This Row],[O%]]-14.5*Table2[[#This Row],[N%]])/100</f>
        <v>21.611099999999997</v>
      </c>
      <c r="AG344" s="15">
        <v>1.2999999999999999E-3</v>
      </c>
      <c r="AH344" s="15"/>
      <c r="AI344" s="15"/>
      <c r="AJ344" s="15">
        <v>2.912621359223301</v>
      </c>
      <c r="AM344" s="13"/>
      <c r="AO344" s="15"/>
      <c r="AP344" s="15" t="e">
        <f>LN(25/Table2[[#This Row],[Temperature (C)]]/(1-SQRT((Table2[[#This Row],[Temperature (C)]]-5)/Table2[[#This Row],[Temperature (C)]])))/Table2[[#This Row],[b]]</f>
        <v>#DIV/0!</v>
      </c>
      <c r="AQ344" s="15">
        <f>IF(Table2[[#This Row],[b]]&lt;&gt;"",Table2[[#This Row],[T-5]], 0)</f>
        <v>0</v>
      </c>
      <c r="AR344">
        <v>10</v>
      </c>
      <c r="AT344" t="s">
        <v>503</v>
      </c>
      <c r="AU344">
        <v>350</v>
      </c>
      <c r="AV344" s="15">
        <v>3.6</v>
      </c>
      <c r="AW344" s="15">
        <v>33.9</v>
      </c>
      <c r="AX344" s="15">
        <f>100-Table2[[#This Row],[Solids wt%]]-Table2[[#This Row],[Biocrude wt%]]-Table2[[#This Row],[Gas wt%]]</f>
        <v>49.500000000000007</v>
      </c>
      <c r="AY344" s="15">
        <v>13</v>
      </c>
      <c r="AZ344" s="15"/>
      <c r="BA344" s="15"/>
      <c r="BB344" s="15">
        <f>IF(OR(Table2[[#This Row],[Gas wt%]]&lt;&gt;"",Table2[[#This Row],[Loss]]&lt;&gt;""),Table2[[#This Row],[Gas wt%]]+Table2[[#This Row],[Loss]],"")</f>
        <v>13</v>
      </c>
      <c r="BC344" s="15"/>
      <c r="BD344" s="15"/>
      <c r="BE344" s="15"/>
      <c r="BF344" s="15"/>
      <c r="BG344" s="15"/>
      <c r="BH344" s="15"/>
      <c r="BI344" s="15">
        <v>74.5</v>
      </c>
      <c r="BJ344" s="15">
        <v>9.1</v>
      </c>
      <c r="BK344" s="15">
        <v>13.1</v>
      </c>
      <c r="BL344" s="15">
        <v>3</v>
      </c>
      <c r="BM344" s="15">
        <v>0.26</v>
      </c>
      <c r="BN344" s="15">
        <v>35.299999999999997</v>
      </c>
      <c r="BO344" s="15">
        <v>53.2</v>
      </c>
      <c r="BP344" s="15"/>
      <c r="BQ344" s="15">
        <f>Table2[[#This Row],[H% B]]/Table2[[#This Row],[C% B]]*100</f>
        <v>12.214765100671141</v>
      </c>
      <c r="BR344" s="15"/>
      <c r="BS344" s="15"/>
      <c r="BT344" s="15"/>
      <c r="BU344" s="15"/>
      <c r="BV344" s="15"/>
      <c r="BW344" s="15"/>
      <c r="BX344" s="15"/>
      <c r="BY344" s="15"/>
      <c r="BZ344" s="15"/>
      <c r="CA344" s="15"/>
      <c r="CB344" s="15"/>
      <c r="CC344" s="15"/>
      <c r="CD344" s="15"/>
      <c r="CE344" s="15"/>
      <c r="CF344" s="15">
        <v>58.3</v>
      </c>
      <c r="CG344" s="15">
        <v>5.4</v>
      </c>
      <c r="CH344" s="15">
        <v>29.9</v>
      </c>
      <c r="CI344" s="15">
        <v>3.7</v>
      </c>
      <c r="CJ344" s="15"/>
      <c r="CK344" s="15"/>
      <c r="CL344" s="15"/>
      <c r="CM344" s="15"/>
      <c r="CN344" s="15"/>
      <c r="CO344" s="15"/>
      <c r="CP344" s="15"/>
      <c r="CQ344" s="15"/>
      <c r="CR344" s="15"/>
      <c r="CS344" s="15"/>
      <c r="CT344" s="15"/>
      <c r="CU344" s="15"/>
      <c r="CV344" s="15"/>
      <c r="CW344" s="15"/>
      <c r="CX344" s="15"/>
      <c r="CY344" s="15"/>
      <c r="CZ344" s="15"/>
      <c r="DA344" s="15"/>
      <c r="DB344" s="15">
        <v>0</v>
      </c>
    </row>
    <row r="345" spans="1:106" x14ac:dyDescent="0.25">
      <c r="A345" t="s">
        <v>375</v>
      </c>
      <c r="B345" t="s">
        <v>204</v>
      </c>
      <c r="C345">
        <v>2019</v>
      </c>
      <c r="D345" s="16" t="s">
        <v>376</v>
      </c>
      <c r="E345">
        <v>0</v>
      </c>
      <c r="F345" s="15">
        <v>61.961961961961954</v>
      </c>
      <c r="G345" s="15"/>
      <c r="H345" s="15"/>
      <c r="I345" s="15">
        <v>14.714714714714713</v>
      </c>
      <c r="J345" s="15">
        <v>19.919919919919916</v>
      </c>
      <c r="K345" s="15"/>
      <c r="L345" s="15">
        <f>IF(Table2[[#This Row],[Lipids wt%]]+Table2[[#This Row],[Protein wt%]]+Table2[[#This Row],[Carbs wt%]] =0,"",SUM(Table2[[#This Row],[Lipids wt%]],Table2[[#This Row],[Protein wt%]],Table2[[#This Row],[Carbs wt%]]))</f>
        <v>96.596596596596584</v>
      </c>
      <c r="M345" s="15">
        <v>3.4</v>
      </c>
      <c r="Z345" s="15">
        <v>49.9</v>
      </c>
      <c r="AA345" s="15">
        <v>7.5</v>
      </c>
      <c r="AB345" s="15">
        <v>34.6</v>
      </c>
      <c r="AC345" s="15">
        <v>3.1</v>
      </c>
      <c r="AD345" s="15">
        <v>0.22</v>
      </c>
      <c r="AE345" s="15">
        <v>1.1100000000000001</v>
      </c>
      <c r="AF345" s="15">
        <f>(33.5*Table2[[#This Row],[C%]]+142.3*Table2[[#This Row],[H%]]-15.4*Table2[[#This Row],[O%]]-14.5*Table2[[#This Row],[N%]])/100</f>
        <v>21.611099999999997</v>
      </c>
      <c r="AG345" s="15">
        <v>1.2999999999999999E-3</v>
      </c>
      <c r="AH345" s="15"/>
      <c r="AI345" s="15"/>
      <c r="AJ345" s="15">
        <v>2.912621359223301</v>
      </c>
      <c r="AM345" s="13"/>
      <c r="AO345" s="15"/>
      <c r="AP345" s="15" t="e">
        <f>LN(25/Table2[[#This Row],[Temperature (C)]]/(1-SQRT((Table2[[#This Row],[Temperature (C)]]-5)/Table2[[#This Row],[Temperature (C)]])))/Table2[[#This Row],[b]]</f>
        <v>#DIV/0!</v>
      </c>
      <c r="AQ345" s="15">
        <f>IF(Table2[[#This Row],[b]]&lt;&gt;"",Table2[[#This Row],[T-5]], 0)</f>
        <v>0</v>
      </c>
      <c r="AR345">
        <v>100</v>
      </c>
      <c r="AT345" t="s">
        <v>503</v>
      </c>
      <c r="AU345">
        <v>350</v>
      </c>
      <c r="AV345" s="15">
        <v>1.6</v>
      </c>
      <c r="AW345" s="15">
        <v>30.3</v>
      </c>
      <c r="AX345" s="15">
        <f>100-Table2[[#This Row],[Solids wt%]]-Table2[[#This Row],[Biocrude wt%]]-Table2[[#This Row],[Gas wt%]]</f>
        <v>52.100000000000009</v>
      </c>
      <c r="AY345" s="15">
        <v>16</v>
      </c>
      <c r="AZ345" s="15"/>
      <c r="BA345" s="15"/>
      <c r="BB345" s="15">
        <f>IF(OR(Table2[[#This Row],[Gas wt%]]&lt;&gt;"",Table2[[#This Row],[Loss]]&lt;&gt;""),Table2[[#This Row],[Gas wt%]]+Table2[[#This Row],[Loss]],"")</f>
        <v>16</v>
      </c>
      <c r="BC345" s="15"/>
      <c r="BD345" s="15"/>
      <c r="BE345" s="15"/>
      <c r="BF345" s="15"/>
      <c r="BG345" s="15"/>
      <c r="BH345" s="15"/>
      <c r="BI345" s="15">
        <v>76.2</v>
      </c>
      <c r="BJ345" s="15">
        <v>9.1</v>
      </c>
      <c r="BK345" s="15">
        <v>11.4</v>
      </c>
      <c r="BL345" s="15">
        <v>2.9</v>
      </c>
      <c r="BM345" s="15">
        <v>0.26</v>
      </c>
      <c r="BN345" s="15">
        <v>36.1</v>
      </c>
      <c r="BO345" s="15">
        <v>48.6</v>
      </c>
      <c r="BP345" s="15"/>
      <c r="BQ345" s="15">
        <f>Table2[[#This Row],[H% B]]/Table2[[#This Row],[C% B]]*100</f>
        <v>11.942257217847768</v>
      </c>
      <c r="BR345" s="15"/>
      <c r="BS345" s="15"/>
      <c r="BT345" s="15"/>
      <c r="BU345" s="15"/>
      <c r="BV345" s="15"/>
      <c r="BW345" s="15"/>
      <c r="BX345" s="15"/>
      <c r="BY345" s="15"/>
      <c r="BZ345" s="15"/>
      <c r="CA345" s="15"/>
      <c r="CB345" s="15"/>
      <c r="CC345" s="15"/>
      <c r="CD345" s="15"/>
      <c r="CE345" s="15"/>
      <c r="CF345" s="15"/>
      <c r="CG345" s="15"/>
      <c r="CH345" s="15"/>
      <c r="CI345" s="15"/>
      <c r="CJ345" s="15"/>
      <c r="CK345" s="15"/>
      <c r="CL345" s="15"/>
      <c r="CM345" s="15"/>
      <c r="CN345" s="15"/>
      <c r="CO345" s="15"/>
      <c r="CP345" s="15"/>
      <c r="CQ345" s="15"/>
      <c r="CR345" s="15"/>
      <c r="CS345" s="15"/>
      <c r="CT345" s="15"/>
      <c r="CU345" s="15"/>
      <c r="CV345" s="15"/>
      <c r="CW345" s="15"/>
      <c r="CX345" s="15"/>
      <c r="CY345" s="15"/>
      <c r="CZ345" s="15"/>
      <c r="DA345" s="15"/>
      <c r="DB345" s="15">
        <v>0</v>
      </c>
    </row>
    <row r="346" spans="1:106" x14ac:dyDescent="0.25">
      <c r="A346" t="s">
        <v>375</v>
      </c>
      <c r="B346" t="s">
        <v>204</v>
      </c>
      <c r="C346">
        <v>2019</v>
      </c>
      <c r="D346" s="16" t="s">
        <v>376</v>
      </c>
      <c r="E346">
        <v>0</v>
      </c>
      <c r="F346" s="15">
        <v>61.961961961961954</v>
      </c>
      <c r="G346" s="15"/>
      <c r="H346" s="15"/>
      <c r="I346" s="15">
        <v>14.714714714714713</v>
      </c>
      <c r="J346" s="15">
        <v>19.919919919919916</v>
      </c>
      <c r="K346" s="15"/>
      <c r="L346" s="15">
        <f>IF(Table2[[#This Row],[Lipids wt%]]+Table2[[#This Row],[Protein wt%]]+Table2[[#This Row],[Carbs wt%]] =0,"",SUM(Table2[[#This Row],[Lipids wt%]],Table2[[#This Row],[Protein wt%]],Table2[[#This Row],[Carbs wt%]]))</f>
        <v>96.596596596596584</v>
      </c>
      <c r="M346" s="15">
        <v>3.4</v>
      </c>
      <c r="Z346" s="15">
        <v>49.9</v>
      </c>
      <c r="AA346" s="15">
        <v>7.5</v>
      </c>
      <c r="AB346" s="15">
        <v>34.6</v>
      </c>
      <c r="AC346" s="15">
        <v>3.1</v>
      </c>
      <c r="AD346" s="15">
        <v>0.22</v>
      </c>
      <c r="AE346" s="15">
        <v>1.1100000000000001</v>
      </c>
      <c r="AF346" s="15">
        <f>(33.5*Table2[[#This Row],[C%]]+142.3*Table2[[#This Row],[H%]]-15.4*Table2[[#This Row],[O%]]-14.5*Table2[[#This Row],[N%]])/100</f>
        <v>21.611099999999997</v>
      </c>
      <c r="AG346" s="15">
        <v>1.2999999999999999E-3</v>
      </c>
      <c r="AH346" s="15"/>
      <c r="AI346" s="15"/>
      <c r="AJ346" s="15">
        <v>10.714285714285714</v>
      </c>
      <c r="AM346" s="13"/>
      <c r="AO346" s="15"/>
      <c r="AP346" s="15" t="e">
        <f>LN(25/Table2[[#This Row],[Temperature (C)]]/(1-SQRT((Table2[[#This Row],[Temperature (C)]]-5)/Table2[[#This Row],[Temperature (C)]])))/Table2[[#This Row],[b]]</f>
        <v>#DIV/0!</v>
      </c>
      <c r="AQ346" s="15">
        <f>IF(Table2[[#This Row],[b]]&lt;&gt;"",Table2[[#This Row],[T-5]], 0)</f>
        <v>0</v>
      </c>
      <c r="AR346">
        <v>0</v>
      </c>
      <c r="AT346" t="s">
        <v>503</v>
      </c>
      <c r="AU346">
        <v>150</v>
      </c>
      <c r="AV346" s="15">
        <v>93.1</v>
      </c>
      <c r="AW346" s="15">
        <v>0.6</v>
      </c>
      <c r="AX346" s="15">
        <f>100-Table2[[#This Row],[Solids wt%]]-Table2[[#This Row],[Biocrude wt%]]-Table2[[#This Row],[Gas wt%]]</f>
        <v>6.0000000000000062</v>
      </c>
      <c r="AY346" s="15">
        <v>0.3</v>
      </c>
      <c r="AZ346" s="15"/>
      <c r="BA346" s="15"/>
      <c r="BB346" s="15">
        <f>IF(OR(Table2[[#This Row],[Gas wt%]]&lt;&gt;"",Table2[[#This Row],[Loss]]&lt;&gt;""),Table2[[#This Row],[Gas wt%]]+Table2[[#This Row],[Loss]],"")</f>
        <v>0.3</v>
      </c>
      <c r="BC346" s="15"/>
      <c r="BD346" s="15"/>
      <c r="BE346" s="15"/>
      <c r="BF346" s="15"/>
      <c r="BG346" s="15"/>
      <c r="BH346" s="15"/>
      <c r="BI346" s="15"/>
      <c r="BJ346" s="15"/>
      <c r="BK346" s="15"/>
      <c r="BL346" s="15"/>
      <c r="BM346" s="15"/>
      <c r="BN346" s="15"/>
      <c r="BO346" s="15"/>
      <c r="BP346" s="15"/>
      <c r="BQ346" s="15"/>
      <c r="BR346" s="15"/>
      <c r="BS346" s="15"/>
      <c r="BT346" s="15"/>
      <c r="BU346" s="15"/>
      <c r="BV346" s="15"/>
      <c r="BW346" s="15"/>
      <c r="BX346" s="15"/>
      <c r="BY346" s="15"/>
      <c r="BZ346" s="15"/>
      <c r="CA346" s="15"/>
      <c r="CB346" s="15"/>
      <c r="CC346" s="15"/>
      <c r="CD346" s="15"/>
      <c r="CE346" s="15"/>
      <c r="CF346" s="15">
        <v>49.5</v>
      </c>
      <c r="CG346" s="15">
        <v>7.5</v>
      </c>
      <c r="CH346" s="15">
        <v>34.799999999999997</v>
      </c>
      <c r="CI346" s="15">
        <v>3.1</v>
      </c>
      <c r="CJ346" s="15">
        <v>0.23</v>
      </c>
      <c r="CK346" s="15"/>
      <c r="CL346" s="15"/>
      <c r="CM346" s="15"/>
      <c r="CN346" s="15"/>
      <c r="CO346" s="15"/>
      <c r="CP346" s="15"/>
      <c r="CQ346" s="15"/>
      <c r="CR346" s="15"/>
      <c r="CS346" s="15"/>
      <c r="CT346" s="15"/>
      <c r="CU346" s="15"/>
      <c r="CV346" s="15"/>
      <c r="CW346" s="15"/>
      <c r="CX346" s="15"/>
      <c r="CY346" s="15"/>
      <c r="CZ346" s="15"/>
      <c r="DA346" s="15"/>
      <c r="DB346" s="15">
        <v>0</v>
      </c>
    </row>
    <row r="347" spans="1:106" x14ac:dyDescent="0.25">
      <c r="A347" t="s">
        <v>375</v>
      </c>
      <c r="B347" t="s">
        <v>204</v>
      </c>
      <c r="C347">
        <v>2019</v>
      </c>
      <c r="D347" s="16" t="s">
        <v>376</v>
      </c>
      <c r="E347">
        <v>0</v>
      </c>
      <c r="F347" s="15">
        <v>61.961961961961954</v>
      </c>
      <c r="G347" s="15"/>
      <c r="H347" s="15"/>
      <c r="I347" s="15">
        <v>14.714714714714713</v>
      </c>
      <c r="J347" s="15">
        <v>19.919919919919916</v>
      </c>
      <c r="K347" s="15"/>
      <c r="L347" s="15">
        <f>IF(Table2[[#This Row],[Lipids wt%]]+Table2[[#This Row],[Protein wt%]]+Table2[[#This Row],[Carbs wt%]] =0,"",SUM(Table2[[#This Row],[Lipids wt%]],Table2[[#This Row],[Protein wt%]],Table2[[#This Row],[Carbs wt%]]))</f>
        <v>96.596596596596584</v>
      </c>
      <c r="M347" s="15">
        <v>3.4</v>
      </c>
      <c r="Z347" s="15">
        <v>49.9</v>
      </c>
      <c r="AA347" s="15">
        <v>7.5</v>
      </c>
      <c r="AB347" s="15">
        <v>34.6</v>
      </c>
      <c r="AC347" s="15">
        <v>3.1</v>
      </c>
      <c r="AD347" s="15">
        <v>0.22</v>
      </c>
      <c r="AE347" s="15">
        <v>1.1100000000000001</v>
      </c>
      <c r="AF347" s="15">
        <f>(33.5*Table2[[#This Row],[C%]]+142.3*Table2[[#This Row],[H%]]-15.4*Table2[[#This Row],[O%]]-14.5*Table2[[#This Row],[N%]])/100</f>
        <v>21.611099999999997</v>
      </c>
      <c r="AG347" s="15">
        <v>1.2999999999999999E-3</v>
      </c>
      <c r="AH347" s="15"/>
      <c r="AI347" s="15"/>
      <c r="AJ347" s="15">
        <v>10.714285714285714</v>
      </c>
      <c r="AM347" s="13"/>
      <c r="AO347" s="15"/>
      <c r="AP347" s="15" t="e">
        <f>LN(25/Table2[[#This Row],[Temperature (C)]]/(1-SQRT((Table2[[#This Row],[Temperature (C)]]-5)/Table2[[#This Row],[Temperature (C)]])))/Table2[[#This Row],[b]]</f>
        <v>#DIV/0!</v>
      </c>
      <c r="AQ347" s="15">
        <f>IF(Table2[[#This Row],[b]]&lt;&gt;"",Table2[[#This Row],[T-5]], 0)</f>
        <v>0</v>
      </c>
      <c r="AR347">
        <v>1</v>
      </c>
      <c r="AT347" t="s">
        <v>503</v>
      </c>
      <c r="AU347">
        <v>150</v>
      </c>
      <c r="AV347" s="15">
        <v>84.4</v>
      </c>
      <c r="AW347" s="15">
        <v>1.7</v>
      </c>
      <c r="AX347" s="15">
        <f>100-Table2[[#This Row],[Solids wt%]]-Table2[[#This Row],[Biocrude wt%]]-Table2[[#This Row],[Gas wt%]]</f>
        <v>13.299999999999995</v>
      </c>
      <c r="AY347" s="15">
        <v>0.6</v>
      </c>
      <c r="AZ347" s="15"/>
      <c r="BA347" s="15"/>
      <c r="BB347" s="15">
        <f>IF(OR(Table2[[#This Row],[Gas wt%]]&lt;&gt;"",Table2[[#This Row],[Loss]]&lt;&gt;""),Table2[[#This Row],[Gas wt%]]+Table2[[#This Row],[Loss]],"")</f>
        <v>0.6</v>
      </c>
      <c r="BC347" s="15"/>
      <c r="BD347" s="15"/>
      <c r="BE347" s="15"/>
      <c r="BF347" s="15"/>
      <c r="BG347" s="15"/>
      <c r="BH347" s="15"/>
      <c r="BI347" s="15">
        <v>65.3</v>
      </c>
      <c r="BJ347" s="15">
        <v>9.1</v>
      </c>
      <c r="BK347" s="15">
        <v>24.9</v>
      </c>
      <c r="BL347" s="15">
        <v>0.7</v>
      </c>
      <c r="BM347" s="15"/>
      <c r="BN347" s="15">
        <v>30.9</v>
      </c>
      <c r="BO347" s="15">
        <v>2.2999999999999998</v>
      </c>
      <c r="BP347" s="15"/>
      <c r="BQ347" s="15">
        <f>Table2[[#This Row],[H% B]]/Table2[[#This Row],[C% B]]*100</f>
        <v>13.935681470137826</v>
      </c>
      <c r="BR347" s="15"/>
      <c r="BS347" s="15"/>
      <c r="BT347" s="15"/>
      <c r="BU347" s="15"/>
      <c r="BV347" s="15"/>
      <c r="BW347" s="15"/>
      <c r="BX347" s="15"/>
      <c r="BY347" s="15"/>
      <c r="BZ347" s="15"/>
      <c r="CA347" s="15"/>
      <c r="CB347" s="15"/>
      <c r="CC347" s="15"/>
      <c r="CD347" s="15"/>
      <c r="CE347" s="15"/>
      <c r="CF347" s="15">
        <v>50.7</v>
      </c>
      <c r="CG347" s="15">
        <v>7.6</v>
      </c>
      <c r="CH347" s="15">
        <v>37.799999999999997</v>
      </c>
      <c r="CI347" s="15">
        <v>3.2</v>
      </c>
      <c r="CJ347" s="15">
        <v>0.26</v>
      </c>
      <c r="CK347" s="15"/>
      <c r="CL347" s="15"/>
      <c r="CM347" s="15"/>
      <c r="CN347" s="15"/>
      <c r="CO347" s="15"/>
      <c r="CP347" s="15"/>
      <c r="CQ347" s="15"/>
      <c r="CR347" s="15"/>
      <c r="CS347" s="15"/>
      <c r="CT347" s="15"/>
      <c r="CU347" s="15"/>
      <c r="CV347" s="15"/>
      <c r="CW347" s="15"/>
      <c r="CX347" s="15"/>
      <c r="CY347" s="15"/>
      <c r="CZ347" s="15"/>
      <c r="DA347" s="15"/>
      <c r="DB347" s="15">
        <v>0</v>
      </c>
    </row>
    <row r="348" spans="1:106" x14ac:dyDescent="0.25">
      <c r="A348" t="s">
        <v>375</v>
      </c>
      <c r="B348" t="s">
        <v>204</v>
      </c>
      <c r="C348">
        <v>2019</v>
      </c>
      <c r="D348" s="16" t="s">
        <v>376</v>
      </c>
      <c r="E348">
        <v>0</v>
      </c>
      <c r="F348" s="15">
        <v>61.961961961961954</v>
      </c>
      <c r="G348" s="15"/>
      <c r="H348" s="15"/>
      <c r="I348" s="15">
        <v>14.714714714714713</v>
      </c>
      <c r="J348" s="15">
        <v>19.919919919919916</v>
      </c>
      <c r="K348" s="15"/>
      <c r="L348" s="15">
        <f>IF(Table2[[#This Row],[Lipids wt%]]+Table2[[#This Row],[Protein wt%]]+Table2[[#This Row],[Carbs wt%]] =0,"",SUM(Table2[[#This Row],[Lipids wt%]],Table2[[#This Row],[Protein wt%]],Table2[[#This Row],[Carbs wt%]]))</f>
        <v>96.596596596596584</v>
      </c>
      <c r="M348" s="15">
        <v>3.4</v>
      </c>
      <c r="Z348" s="15">
        <v>49.9</v>
      </c>
      <c r="AA348" s="15">
        <v>7.5</v>
      </c>
      <c r="AB348" s="15">
        <v>34.6</v>
      </c>
      <c r="AC348" s="15">
        <v>3.1</v>
      </c>
      <c r="AD348" s="15">
        <v>0.22</v>
      </c>
      <c r="AE348" s="15">
        <v>1.1100000000000001</v>
      </c>
      <c r="AF348" s="15">
        <f>(33.5*Table2[[#This Row],[C%]]+142.3*Table2[[#This Row],[H%]]-15.4*Table2[[#This Row],[O%]]-14.5*Table2[[#This Row],[N%]])/100</f>
        <v>21.611099999999997</v>
      </c>
      <c r="AG348" s="15">
        <v>1.2999999999999999E-3</v>
      </c>
      <c r="AH348" s="15"/>
      <c r="AI348" s="15"/>
      <c r="AJ348" s="15">
        <v>10.714285714285714</v>
      </c>
      <c r="AM348" s="13"/>
      <c r="AO348" s="15"/>
      <c r="AP348" s="15" t="e">
        <f>LN(25/Table2[[#This Row],[Temperature (C)]]/(1-SQRT((Table2[[#This Row],[Temperature (C)]]-5)/Table2[[#This Row],[Temperature (C)]])))/Table2[[#This Row],[b]]</f>
        <v>#DIV/0!</v>
      </c>
      <c r="AQ348" s="15">
        <f>IF(Table2[[#This Row],[b]]&lt;&gt;"",Table2[[#This Row],[T-5]], 0)</f>
        <v>0</v>
      </c>
      <c r="AR348">
        <v>10</v>
      </c>
      <c r="AT348" t="s">
        <v>503</v>
      </c>
      <c r="AU348">
        <v>150</v>
      </c>
      <c r="AV348" s="15">
        <v>78.400000000000006</v>
      </c>
      <c r="AW348" s="15">
        <v>3.4</v>
      </c>
      <c r="AX348" s="15">
        <f>100-Table2[[#This Row],[Solids wt%]]-Table2[[#This Row],[Biocrude wt%]]-Table2[[#This Row],[Gas wt%]]</f>
        <v>17.899999999999995</v>
      </c>
      <c r="AY348" s="15">
        <v>0.3</v>
      </c>
      <c r="AZ348" s="15"/>
      <c r="BA348" s="15"/>
      <c r="BB348" s="15">
        <f>IF(OR(Table2[[#This Row],[Gas wt%]]&lt;&gt;"",Table2[[#This Row],[Loss]]&lt;&gt;""),Table2[[#This Row],[Gas wt%]]+Table2[[#This Row],[Loss]],"")</f>
        <v>0.3</v>
      </c>
      <c r="BC348" s="15"/>
      <c r="BD348" s="15"/>
      <c r="BE348" s="15"/>
      <c r="BF348" s="15"/>
      <c r="BG348" s="15"/>
      <c r="BH348" s="15"/>
      <c r="BI348" s="15">
        <v>66.3</v>
      </c>
      <c r="BJ348" s="15">
        <v>9.6</v>
      </c>
      <c r="BK348" s="15">
        <v>23.7</v>
      </c>
      <c r="BL348" s="15">
        <v>0.4</v>
      </c>
      <c r="BM348" s="15"/>
      <c r="BN348" s="15">
        <v>32</v>
      </c>
      <c r="BO348" s="15">
        <v>4.9000000000000004</v>
      </c>
      <c r="BP348" s="15"/>
      <c r="BQ348" s="15">
        <f>Table2[[#This Row],[H% B]]/Table2[[#This Row],[C% B]]*100</f>
        <v>14.479638009049776</v>
      </c>
      <c r="BR348" s="15"/>
      <c r="BS348" s="15"/>
      <c r="BT348" s="15"/>
      <c r="BU348" s="15"/>
      <c r="BV348" s="15"/>
      <c r="BW348" s="15"/>
      <c r="BX348" s="15"/>
      <c r="BY348" s="15"/>
      <c r="BZ348" s="15"/>
      <c r="CA348" s="15"/>
      <c r="CB348" s="15"/>
      <c r="CC348" s="15"/>
      <c r="CD348" s="15"/>
      <c r="CE348" s="15"/>
      <c r="CF348" s="15">
        <v>51.1</v>
      </c>
      <c r="CG348" s="15">
        <v>7.6</v>
      </c>
      <c r="CH348" s="15">
        <v>37.700000000000003</v>
      </c>
      <c r="CI348" s="15">
        <v>3.1</v>
      </c>
      <c r="CJ348" s="15">
        <v>0.24</v>
      </c>
      <c r="CK348" s="15"/>
      <c r="CL348" s="15"/>
      <c r="CM348" s="15"/>
      <c r="CN348" s="15"/>
      <c r="CO348" s="15"/>
      <c r="CP348" s="15"/>
      <c r="CQ348" s="15"/>
      <c r="CR348" s="15"/>
      <c r="CS348" s="15"/>
      <c r="CT348" s="15"/>
      <c r="CU348" s="15"/>
      <c r="CV348" s="15"/>
      <c r="CW348" s="15"/>
      <c r="CX348" s="15"/>
      <c r="CY348" s="15"/>
      <c r="CZ348" s="15"/>
      <c r="DA348" s="15"/>
      <c r="DB348" s="15">
        <v>0</v>
      </c>
    </row>
    <row r="349" spans="1:106" x14ac:dyDescent="0.25">
      <c r="A349" t="s">
        <v>375</v>
      </c>
      <c r="B349" t="s">
        <v>204</v>
      </c>
      <c r="C349">
        <v>2019</v>
      </c>
      <c r="D349" s="16" t="s">
        <v>376</v>
      </c>
      <c r="E349">
        <v>0</v>
      </c>
      <c r="F349" s="15">
        <v>61.961961961961954</v>
      </c>
      <c r="G349" s="15"/>
      <c r="H349" s="15"/>
      <c r="I349" s="15">
        <v>14.714714714714713</v>
      </c>
      <c r="J349" s="15">
        <v>19.919919919919916</v>
      </c>
      <c r="K349" s="15"/>
      <c r="L349" s="15">
        <f>IF(Table2[[#This Row],[Lipids wt%]]+Table2[[#This Row],[Protein wt%]]+Table2[[#This Row],[Carbs wt%]] =0,"",SUM(Table2[[#This Row],[Lipids wt%]],Table2[[#This Row],[Protein wt%]],Table2[[#This Row],[Carbs wt%]]))</f>
        <v>96.596596596596584</v>
      </c>
      <c r="M349" s="15">
        <v>3.4</v>
      </c>
      <c r="Z349" s="15">
        <v>49.9</v>
      </c>
      <c r="AA349" s="15">
        <v>7.5</v>
      </c>
      <c r="AB349" s="15">
        <v>34.6</v>
      </c>
      <c r="AC349" s="15">
        <v>3.1</v>
      </c>
      <c r="AD349" s="15">
        <v>0.22</v>
      </c>
      <c r="AE349" s="15">
        <v>1.1100000000000001</v>
      </c>
      <c r="AF349" s="15">
        <f>(33.5*Table2[[#This Row],[C%]]+142.3*Table2[[#This Row],[H%]]-15.4*Table2[[#This Row],[O%]]-14.5*Table2[[#This Row],[N%]])/100</f>
        <v>21.611099999999997</v>
      </c>
      <c r="AG349" s="15">
        <v>1.2999999999999999E-3</v>
      </c>
      <c r="AH349" s="15"/>
      <c r="AI349" s="15"/>
      <c r="AJ349" s="15">
        <v>10.714285714285714</v>
      </c>
      <c r="AM349" s="13"/>
      <c r="AO349" s="15"/>
      <c r="AP349" s="15" t="e">
        <f>LN(25/Table2[[#This Row],[Temperature (C)]]/(1-SQRT((Table2[[#This Row],[Temperature (C)]]-5)/Table2[[#This Row],[Temperature (C)]])))/Table2[[#This Row],[b]]</f>
        <v>#DIV/0!</v>
      </c>
      <c r="AQ349" s="15">
        <f>IF(Table2[[#This Row],[b]]&lt;&gt;"",Table2[[#This Row],[T-5]], 0)</f>
        <v>0</v>
      </c>
      <c r="AR349">
        <v>100</v>
      </c>
      <c r="AT349" t="s">
        <v>503</v>
      </c>
      <c r="AU349">
        <v>150</v>
      </c>
      <c r="AV349" s="15">
        <v>47.3</v>
      </c>
      <c r="AW349" s="15">
        <v>13.3</v>
      </c>
      <c r="AX349" s="15">
        <f>100-Table2[[#This Row],[Solids wt%]]-Table2[[#This Row],[Biocrude wt%]]-Table2[[#This Row],[Gas wt%]]</f>
        <v>39.200000000000003</v>
      </c>
      <c r="AY349" s="15">
        <v>0.2</v>
      </c>
      <c r="AZ349" s="15"/>
      <c r="BA349" s="15"/>
      <c r="BB349" s="15">
        <f>IF(OR(Table2[[#This Row],[Gas wt%]]&lt;&gt;"",Table2[[#This Row],[Loss]]&lt;&gt;""),Table2[[#This Row],[Gas wt%]]+Table2[[#This Row],[Loss]],"")</f>
        <v>0.2</v>
      </c>
      <c r="BC349" s="15"/>
      <c r="BD349" s="15"/>
      <c r="BE349" s="15"/>
      <c r="BF349" s="15"/>
      <c r="BG349" s="15"/>
      <c r="BH349" s="15"/>
      <c r="BI349" s="15">
        <v>66</v>
      </c>
      <c r="BJ349" s="15">
        <v>9.5</v>
      </c>
      <c r="BK349" s="15">
        <v>23.8</v>
      </c>
      <c r="BL349" s="15">
        <v>0.7</v>
      </c>
      <c r="BM349" s="15"/>
      <c r="BN349" s="15">
        <v>31.8</v>
      </c>
      <c r="BO349" s="15">
        <v>18.8</v>
      </c>
      <c r="BP349" s="15"/>
      <c r="BQ349" s="15">
        <f>Table2[[#This Row],[H% B]]/Table2[[#This Row],[C% B]]*100</f>
        <v>14.393939393939394</v>
      </c>
      <c r="BR349" s="15"/>
      <c r="BS349" s="15"/>
      <c r="BT349" s="15"/>
      <c r="BU349" s="15"/>
      <c r="BV349" s="15"/>
      <c r="BW349" s="15"/>
      <c r="BX349" s="15"/>
      <c r="BY349" s="15"/>
      <c r="BZ349" s="15"/>
      <c r="CA349" s="15"/>
      <c r="CB349" s="15"/>
      <c r="CC349" s="15"/>
      <c r="CD349" s="15"/>
      <c r="CE349" s="15"/>
      <c r="CF349" s="15">
        <v>49.5</v>
      </c>
      <c r="CG349" s="15">
        <v>7.3</v>
      </c>
      <c r="CH349" s="15">
        <v>38.6</v>
      </c>
      <c r="CI349" s="15">
        <v>4</v>
      </c>
      <c r="CJ349" s="15">
        <v>0.33</v>
      </c>
      <c r="CK349" s="15"/>
      <c r="CL349" s="15"/>
      <c r="CM349" s="15"/>
      <c r="CN349" s="15"/>
      <c r="CO349" s="15"/>
      <c r="CP349" s="15"/>
      <c r="CQ349" s="15"/>
      <c r="CR349" s="15"/>
      <c r="CS349" s="15"/>
      <c r="CT349" s="15"/>
      <c r="CU349" s="15"/>
      <c r="CV349" s="15"/>
      <c r="CW349" s="15"/>
      <c r="CX349" s="15"/>
      <c r="CY349" s="15"/>
      <c r="CZ349" s="15"/>
      <c r="DA349" s="15"/>
      <c r="DB349" s="15">
        <v>0</v>
      </c>
    </row>
    <row r="350" spans="1:106" x14ac:dyDescent="0.25">
      <c r="A350" t="s">
        <v>375</v>
      </c>
      <c r="B350" t="s">
        <v>204</v>
      </c>
      <c r="C350">
        <v>2019</v>
      </c>
      <c r="D350" s="16" t="s">
        <v>376</v>
      </c>
      <c r="E350">
        <v>0</v>
      </c>
      <c r="F350" s="15">
        <v>61.961961961961954</v>
      </c>
      <c r="G350" s="15"/>
      <c r="H350" s="15"/>
      <c r="I350" s="15">
        <v>14.714714714714713</v>
      </c>
      <c r="J350" s="15">
        <v>19.919919919919916</v>
      </c>
      <c r="K350" s="15"/>
      <c r="L350" s="15">
        <f>IF(Table2[[#This Row],[Lipids wt%]]+Table2[[#This Row],[Protein wt%]]+Table2[[#This Row],[Carbs wt%]] =0,"",SUM(Table2[[#This Row],[Lipids wt%]],Table2[[#This Row],[Protein wt%]],Table2[[#This Row],[Carbs wt%]]))</f>
        <v>96.596596596596584</v>
      </c>
      <c r="M350" s="15">
        <v>3.4</v>
      </c>
      <c r="Z350" s="15">
        <v>49.9</v>
      </c>
      <c r="AA350" s="15">
        <v>7.5</v>
      </c>
      <c r="AB350" s="15">
        <v>34.6</v>
      </c>
      <c r="AC350" s="15">
        <v>3.1</v>
      </c>
      <c r="AD350" s="15">
        <v>0.22</v>
      </c>
      <c r="AE350" s="15">
        <v>1.1100000000000001</v>
      </c>
      <c r="AF350" s="15">
        <f>(33.5*Table2[[#This Row],[C%]]+142.3*Table2[[#This Row],[H%]]-15.4*Table2[[#This Row],[O%]]-14.5*Table2[[#This Row],[N%]])/100</f>
        <v>21.611099999999997</v>
      </c>
      <c r="AG350" s="15">
        <v>1.2999999999999999E-3</v>
      </c>
      <c r="AH350" s="15"/>
      <c r="AI350" s="15"/>
      <c r="AJ350" s="15">
        <v>10.714285714285714</v>
      </c>
      <c r="AM350" s="13"/>
      <c r="AO350" s="15"/>
      <c r="AP350" s="15" t="e">
        <f>LN(25/Table2[[#This Row],[Temperature (C)]]/(1-SQRT((Table2[[#This Row],[Temperature (C)]]-5)/Table2[[#This Row],[Temperature (C)]])))/Table2[[#This Row],[b]]</f>
        <v>#DIV/0!</v>
      </c>
      <c r="AQ350" s="15">
        <f>IF(Table2[[#This Row],[b]]&lt;&gt;"",Table2[[#This Row],[T-5]], 0)</f>
        <v>0</v>
      </c>
      <c r="AR350">
        <v>3.2</v>
      </c>
      <c r="AT350" t="s">
        <v>503</v>
      </c>
      <c r="AU350">
        <v>200</v>
      </c>
      <c r="AV350" s="15">
        <v>38.9</v>
      </c>
      <c r="AW350" s="15">
        <v>17.5</v>
      </c>
      <c r="AX350" s="15">
        <f>100-Table2[[#This Row],[Solids wt%]]-Table2[[#This Row],[Biocrude wt%]]-Table2[[#This Row],[Gas wt%]]</f>
        <v>43.2</v>
      </c>
      <c r="AY350" s="15">
        <v>0.4</v>
      </c>
      <c r="AZ350" s="15"/>
      <c r="BA350" s="15"/>
      <c r="BB350" s="15">
        <f>IF(OR(Table2[[#This Row],[Gas wt%]]&lt;&gt;"",Table2[[#This Row],[Loss]]&lt;&gt;""),Table2[[#This Row],[Gas wt%]]+Table2[[#This Row],[Loss]],"")</f>
        <v>0.4</v>
      </c>
      <c r="BC350" s="15"/>
      <c r="BD350" s="15"/>
      <c r="BE350" s="15"/>
      <c r="BF350" s="15"/>
      <c r="BG350" s="15"/>
      <c r="BH350" s="15"/>
      <c r="BI350" s="15">
        <v>66.400000000000006</v>
      </c>
      <c r="BJ350" s="15">
        <v>9.5</v>
      </c>
      <c r="BK350" s="15">
        <v>23.3</v>
      </c>
      <c r="BL350" s="15">
        <v>0.6</v>
      </c>
      <c r="BM350" s="15">
        <v>7.0000000000000007E-2</v>
      </c>
      <c r="BN350" s="15">
        <v>31.9</v>
      </c>
      <c r="BO350" s="15">
        <v>24.7</v>
      </c>
      <c r="BP350" s="15"/>
      <c r="BQ350" s="15">
        <f>Table2[[#This Row],[H% B]]/Table2[[#This Row],[C% B]]*100</f>
        <v>14.307228915662648</v>
      </c>
      <c r="BR350" s="15"/>
      <c r="BS350" s="15"/>
      <c r="BT350" s="15"/>
      <c r="BU350" s="15"/>
      <c r="BV350" s="15"/>
      <c r="BW350" s="15"/>
      <c r="BX350" s="15"/>
      <c r="BY350" s="15"/>
      <c r="BZ350" s="15"/>
      <c r="CA350" s="15"/>
      <c r="CB350" s="15"/>
      <c r="CC350" s="15"/>
      <c r="CD350" s="15"/>
      <c r="CE350" s="15"/>
      <c r="CF350" s="15">
        <v>48.7</v>
      </c>
      <c r="CG350" s="15">
        <v>7.2</v>
      </c>
      <c r="CH350" s="15">
        <v>38.5</v>
      </c>
      <c r="CI350" s="15">
        <v>5</v>
      </c>
      <c r="CJ350" s="15">
        <v>0.33</v>
      </c>
      <c r="CK350" s="15"/>
      <c r="CL350" s="15"/>
      <c r="CM350" s="15"/>
      <c r="CN350" s="15"/>
      <c r="CO350" s="15"/>
      <c r="CP350" s="15"/>
      <c r="CQ350" s="15"/>
      <c r="CR350" s="15"/>
      <c r="CS350" s="15"/>
      <c r="CT350" s="15"/>
      <c r="CU350" s="15"/>
      <c r="CV350" s="15"/>
      <c r="CW350" s="15"/>
      <c r="CX350" s="15"/>
      <c r="CY350" s="15"/>
      <c r="CZ350" s="15"/>
      <c r="DA350" s="15"/>
      <c r="DB350" s="15">
        <v>0</v>
      </c>
    </row>
    <row r="351" spans="1:106" x14ac:dyDescent="0.25">
      <c r="A351" t="s">
        <v>375</v>
      </c>
      <c r="B351" t="s">
        <v>204</v>
      </c>
      <c r="C351">
        <v>2019</v>
      </c>
      <c r="D351" s="16" t="s">
        <v>376</v>
      </c>
      <c r="E351">
        <v>0</v>
      </c>
      <c r="F351" s="15">
        <v>61.961961961961954</v>
      </c>
      <c r="G351" s="15"/>
      <c r="H351" s="15"/>
      <c r="I351" s="15">
        <v>14.714714714714713</v>
      </c>
      <c r="J351" s="15">
        <v>19.919919919919916</v>
      </c>
      <c r="K351" s="15"/>
      <c r="L351" s="15">
        <f>IF(Table2[[#This Row],[Lipids wt%]]+Table2[[#This Row],[Protein wt%]]+Table2[[#This Row],[Carbs wt%]] =0,"",SUM(Table2[[#This Row],[Lipids wt%]],Table2[[#This Row],[Protein wt%]],Table2[[#This Row],[Carbs wt%]]))</f>
        <v>96.596596596596584</v>
      </c>
      <c r="M351" s="15">
        <v>3.4</v>
      </c>
      <c r="Z351" s="15">
        <v>49.9</v>
      </c>
      <c r="AA351" s="15">
        <v>7.5</v>
      </c>
      <c r="AB351" s="15">
        <v>34.6</v>
      </c>
      <c r="AC351" s="15">
        <v>3.1</v>
      </c>
      <c r="AD351" s="15">
        <v>0.22</v>
      </c>
      <c r="AE351" s="15">
        <v>1.1100000000000001</v>
      </c>
      <c r="AF351" s="15">
        <f>(33.5*Table2[[#This Row],[C%]]+142.3*Table2[[#This Row],[H%]]-15.4*Table2[[#This Row],[O%]]-14.5*Table2[[#This Row],[N%]])/100</f>
        <v>21.611099999999997</v>
      </c>
      <c r="AG351" s="15">
        <v>1.2999999999999999E-3</v>
      </c>
      <c r="AH351" s="15"/>
      <c r="AI351" s="15"/>
      <c r="AJ351" s="15">
        <v>10.714285714285714</v>
      </c>
      <c r="AM351" s="13"/>
      <c r="AO351" s="15"/>
      <c r="AP351" s="15" t="e">
        <f>LN(25/Table2[[#This Row],[Temperature (C)]]/(1-SQRT((Table2[[#This Row],[Temperature (C)]]-5)/Table2[[#This Row],[Temperature (C)]])))/Table2[[#This Row],[b]]</f>
        <v>#DIV/0!</v>
      </c>
      <c r="AQ351" s="15">
        <f>IF(Table2[[#This Row],[b]]&lt;&gt;"",Table2[[#This Row],[T-5]], 0)</f>
        <v>0</v>
      </c>
      <c r="AR351">
        <v>31.6</v>
      </c>
      <c r="AT351" t="s">
        <v>503</v>
      </c>
      <c r="AU351">
        <v>200</v>
      </c>
      <c r="AV351" s="15">
        <v>29.5</v>
      </c>
      <c r="AW351" s="15">
        <v>14</v>
      </c>
      <c r="AX351" s="15">
        <f>100-Table2[[#This Row],[Solids wt%]]-Table2[[#This Row],[Biocrude wt%]]-Table2[[#This Row],[Gas wt%]]</f>
        <v>54.8</v>
      </c>
      <c r="AY351" s="15">
        <v>1.7</v>
      </c>
      <c r="AZ351" s="15"/>
      <c r="BA351" s="15"/>
      <c r="BB351" s="15">
        <f>IF(OR(Table2[[#This Row],[Gas wt%]]&lt;&gt;"",Table2[[#This Row],[Loss]]&lt;&gt;""),Table2[[#This Row],[Gas wt%]]+Table2[[#This Row],[Loss]],"")</f>
        <v>1.7</v>
      </c>
      <c r="BC351" s="15"/>
      <c r="BD351" s="15"/>
      <c r="BE351" s="15"/>
      <c r="BF351" s="15"/>
      <c r="BG351" s="15"/>
      <c r="BH351" s="15"/>
      <c r="BI351" s="15">
        <v>69.400000000000006</v>
      </c>
      <c r="BJ351" s="15">
        <v>9.8000000000000007</v>
      </c>
      <c r="BK351" s="15">
        <v>19.8</v>
      </c>
      <c r="BL351" s="15">
        <v>1</v>
      </c>
      <c r="BM351" s="15">
        <v>0.1</v>
      </c>
      <c r="BN351" s="15">
        <v>33.700000000000003</v>
      </c>
      <c r="BO351" s="15">
        <v>20.9</v>
      </c>
      <c r="BP351" s="15"/>
      <c r="BQ351" s="15">
        <f>Table2[[#This Row],[H% B]]/Table2[[#This Row],[C% B]]*100</f>
        <v>14.121037463976945</v>
      </c>
      <c r="BR351" s="15"/>
      <c r="BS351" s="15"/>
      <c r="BT351" s="15"/>
      <c r="BU351" s="15"/>
      <c r="BV351" s="15"/>
      <c r="BW351" s="15"/>
      <c r="BX351" s="15"/>
      <c r="BY351" s="15"/>
      <c r="BZ351" s="15"/>
      <c r="CA351" s="15"/>
      <c r="CB351" s="15"/>
      <c r="CC351" s="15"/>
      <c r="CD351" s="15"/>
      <c r="CE351" s="15"/>
      <c r="CF351" s="15">
        <v>61.4</v>
      </c>
      <c r="CG351" s="15">
        <v>7.7</v>
      </c>
      <c r="CH351" s="15">
        <v>25.3</v>
      </c>
      <c r="CI351" s="15">
        <v>5.2</v>
      </c>
      <c r="CJ351" s="15">
        <v>0.38</v>
      </c>
      <c r="CK351" s="15"/>
      <c r="CL351" s="15"/>
      <c r="CM351" s="15"/>
      <c r="CN351" s="15"/>
      <c r="CO351" s="15"/>
      <c r="CP351" s="15"/>
      <c r="CQ351" s="15"/>
      <c r="CR351" s="15"/>
      <c r="CS351" s="15"/>
      <c r="CT351" s="15"/>
      <c r="CU351" s="15"/>
      <c r="CV351" s="15"/>
      <c r="CW351" s="15"/>
      <c r="CX351" s="15"/>
      <c r="CY351" s="15"/>
      <c r="CZ351" s="15"/>
      <c r="DA351" s="15"/>
      <c r="DB351" s="15">
        <v>0</v>
      </c>
    </row>
    <row r="352" spans="1:106" x14ac:dyDescent="0.25">
      <c r="A352" t="s">
        <v>375</v>
      </c>
      <c r="B352" t="s">
        <v>204</v>
      </c>
      <c r="C352">
        <v>2019</v>
      </c>
      <c r="D352" s="16" t="s">
        <v>376</v>
      </c>
      <c r="E352">
        <v>0</v>
      </c>
      <c r="F352" s="15">
        <v>61.961961961961954</v>
      </c>
      <c r="G352" s="15"/>
      <c r="H352" s="15"/>
      <c r="I352" s="15">
        <v>14.714714714714713</v>
      </c>
      <c r="J352" s="15">
        <v>19.919919919919916</v>
      </c>
      <c r="K352" s="15"/>
      <c r="L352" s="15">
        <f>IF(Table2[[#This Row],[Lipids wt%]]+Table2[[#This Row],[Protein wt%]]+Table2[[#This Row],[Carbs wt%]] =0,"",SUM(Table2[[#This Row],[Lipids wt%]],Table2[[#This Row],[Protein wt%]],Table2[[#This Row],[Carbs wt%]]))</f>
        <v>96.596596596596584</v>
      </c>
      <c r="M352" s="15">
        <v>3.4</v>
      </c>
      <c r="Z352" s="15">
        <v>49.9</v>
      </c>
      <c r="AA352" s="15">
        <v>7.5</v>
      </c>
      <c r="AB352" s="15">
        <v>34.6</v>
      </c>
      <c r="AC352" s="15">
        <v>3.1</v>
      </c>
      <c r="AD352" s="15">
        <v>0.22</v>
      </c>
      <c r="AE352" s="15">
        <v>1.1100000000000001</v>
      </c>
      <c r="AF352" s="15">
        <f>(33.5*Table2[[#This Row],[C%]]+142.3*Table2[[#This Row],[H%]]-15.4*Table2[[#This Row],[O%]]-14.5*Table2[[#This Row],[N%]])/100</f>
        <v>21.611099999999997</v>
      </c>
      <c r="AG352" s="15">
        <v>1.2999999999999999E-3</v>
      </c>
      <c r="AH352" s="15"/>
      <c r="AI352" s="15"/>
      <c r="AJ352" s="15">
        <v>10.714285714285714</v>
      </c>
      <c r="AM352" s="13"/>
      <c r="AO352" s="15"/>
      <c r="AP352" s="15" t="e">
        <f>LN(25/Table2[[#This Row],[Temperature (C)]]/(1-SQRT((Table2[[#This Row],[Temperature (C)]]-5)/Table2[[#This Row],[Temperature (C)]])))/Table2[[#This Row],[b]]</f>
        <v>#DIV/0!</v>
      </c>
      <c r="AQ352" s="15">
        <f>IF(Table2[[#This Row],[b]]&lt;&gt;"",Table2[[#This Row],[T-5]], 0)</f>
        <v>0</v>
      </c>
      <c r="AR352">
        <v>1</v>
      </c>
      <c r="AT352" t="s">
        <v>503</v>
      </c>
      <c r="AU352">
        <v>250</v>
      </c>
      <c r="AV352" s="15">
        <v>28.8</v>
      </c>
      <c r="AW352" s="15">
        <v>15.1</v>
      </c>
      <c r="AX352" s="15">
        <f>100-Table2[[#This Row],[Solids wt%]]-Table2[[#This Row],[Biocrude wt%]]-Table2[[#This Row],[Gas wt%]]</f>
        <v>55.1</v>
      </c>
      <c r="AY352" s="15">
        <v>1</v>
      </c>
      <c r="AZ352" s="15"/>
      <c r="BA352" s="15"/>
      <c r="BB352" s="15">
        <f>IF(OR(Table2[[#This Row],[Gas wt%]]&lt;&gt;"",Table2[[#This Row],[Loss]]&lt;&gt;""),Table2[[#This Row],[Gas wt%]]+Table2[[#This Row],[Loss]],"")</f>
        <v>1</v>
      </c>
      <c r="BC352" s="15"/>
      <c r="BD352" s="15"/>
      <c r="BE352" s="15"/>
      <c r="BF352" s="15"/>
      <c r="BG352" s="15"/>
      <c r="BH352" s="15"/>
      <c r="BI352" s="15">
        <v>68.599999999999994</v>
      </c>
      <c r="BJ352" s="15">
        <v>9.9</v>
      </c>
      <c r="BK352" s="15">
        <v>20.5</v>
      </c>
      <c r="BL352" s="15">
        <v>0.8</v>
      </c>
      <c r="BM352" s="15">
        <v>7.0000000000000007E-2</v>
      </c>
      <c r="BN352" s="15">
        <v>33.5</v>
      </c>
      <c r="BO352" s="15">
        <v>22.5</v>
      </c>
      <c r="BP352" s="15"/>
      <c r="BQ352" s="15">
        <f>Table2[[#This Row],[H% B]]/Table2[[#This Row],[C% B]]*100</f>
        <v>14.431486880466474</v>
      </c>
      <c r="BR352" s="15"/>
      <c r="BS352" s="15"/>
      <c r="BT352" s="15"/>
      <c r="BU352" s="15"/>
      <c r="BV352" s="15"/>
      <c r="BW352" s="15"/>
      <c r="BX352" s="15"/>
      <c r="BY352" s="15"/>
      <c r="BZ352" s="15"/>
      <c r="CA352" s="15"/>
      <c r="CB352" s="15"/>
      <c r="CC352" s="15"/>
      <c r="CD352" s="15"/>
      <c r="CE352" s="15"/>
      <c r="CF352" s="15">
        <v>56.3</v>
      </c>
      <c r="CG352" s="15">
        <v>8.1</v>
      </c>
      <c r="CH352" s="15">
        <v>29</v>
      </c>
      <c r="CI352" s="15">
        <v>5.8</v>
      </c>
      <c r="CJ352" s="15">
        <v>0.41</v>
      </c>
      <c r="CK352" s="15"/>
      <c r="CL352" s="15"/>
      <c r="CM352" s="15"/>
      <c r="CN352" s="15"/>
      <c r="CO352" s="15"/>
      <c r="CP352" s="15"/>
      <c r="CQ352" s="15"/>
      <c r="CR352" s="15"/>
      <c r="CS352" s="15"/>
      <c r="CT352" s="15"/>
      <c r="CU352" s="15"/>
      <c r="CV352" s="15"/>
      <c r="CW352" s="15"/>
      <c r="CX352" s="15"/>
      <c r="CY352" s="15"/>
      <c r="CZ352" s="15"/>
      <c r="DA352" s="15"/>
      <c r="DB352" s="15">
        <v>0</v>
      </c>
    </row>
    <row r="353" spans="1:106" x14ac:dyDescent="0.25">
      <c r="A353" t="s">
        <v>375</v>
      </c>
      <c r="B353" t="s">
        <v>204</v>
      </c>
      <c r="C353">
        <v>2019</v>
      </c>
      <c r="D353" s="16" t="s">
        <v>376</v>
      </c>
      <c r="E353">
        <v>0</v>
      </c>
      <c r="F353" s="15">
        <v>61.961961961961954</v>
      </c>
      <c r="G353" s="15"/>
      <c r="H353" s="15"/>
      <c r="I353" s="15">
        <v>14.714714714714713</v>
      </c>
      <c r="J353" s="15">
        <v>19.919919919919916</v>
      </c>
      <c r="K353" s="15"/>
      <c r="L353" s="15">
        <f>IF(Table2[[#This Row],[Lipids wt%]]+Table2[[#This Row],[Protein wt%]]+Table2[[#This Row],[Carbs wt%]] =0,"",SUM(Table2[[#This Row],[Lipids wt%]],Table2[[#This Row],[Protein wt%]],Table2[[#This Row],[Carbs wt%]]))</f>
        <v>96.596596596596584</v>
      </c>
      <c r="M353" s="15">
        <v>3.4</v>
      </c>
      <c r="Z353" s="15">
        <v>49.9</v>
      </c>
      <c r="AA353" s="15">
        <v>7.5</v>
      </c>
      <c r="AB353" s="15">
        <v>34.6</v>
      </c>
      <c r="AC353" s="15">
        <v>3.1</v>
      </c>
      <c r="AD353" s="15">
        <v>0.22</v>
      </c>
      <c r="AE353" s="15">
        <v>1.1100000000000001</v>
      </c>
      <c r="AF353" s="15">
        <f>(33.5*Table2[[#This Row],[C%]]+142.3*Table2[[#This Row],[H%]]-15.4*Table2[[#This Row],[O%]]-14.5*Table2[[#This Row],[N%]])/100</f>
        <v>21.611099999999997</v>
      </c>
      <c r="AG353" s="15">
        <v>1.2999999999999999E-3</v>
      </c>
      <c r="AH353" s="15"/>
      <c r="AI353" s="15"/>
      <c r="AJ353" s="15">
        <v>10.714285714285714</v>
      </c>
      <c r="AM353" s="13"/>
      <c r="AO353" s="15"/>
      <c r="AP353" s="15" t="e">
        <f>LN(25/Table2[[#This Row],[Temperature (C)]]/(1-SQRT((Table2[[#This Row],[Temperature (C)]]-5)/Table2[[#This Row],[Temperature (C)]])))/Table2[[#This Row],[b]]</f>
        <v>#DIV/0!</v>
      </c>
      <c r="AQ353" s="15">
        <f>IF(Table2[[#This Row],[b]]&lt;&gt;"",Table2[[#This Row],[T-5]], 0)</f>
        <v>0</v>
      </c>
      <c r="AR353">
        <v>10</v>
      </c>
      <c r="AT353" t="s">
        <v>503</v>
      </c>
      <c r="AU353">
        <v>250</v>
      </c>
      <c r="AV353" s="15">
        <v>26.5</v>
      </c>
      <c r="AW353" s="15">
        <v>22.5</v>
      </c>
      <c r="AX353" s="15">
        <f>100-Table2[[#This Row],[Solids wt%]]-Table2[[#This Row],[Biocrude wt%]]-Table2[[#This Row],[Gas wt%]]</f>
        <v>51</v>
      </c>
      <c r="AY353" s="15"/>
      <c r="AZ353" s="15"/>
      <c r="BA353" s="15"/>
      <c r="BB353" s="15" t="str">
        <f>IF(OR(Table2[[#This Row],[Gas wt%]]&lt;&gt;"",Table2[[#This Row],[Loss]]&lt;&gt;""),Table2[[#This Row],[Gas wt%]]+Table2[[#This Row],[Loss]],"")</f>
        <v/>
      </c>
      <c r="BC353" s="15"/>
      <c r="BD353" s="15"/>
      <c r="BE353" s="15"/>
      <c r="BF353" s="15"/>
      <c r="BG353" s="15"/>
      <c r="BH353" s="15"/>
      <c r="BI353" s="15">
        <v>72.3</v>
      </c>
      <c r="BJ353" s="15">
        <v>9.6</v>
      </c>
      <c r="BK353" s="15">
        <v>16.2</v>
      </c>
      <c r="BL353" s="15">
        <v>1.8</v>
      </c>
      <c r="BM353" s="15">
        <v>0.19</v>
      </c>
      <c r="BN353" s="15">
        <v>34.799999999999997</v>
      </c>
      <c r="BO353" s="15">
        <v>34.799999999999997</v>
      </c>
      <c r="BP353" s="15"/>
      <c r="BQ353" s="15">
        <f>Table2[[#This Row],[H% B]]/Table2[[#This Row],[C% B]]*100</f>
        <v>13.278008298755188</v>
      </c>
      <c r="BR353" s="15"/>
      <c r="BS353" s="15"/>
      <c r="BT353" s="15"/>
      <c r="BU353" s="15"/>
      <c r="BV353" s="15"/>
      <c r="BW353" s="15"/>
      <c r="BX353" s="15"/>
      <c r="BY353" s="15"/>
      <c r="BZ353" s="15"/>
      <c r="CA353" s="15"/>
      <c r="CB353" s="15"/>
      <c r="CC353" s="15"/>
      <c r="CD353" s="15"/>
      <c r="CE353" s="15"/>
      <c r="CF353" s="15">
        <v>64.8</v>
      </c>
      <c r="CG353" s="15">
        <v>6.7</v>
      </c>
      <c r="CH353" s="15">
        <v>22.9</v>
      </c>
      <c r="CI353" s="15">
        <v>4.8</v>
      </c>
      <c r="CJ353" s="15">
        <v>0.28000000000000003</v>
      </c>
      <c r="CK353" s="15"/>
      <c r="CL353" s="15"/>
      <c r="CM353" s="15"/>
      <c r="CN353" s="15"/>
      <c r="CO353" s="15"/>
      <c r="CP353" s="15"/>
      <c r="CQ353" s="15"/>
      <c r="CR353" s="15"/>
      <c r="CS353" s="15"/>
      <c r="CT353" s="15"/>
      <c r="CU353" s="15"/>
      <c r="CV353" s="15"/>
      <c r="CW353" s="15"/>
      <c r="CX353" s="15"/>
      <c r="CY353" s="15"/>
      <c r="CZ353" s="15"/>
      <c r="DA353" s="15"/>
      <c r="DB353" s="15">
        <v>0</v>
      </c>
    </row>
    <row r="354" spans="1:106" x14ac:dyDescent="0.25">
      <c r="A354" t="s">
        <v>375</v>
      </c>
      <c r="B354" t="s">
        <v>204</v>
      </c>
      <c r="C354">
        <v>2019</v>
      </c>
      <c r="D354" s="16" t="s">
        <v>376</v>
      </c>
      <c r="E354">
        <v>0</v>
      </c>
      <c r="F354" s="15">
        <v>61.961961961961954</v>
      </c>
      <c r="G354" s="15"/>
      <c r="H354" s="15"/>
      <c r="I354" s="15">
        <v>14.714714714714713</v>
      </c>
      <c r="J354" s="15">
        <v>19.919919919919916</v>
      </c>
      <c r="K354" s="15"/>
      <c r="L354" s="15">
        <f>IF(Table2[[#This Row],[Lipids wt%]]+Table2[[#This Row],[Protein wt%]]+Table2[[#This Row],[Carbs wt%]] =0,"",SUM(Table2[[#This Row],[Lipids wt%]],Table2[[#This Row],[Protein wt%]],Table2[[#This Row],[Carbs wt%]]))</f>
        <v>96.596596596596584</v>
      </c>
      <c r="M354" s="15">
        <v>3.4</v>
      </c>
      <c r="Z354" s="15">
        <v>49.9</v>
      </c>
      <c r="AA354" s="15">
        <v>7.5</v>
      </c>
      <c r="AB354" s="15">
        <v>34.6</v>
      </c>
      <c r="AC354" s="15">
        <v>3.1</v>
      </c>
      <c r="AD354" s="15">
        <v>0.22</v>
      </c>
      <c r="AE354" s="15">
        <v>1.1100000000000001</v>
      </c>
      <c r="AF354" s="15">
        <f>(33.5*Table2[[#This Row],[C%]]+142.3*Table2[[#This Row],[H%]]-15.4*Table2[[#This Row],[O%]]-14.5*Table2[[#This Row],[N%]])/100</f>
        <v>21.611099999999997</v>
      </c>
      <c r="AG354" s="15">
        <v>1.2999999999999999E-3</v>
      </c>
      <c r="AH354" s="15"/>
      <c r="AI354" s="15"/>
      <c r="AJ354" s="15">
        <v>10.714285714285714</v>
      </c>
      <c r="AM354" s="13"/>
      <c r="AO354" s="15"/>
      <c r="AP354" s="15" t="e">
        <f>LN(25/Table2[[#This Row],[Temperature (C)]]/(1-SQRT((Table2[[#This Row],[Temperature (C)]]-5)/Table2[[#This Row],[Temperature (C)]])))/Table2[[#This Row],[b]]</f>
        <v>#DIV/0!</v>
      </c>
      <c r="AQ354" s="15">
        <f>IF(Table2[[#This Row],[b]]&lt;&gt;"",Table2[[#This Row],[T-5]], 0)</f>
        <v>0</v>
      </c>
      <c r="AR354">
        <v>100</v>
      </c>
      <c r="AT354" t="s">
        <v>503</v>
      </c>
      <c r="AU354">
        <v>250</v>
      </c>
      <c r="AV354" s="15">
        <v>22.1</v>
      </c>
      <c r="AW354" s="15">
        <v>25.9</v>
      </c>
      <c r="AX354" s="15">
        <f>100-Table2[[#This Row],[Solids wt%]]-Table2[[#This Row],[Biocrude wt%]]-Table2[[#This Row],[Gas wt%]]</f>
        <v>52.000000000000007</v>
      </c>
      <c r="AY354" s="15"/>
      <c r="AZ354" s="15"/>
      <c r="BA354" s="15"/>
      <c r="BB354" s="15" t="str">
        <f>IF(OR(Table2[[#This Row],[Gas wt%]]&lt;&gt;"",Table2[[#This Row],[Loss]]&lt;&gt;""),Table2[[#This Row],[Gas wt%]]+Table2[[#This Row],[Loss]],"")</f>
        <v/>
      </c>
      <c r="BC354" s="15"/>
      <c r="BD354" s="15"/>
      <c r="BE354" s="15"/>
      <c r="BF354" s="15"/>
      <c r="BG354" s="15"/>
      <c r="BH354" s="15"/>
      <c r="BI354" s="15">
        <v>75.599999999999994</v>
      </c>
      <c r="BJ354" s="15">
        <v>10</v>
      </c>
      <c r="BK354" s="15">
        <v>11.9</v>
      </c>
      <c r="BL354" s="15">
        <v>2.2999999999999998</v>
      </c>
      <c r="BM354" s="15">
        <v>0.19</v>
      </c>
      <c r="BN354" s="15">
        <v>36.9</v>
      </c>
      <c r="BO354" s="15">
        <v>42.5</v>
      </c>
      <c r="BP354" s="15"/>
      <c r="BQ354" s="15">
        <f>Table2[[#This Row],[H% B]]/Table2[[#This Row],[C% B]]*100</f>
        <v>13.22751322751323</v>
      </c>
      <c r="BR354" s="15"/>
      <c r="BS354" s="15"/>
      <c r="BT354" s="15"/>
      <c r="BU354" s="15"/>
      <c r="BV354" s="15"/>
      <c r="BW354" s="15"/>
      <c r="BX354" s="15"/>
      <c r="BY354" s="15"/>
      <c r="BZ354" s="15"/>
      <c r="CA354" s="15"/>
      <c r="CB354" s="15"/>
      <c r="CC354" s="15"/>
      <c r="CD354" s="15"/>
      <c r="CE354" s="15"/>
      <c r="CF354" s="15">
        <v>69.2</v>
      </c>
      <c r="CG354" s="15">
        <v>6.4</v>
      </c>
      <c r="CH354" s="15">
        <v>19</v>
      </c>
      <c r="CI354" s="15">
        <v>4.8</v>
      </c>
      <c r="CJ354" s="15">
        <v>0.24</v>
      </c>
      <c r="CK354" s="15"/>
      <c r="CL354" s="15"/>
      <c r="CM354" s="15"/>
      <c r="CN354" s="15"/>
      <c r="CO354" s="15"/>
      <c r="CP354" s="15"/>
      <c r="CQ354" s="15"/>
      <c r="CR354" s="15"/>
      <c r="CS354" s="15"/>
      <c r="CT354" s="15"/>
      <c r="CU354" s="15"/>
      <c r="CV354" s="15"/>
      <c r="CW354" s="15"/>
      <c r="CX354" s="15"/>
      <c r="CY354" s="15"/>
      <c r="CZ354" s="15"/>
      <c r="DA354" s="15"/>
      <c r="DB354" s="15">
        <v>0</v>
      </c>
    </row>
    <row r="355" spans="1:106" x14ac:dyDescent="0.25">
      <c r="A355" t="s">
        <v>375</v>
      </c>
      <c r="B355" t="s">
        <v>204</v>
      </c>
      <c r="C355">
        <v>2019</v>
      </c>
      <c r="D355" s="16" t="s">
        <v>376</v>
      </c>
      <c r="E355">
        <v>0</v>
      </c>
      <c r="F355" s="15">
        <v>61.961961961961954</v>
      </c>
      <c r="G355" s="15"/>
      <c r="H355" s="15"/>
      <c r="I355" s="15">
        <v>14.714714714714713</v>
      </c>
      <c r="J355" s="15">
        <v>19.919919919919916</v>
      </c>
      <c r="K355" s="15"/>
      <c r="L355" s="15">
        <f>IF(Table2[[#This Row],[Lipids wt%]]+Table2[[#This Row],[Protein wt%]]+Table2[[#This Row],[Carbs wt%]] =0,"",SUM(Table2[[#This Row],[Lipids wt%]],Table2[[#This Row],[Protein wt%]],Table2[[#This Row],[Carbs wt%]]))</f>
        <v>96.596596596596584</v>
      </c>
      <c r="M355" s="15">
        <v>3.4</v>
      </c>
      <c r="Z355" s="15">
        <v>49.9</v>
      </c>
      <c r="AA355" s="15">
        <v>7.5</v>
      </c>
      <c r="AB355" s="15">
        <v>34.6</v>
      </c>
      <c r="AC355" s="15">
        <v>3.1</v>
      </c>
      <c r="AD355" s="15">
        <v>0.22</v>
      </c>
      <c r="AE355" s="15">
        <v>1.1100000000000001</v>
      </c>
      <c r="AF355" s="15">
        <f>(33.5*Table2[[#This Row],[C%]]+142.3*Table2[[#This Row],[H%]]-15.4*Table2[[#This Row],[O%]]-14.5*Table2[[#This Row],[N%]])/100</f>
        <v>21.611099999999997</v>
      </c>
      <c r="AG355" s="15">
        <v>1.2999999999999999E-3</v>
      </c>
      <c r="AH355" s="15"/>
      <c r="AI355" s="15"/>
      <c r="AJ355" s="15">
        <v>10.714285714285714</v>
      </c>
      <c r="AM355" s="13"/>
      <c r="AO355" s="15"/>
      <c r="AP355" s="15" t="e">
        <f>LN(25/Table2[[#This Row],[Temperature (C)]]/(1-SQRT((Table2[[#This Row],[Temperature (C)]]-5)/Table2[[#This Row],[Temperature (C)]])))/Table2[[#This Row],[b]]</f>
        <v>#DIV/0!</v>
      </c>
      <c r="AQ355" s="15">
        <f>IF(Table2[[#This Row],[b]]&lt;&gt;"",Table2[[#This Row],[T-5]], 0)</f>
        <v>0</v>
      </c>
      <c r="AR355">
        <v>3.2</v>
      </c>
      <c r="AT355" t="s">
        <v>503</v>
      </c>
      <c r="AU355">
        <v>300</v>
      </c>
      <c r="AV355" s="15">
        <v>14.9</v>
      </c>
      <c r="AW355" s="15">
        <v>33.5</v>
      </c>
      <c r="AX355" s="15">
        <f>100-Table2[[#This Row],[Solids wt%]]-Table2[[#This Row],[Biocrude wt%]]-Table2[[#This Row],[Gas wt%]]</f>
        <v>51.599999999999994</v>
      </c>
      <c r="AY355" s="15"/>
      <c r="AZ355" s="15"/>
      <c r="BA355" s="15"/>
      <c r="BB355" s="15" t="str">
        <f>IF(OR(Table2[[#This Row],[Gas wt%]]&lt;&gt;"",Table2[[#This Row],[Loss]]&lt;&gt;""),Table2[[#This Row],[Gas wt%]]+Table2[[#This Row],[Loss]],"")</f>
        <v/>
      </c>
      <c r="BC355" s="15"/>
      <c r="BD355" s="15"/>
      <c r="BE355" s="15"/>
      <c r="BF355" s="15"/>
      <c r="BG355" s="15"/>
      <c r="BH355" s="15"/>
      <c r="BI355" s="15">
        <v>72.7</v>
      </c>
      <c r="BJ355" s="15">
        <v>9.3000000000000007</v>
      </c>
      <c r="BK355" s="15">
        <v>15.3</v>
      </c>
      <c r="BL355" s="15">
        <v>2.4</v>
      </c>
      <c r="BM355" s="15">
        <v>0.23</v>
      </c>
      <c r="BN355" s="15">
        <v>34.700000000000003</v>
      </c>
      <c r="BO355" s="15">
        <v>51.7</v>
      </c>
      <c r="BP355" s="15"/>
      <c r="BQ355" s="15">
        <f>Table2[[#This Row],[H% B]]/Table2[[#This Row],[C% B]]*100</f>
        <v>12.792297111416781</v>
      </c>
      <c r="BR355" s="15"/>
      <c r="BS355" s="15"/>
      <c r="BT355" s="15"/>
      <c r="BU355" s="15"/>
      <c r="BV355" s="15"/>
      <c r="BW355" s="15"/>
      <c r="BX355" s="15"/>
      <c r="BY355" s="15"/>
      <c r="BZ355" s="15"/>
      <c r="CA355" s="15"/>
      <c r="CB355" s="15"/>
      <c r="CC355" s="15"/>
      <c r="CD355" s="15"/>
      <c r="CE355" s="15"/>
      <c r="CF355" s="15">
        <v>65.3</v>
      </c>
      <c r="CG355" s="15">
        <v>6.2</v>
      </c>
      <c r="CH355" s="15">
        <v>22.4</v>
      </c>
      <c r="CI355" s="15">
        <v>5.0999999999999996</v>
      </c>
      <c r="CJ355" s="15">
        <v>0.25</v>
      </c>
      <c r="CK355" s="15"/>
      <c r="CL355" s="15"/>
      <c r="CM355" s="15"/>
      <c r="CN355" s="15"/>
      <c r="CO355" s="15"/>
      <c r="CP355" s="15"/>
      <c r="CQ355" s="15"/>
      <c r="CR355" s="15"/>
      <c r="CS355" s="15"/>
      <c r="CT355" s="15"/>
      <c r="CU355" s="15"/>
      <c r="CV355" s="15"/>
      <c r="CW355" s="15"/>
      <c r="CX355" s="15"/>
      <c r="CY355" s="15"/>
      <c r="CZ355" s="15"/>
      <c r="DA355" s="15"/>
      <c r="DB355" s="15">
        <v>0</v>
      </c>
    </row>
    <row r="356" spans="1:106" x14ac:dyDescent="0.25">
      <c r="A356" t="s">
        <v>375</v>
      </c>
      <c r="B356" t="s">
        <v>204</v>
      </c>
      <c r="C356">
        <v>2019</v>
      </c>
      <c r="D356" s="16" t="s">
        <v>376</v>
      </c>
      <c r="E356">
        <v>0</v>
      </c>
      <c r="F356" s="15">
        <v>61.961961961961954</v>
      </c>
      <c r="G356" s="15"/>
      <c r="H356" s="15"/>
      <c r="I356" s="15">
        <v>14.714714714714713</v>
      </c>
      <c r="J356" s="15">
        <v>19.919919919919916</v>
      </c>
      <c r="K356" s="15"/>
      <c r="L356" s="15">
        <f>IF(Table2[[#This Row],[Lipids wt%]]+Table2[[#This Row],[Protein wt%]]+Table2[[#This Row],[Carbs wt%]] =0,"",SUM(Table2[[#This Row],[Lipids wt%]],Table2[[#This Row],[Protein wt%]],Table2[[#This Row],[Carbs wt%]]))</f>
        <v>96.596596596596584</v>
      </c>
      <c r="M356" s="15">
        <v>3.4</v>
      </c>
      <c r="Z356" s="15">
        <v>49.9</v>
      </c>
      <c r="AA356" s="15">
        <v>7.5</v>
      </c>
      <c r="AB356" s="15">
        <v>34.6</v>
      </c>
      <c r="AC356" s="15">
        <v>3.1</v>
      </c>
      <c r="AD356" s="15">
        <v>0.22</v>
      </c>
      <c r="AE356" s="15">
        <v>1.1100000000000001</v>
      </c>
      <c r="AF356" s="15">
        <f>(33.5*Table2[[#This Row],[C%]]+142.3*Table2[[#This Row],[H%]]-15.4*Table2[[#This Row],[O%]]-14.5*Table2[[#This Row],[N%]])/100</f>
        <v>21.611099999999997</v>
      </c>
      <c r="AG356" s="15">
        <v>1.2999999999999999E-3</v>
      </c>
      <c r="AH356" s="15"/>
      <c r="AI356" s="15"/>
      <c r="AJ356" s="15">
        <v>10.714285714285714</v>
      </c>
      <c r="AM356" s="13"/>
      <c r="AO356" s="15"/>
      <c r="AP356" s="15" t="e">
        <f>LN(25/Table2[[#This Row],[Temperature (C)]]/(1-SQRT((Table2[[#This Row],[Temperature (C)]]-5)/Table2[[#This Row],[Temperature (C)]])))/Table2[[#This Row],[b]]</f>
        <v>#DIV/0!</v>
      </c>
      <c r="AQ356" s="15">
        <f>IF(Table2[[#This Row],[b]]&lt;&gt;"",Table2[[#This Row],[T-5]], 0)</f>
        <v>0</v>
      </c>
      <c r="AR356">
        <v>31.6</v>
      </c>
      <c r="AT356" t="s">
        <v>503</v>
      </c>
      <c r="AU356">
        <v>300</v>
      </c>
      <c r="AV356" s="15">
        <v>10.4</v>
      </c>
      <c r="AW356" s="15">
        <v>36.700000000000003</v>
      </c>
      <c r="AX356" s="15">
        <f>100-Table2[[#This Row],[Solids wt%]]-Table2[[#This Row],[Biocrude wt%]]-Table2[[#This Row],[Gas wt%]]</f>
        <v>52.899999999999991</v>
      </c>
      <c r="AY356" s="15"/>
      <c r="AZ356" s="15"/>
      <c r="BA356" s="15"/>
      <c r="BB356" s="15" t="str">
        <f>IF(OR(Table2[[#This Row],[Gas wt%]]&lt;&gt;"",Table2[[#This Row],[Loss]]&lt;&gt;""),Table2[[#This Row],[Gas wt%]]+Table2[[#This Row],[Loss]],"")</f>
        <v/>
      </c>
      <c r="BC356" s="15"/>
      <c r="BD356" s="15"/>
      <c r="BE356" s="15"/>
      <c r="BF356" s="15"/>
      <c r="BG356" s="15"/>
      <c r="BH356" s="15"/>
      <c r="BI356" s="15">
        <v>74.599999999999994</v>
      </c>
      <c r="BJ356" s="15">
        <v>9.3000000000000007</v>
      </c>
      <c r="BK356" s="15">
        <v>12.7</v>
      </c>
      <c r="BL356" s="15">
        <v>3.2</v>
      </c>
      <c r="BM356" s="15">
        <v>0.21</v>
      </c>
      <c r="BN356" s="15">
        <v>35.6</v>
      </c>
      <c r="BO356" s="15">
        <v>58</v>
      </c>
      <c r="BP356" s="15"/>
      <c r="BQ356" s="15">
        <f>Table2[[#This Row],[H% B]]/Table2[[#This Row],[C% B]]*100</f>
        <v>12.466487935656838</v>
      </c>
      <c r="BR356" s="15"/>
      <c r="BS356" s="15"/>
      <c r="BT356" s="15"/>
      <c r="BU356" s="15"/>
      <c r="BV356" s="15"/>
      <c r="BW356" s="15"/>
      <c r="BX356" s="15"/>
      <c r="BY356" s="15"/>
      <c r="BZ356" s="15"/>
      <c r="CA356" s="15"/>
      <c r="CB356" s="15"/>
      <c r="CC356" s="15"/>
      <c r="CD356" s="15"/>
      <c r="CE356" s="15"/>
      <c r="CF356" s="15">
        <v>64.400000000000006</v>
      </c>
      <c r="CG356" s="15">
        <v>5.5</v>
      </c>
      <c r="CH356" s="15">
        <v>22.7</v>
      </c>
      <c r="CI356" s="15">
        <v>4.5</v>
      </c>
      <c r="CJ356" s="15">
        <v>0.17</v>
      </c>
      <c r="CK356" s="15"/>
      <c r="CL356" s="15"/>
      <c r="CM356" s="15"/>
      <c r="CN356" s="15"/>
      <c r="CO356" s="15"/>
      <c r="CP356" s="15"/>
      <c r="CQ356" s="15"/>
      <c r="CR356" s="15"/>
      <c r="CS356" s="15"/>
      <c r="CT356" s="15"/>
      <c r="CU356" s="15"/>
      <c r="CV356" s="15"/>
      <c r="CW356" s="15"/>
      <c r="CX356" s="15"/>
      <c r="CY356" s="15"/>
      <c r="CZ356" s="15"/>
      <c r="DA356" s="15"/>
      <c r="DB356" s="15">
        <v>0</v>
      </c>
    </row>
    <row r="357" spans="1:106" x14ac:dyDescent="0.25">
      <c r="A357" t="s">
        <v>375</v>
      </c>
      <c r="B357" t="s">
        <v>204</v>
      </c>
      <c r="C357">
        <v>2019</v>
      </c>
      <c r="D357" s="16" t="s">
        <v>376</v>
      </c>
      <c r="E357">
        <v>0</v>
      </c>
      <c r="F357" s="15">
        <v>61.961961961961954</v>
      </c>
      <c r="G357" s="15"/>
      <c r="H357" s="15"/>
      <c r="I357" s="15">
        <v>14.714714714714713</v>
      </c>
      <c r="J357" s="15">
        <v>19.919919919919916</v>
      </c>
      <c r="K357" s="15"/>
      <c r="L357" s="15">
        <f>IF(Table2[[#This Row],[Lipids wt%]]+Table2[[#This Row],[Protein wt%]]+Table2[[#This Row],[Carbs wt%]] =0,"",SUM(Table2[[#This Row],[Lipids wt%]],Table2[[#This Row],[Protein wt%]],Table2[[#This Row],[Carbs wt%]]))</f>
        <v>96.596596596596584</v>
      </c>
      <c r="M357" s="15">
        <v>3.4</v>
      </c>
      <c r="Z357" s="15">
        <v>49.9</v>
      </c>
      <c r="AA357" s="15">
        <v>7.5</v>
      </c>
      <c r="AB357" s="15">
        <v>34.6</v>
      </c>
      <c r="AC357" s="15">
        <v>3.1</v>
      </c>
      <c r="AD357" s="15">
        <v>0.22</v>
      </c>
      <c r="AE357" s="15">
        <v>1.1100000000000001</v>
      </c>
      <c r="AF357" s="15">
        <f>(33.5*Table2[[#This Row],[C%]]+142.3*Table2[[#This Row],[H%]]-15.4*Table2[[#This Row],[O%]]-14.5*Table2[[#This Row],[N%]])/100</f>
        <v>21.611099999999997</v>
      </c>
      <c r="AG357" s="15">
        <v>1.2999999999999999E-3</v>
      </c>
      <c r="AH357" s="15"/>
      <c r="AI357" s="15"/>
      <c r="AJ357" s="15">
        <v>10.714285714285714</v>
      </c>
      <c r="AM357" s="13"/>
      <c r="AO357" s="15"/>
      <c r="AP357" s="15" t="e">
        <f>LN(25/Table2[[#This Row],[Temperature (C)]]/(1-SQRT((Table2[[#This Row],[Temperature (C)]]-5)/Table2[[#This Row],[Temperature (C)]])))/Table2[[#This Row],[b]]</f>
        <v>#DIV/0!</v>
      </c>
      <c r="AQ357" s="15">
        <f>IF(Table2[[#This Row],[b]]&lt;&gt;"",Table2[[#This Row],[T-5]], 0)</f>
        <v>0</v>
      </c>
      <c r="AR357">
        <v>0</v>
      </c>
      <c r="AT357" t="s">
        <v>503</v>
      </c>
      <c r="AU357">
        <v>350</v>
      </c>
      <c r="AV357" s="15">
        <v>92.9</v>
      </c>
      <c r="AW357" s="15">
        <v>0.6</v>
      </c>
      <c r="AX357" s="15">
        <f>100-Table2[[#This Row],[Solids wt%]]-Table2[[#This Row],[Biocrude wt%]]-Table2[[#This Row],[Gas wt%]]</f>
        <v>6.2999999999999945</v>
      </c>
      <c r="AY357" s="15">
        <v>0.2</v>
      </c>
      <c r="AZ357" s="15"/>
      <c r="BA357" s="15"/>
      <c r="BB357" s="15">
        <f>IF(OR(Table2[[#This Row],[Gas wt%]]&lt;&gt;"",Table2[[#This Row],[Loss]]&lt;&gt;""),Table2[[#This Row],[Gas wt%]]+Table2[[#This Row],[Loss]],"")</f>
        <v>0.2</v>
      </c>
      <c r="BC357" s="15"/>
      <c r="BD357" s="15"/>
      <c r="BE357" s="15"/>
      <c r="BF357" s="15"/>
      <c r="BG357" s="15"/>
      <c r="BH357" s="15"/>
      <c r="BI357" s="15"/>
      <c r="BJ357" s="15"/>
      <c r="BK357" s="15"/>
      <c r="BL357" s="15"/>
      <c r="BM357" s="15"/>
      <c r="BN357" s="15"/>
      <c r="BO357" s="15"/>
      <c r="BP357" s="15"/>
      <c r="BQ357" s="15"/>
      <c r="BR357" s="15"/>
      <c r="BS357" s="15"/>
      <c r="BT357" s="15"/>
      <c r="BU357" s="15"/>
      <c r="BV357" s="15"/>
      <c r="BW357" s="15"/>
      <c r="BX357" s="15"/>
      <c r="BY357" s="15"/>
      <c r="BZ357" s="15"/>
      <c r="CA357" s="15"/>
      <c r="CB357" s="15"/>
      <c r="CC357" s="15"/>
      <c r="CD357" s="15"/>
      <c r="CE357" s="15"/>
      <c r="CF357" s="15">
        <v>49</v>
      </c>
      <c r="CG357" s="15">
        <v>7.3</v>
      </c>
      <c r="CH357" s="15">
        <v>39.799999999999997</v>
      </c>
      <c r="CI357" s="15">
        <v>3</v>
      </c>
      <c r="CJ357" s="15">
        <v>0.23</v>
      </c>
      <c r="CK357" s="15"/>
      <c r="CL357" s="15"/>
      <c r="CM357" s="15"/>
      <c r="CN357" s="15"/>
      <c r="CO357" s="15"/>
      <c r="CP357" s="15"/>
      <c r="CQ357" s="15"/>
      <c r="CR357" s="15"/>
      <c r="CS357" s="15"/>
      <c r="CT357" s="15"/>
      <c r="CU357" s="15"/>
      <c r="CV357" s="15"/>
      <c r="CW357" s="15"/>
      <c r="CX357" s="15"/>
      <c r="CY357" s="15"/>
      <c r="CZ357" s="15"/>
      <c r="DA357" s="15"/>
      <c r="DB357" s="15">
        <v>0</v>
      </c>
    </row>
    <row r="358" spans="1:106" x14ac:dyDescent="0.25">
      <c r="A358" t="s">
        <v>375</v>
      </c>
      <c r="B358" t="s">
        <v>204</v>
      </c>
      <c r="C358">
        <v>2019</v>
      </c>
      <c r="D358" s="16" t="s">
        <v>376</v>
      </c>
      <c r="E358">
        <v>0</v>
      </c>
      <c r="F358" s="15">
        <v>61.961961961961954</v>
      </c>
      <c r="G358" s="15"/>
      <c r="H358" s="15"/>
      <c r="I358" s="15">
        <v>14.714714714714713</v>
      </c>
      <c r="J358" s="15">
        <v>19.919919919919916</v>
      </c>
      <c r="K358" s="15"/>
      <c r="L358" s="15">
        <f>IF(Table2[[#This Row],[Lipids wt%]]+Table2[[#This Row],[Protein wt%]]+Table2[[#This Row],[Carbs wt%]] =0,"",SUM(Table2[[#This Row],[Lipids wt%]],Table2[[#This Row],[Protein wt%]],Table2[[#This Row],[Carbs wt%]]))</f>
        <v>96.596596596596584</v>
      </c>
      <c r="M358" s="15">
        <v>3.4</v>
      </c>
      <c r="Z358" s="15">
        <v>49.9</v>
      </c>
      <c r="AA358" s="15">
        <v>7.5</v>
      </c>
      <c r="AB358" s="15">
        <v>34.6</v>
      </c>
      <c r="AC358" s="15">
        <v>3.1</v>
      </c>
      <c r="AD358" s="15">
        <v>0.22</v>
      </c>
      <c r="AE358" s="15">
        <v>1.1100000000000001</v>
      </c>
      <c r="AF358" s="15">
        <f>(33.5*Table2[[#This Row],[C%]]+142.3*Table2[[#This Row],[H%]]-15.4*Table2[[#This Row],[O%]]-14.5*Table2[[#This Row],[N%]])/100</f>
        <v>21.611099999999997</v>
      </c>
      <c r="AG358" s="15">
        <v>1.2999999999999999E-3</v>
      </c>
      <c r="AH358" s="15"/>
      <c r="AI358" s="15"/>
      <c r="AJ358" s="15">
        <v>10.714285714285714</v>
      </c>
      <c r="AM358" s="13"/>
      <c r="AO358" s="15"/>
      <c r="AP358" s="15" t="e">
        <f>LN(25/Table2[[#This Row],[Temperature (C)]]/(1-SQRT((Table2[[#This Row],[Temperature (C)]]-5)/Table2[[#This Row],[Temperature (C)]])))/Table2[[#This Row],[b]]</f>
        <v>#DIV/0!</v>
      </c>
      <c r="AQ358" s="15">
        <f>IF(Table2[[#This Row],[b]]&lt;&gt;"",Table2[[#This Row],[T-5]], 0)</f>
        <v>0</v>
      </c>
      <c r="AR358">
        <v>1</v>
      </c>
      <c r="AT358" t="s">
        <v>503</v>
      </c>
      <c r="AU358">
        <v>350</v>
      </c>
      <c r="AV358" s="15">
        <v>10.3</v>
      </c>
      <c r="AW358" s="15">
        <v>34</v>
      </c>
      <c r="AX358" s="15">
        <f>100-Table2[[#This Row],[Solids wt%]]-Table2[[#This Row],[Biocrude wt%]]-Table2[[#This Row],[Gas wt%]]</f>
        <v>55.7</v>
      </c>
      <c r="AY358" s="15"/>
      <c r="AZ358" s="15"/>
      <c r="BA358" s="15"/>
      <c r="BB358" s="15" t="str">
        <f>IF(OR(Table2[[#This Row],[Gas wt%]]&lt;&gt;"",Table2[[#This Row],[Loss]]&lt;&gt;""),Table2[[#This Row],[Gas wt%]]+Table2[[#This Row],[Loss]],"")</f>
        <v/>
      </c>
      <c r="BC358" s="15"/>
      <c r="BD358" s="15"/>
      <c r="BE358" s="15"/>
      <c r="BF358" s="15"/>
      <c r="BG358" s="15"/>
      <c r="BH358" s="15"/>
      <c r="BI358" s="15">
        <v>73.099999999999994</v>
      </c>
      <c r="BJ358" s="15">
        <v>9.1</v>
      </c>
      <c r="BK358" s="15">
        <v>14.8</v>
      </c>
      <c r="BL358" s="15">
        <v>2.7</v>
      </c>
      <c r="BM358" s="15">
        <v>0.25</v>
      </c>
      <c r="BN358" s="15">
        <v>34.700000000000003</v>
      </c>
      <c r="BO358" s="15">
        <v>52.4</v>
      </c>
      <c r="BP358" s="15"/>
      <c r="BQ358" s="15">
        <f>Table2[[#This Row],[H% B]]/Table2[[#This Row],[C% B]]*100</f>
        <v>12.448700410396716</v>
      </c>
      <c r="BR358" s="15"/>
      <c r="BS358" s="15"/>
      <c r="BT358" s="15"/>
      <c r="BU358" s="15"/>
      <c r="BV358" s="15"/>
      <c r="BW358" s="15"/>
      <c r="BX358" s="15"/>
      <c r="BY358" s="15"/>
      <c r="BZ358" s="15"/>
      <c r="CA358" s="15"/>
      <c r="CB358" s="15"/>
      <c r="CC358" s="15"/>
      <c r="CD358" s="15"/>
      <c r="CE358" s="15"/>
      <c r="CF358" s="15">
        <v>64.400000000000006</v>
      </c>
      <c r="CG358" s="15">
        <v>6.2</v>
      </c>
      <c r="CH358" s="15">
        <v>22.7</v>
      </c>
      <c r="CI358" s="15">
        <v>5.4</v>
      </c>
      <c r="CJ358" s="15">
        <v>0.26</v>
      </c>
      <c r="CK358" s="15"/>
      <c r="CL358" s="15"/>
      <c r="CM358" s="15"/>
      <c r="CN358" s="15"/>
      <c r="CO358" s="15"/>
      <c r="CP358" s="15"/>
      <c r="CQ358" s="15"/>
      <c r="CR358" s="15"/>
      <c r="CS358" s="15"/>
      <c r="CT358" s="15"/>
      <c r="CU358" s="15"/>
      <c r="CV358" s="15"/>
      <c r="CW358" s="15"/>
      <c r="CX358" s="15"/>
      <c r="CY358" s="15"/>
      <c r="CZ358" s="15"/>
      <c r="DA358" s="15"/>
      <c r="DB358" s="15">
        <v>0</v>
      </c>
    </row>
    <row r="359" spans="1:106" x14ac:dyDescent="0.25">
      <c r="A359" t="s">
        <v>375</v>
      </c>
      <c r="B359" t="s">
        <v>204</v>
      </c>
      <c r="C359">
        <v>2019</v>
      </c>
      <c r="D359" s="16" t="s">
        <v>376</v>
      </c>
      <c r="E359">
        <v>0</v>
      </c>
      <c r="F359" s="15">
        <v>61.961961961961954</v>
      </c>
      <c r="G359" s="15"/>
      <c r="H359" s="15"/>
      <c r="I359" s="15">
        <v>14.714714714714713</v>
      </c>
      <c r="J359" s="15">
        <v>19.919919919919916</v>
      </c>
      <c r="K359" s="15"/>
      <c r="L359" s="15">
        <f>IF(Table2[[#This Row],[Lipids wt%]]+Table2[[#This Row],[Protein wt%]]+Table2[[#This Row],[Carbs wt%]] =0,"",SUM(Table2[[#This Row],[Lipids wt%]],Table2[[#This Row],[Protein wt%]],Table2[[#This Row],[Carbs wt%]]))</f>
        <v>96.596596596596584</v>
      </c>
      <c r="M359" s="15">
        <v>3.4</v>
      </c>
      <c r="Z359" s="15">
        <v>49.9</v>
      </c>
      <c r="AA359" s="15">
        <v>7.5</v>
      </c>
      <c r="AB359" s="15">
        <v>34.6</v>
      </c>
      <c r="AC359" s="15">
        <v>3.1</v>
      </c>
      <c r="AD359" s="15">
        <v>0.22</v>
      </c>
      <c r="AE359" s="15">
        <v>1.1100000000000001</v>
      </c>
      <c r="AF359" s="15">
        <f>(33.5*Table2[[#This Row],[C%]]+142.3*Table2[[#This Row],[H%]]-15.4*Table2[[#This Row],[O%]]-14.5*Table2[[#This Row],[N%]])/100</f>
        <v>21.611099999999997</v>
      </c>
      <c r="AG359" s="15">
        <v>1.2999999999999999E-3</v>
      </c>
      <c r="AH359" s="15"/>
      <c r="AI359" s="15"/>
      <c r="AJ359" s="15">
        <v>10.714285714285714</v>
      </c>
      <c r="AM359" s="13"/>
      <c r="AO359" s="15"/>
      <c r="AP359" s="15" t="e">
        <f>LN(25/Table2[[#This Row],[Temperature (C)]]/(1-SQRT((Table2[[#This Row],[Temperature (C)]]-5)/Table2[[#This Row],[Temperature (C)]])))/Table2[[#This Row],[b]]</f>
        <v>#DIV/0!</v>
      </c>
      <c r="AQ359" s="15">
        <f>IF(Table2[[#This Row],[b]]&lt;&gt;"",Table2[[#This Row],[T-5]], 0)</f>
        <v>0</v>
      </c>
      <c r="AR359">
        <v>10</v>
      </c>
      <c r="AT359" t="s">
        <v>503</v>
      </c>
      <c r="AU359">
        <v>350</v>
      </c>
      <c r="AV359" s="15">
        <v>7</v>
      </c>
      <c r="AW359" s="15">
        <v>39.4</v>
      </c>
      <c r="AX359" s="15">
        <f>100-Table2[[#This Row],[Solids wt%]]-Table2[[#This Row],[Biocrude wt%]]-Table2[[#This Row],[Gas wt%]]</f>
        <v>53.6</v>
      </c>
      <c r="AY359" s="15"/>
      <c r="AZ359" s="15"/>
      <c r="BA359" s="15"/>
      <c r="BB359" s="15" t="str">
        <f>IF(OR(Table2[[#This Row],[Gas wt%]]&lt;&gt;"",Table2[[#This Row],[Loss]]&lt;&gt;""),Table2[[#This Row],[Gas wt%]]+Table2[[#This Row],[Loss]],"")</f>
        <v/>
      </c>
      <c r="BC359" s="15"/>
      <c r="BD359" s="15"/>
      <c r="BE359" s="15"/>
      <c r="BF359" s="15"/>
      <c r="BG359" s="15"/>
      <c r="BH359" s="15"/>
      <c r="BI359" s="15">
        <v>75.900000000000006</v>
      </c>
      <c r="BJ359" s="15">
        <v>8.8000000000000007</v>
      </c>
      <c r="BK359" s="15">
        <v>11.5</v>
      </c>
      <c r="BL359" s="15">
        <v>3.4</v>
      </c>
      <c r="BM359" s="15">
        <v>0.27</v>
      </c>
      <c r="BN359" s="15">
        <v>35.700000000000003</v>
      </c>
      <c r="BO359" s="15">
        <v>62.4</v>
      </c>
      <c r="BP359" s="15"/>
      <c r="BQ359" s="15">
        <f>Table2[[#This Row],[H% B]]/Table2[[#This Row],[C% B]]*100</f>
        <v>11.594202898550725</v>
      </c>
      <c r="BR359" s="15"/>
      <c r="BS359" s="15"/>
      <c r="BT359" s="15"/>
      <c r="BU359" s="15"/>
      <c r="BV359" s="15"/>
      <c r="BW359" s="15"/>
      <c r="BX359" s="15"/>
      <c r="BY359" s="15"/>
      <c r="BZ359" s="15"/>
      <c r="CA359" s="15"/>
      <c r="CB359" s="15"/>
      <c r="CC359" s="15"/>
      <c r="CD359" s="15"/>
      <c r="CE359" s="15"/>
      <c r="CF359" s="15">
        <v>66.099999999999994</v>
      </c>
      <c r="CG359" s="15">
        <v>6</v>
      </c>
      <c r="CH359" s="15">
        <v>22.3</v>
      </c>
      <c r="CI359" s="15">
        <v>4.2</v>
      </c>
      <c r="CJ359" s="15">
        <v>0.2</v>
      </c>
      <c r="CK359" s="15"/>
      <c r="CL359" s="15"/>
      <c r="CM359" s="15"/>
      <c r="CN359" s="15"/>
      <c r="CO359" s="15"/>
      <c r="CP359" s="15"/>
      <c r="CQ359" s="15"/>
      <c r="CR359" s="15"/>
      <c r="CS359" s="15"/>
      <c r="CT359" s="15"/>
      <c r="CU359" s="15"/>
      <c r="CV359" s="15"/>
      <c r="CW359" s="15"/>
      <c r="CX359" s="15"/>
      <c r="CY359" s="15"/>
      <c r="CZ359" s="15"/>
      <c r="DA359" s="15"/>
      <c r="DB359" s="15">
        <v>0</v>
      </c>
    </row>
    <row r="360" spans="1:106" x14ac:dyDescent="0.25">
      <c r="A360" t="s">
        <v>375</v>
      </c>
      <c r="B360" t="s">
        <v>204</v>
      </c>
      <c r="C360">
        <v>2019</v>
      </c>
      <c r="D360" s="16" t="s">
        <v>376</v>
      </c>
      <c r="E360">
        <v>0</v>
      </c>
      <c r="F360" s="15">
        <v>61.961961961961954</v>
      </c>
      <c r="G360" s="15"/>
      <c r="H360" s="15"/>
      <c r="I360" s="15">
        <v>14.714714714714713</v>
      </c>
      <c r="J360" s="15">
        <v>19.919919919919916</v>
      </c>
      <c r="K360" s="15"/>
      <c r="L360" s="15">
        <f>IF(Table2[[#This Row],[Lipids wt%]]+Table2[[#This Row],[Protein wt%]]+Table2[[#This Row],[Carbs wt%]] =0,"",SUM(Table2[[#This Row],[Lipids wt%]],Table2[[#This Row],[Protein wt%]],Table2[[#This Row],[Carbs wt%]]))</f>
        <v>96.596596596596584</v>
      </c>
      <c r="M360" s="15">
        <v>3.4</v>
      </c>
      <c r="Z360" s="15">
        <v>49.9</v>
      </c>
      <c r="AA360" s="15">
        <v>7.5</v>
      </c>
      <c r="AB360" s="15">
        <v>34.6</v>
      </c>
      <c r="AC360" s="15">
        <v>3.1</v>
      </c>
      <c r="AD360" s="15">
        <v>0.22</v>
      </c>
      <c r="AE360" s="15">
        <v>1.1100000000000001</v>
      </c>
      <c r="AF360" s="15">
        <f>(33.5*Table2[[#This Row],[C%]]+142.3*Table2[[#This Row],[H%]]-15.4*Table2[[#This Row],[O%]]-14.5*Table2[[#This Row],[N%]])/100</f>
        <v>21.611099999999997</v>
      </c>
      <c r="AG360" s="15">
        <v>1.2999999999999999E-3</v>
      </c>
      <c r="AH360" s="15"/>
      <c r="AI360" s="15"/>
      <c r="AJ360" s="15">
        <v>10.714285714285714</v>
      </c>
      <c r="AM360" s="13"/>
      <c r="AO360" s="15"/>
      <c r="AP360" s="15" t="e">
        <f>LN(25/Table2[[#This Row],[Temperature (C)]]/(1-SQRT((Table2[[#This Row],[Temperature (C)]]-5)/Table2[[#This Row],[Temperature (C)]])))/Table2[[#This Row],[b]]</f>
        <v>#DIV/0!</v>
      </c>
      <c r="AQ360" s="15">
        <f>IF(Table2[[#This Row],[b]]&lt;&gt;"",Table2[[#This Row],[T-5]], 0)</f>
        <v>0</v>
      </c>
      <c r="AR360">
        <v>100</v>
      </c>
      <c r="AT360" t="s">
        <v>503</v>
      </c>
      <c r="AU360">
        <v>350</v>
      </c>
      <c r="AV360" s="15">
        <v>6.4</v>
      </c>
      <c r="AW360" s="15">
        <v>36.4</v>
      </c>
      <c r="AX360" s="15">
        <f>100-Table2[[#This Row],[Solids wt%]]-Table2[[#This Row],[Biocrude wt%]]-Table2[[#This Row],[Gas wt%]]</f>
        <v>57.199999999999996</v>
      </c>
      <c r="AY360" s="15"/>
      <c r="AZ360" s="15"/>
      <c r="BA360" s="15"/>
      <c r="BB360" s="15" t="str">
        <f>IF(OR(Table2[[#This Row],[Gas wt%]]&lt;&gt;"",Table2[[#This Row],[Loss]]&lt;&gt;""),Table2[[#This Row],[Gas wt%]]+Table2[[#This Row],[Loss]],"")</f>
        <v/>
      </c>
      <c r="BC360" s="15"/>
      <c r="BD360" s="15"/>
      <c r="BE360" s="15"/>
      <c r="BF360" s="15"/>
      <c r="BG360" s="15"/>
      <c r="BH360" s="15"/>
      <c r="BI360" s="15">
        <v>76.8</v>
      </c>
      <c r="BJ360" s="15">
        <v>9.1</v>
      </c>
      <c r="BK360" s="15">
        <v>10.1</v>
      </c>
      <c r="BL360" s="15">
        <v>3.6</v>
      </c>
      <c r="BM360" s="15">
        <v>0.21</v>
      </c>
      <c r="BN360" s="15">
        <v>36.4</v>
      </c>
      <c r="BO360" s="15">
        <v>58.9</v>
      </c>
      <c r="BP360" s="15"/>
      <c r="BQ360" s="15">
        <f>Table2[[#This Row],[H% B]]/Table2[[#This Row],[C% B]]*100</f>
        <v>11.848958333333332</v>
      </c>
      <c r="BR360" s="15"/>
      <c r="BS360" s="15"/>
      <c r="BT360" s="15"/>
      <c r="BU360" s="15"/>
      <c r="BV360" s="15"/>
      <c r="BW360" s="15"/>
      <c r="BX360" s="15"/>
      <c r="BY360" s="15"/>
      <c r="BZ360" s="15"/>
      <c r="CA360" s="15"/>
      <c r="CB360" s="15"/>
      <c r="CC360" s="15"/>
      <c r="CD360" s="15"/>
      <c r="CE360" s="15"/>
      <c r="CF360" s="15">
        <v>68.3</v>
      </c>
      <c r="CG360" s="15">
        <v>5.3</v>
      </c>
      <c r="CH360" s="15">
        <v>21</v>
      </c>
      <c r="CI360" s="15">
        <v>4.3</v>
      </c>
      <c r="CJ360" s="15">
        <v>0.17</v>
      </c>
      <c r="CK360" s="15"/>
      <c r="CL360" s="15"/>
      <c r="CM360" s="15"/>
      <c r="CN360" s="15"/>
      <c r="CO360" s="15"/>
      <c r="CP360" s="15"/>
      <c r="CQ360" s="15"/>
      <c r="CR360" s="15"/>
      <c r="CS360" s="15"/>
      <c r="CT360" s="15"/>
      <c r="CU360" s="15"/>
      <c r="CV360" s="15"/>
      <c r="CW360" s="15"/>
      <c r="CX360" s="15"/>
      <c r="CY360" s="15"/>
      <c r="CZ360" s="15"/>
      <c r="DA360" s="15"/>
      <c r="DB360" s="15">
        <v>0</v>
      </c>
    </row>
    <row r="361" spans="1:106" x14ac:dyDescent="0.25">
      <c r="A361" t="s">
        <v>375</v>
      </c>
      <c r="B361" t="s">
        <v>204</v>
      </c>
      <c r="C361">
        <v>2019</v>
      </c>
      <c r="D361" s="16" t="s">
        <v>377</v>
      </c>
      <c r="E361">
        <v>0</v>
      </c>
      <c r="F361" s="15">
        <v>31.4</v>
      </c>
      <c r="G361" s="15"/>
      <c r="H361" s="15"/>
      <c r="I361" s="15">
        <v>50.9</v>
      </c>
      <c r="J361" s="15">
        <v>5.2</v>
      </c>
      <c r="K361" s="15"/>
      <c r="L361" s="15">
        <f>IF(Table2[[#This Row],[Lipids wt%]]+Table2[[#This Row],[Protein wt%]]+Table2[[#This Row],[Carbs wt%]] =0,"",SUM(Table2[[#This Row],[Lipids wt%]],Table2[[#This Row],[Protein wt%]],Table2[[#This Row],[Carbs wt%]]))</f>
        <v>87.5</v>
      </c>
      <c r="M361" s="15">
        <v>12.5</v>
      </c>
      <c r="Z361" s="15">
        <v>45.6</v>
      </c>
      <c r="AA361" s="15">
        <v>6.7</v>
      </c>
      <c r="AB361" s="15">
        <v>25.2</v>
      </c>
      <c r="AC361" s="15">
        <v>10.7</v>
      </c>
      <c r="AD361" s="15">
        <v>0.69</v>
      </c>
      <c r="AE361" s="15">
        <v>1.22</v>
      </c>
      <c r="AF361" s="15">
        <f>(33.5*Table2[[#This Row],[C%]]+142.3*Table2[[#This Row],[H%]]-15.4*Table2[[#This Row],[O%]]-14.5*Table2[[#This Row],[N%]])/100</f>
        <v>19.377800000000001</v>
      </c>
      <c r="AG361" s="15">
        <v>1.2999999999999999E-3</v>
      </c>
      <c r="AH361" s="15"/>
      <c r="AI361" s="15"/>
      <c r="AJ361" s="15">
        <v>2.912621359223301</v>
      </c>
      <c r="AM361" s="13"/>
      <c r="AO361" s="15"/>
      <c r="AP361" s="15" t="e">
        <f>LN(25/Table2[[#This Row],[Temperature (C)]]/(1-SQRT((Table2[[#This Row],[Temperature (C)]]-5)/Table2[[#This Row],[Temperature (C)]])))/Table2[[#This Row],[b]]</f>
        <v>#DIV/0!</v>
      </c>
      <c r="AQ361" s="15">
        <f>IF(Table2[[#This Row],[b]]&lt;&gt;"",Table2[[#This Row],[T-5]], 0)</f>
        <v>0</v>
      </c>
      <c r="AR361">
        <v>1</v>
      </c>
      <c r="AT361" t="s">
        <v>503</v>
      </c>
      <c r="AU361">
        <v>150</v>
      </c>
      <c r="AV361" s="15">
        <v>42.4</v>
      </c>
      <c r="AW361" s="15">
        <v>0.9</v>
      </c>
      <c r="AX361" s="15">
        <f>100-Table2[[#This Row],[Solids wt%]]-Table2[[#This Row],[Biocrude wt%]]-Table2[[#This Row],[Gas wt%]]</f>
        <v>55.1</v>
      </c>
      <c r="AY361" s="15">
        <v>1.6</v>
      </c>
      <c r="AZ361" s="15"/>
      <c r="BA361" s="15"/>
      <c r="BB361" s="15">
        <f>IF(OR(Table2[[#This Row],[Gas wt%]]&lt;&gt;"",Table2[[#This Row],[Loss]]&lt;&gt;""),Table2[[#This Row],[Gas wt%]]+Table2[[#This Row],[Loss]],"")</f>
        <v>1.6</v>
      </c>
      <c r="BC361" s="15"/>
      <c r="BD361" s="15"/>
      <c r="BE361" s="15"/>
      <c r="BF361" s="15"/>
      <c r="BG361" s="15"/>
      <c r="BH361" s="15"/>
      <c r="BI361" s="15"/>
      <c r="BJ361" s="15"/>
      <c r="BK361" s="15"/>
      <c r="BL361" s="15"/>
      <c r="BM361" s="15"/>
      <c r="BN361" s="15"/>
      <c r="BO361" s="15"/>
      <c r="BP361" s="15"/>
      <c r="BQ361" s="15"/>
      <c r="BR361" s="15"/>
      <c r="BS361" s="15"/>
      <c r="BT361" s="15"/>
      <c r="BU361" s="15"/>
      <c r="BV361" s="15"/>
      <c r="BW361" s="15"/>
      <c r="BX361" s="15"/>
      <c r="BY361" s="15"/>
      <c r="BZ361" s="15"/>
      <c r="CA361" s="15"/>
      <c r="CB361" s="15"/>
      <c r="CC361" s="15"/>
      <c r="CD361" s="15"/>
      <c r="CE361" s="15"/>
      <c r="CF361" s="15">
        <v>46.7</v>
      </c>
      <c r="CG361" s="15">
        <v>7</v>
      </c>
      <c r="CH361" s="15">
        <v>34.200000000000003</v>
      </c>
      <c r="CI361" s="15">
        <v>10.9</v>
      </c>
      <c r="CJ361" s="15">
        <v>0.59</v>
      </c>
      <c r="CK361" s="15"/>
      <c r="CL361" s="15"/>
      <c r="CM361" s="15"/>
      <c r="CN361" s="15"/>
      <c r="CO361" s="15"/>
      <c r="CP361" s="15"/>
      <c r="CQ361" s="15"/>
      <c r="CR361" s="15"/>
      <c r="CS361" s="15"/>
      <c r="CT361" s="15"/>
      <c r="CU361" s="15"/>
      <c r="CV361" s="15"/>
      <c r="CW361" s="15"/>
      <c r="CX361" s="15"/>
      <c r="CY361" s="15"/>
      <c r="CZ361" s="15"/>
      <c r="DA361" s="15"/>
      <c r="DB361" s="15">
        <v>0</v>
      </c>
    </row>
    <row r="362" spans="1:106" x14ac:dyDescent="0.25">
      <c r="A362" t="s">
        <v>375</v>
      </c>
      <c r="B362" t="s">
        <v>204</v>
      </c>
      <c r="C362">
        <v>2019</v>
      </c>
      <c r="D362" s="16" t="s">
        <v>377</v>
      </c>
      <c r="E362">
        <v>0</v>
      </c>
      <c r="F362" s="15">
        <v>31.4</v>
      </c>
      <c r="G362" s="15"/>
      <c r="H362" s="15"/>
      <c r="I362" s="15">
        <v>50.9</v>
      </c>
      <c r="J362" s="15">
        <v>5.2</v>
      </c>
      <c r="K362" s="15"/>
      <c r="L362" s="15">
        <f>IF(Table2[[#This Row],[Lipids wt%]]+Table2[[#This Row],[Protein wt%]]+Table2[[#This Row],[Carbs wt%]] =0,"",SUM(Table2[[#This Row],[Lipids wt%]],Table2[[#This Row],[Protein wt%]],Table2[[#This Row],[Carbs wt%]]))</f>
        <v>87.5</v>
      </c>
      <c r="M362" s="15">
        <v>12.5</v>
      </c>
      <c r="Z362" s="15">
        <v>45.6</v>
      </c>
      <c r="AA362" s="15">
        <v>6.7</v>
      </c>
      <c r="AB362" s="15">
        <v>25.2</v>
      </c>
      <c r="AC362" s="15">
        <v>10.7</v>
      </c>
      <c r="AD362" s="15">
        <v>0.69</v>
      </c>
      <c r="AE362" s="15">
        <v>1.22</v>
      </c>
      <c r="AF362" s="15">
        <f>(33.5*Table2[[#This Row],[C%]]+142.3*Table2[[#This Row],[H%]]-15.4*Table2[[#This Row],[O%]]-14.5*Table2[[#This Row],[N%]])/100</f>
        <v>19.377800000000001</v>
      </c>
      <c r="AG362" s="15">
        <v>1.2999999999999999E-3</v>
      </c>
      <c r="AH362" s="15"/>
      <c r="AI362" s="15"/>
      <c r="AJ362" s="15">
        <v>2.912621359223301</v>
      </c>
      <c r="AM362" s="13"/>
      <c r="AO362" s="15"/>
      <c r="AP362" s="15" t="e">
        <f>LN(25/Table2[[#This Row],[Temperature (C)]]/(1-SQRT((Table2[[#This Row],[Temperature (C)]]-5)/Table2[[#This Row],[Temperature (C)]])))/Table2[[#This Row],[b]]</f>
        <v>#DIV/0!</v>
      </c>
      <c r="AQ362" s="15">
        <f>IF(Table2[[#This Row],[b]]&lt;&gt;"",Table2[[#This Row],[T-5]], 0)</f>
        <v>0</v>
      </c>
      <c r="AR362">
        <v>0</v>
      </c>
      <c r="AT362" t="s">
        <v>503</v>
      </c>
      <c r="AU362">
        <v>200</v>
      </c>
      <c r="AV362" s="15">
        <v>30.8</v>
      </c>
      <c r="AW362" s="15">
        <v>2.2000000000000002</v>
      </c>
      <c r="AX362" s="15">
        <f>100-Table2[[#This Row],[Solids wt%]]-Table2[[#This Row],[Biocrude wt%]]-Table2[[#This Row],[Gas wt%]]</f>
        <v>66</v>
      </c>
      <c r="AY362" s="15">
        <v>1</v>
      </c>
      <c r="AZ362" s="15"/>
      <c r="BA362" s="15"/>
      <c r="BB362" s="15">
        <f>IF(OR(Table2[[#This Row],[Gas wt%]]&lt;&gt;"",Table2[[#This Row],[Loss]]&lt;&gt;""),Table2[[#This Row],[Gas wt%]]+Table2[[#This Row],[Loss]],"")</f>
        <v>1</v>
      </c>
      <c r="BC362" s="15"/>
      <c r="BD362" s="15"/>
      <c r="BE362" s="15"/>
      <c r="BF362" s="15"/>
      <c r="BG362" s="15"/>
      <c r="BH362" s="15"/>
      <c r="BI362" s="15"/>
      <c r="BJ362" s="15"/>
      <c r="BK362" s="15"/>
      <c r="BL362" s="15"/>
      <c r="BM362" s="15"/>
      <c r="BN362" s="15"/>
      <c r="BO362" s="15"/>
      <c r="BP362" s="15"/>
      <c r="BQ362" s="15"/>
      <c r="BR362" s="15"/>
      <c r="BS362" s="15"/>
      <c r="BT362" s="15"/>
      <c r="BU362" s="15"/>
      <c r="BV362" s="15"/>
      <c r="BW362" s="15"/>
      <c r="BX362" s="15"/>
      <c r="BY362" s="15"/>
      <c r="BZ362" s="15"/>
      <c r="CA362" s="15"/>
      <c r="CB362" s="15"/>
      <c r="CC362" s="15"/>
      <c r="CD362" s="15"/>
      <c r="CE362" s="15"/>
      <c r="CF362" s="15">
        <v>46.6</v>
      </c>
      <c r="CG362" s="15">
        <v>6.9</v>
      </c>
      <c r="CH362" s="15">
        <v>34.6</v>
      </c>
      <c r="CI362" s="15">
        <v>10.199999999999999</v>
      </c>
      <c r="CJ362" s="15">
        <v>0.59</v>
      </c>
      <c r="CK362" s="15"/>
      <c r="CL362" s="15"/>
      <c r="CM362" s="15"/>
      <c r="CN362" s="15"/>
      <c r="CO362" s="15"/>
      <c r="CP362" s="15"/>
      <c r="CQ362" s="15"/>
      <c r="CR362" s="15"/>
      <c r="CS362" s="15"/>
      <c r="CT362" s="15"/>
      <c r="CU362" s="15"/>
      <c r="CV362" s="15"/>
      <c r="CW362" s="15"/>
      <c r="CX362" s="15"/>
      <c r="CY362" s="15"/>
      <c r="CZ362" s="15"/>
      <c r="DA362" s="15"/>
      <c r="DB362" s="15">
        <v>0</v>
      </c>
    </row>
    <row r="363" spans="1:106" x14ac:dyDescent="0.25">
      <c r="A363" t="s">
        <v>375</v>
      </c>
      <c r="B363" t="s">
        <v>204</v>
      </c>
      <c r="C363">
        <v>2019</v>
      </c>
      <c r="D363" s="16" t="s">
        <v>377</v>
      </c>
      <c r="E363">
        <v>0</v>
      </c>
      <c r="F363" s="15">
        <v>31.4</v>
      </c>
      <c r="G363" s="15"/>
      <c r="H363" s="15"/>
      <c r="I363" s="15">
        <v>50.9</v>
      </c>
      <c r="J363" s="15">
        <v>5.2</v>
      </c>
      <c r="K363" s="15"/>
      <c r="L363" s="15">
        <f>IF(Table2[[#This Row],[Lipids wt%]]+Table2[[#This Row],[Protein wt%]]+Table2[[#This Row],[Carbs wt%]] =0,"",SUM(Table2[[#This Row],[Lipids wt%]],Table2[[#This Row],[Protein wt%]],Table2[[#This Row],[Carbs wt%]]))</f>
        <v>87.5</v>
      </c>
      <c r="M363" s="15">
        <v>12.5</v>
      </c>
      <c r="Z363" s="15">
        <v>45.6</v>
      </c>
      <c r="AA363" s="15">
        <v>6.7</v>
      </c>
      <c r="AB363" s="15">
        <v>25.2</v>
      </c>
      <c r="AC363" s="15">
        <v>10.7</v>
      </c>
      <c r="AD363" s="15">
        <v>0.69</v>
      </c>
      <c r="AE363" s="15">
        <v>1.22</v>
      </c>
      <c r="AF363" s="15">
        <f>(33.5*Table2[[#This Row],[C%]]+142.3*Table2[[#This Row],[H%]]-15.4*Table2[[#This Row],[O%]]-14.5*Table2[[#This Row],[N%]])/100</f>
        <v>19.377800000000001</v>
      </c>
      <c r="AG363" s="15">
        <v>1.2999999999999999E-3</v>
      </c>
      <c r="AH363" s="15"/>
      <c r="AI363" s="15"/>
      <c r="AJ363" s="15">
        <v>2.912621359223301</v>
      </c>
      <c r="AM363" s="13"/>
      <c r="AO363" s="15"/>
      <c r="AP363" s="15" t="e">
        <f>LN(25/Table2[[#This Row],[Temperature (C)]]/(1-SQRT((Table2[[#This Row],[Temperature (C)]]-5)/Table2[[#This Row],[Temperature (C)]])))/Table2[[#This Row],[b]]</f>
        <v>#DIV/0!</v>
      </c>
      <c r="AQ363" s="15">
        <f>IF(Table2[[#This Row],[b]]&lt;&gt;"",Table2[[#This Row],[T-5]], 0)</f>
        <v>0</v>
      </c>
      <c r="AR363">
        <v>3.2</v>
      </c>
      <c r="AT363" t="s">
        <v>503</v>
      </c>
      <c r="AU363">
        <v>200</v>
      </c>
      <c r="AV363" s="15">
        <v>30.2</v>
      </c>
      <c r="AW363" s="15">
        <v>1.1000000000000001</v>
      </c>
      <c r="AX363" s="15">
        <f>100-Table2[[#This Row],[Solids wt%]]-Table2[[#This Row],[Biocrude wt%]]-Table2[[#This Row],[Gas wt%]]</f>
        <v>67.100000000000009</v>
      </c>
      <c r="AY363" s="15">
        <v>1.6</v>
      </c>
      <c r="AZ363" s="15"/>
      <c r="BA363" s="15"/>
      <c r="BB363" s="15">
        <f>IF(OR(Table2[[#This Row],[Gas wt%]]&lt;&gt;"",Table2[[#This Row],[Loss]]&lt;&gt;""),Table2[[#This Row],[Gas wt%]]+Table2[[#This Row],[Loss]],"")</f>
        <v>1.6</v>
      </c>
      <c r="BC363" s="15"/>
      <c r="BD363" s="15"/>
      <c r="BE363" s="15"/>
      <c r="BF363" s="15"/>
      <c r="BG363" s="15"/>
      <c r="BH363" s="15"/>
      <c r="BI363" s="15"/>
      <c r="BJ363" s="15"/>
      <c r="BK363" s="15"/>
      <c r="BL363" s="15"/>
      <c r="BM363" s="15"/>
      <c r="BN363" s="15"/>
      <c r="BO363" s="15"/>
      <c r="BP363" s="15"/>
      <c r="BQ363" s="15"/>
      <c r="BR363" s="15"/>
      <c r="BS363" s="15"/>
      <c r="BT363" s="15"/>
      <c r="BU363" s="15"/>
      <c r="BV363" s="15"/>
      <c r="BW363" s="15"/>
      <c r="BX363" s="15"/>
      <c r="BY363" s="15"/>
      <c r="BZ363" s="15"/>
      <c r="CA363" s="15"/>
      <c r="CB363" s="15"/>
      <c r="CC363" s="15"/>
      <c r="CD363" s="15"/>
      <c r="CE363" s="15"/>
      <c r="CF363" s="15">
        <v>47.7</v>
      </c>
      <c r="CG363" s="15">
        <v>6.9</v>
      </c>
      <c r="CH363" s="15">
        <v>34.700000000000003</v>
      </c>
      <c r="CI363" s="15">
        <v>9.6</v>
      </c>
      <c r="CJ363" s="15">
        <v>0.54</v>
      </c>
      <c r="CK363" s="15"/>
      <c r="CL363" s="15"/>
      <c r="CM363" s="15"/>
      <c r="CN363" s="15"/>
      <c r="CO363" s="15"/>
      <c r="CP363" s="15"/>
      <c r="CQ363" s="15"/>
      <c r="CR363" s="15"/>
      <c r="CS363" s="15"/>
      <c r="CT363" s="15"/>
      <c r="CU363" s="15"/>
      <c r="CV363" s="15"/>
      <c r="CW363" s="15"/>
      <c r="CX363" s="15"/>
      <c r="CY363" s="15"/>
      <c r="CZ363" s="15"/>
      <c r="DA363" s="15"/>
      <c r="DB363" s="15">
        <v>0</v>
      </c>
    </row>
    <row r="364" spans="1:106" x14ac:dyDescent="0.25">
      <c r="A364" t="s">
        <v>375</v>
      </c>
      <c r="B364" t="s">
        <v>204</v>
      </c>
      <c r="C364">
        <v>2019</v>
      </c>
      <c r="D364" s="16" t="s">
        <v>377</v>
      </c>
      <c r="E364">
        <v>0</v>
      </c>
      <c r="F364" s="15">
        <v>31.4</v>
      </c>
      <c r="G364" s="15"/>
      <c r="H364" s="15"/>
      <c r="I364" s="15">
        <v>50.9</v>
      </c>
      <c r="J364" s="15">
        <v>5.2</v>
      </c>
      <c r="K364" s="15"/>
      <c r="L364" s="15">
        <f>IF(Table2[[#This Row],[Lipids wt%]]+Table2[[#This Row],[Protein wt%]]+Table2[[#This Row],[Carbs wt%]] =0,"",SUM(Table2[[#This Row],[Lipids wt%]],Table2[[#This Row],[Protein wt%]],Table2[[#This Row],[Carbs wt%]]))</f>
        <v>87.5</v>
      </c>
      <c r="M364" s="15">
        <v>12.5</v>
      </c>
      <c r="Z364" s="15">
        <v>45.6</v>
      </c>
      <c r="AA364" s="15">
        <v>6.7</v>
      </c>
      <c r="AB364" s="15">
        <v>25.2</v>
      </c>
      <c r="AC364" s="15">
        <v>10.7</v>
      </c>
      <c r="AD364" s="15">
        <v>0.69</v>
      </c>
      <c r="AE364" s="15">
        <v>1.22</v>
      </c>
      <c r="AF364" s="15">
        <f>(33.5*Table2[[#This Row],[C%]]+142.3*Table2[[#This Row],[H%]]-15.4*Table2[[#This Row],[O%]]-14.5*Table2[[#This Row],[N%]])/100</f>
        <v>19.377800000000001</v>
      </c>
      <c r="AG364" s="15">
        <v>1.2999999999999999E-3</v>
      </c>
      <c r="AH364" s="15"/>
      <c r="AI364" s="15"/>
      <c r="AJ364" s="15">
        <v>2.912621359223301</v>
      </c>
      <c r="AM364" s="13"/>
      <c r="AO364" s="15"/>
      <c r="AP364" s="15" t="e">
        <f>LN(25/Table2[[#This Row],[Temperature (C)]]/(1-SQRT((Table2[[#This Row],[Temperature (C)]]-5)/Table2[[#This Row],[Temperature (C)]])))/Table2[[#This Row],[b]]</f>
        <v>#DIV/0!</v>
      </c>
      <c r="AQ364" s="15">
        <f>IF(Table2[[#This Row],[b]]&lt;&gt;"",Table2[[#This Row],[T-5]], 0)</f>
        <v>0</v>
      </c>
      <c r="AR364">
        <v>31.6</v>
      </c>
      <c r="AT364" t="s">
        <v>503</v>
      </c>
      <c r="AU364">
        <v>200</v>
      </c>
      <c r="AV364" s="15">
        <v>16.8</v>
      </c>
      <c r="AW364" s="15">
        <v>8.4</v>
      </c>
      <c r="AX364" s="15">
        <f>100-Table2[[#This Row],[Solids wt%]]-Table2[[#This Row],[Biocrude wt%]]-Table2[[#This Row],[Gas wt%]]</f>
        <v>73.399999999999991</v>
      </c>
      <c r="AY364" s="15">
        <v>1.4</v>
      </c>
      <c r="AZ364" s="15"/>
      <c r="BA364" s="15"/>
      <c r="BB364" s="15">
        <f>IF(OR(Table2[[#This Row],[Gas wt%]]&lt;&gt;"",Table2[[#This Row],[Loss]]&lt;&gt;""),Table2[[#This Row],[Gas wt%]]+Table2[[#This Row],[Loss]],"")</f>
        <v>1.4</v>
      </c>
      <c r="BC364" s="15"/>
      <c r="BD364" s="15"/>
      <c r="BE364" s="15"/>
      <c r="BF364" s="15"/>
      <c r="BG364" s="15"/>
      <c r="BH364" s="15"/>
      <c r="BI364" s="15">
        <v>65.3</v>
      </c>
      <c r="BJ364" s="15">
        <v>9.1</v>
      </c>
      <c r="BK364" s="15">
        <v>21.9</v>
      </c>
      <c r="BL364" s="15">
        <v>3.2</v>
      </c>
      <c r="BM364" s="15">
        <v>0.54</v>
      </c>
      <c r="BN364" s="15">
        <v>31.2</v>
      </c>
      <c r="BO364" s="15">
        <v>12.7</v>
      </c>
      <c r="BP364" s="15"/>
      <c r="BQ364" s="15">
        <f>Table2[[#This Row],[H% B]]/Table2[[#This Row],[C% B]]*100</f>
        <v>13.935681470137826</v>
      </c>
      <c r="BR364" s="15"/>
      <c r="BS364" s="15"/>
      <c r="BT364" s="15"/>
      <c r="BU364" s="15"/>
      <c r="BV364" s="15"/>
      <c r="BW364" s="15"/>
      <c r="BX364" s="15"/>
      <c r="BY364" s="15"/>
      <c r="BZ364" s="15"/>
      <c r="CA364" s="15"/>
      <c r="CB364" s="15"/>
      <c r="CC364" s="15"/>
      <c r="CD364" s="15"/>
      <c r="CE364" s="15"/>
      <c r="CF364" s="15">
        <v>43.8</v>
      </c>
      <c r="CG364" s="15">
        <v>6.1</v>
      </c>
      <c r="CH364" s="15">
        <v>32.799999999999997</v>
      </c>
      <c r="CI364" s="15">
        <v>8.6</v>
      </c>
      <c r="CJ364" s="15">
        <v>0.55000000000000004</v>
      </c>
      <c r="CK364" s="15"/>
      <c r="CL364" s="15"/>
      <c r="CM364" s="15"/>
      <c r="CN364" s="15"/>
      <c r="CO364" s="15"/>
      <c r="CP364" s="15"/>
      <c r="CQ364" s="15"/>
      <c r="CR364" s="15"/>
      <c r="CS364" s="15"/>
      <c r="CT364" s="15"/>
      <c r="CU364" s="15"/>
      <c r="CV364" s="15"/>
      <c r="CW364" s="15"/>
      <c r="CX364" s="15"/>
      <c r="CY364" s="15"/>
      <c r="CZ364" s="15"/>
      <c r="DA364" s="15"/>
      <c r="DB364" s="15">
        <v>0</v>
      </c>
    </row>
    <row r="365" spans="1:106" x14ac:dyDescent="0.25">
      <c r="A365" t="s">
        <v>375</v>
      </c>
      <c r="B365" t="s">
        <v>204</v>
      </c>
      <c r="C365">
        <v>2019</v>
      </c>
      <c r="D365" s="16" t="s">
        <v>377</v>
      </c>
      <c r="E365">
        <v>0</v>
      </c>
      <c r="F365" s="15">
        <v>31.4</v>
      </c>
      <c r="G365" s="15"/>
      <c r="H365" s="15"/>
      <c r="I365" s="15">
        <v>50.9</v>
      </c>
      <c r="J365" s="15">
        <v>5.2</v>
      </c>
      <c r="K365" s="15"/>
      <c r="L365" s="15">
        <f>IF(Table2[[#This Row],[Lipids wt%]]+Table2[[#This Row],[Protein wt%]]+Table2[[#This Row],[Carbs wt%]] =0,"",SUM(Table2[[#This Row],[Lipids wt%]],Table2[[#This Row],[Protein wt%]],Table2[[#This Row],[Carbs wt%]]))</f>
        <v>87.5</v>
      </c>
      <c r="M365" s="15">
        <v>12.5</v>
      </c>
      <c r="Z365" s="15">
        <v>45.6</v>
      </c>
      <c r="AA365" s="15">
        <v>6.7</v>
      </c>
      <c r="AB365" s="15">
        <v>25.2</v>
      </c>
      <c r="AC365" s="15">
        <v>10.7</v>
      </c>
      <c r="AD365" s="15">
        <v>0.69</v>
      </c>
      <c r="AE365" s="15">
        <v>1.22</v>
      </c>
      <c r="AF365" s="15">
        <f>(33.5*Table2[[#This Row],[C%]]+142.3*Table2[[#This Row],[H%]]-15.4*Table2[[#This Row],[O%]]-14.5*Table2[[#This Row],[N%]])/100</f>
        <v>19.377800000000001</v>
      </c>
      <c r="AG365" s="15">
        <v>1.2999999999999999E-3</v>
      </c>
      <c r="AH365" s="15"/>
      <c r="AI365" s="15"/>
      <c r="AJ365" s="15">
        <v>2.912621359223301</v>
      </c>
      <c r="AM365" s="13"/>
      <c r="AO365" s="15"/>
      <c r="AP365" s="15" t="e">
        <f>LN(25/Table2[[#This Row],[Temperature (C)]]/(1-SQRT((Table2[[#This Row],[Temperature (C)]]-5)/Table2[[#This Row],[Temperature (C)]])))/Table2[[#This Row],[b]]</f>
        <v>#DIV/0!</v>
      </c>
      <c r="AQ365" s="15">
        <f>IF(Table2[[#This Row],[b]]&lt;&gt;"",Table2[[#This Row],[T-5]], 0)</f>
        <v>0</v>
      </c>
      <c r="AR365">
        <v>3.2</v>
      </c>
      <c r="AT365" t="s">
        <v>503</v>
      </c>
      <c r="AU365">
        <v>300</v>
      </c>
      <c r="AV365" s="15">
        <v>5.0999999999999996</v>
      </c>
      <c r="AW365" s="15">
        <v>18.3</v>
      </c>
      <c r="AX365" s="15">
        <f>100-Table2[[#This Row],[Solids wt%]]-Table2[[#This Row],[Biocrude wt%]]-Table2[[#This Row],[Gas wt%]]</f>
        <v>71.900000000000006</v>
      </c>
      <c r="AY365" s="15">
        <v>4.7</v>
      </c>
      <c r="AZ365" s="15"/>
      <c r="BA365" s="15"/>
      <c r="BB365" s="15">
        <f>IF(OR(Table2[[#This Row],[Gas wt%]]&lt;&gt;"",Table2[[#This Row],[Loss]]&lt;&gt;""),Table2[[#This Row],[Gas wt%]]+Table2[[#This Row],[Loss]],"")</f>
        <v>4.7</v>
      </c>
      <c r="BC365" s="15"/>
      <c r="BD365" s="15"/>
      <c r="BE365" s="15"/>
      <c r="BF365" s="15"/>
      <c r="BG365" s="15"/>
      <c r="BH365" s="15"/>
      <c r="BI365" s="15">
        <v>65.900000000000006</v>
      </c>
      <c r="BJ365" s="15">
        <v>8.3000000000000007</v>
      </c>
      <c r="BK365" s="15">
        <v>17.3</v>
      </c>
      <c r="BL365" s="15">
        <v>7.4</v>
      </c>
      <c r="BM365" s="15">
        <v>1.2</v>
      </c>
      <c r="BN365" s="15">
        <v>30.9</v>
      </c>
      <c r="BO365" s="15">
        <v>27.3</v>
      </c>
      <c r="BP365" s="15"/>
      <c r="BQ365" s="15">
        <f>Table2[[#This Row],[H% B]]/Table2[[#This Row],[C% B]]*100</f>
        <v>12.5948406676783</v>
      </c>
      <c r="BR365" s="15"/>
      <c r="BS365" s="15"/>
      <c r="BT365" s="15"/>
      <c r="BU365" s="15"/>
      <c r="BV365" s="15"/>
      <c r="BW365" s="15"/>
      <c r="BX365" s="15"/>
      <c r="BY365" s="15"/>
      <c r="BZ365" s="15"/>
      <c r="CA365" s="15"/>
      <c r="CB365" s="15"/>
      <c r="CC365" s="15"/>
      <c r="CD365" s="15"/>
      <c r="CE365" s="15"/>
      <c r="CF365" s="15">
        <v>28.1</v>
      </c>
      <c r="CG365" s="15">
        <v>3.6</v>
      </c>
      <c r="CH365" s="15">
        <v>63.3</v>
      </c>
      <c r="CI365" s="15">
        <v>3.6</v>
      </c>
      <c r="CJ365" s="15"/>
      <c r="CK365" s="15"/>
      <c r="CL365" s="15"/>
      <c r="CM365" s="15"/>
      <c r="CN365" s="15"/>
      <c r="CO365" s="15"/>
      <c r="CP365" s="15"/>
      <c r="CQ365" s="15"/>
      <c r="CR365" s="15"/>
      <c r="CS365" s="15"/>
      <c r="CT365" s="15"/>
      <c r="CU365" s="15"/>
      <c r="CV365" s="15"/>
      <c r="CW365" s="15"/>
      <c r="CX365" s="15"/>
      <c r="CY365" s="15"/>
      <c r="CZ365" s="15"/>
      <c r="DA365" s="15"/>
      <c r="DB365" s="15">
        <v>0</v>
      </c>
    </row>
    <row r="366" spans="1:106" x14ac:dyDescent="0.25">
      <c r="A366" t="s">
        <v>375</v>
      </c>
      <c r="B366" t="s">
        <v>204</v>
      </c>
      <c r="C366">
        <v>2019</v>
      </c>
      <c r="D366" s="16" t="s">
        <v>377</v>
      </c>
      <c r="E366">
        <v>0</v>
      </c>
      <c r="F366" s="15">
        <v>31.4</v>
      </c>
      <c r="G366" s="15"/>
      <c r="H366" s="15"/>
      <c r="I366" s="15">
        <v>50.9</v>
      </c>
      <c r="J366" s="15">
        <v>5.2</v>
      </c>
      <c r="K366" s="15"/>
      <c r="L366" s="15">
        <f>IF(Table2[[#This Row],[Lipids wt%]]+Table2[[#This Row],[Protein wt%]]+Table2[[#This Row],[Carbs wt%]] =0,"",SUM(Table2[[#This Row],[Lipids wt%]],Table2[[#This Row],[Protein wt%]],Table2[[#This Row],[Carbs wt%]]))</f>
        <v>87.5</v>
      </c>
      <c r="M366" s="15">
        <v>12.5</v>
      </c>
      <c r="Z366" s="15">
        <v>45.6</v>
      </c>
      <c r="AA366" s="15">
        <v>6.7</v>
      </c>
      <c r="AB366" s="15">
        <v>25.2</v>
      </c>
      <c r="AC366" s="15">
        <v>10.7</v>
      </c>
      <c r="AD366" s="15">
        <v>0.69</v>
      </c>
      <c r="AE366" s="15">
        <v>1.22</v>
      </c>
      <c r="AF366" s="15">
        <f>(33.5*Table2[[#This Row],[C%]]+142.3*Table2[[#This Row],[H%]]-15.4*Table2[[#This Row],[O%]]-14.5*Table2[[#This Row],[N%]])/100</f>
        <v>19.377800000000001</v>
      </c>
      <c r="AG366" s="15">
        <v>1.2999999999999999E-3</v>
      </c>
      <c r="AH366" s="15"/>
      <c r="AI366" s="15"/>
      <c r="AJ366" s="15">
        <v>2.912621359223301</v>
      </c>
      <c r="AM366" s="13"/>
      <c r="AO366" s="15"/>
      <c r="AP366" s="15" t="e">
        <f>LN(25/Table2[[#This Row],[Temperature (C)]]/(1-SQRT((Table2[[#This Row],[Temperature (C)]]-5)/Table2[[#This Row],[Temperature (C)]])))/Table2[[#This Row],[b]]</f>
        <v>#DIV/0!</v>
      </c>
      <c r="AQ366" s="15">
        <f>IF(Table2[[#This Row],[b]]&lt;&gt;"",Table2[[#This Row],[T-5]], 0)</f>
        <v>0</v>
      </c>
      <c r="AR366">
        <v>31.6</v>
      </c>
      <c r="AT366" t="s">
        <v>503</v>
      </c>
      <c r="AU366">
        <v>300</v>
      </c>
      <c r="AV366" s="15">
        <v>2</v>
      </c>
      <c r="AW366" s="15">
        <v>20.100000000000001</v>
      </c>
      <c r="AX366" s="15">
        <f>100-Table2[[#This Row],[Solids wt%]]-Table2[[#This Row],[Biocrude wt%]]-Table2[[#This Row],[Gas wt%]]</f>
        <v>72.7</v>
      </c>
      <c r="AY366" s="15">
        <v>5.2</v>
      </c>
      <c r="AZ366" s="15"/>
      <c r="BA366" s="15"/>
      <c r="BB366" s="15">
        <f>IF(OR(Table2[[#This Row],[Gas wt%]]&lt;&gt;"",Table2[[#This Row],[Loss]]&lt;&gt;""),Table2[[#This Row],[Gas wt%]]+Table2[[#This Row],[Loss]],"")</f>
        <v>5.2</v>
      </c>
      <c r="BC366" s="15"/>
      <c r="BD366" s="15"/>
      <c r="BE366" s="15"/>
      <c r="BF366" s="15"/>
      <c r="BG366" s="15"/>
      <c r="BH366" s="15"/>
      <c r="BI366" s="15">
        <v>69.900000000000006</v>
      </c>
      <c r="BJ366" s="15">
        <v>8.6</v>
      </c>
      <c r="BK366" s="15">
        <v>13.7</v>
      </c>
      <c r="BL366" s="15">
        <v>6.7</v>
      </c>
      <c r="BM366" s="15">
        <v>1.1000000000000001</v>
      </c>
      <c r="BN366" s="15">
        <v>33</v>
      </c>
      <c r="BO366" s="15">
        <v>32.1</v>
      </c>
      <c r="BP366" s="15"/>
      <c r="BQ366" s="15">
        <f>Table2[[#This Row],[H% B]]/Table2[[#This Row],[C% B]]*100</f>
        <v>12.303290414878395</v>
      </c>
      <c r="BR366" s="15"/>
      <c r="BS366" s="15"/>
      <c r="BT366" s="15"/>
      <c r="BU366" s="15"/>
      <c r="BV366" s="15"/>
      <c r="BW366" s="15"/>
      <c r="BX366" s="15"/>
      <c r="BY366" s="15"/>
      <c r="BZ366" s="15"/>
      <c r="CA366" s="15"/>
      <c r="CB366" s="15"/>
      <c r="CC366" s="15"/>
      <c r="CD366" s="15"/>
      <c r="CE366" s="15"/>
      <c r="CF366" s="15"/>
      <c r="CG366" s="15"/>
      <c r="CH366" s="15"/>
      <c r="CI366" s="15"/>
      <c r="CJ366" s="15"/>
      <c r="CK366" s="15"/>
      <c r="CL366" s="15"/>
      <c r="CM366" s="15"/>
      <c r="CN366" s="15"/>
      <c r="CO366" s="15"/>
      <c r="CP366" s="15"/>
      <c r="CQ366" s="15"/>
      <c r="CR366" s="15"/>
      <c r="CS366" s="15"/>
      <c r="CT366" s="15"/>
      <c r="CU366" s="15"/>
      <c r="CV366" s="15"/>
      <c r="CW366" s="15"/>
      <c r="CX366" s="15"/>
      <c r="CY366" s="15"/>
      <c r="CZ366" s="15"/>
      <c r="DA366" s="15"/>
      <c r="DB366" s="15">
        <v>0</v>
      </c>
    </row>
    <row r="367" spans="1:106" x14ac:dyDescent="0.25">
      <c r="A367" t="s">
        <v>375</v>
      </c>
      <c r="B367" t="s">
        <v>204</v>
      </c>
      <c r="C367">
        <v>2019</v>
      </c>
      <c r="D367" s="16" t="s">
        <v>377</v>
      </c>
      <c r="E367">
        <v>0</v>
      </c>
      <c r="F367" s="15">
        <v>31.4</v>
      </c>
      <c r="G367" s="15"/>
      <c r="H367" s="15"/>
      <c r="I367" s="15">
        <v>50.9</v>
      </c>
      <c r="J367" s="15">
        <v>5.2</v>
      </c>
      <c r="K367" s="15"/>
      <c r="L367" s="15">
        <f>IF(Table2[[#This Row],[Lipids wt%]]+Table2[[#This Row],[Protein wt%]]+Table2[[#This Row],[Carbs wt%]] =0,"",SUM(Table2[[#This Row],[Lipids wt%]],Table2[[#This Row],[Protein wt%]],Table2[[#This Row],[Carbs wt%]]))</f>
        <v>87.5</v>
      </c>
      <c r="M367" s="15">
        <v>12.5</v>
      </c>
      <c r="Z367" s="15">
        <v>45.6</v>
      </c>
      <c r="AA367" s="15">
        <v>6.7</v>
      </c>
      <c r="AB367" s="15">
        <v>25.2</v>
      </c>
      <c r="AC367" s="15">
        <v>10.7</v>
      </c>
      <c r="AD367" s="15">
        <v>0.69</v>
      </c>
      <c r="AE367" s="15">
        <v>1.22</v>
      </c>
      <c r="AF367" s="15">
        <f>(33.5*Table2[[#This Row],[C%]]+142.3*Table2[[#This Row],[H%]]-15.4*Table2[[#This Row],[O%]]-14.5*Table2[[#This Row],[N%]])/100</f>
        <v>19.377800000000001</v>
      </c>
      <c r="AG367" s="15">
        <v>1.2999999999999999E-3</v>
      </c>
      <c r="AH367" s="15"/>
      <c r="AI367" s="15"/>
      <c r="AJ367" s="15">
        <v>2.912621359223301</v>
      </c>
      <c r="AM367" s="13"/>
      <c r="AO367" s="15"/>
      <c r="AP367" s="15" t="e">
        <f>LN(25/Table2[[#This Row],[Temperature (C)]]/(1-SQRT((Table2[[#This Row],[Temperature (C)]]-5)/Table2[[#This Row],[Temperature (C)]])))/Table2[[#This Row],[b]]</f>
        <v>#DIV/0!</v>
      </c>
      <c r="AQ367" s="15">
        <f>IF(Table2[[#This Row],[b]]&lt;&gt;"",Table2[[#This Row],[T-5]], 0)</f>
        <v>0</v>
      </c>
      <c r="AR367">
        <v>100</v>
      </c>
      <c r="AT367" t="s">
        <v>503</v>
      </c>
      <c r="AU367">
        <v>350</v>
      </c>
      <c r="AV367" s="15">
        <v>3.9</v>
      </c>
      <c r="AW367" s="15">
        <v>18.5</v>
      </c>
      <c r="AX367" s="15">
        <f>100-Table2[[#This Row],[Solids wt%]]-Table2[[#This Row],[Biocrude wt%]]-Table2[[#This Row],[Gas wt%]]</f>
        <v>66.599999999999994</v>
      </c>
      <c r="AY367" s="15">
        <v>11</v>
      </c>
      <c r="AZ367" s="15"/>
      <c r="BA367" s="15"/>
      <c r="BB367" s="15">
        <f>IF(OR(Table2[[#This Row],[Gas wt%]]&lt;&gt;"",Table2[[#This Row],[Loss]]&lt;&gt;""),Table2[[#This Row],[Gas wt%]]+Table2[[#This Row],[Loss]],"")</f>
        <v>11</v>
      </c>
      <c r="BC367" s="15"/>
      <c r="BD367" s="15"/>
      <c r="BE367" s="15"/>
      <c r="BF367" s="15"/>
      <c r="BG367" s="15"/>
      <c r="BH367" s="15"/>
      <c r="BI367" s="15">
        <v>73.2</v>
      </c>
      <c r="BJ367" s="15">
        <v>8.6999999999999993</v>
      </c>
      <c r="BK367" s="15">
        <v>11.7</v>
      </c>
      <c r="BL367" s="15">
        <v>5.4</v>
      </c>
      <c r="BM367" s="15">
        <v>0.95</v>
      </c>
      <c r="BN367" s="15">
        <v>34.5</v>
      </c>
      <c r="BO367" s="15">
        <v>30.8</v>
      </c>
      <c r="BP367" s="15"/>
      <c r="BQ367" s="15">
        <f>Table2[[#This Row],[H% B]]/Table2[[#This Row],[C% B]]*100</f>
        <v>11.885245901639342</v>
      </c>
      <c r="BR367" s="15"/>
      <c r="BS367" s="15"/>
      <c r="BT367" s="15"/>
      <c r="BU367" s="15"/>
      <c r="BV367" s="15"/>
      <c r="BW367" s="15"/>
      <c r="BX367" s="15"/>
      <c r="BY367" s="15"/>
      <c r="BZ367" s="15"/>
      <c r="CA367" s="15"/>
      <c r="CB367" s="15"/>
      <c r="CC367" s="15"/>
      <c r="CD367" s="15"/>
      <c r="CE367" s="15"/>
      <c r="CF367" s="15"/>
      <c r="CG367" s="15"/>
      <c r="CH367" s="15"/>
      <c r="CI367" s="15"/>
      <c r="CJ367" s="15"/>
      <c r="CK367" s="15"/>
      <c r="CL367" s="15"/>
      <c r="CM367" s="15"/>
      <c r="CN367" s="15"/>
      <c r="CO367" s="15"/>
      <c r="CP367" s="15"/>
      <c r="CQ367" s="15"/>
      <c r="CR367" s="15"/>
      <c r="CS367" s="15"/>
      <c r="CT367" s="15"/>
      <c r="CU367" s="15"/>
      <c r="CV367" s="15"/>
      <c r="CW367" s="15"/>
      <c r="CX367" s="15"/>
      <c r="CY367" s="15"/>
      <c r="CZ367" s="15"/>
      <c r="DA367" s="15"/>
      <c r="DB367" s="15">
        <v>0</v>
      </c>
    </row>
    <row r="368" spans="1:106" x14ac:dyDescent="0.25">
      <c r="A368" t="s">
        <v>375</v>
      </c>
      <c r="B368" t="s">
        <v>204</v>
      </c>
      <c r="C368">
        <v>2019</v>
      </c>
      <c r="D368" s="16" t="s">
        <v>377</v>
      </c>
      <c r="E368">
        <v>0</v>
      </c>
      <c r="F368" s="15">
        <v>31.4</v>
      </c>
      <c r="G368" s="15"/>
      <c r="H368" s="15"/>
      <c r="I368" s="15">
        <v>50.9</v>
      </c>
      <c r="J368" s="15">
        <v>5.2</v>
      </c>
      <c r="K368" s="15"/>
      <c r="L368" s="15">
        <f>IF(Table2[[#This Row],[Lipids wt%]]+Table2[[#This Row],[Protein wt%]]+Table2[[#This Row],[Carbs wt%]] =0,"",SUM(Table2[[#This Row],[Lipids wt%]],Table2[[#This Row],[Protein wt%]],Table2[[#This Row],[Carbs wt%]]))</f>
        <v>87.5</v>
      </c>
      <c r="M368" s="15">
        <v>12.5</v>
      </c>
      <c r="Z368" s="15">
        <v>45.6</v>
      </c>
      <c r="AA368" s="15">
        <v>6.7</v>
      </c>
      <c r="AB368" s="15">
        <v>25.2</v>
      </c>
      <c r="AC368" s="15">
        <v>10.7</v>
      </c>
      <c r="AD368" s="15">
        <v>0.69</v>
      </c>
      <c r="AE368" s="15">
        <v>1.22</v>
      </c>
      <c r="AF368" s="15">
        <f>(33.5*Table2[[#This Row],[C%]]+142.3*Table2[[#This Row],[H%]]-15.4*Table2[[#This Row],[O%]]-14.5*Table2[[#This Row],[N%]])/100</f>
        <v>19.377800000000001</v>
      </c>
      <c r="AG368" s="15">
        <v>1.2999999999999999E-3</v>
      </c>
      <c r="AH368" s="15"/>
      <c r="AI368" s="15"/>
      <c r="AJ368" s="15">
        <v>10.714285714285714</v>
      </c>
      <c r="AM368" s="13"/>
      <c r="AO368" s="15"/>
      <c r="AP368" s="15" t="e">
        <f>LN(25/Table2[[#This Row],[Temperature (C)]]/(1-SQRT((Table2[[#This Row],[Temperature (C)]]-5)/Table2[[#This Row],[Temperature (C)]])))/Table2[[#This Row],[b]]</f>
        <v>#DIV/0!</v>
      </c>
      <c r="AQ368" s="15">
        <f>IF(Table2[[#This Row],[b]]&lt;&gt;"",Table2[[#This Row],[T-5]], 0)</f>
        <v>0</v>
      </c>
      <c r="AR368">
        <v>1</v>
      </c>
      <c r="AT368" t="s">
        <v>503</v>
      </c>
      <c r="AU368">
        <v>150</v>
      </c>
      <c r="AV368" s="15">
        <v>53.3</v>
      </c>
      <c r="AW368" s="15">
        <v>1.3</v>
      </c>
      <c r="AX368" s="15">
        <f>100-Table2[[#This Row],[Solids wt%]]-Table2[[#This Row],[Biocrude wt%]]-Table2[[#This Row],[Gas wt%]]</f>
        <v>45.000000000000007</v>
      </c>
      <c r="AY368" s="15">
        <v>0.4</v>
      </c>
      <c r="AZ368" s="15"/>
      <c r="BA368" s="15"/>
      <c r="BB368" s="15">
        <f>IF(OR(Table2[[#This Row],[Gas wt%]]&lt;&gt;"",Table2[[#This Row],[Loss]]&lt;&gt;""),Table2[[#This Row],[Gas wt%]]+Table2[[#This Row],[Loss]],"")</f>
        <v>0.4</v>
      </c>
      <c r="BC368" s="15"/>
      <c r="BD368" s="15"/>
      <c r="BE368" s="15"/>
      <c r="BF368" s="15"/>
      <c r="BG368" s="15"/>
      <c r="BH368" s="15"/>
      <c r="BI368" s="15">
        <v>70.5</v>
      </c>
      <c r="BJ368" s="15">
        <v>10</v>
      </c>
      <c r="BK368" s="15">
        <v>18.3</v>
      </c>
      <c r="BL368" s="15">
        <v>1.3</v>
      </c>
      <c r="BM368" s="15"/>
      <c r="BN368" s="15">
        <v>34.4</v>
      </c>
      <c r="BO368" s="15">
        <v>2.2000000000000002</v>
      </c>
      <c r="BP368" s="15"/>
      <c r="BQ368" s="15">
        <f>Table2[[#This Row],[H% B]]/Table2[[#This Row],[C% B]]*100</f>
        <v>14.184397163120568</v>
      </c>
      <c r="BR368" s="15"/>
      <c r="BS368" s="15"/>
      <c r="BT368" s="15"/>
      <c r="BU368" s="15"/>
      <c r="BV368" s="15"/>
      <c r="BW368" s="15"/>
      <c r="BX368" s="15"/>
      <c r="BY368" s="15"/>
      <c r="BZ368" s="15"/>
      <c r="CA368" s="15"/>
      <c r="CB368" s="15"/>
      <c r="CC368" s="15"/>
      <c r="CD368" s="15"/>
      <c r="CE368" s="15"/>
      <c r="CF368" s="15">
        <v>46.7</v>
      </c>
      <c r="CG368" s="15">
        <v>7</v>
      </c>
      <c r="CH368" s="15">
        <v>34</v>
      </c>
      <c r="CI368" s="15">
        <v>10.8</v>
      </c>
      <c r="CJ368" s="15">
        <v>0.61</v>
      </c>
      <c r="CK368" s="15"/>
      <c r="CL368" s="15"/>
      <c r="CM368" s="15"/>
      <c r="CN368" s="15"/>
      <c r="CO368" s="15"/>
      <c r="CP368" s="15"/>
      <c r="CQ368" s="15"/>
      <c r="CR368" s="15"/>
      <c r="CS368" s="15"/>
      <c r="CT368" s="15"/>
      <c r="CU368" s="15"/>
      <c r="CV368" s="15"/>
      <c r="CW368" s="15"/>
      <c r="CX368" s="15"/>
      <c r="CY368" s="15"/>
      <c r="CZ368" s="15"/>
      <c r="DA368" s="15"/>
      <c r="DB368" s="15">
        <v>0</v>
      </c>
    </row>
    <row r="369" spans="1:106" x14ac:dyDescent="0.25">
      <c r="A369" t="s">
        <v>375</v>
      </c>
      <c r="B369" t="s">
        <v>204</v>
      </c>
      <c r="C369">
        <v>2019</v>
      </c>
      <c r="D369" s="16" t="s">
        <v>377</v>
      </c>
      <c r="E369">
        <v>0</v>
      </c>
      <c r="F369" s="15">
        <v>31.4</v>
      </c>
      <c r="G369" s="15"/>
      <c r="H369" s="15"/>
      <c r="I369" s="15">
        <v>50.9</v>
      </c>
      <c r="J369" s="15">
        <v>5.2</v>
      </c>
      <c r="K369" s="15"/>
      <c r="L369" s="15">
        <f>IF(Table2[[#This Row],[Lipids wt%]]+Table2[[#This Row],[Protein wt%]]+Table2[[#This Row],[Carbs wt%]] =0,"",SUM(Table2[[#This Row],[Lipids wt%]],Table2[[#This Row],[Protein wt%]],Table2[[#This Row],[Carbs wt%]]))</f>
        <v>87.5</v>
      </c>
      <c r="M369" s="15">
        <v>12.5</v>
      </c>
      <c r="Z369" s="15">
        <v>45.6</v>
      </c>
      <c r="AA369" s="15">
        <v>6.7</v>
      </c>
      <c r="AB369" s="15">
        <v>25.2</v>
      </c>
      <c r="AC369" s="15">
        <v>10.7</v>
      </c>
      <c r="AD369" s="15">
        <v>0.69</v>
      </c>
      <c r="AE369" s="15">
        <v>1.22</v>
      </c>
      <c r="AF369" s="15">
        <f>(33.5*Table2[[#This Row],[C%]]+142.3*Table2[[#This Row],[H%]]-15.4*Table2[[#This Row],[O%]]-14.5*Table2[[#This Row],[N%]])/100</f>
        <v>19.377800000000001</v>
      </c>
      <c r="AG369" s="15">
        <v>1.2999999999999999E-3</v>
      </c>
      <c r="AH369" s="15"/>
      <c r="AI369" s="15"/>
      <c r="AJ369" s="15">
        <v>10.714285714285714</v>
      </c>
      <c r="AM369" s="13"/>
      <c r="AO369" s="15"/>
      <c r="AP369" s="15" t="e">
        <f>LN(25/Table2[[#This Row],[Temperature (C)]]/(1-SQRT((Table2[[#This Row],[Temperature (C)]]-5)/Table2[[#This Row],[Temperature (C)]])))/Table2[[#This Row],[b]]</f>
        <v>#DIV/0!</v>
      </c>
      <c r="AQ369" s="15">
        <f>IF(Table2[[#This Row],[b]]&lt;&gt;"",Table2[[#This Row],[T-5]], 0)</f>
        <v>0</v>
      </c>
      <c r="AR369">
        <v>3.2</v>
      </c>
      <c r="AT369" t="s">
        <v>503</v>
      </c>
      <c r="AU369">
        <v>200</v>
      </c>
      <c r="AV369" s="15">
        <v>36.5</v>
      </c>
      <c r="AW369" s="15">
        <v>3.4</v>
      </c>
      <c r="AX369" s="15">
        <f>100-Table2[[#This Row],[Solids wt%]]-Table2[[#This Row],[Biocrude wt%]]-Table2[[#This Row],[Gas wt%]]</f>
        <v>59.7</v>
      </c>
      <c r="AY369" s="15">
        <v>0.4</v>
      </c>
      <c r="AZ369" s="15"/>
      <c r="BA369" s="15"/>
      <c r="BB369" s="15">
        <f>IF(OR(Table2[[#This Row],[Gas wt%]]&lt;&gt;"",Table2[[#This Row],[Loss]]&lt;&gt;""),Table2[[#This Row],[Gas wt%]]+Table2[[#This Row],[Loss]],"")</f>
        <v>0.4</v>
      </c>
      <c r="BC369" s="15"/>
      <c r="BD369" s="15"/>
      <c r="BE369" s="15"/>
      <c r="BF369" s="15"/>
      <c r="BG369" s="15"/>
      <c r="BH369" s="15"/>
      <c r="BI369" s="15">
        <v>66.2</v>
      </c>
      <c r="BJ369" s="15">
        <v>9.1</v>
      </c>
      <c r="BK369" s="15">
        <v>22.3</v>
      </c>
      <c r="BL369" s="15">
        <v>2</v>
      </c>
      <c r="BM369" s="15">
        <v>0.39</v>
      </c>
      <c r="BN369" s="15">
        <v>31.5</v>
      </c>
      <c r="BO369" s="15">
        <v>5.2</v>
      </c>
      <c r="BP369" s="15"/>
      <c r="BQ369" s="15">
        <f>Table2[[#This Row],[H% B]]/Table2[[#This Row],[C% B]]*100</f>
        <v>13.746223564954683</v>
      </c>
      <c r="BR369" s="15"/>
      <c r="BS369" s="15"/>
      <c r="BT369" s="15"/>
      <c r="BU369" s="15"/>
      <c r="BV369" s="15"/>
      <c r="BW369" s="15"/>
      <c r="BX369" s="15"/>
      <c r="BY369" s="15"/>
      <c r="BZ369" s="15"/>
      <c r="CA369" s="15"/>
      <c r="CB369" s="15"/>
      <c r="CC369" s="15"/>
      <c r="CD369" s="15"/>
      <c r="CE369" s="15"/>
      <c r="CF369" s="15">
        <v>46.7</v>
      </c>
      <c r="CG369" s="15">
        <v>6.8</v>
      </c>
      <c r="CH369" s="15">
        <v>33.6</v>
      </c>
      <c r="CI369" s="15">
        <v>10.3</v>
      </c>
      <c r="CJ369" s="15">
        <v>0.62</v>
      </c>
      <c r="CK369" s="15"/>
      <c r="CL369" s="15"/>
      <c r="CM369" s="15"/>
      <c r="CN369" s="15"/>
      <c r="CO369" s="15"/>
      <c r="CP369" s="15"/>
      <c r="CQ369" s="15"/>
      <c r="CR369" s="15"/>
      <c r="CS369" s="15"/>
      <c r="CT369" s="15"/>
      <c r="CU369" s="15"/>
      <c r="CV369" s="15"/>
      <c r="CW369" s="15"/>
      <c r="CX369" s="15"/>
      <c r="CY369" s="15"/>
      <c r="CZ369" s="15"/>
      <c r="DA369" s="15"/>
      <c r="DB369" s="15">
        <v>0</v>
      </c>
    </row>
    <row r="370" spans="1:106" x14ac:dyDescent="0.25">
      <c r="A370" t="s">
        <v>375</v>
      </c>
      <c r="B370" t="s">
        <v>204</v>
      </c>
      <c r="C370">
        <v>2019</v>
      </c>
      <c r="D370" s="16" t="s">
        <v>377</v>
      </c>
      <c r="E370">
        <v>0</v>
      </c>
      <c r="F370" s="15">
        <v>31.4</v>
      </c>
      <c r="G370" s="15"/>
      <c r="H370" s="15"/>
      <c r="I370" s="15">
        <v>50.9</v>
      </c>
      <c r="J370" s="15">
        <v>5.2</v>
      </c>
      <c r="K370" s="15"/>
      <c r="L370" s="15">
        <f>IF(Table2[[#This Row],[Lipids wt%]]+Table2[[#This Row],[Protein wt%]]+Table2[[#This Row],[Carbs wt%]] =0,"",SUM(Table2[[#This Row],[Lipids wt%]],Table2[[#This Row],[Protein wt%]],Table2[[#This Row],[Carbs wt%]]))</f>
        <v>87.5</v>
      </c>
      <c r="M370" s="15">
        <v>12.5</v>
      </c>
      <c r="Z370" s="15">
        <v>45.6</v>
      </c>
      <c r="AA370" s="15">
        <v>6.7</v>
      </c>
      <c r="AB370" s="15">
        <v>25.2</v>
      </c>
      <c r="AC370" s="15">
        <v>10.7</v>
      </c>
      <c r="AD370" s="15">
        <v>0.69</v>
      </c>
      <c r="AE370" s="15">
        <v>1.22</v>
      </c>
      <c r="AF370" s="15">
        <f>(33.5*Table2[[#This Row],[C%]]+142.3*Table2[[#This Row],[H%]]-15.4*Table2[[#This Row],[O%]]-14.5*Table2[[#This Row],[N%]])/100</f>
        <v>19.377800000000001</v>
      </c>
      <c r="AG370" s="15">
        <v>1.2999999999999999E-3</v>
      </c>
      <c r="AH370" s="15"/>
      <c r="AI370" s="15"/>
      <c r="AJ370" s="15">
        <v>10.714285714285714</v>
      </c>
      <c r="AM370" s="13"/>
      <c r="AO370" s="15"/>
      <c r="AP370" s="15" t="e">
        <f>LN(25/Table2[[#This Row],[Temperature (C)]]/(1-SQRT((Table2[[#This Row],[Temperature (C)]]-5)/Table2[[#This Row],[Temperature (C)]])))/Table2[[#This Row],[b]]</f>
        <v>#DIV/0!</v>
      </c>
      <c r="AQ370" s="15">
        <f>IF(Table2[[#This Row],[b]]&lt;&gt;"",Table2[[#This Row],[T-5]], 0)</f>
        <v>0</v>
      </c>
      <c r="AR370">
        <v>31.6</v>
      </c>
      <c r="AT370" t="s">
        <v>503</v>
      </c>
      <c r="AU370">
        <v>200</v>
      </c>
      <c r="AV370" s="15">
        <v>23.4</v>
      </c>
      <c r="AW370" s="15">
        <v>6</v>
      </c>
      <c r="AX370" s="15">
        <f>100-Table2[[#This Row],[Solids wt%]]-Table2[[#This Row],[Biocrude wt%]]-Table2[[#This Row],[Gas wt%]]</f>
        <v>69.199999999999989</v>
      </c>
      <c r="AY370" s="15">
        <v>1.4</v>
      </c>
      <c r="AZ370" s="15"/>
      <c r="BA370" s="15"/>
      <c r="BB370" s="15">
        <f>IF(OR(Table2[[#This Row],[Gas wt%]]&lt;&gt;"",Table2[[#This Row],[Loss]]&lt;&gt;""),Table2[[#This Row],[Gas wt%]]+Table2[[#This Row],[Loss]],"")</f>
        <v>1.4</v>
      </c>
      <c r="BC370" s="15"/>
      <c r="BD370" s="15"/>
      <c r="BE370" s="15"/>
      <c r="BF370" s="15"/>
      <c r="BG370" s="15"/>
      <c r="BH370" s="15"/>
      <c r="BI370" s="15">
        <v>63.3</v>
      </c>
      <c r="BJ370" s="15">
        <v>8.6999999999999993</v>
      </c>
      <c r="BK370" s="15">
        <v>23.7</v>
      </c>
      <c r="BL370" s="15">
        <v>3.6</v>
      </c>
      <c r="BM370" s="15">
        <v>0.61</v>
      </c>
      <c r="BN370" s="15">
        <v>29.8</v>
      </c>
      <c r="BO370" s="15">
        <v>8.6999999999999993</v>
      </c>
      <c r="BP370" s="15"/>
      <c r="BQ370" s="15">
        <f>Table2[[#This Row],[H% B]]/Table2[[#This Row],[C% B]]*100</f>
        <v>13.744075829383887</v>
      </c>
      <c r="BR370" s="15"/>
      <c r="BS370" s="15"/>
      <c r="BT370" s="15"/>
      <c r="BU370" s="15"/>
      <c r="BV370" s="15"/>
      <c r="BW370" s="15"/>
      <c r="BX370" s="15"/>
      <c r="BY370" s="15"/>
      <c r="BZ370" s="15"/>
      <c r="CA370" s="15"/>
      <c r="CB370" s="15"/>
      <c r="CC370" s="15"/>
      <c r="CD370" s="15"/>
      <c r="CE370" s="15"/>
      <c r="CF370" s="15">
        <v>45.8</v>
      </c>
      <c r="CG370" s="15">
        <v>6.3</v>
      </c>
      <c r="CH370" s="15">
        <v>36.299999999999997</v>
      </c>
      <c r="CI370" s="15">
        <v>8.6999999999999993</v>
      </c>
      <c r="CJ370" s="15">
        <v>0.6</v>
      </c>
      <c r="CK370" s="15"/>
      <c r="CL370" s="15"/>
      <c r="CM370" s="15"/>
      <c r="CN370" s="15"/>
      <c r="CO370" s="15"/>
      <c r="CP370" s="15"/>
      <c r="CQ370" s="15"/>
      <c r="CR370" s="15"/>
      <c r="CS370" s="15"/>
      <c r="CT370" s="15"/>
      <c r="CU370" s="15"/>
      <c r="CV370" s="15"/>
      <c r="CW370" s="15"/>
      <c r="CX370" s="15"/>
      <c r="CY370" s="15"/>
      <c r="CZ370" s="15"/>
      <c r="DA370" s="15"/>
      <c r="DB370" s="15">
        <v>0</v>
      </c>
    </row>
    <row r="371" spans="1:106" x14ac:dyDescent="0.25">
      <c r="A371" t="s">
        <v>375</v>
      </c>
      <c r="B371" t="s">
        <v>204</v>
      </c>
      <c r="C371">
        <v>2019</v>
      </c>
      <c r="D371" s="16" t="s">
        <v>377</v>
      </c>
      <c r="E371">
        <v>0</v>
      </c>
      <c r="F371" s="15">
        <v>31.4</v>
      </c>
      <c r="G371" s="15"/>
      <c r="H371" s="15"/>
      <c r="I371" s="15">
        <v>50.9</v>
      </c>
      <c r="J371" s="15">
        <v>5.2</v>
      </c>
      <c r="K371" s="15"/>
      <c r="L371" s="15">
        <f>IF(Table2[[#This Row],[Lipids wt%]]+Table2[[#This Row],[Protein wt%]]+Table2[[#This Row],[Carbs wt%]] =0,"",SUM(Table2[[#This Row],[Lipids wt%]],Table2[[#This Row],[Protein wt%]],Table2[[#This Row],[Carbs wt%]]))</f>
        <v>87.5</v>
      </c>
      <c r="M371" s="15">
        <v>12.5</v>
      </c>
      <c r="Z371" s="15">
        <v>45.6</v>
      </c>
      <c r="AA371" s="15">
        <v>6.7</v>
      </c>
      <c r="AB371" s="15">
        <v>25.2</v>
      </c>
      <c r="AC371" s="15">
        <v>10.7</v>
      </c>
      <c r="AD371" s="15">
        <v>0.69</v>
      </c>
      <c r="AE371" s="15">
        <v>1.22</v>
      </c>
      <c r="AF371" s="15">
        <f>(33.5*Table2[[#This Row],[C%]]+142.3*Table2[[#This Row],[H%]]-15.4*Table2[[#This Row],[O%]]-14.5*Table2[[#This Row],[N%]])/100</f>
        <v>19.377800000000001</v>
      </c>
      <c r="AG371" s="15">
        <v>1.2999999999999999E-3</v>
      </c>
      <c r="AH371" s="15"/>
      <c r="AI371" s="15"/>
      <c r="AJ371" s="15">
        <v>10.714285714285714</v>
      </c>
      <c r="AM371" s="13"/>
      <c r="AO371" s="15"/>
      <c r="AP371" s="15" t="e">
        <f>LN(25/Table2[[#This Row],[Temperature (C)]]/(1-SQRT((Table2[[#This Row],[Temperature (C)]]-5)/Table2[[#This Row],[Temperature (C)]])))/Table2[[#This Row],[b]]</f>
        <v>#DIV/0!</v>
      </c>
      <c r="AQ371" s="15">
        <f>IF(Table2[[#This Row],[b]]&lt;&gt;"",Table2[[#This Row],[T-5]], 0)</f>
        <v>0</v>
      </c>
      <c r="AR371">
        <v>0</v>
      </c>
      <c r="AT371" t="s">
        <v>503</v>
      </c>
      <c r="AU371">
        <v>300</v>
      </c>
      <c r="AV371" s="15">
        <v>39.9</v>
      </c>
      <c r="AW371" s="15">
        <v>1</v>
      </c>
      <c r="AX371" s="15">
        <f>100-Table2[[#This Row],[Solids wt%]]-Table2[[#This Row],[Biocrude wt%]]-Table2[[#This Row],[Gas wt%]]</f>
        <v>59.1</v>
      </c>
      <c r="AY371" s="15"/>
      <c r="AZ371" s="15"/>
      <c r="BA371" s="15"/>
      <c r="BB371" s="15" t="str">
        <f>IF(OR(Table2[[#This Row],[Gas wt%]]&lt;&gt;"",Table2[[#This Row],[Loss]]&lt;&gt;""),Table2[[#This Row],[Gas wt%]]+Table2[[#This Row],[Loss]],"")</f>
        <v/>
      </c>
      <c r="BC371" s="15"/>
      <c r="BD371" s="15"/>
      <c r="BE371" s="15"/>
      <c r="BF371" s="15"/>
      <c r="BG371" s="15"/>
      <c r="BH371" s="15"/>
      <c r="BI371" s="15">
        <v>71.900000000000006</v>
      </c>
      <c r="BJ371" s="15">
        <v>10.1</v>
      </c>
      <c r="BK371" s="15">
        <v>17</v>
      </c>
      <c r="BL371" s="15">
        <v>0.9</v>
      </c>
      <c r="BM371" s="15"/>
      <c r="BN371" s="15">
        <v>35.299999999999997</v>
      </c>
      <c r="BO371" s="15">
        <v>1.7</v>
      </c>
      <c r="BP371" s="15"/>
      <c r="BQ371" s="15">
        <f>Table2[[#This Row],[H% B]]/Table2[[#This Row],[C% B]]*100</f>
        <v>14.047287899860915</v>
      </c>
      <c r="BR371" s="15"/>
      <c r="BS371" s="15"/>
      <c r="BT371" s="15"/>
      <c r="BU371" s="15"/>
      <c r="BV371" s="15"/>
      <c r="BW371" s="15"/>
      <c r="BX371" s="15"/>
      <c r="BY371" s="15"/>
      <c r="BZ371" s="15"/>
      <c r="CA371" s="15"/>
      <c r="CB371" s="15"/>
      <c r="CC371" s="15"/>
      <c r="CD371" s="15"/>
      <c r="CE371" s="15"/>
      <c r="CF371" s="15">
        <v>47.6</v>
      </c>
      <c r="CG371" s="15">
        <v>7.2</v>
      </c>
      <c r="CH371" s="15">
        <v>33.6</v>
      </c>
      <c r="CI371" s="15">
        <v>10.3</v>
      </c>
      <c r="CJ371" s="15">
        <v>0.64</v>
      </c>
      <c r="CK371" s="15"/>
      <c r="CL371" s="15"/>
      <c r="CM371" s="15"/>
      <c r="CN371" s="15"/>
      <c r="CO371" s="15"/>
      <c r="CP371" s="15"/>
      <c r="CQ371" s="15"/>
      <c r="CR371" s="15"/>
      <c r="CS371" s="15"/>
      <c r="CT371" s="15"/>
      <c r="CU371" s="15"/>
      <c r="CV371" s="15"/>
      <c r="CW371" s="15"/>
      <c r="CX371" s="15"/>
      <c r="CY371" s="15"/>
      <c r="CZ371" s="15"/>
      <c r="DA371" s="15"/>
      <c r="DB371" s="15">
        <v>0</v>
      </c>
    </row>
    <row r="372" spans="1:106" x14ac:dyDescent="0.25">
      <c r="A372" t="s">
        <v>375</v>
      </c>
      <c r="B372" t="s">
        <v>204</v>
      </c>
      <c r="C372">
        <v>2019</v>
      </c>
      <c r="D372" s="16" t="s">
        <v>377</v>
      </c>
      <c r="E372">
        <v>0</v>
      </c>
      <c r="F372" s="15">
        <v>31.4</v>
      </c>
      <c r="G372" s="15"/>
      <c r="H372" s="15"/>
      <c r="I372" s="15">
        <v>50.9</v>
      </c>
      <c r="J372" s="15">
        <v>5.2</v>
      </c>
      <c r="K372" s="15"/>
      <c r="L372" s="15">
        <f>IF(Table2[[#This Row],[Lipids wt%]]+Table2[[#This Row],[Protein wt%]]+Table2[[#This Row],[Carbs wt%]] =0,"",SUM(Table2[[#This Row],[Lipids wt%]],Table2[[#This Row],[Protein wt%]],Table2[[#This Row],[Carbs wt%]]))</f>
        <v>87.5</v>
      </c>
      <c r="M372" s="15">
        <v>12.5</v>
      </c>
      <c r="Z372" s="15">
        <v>45.6</v>
      </c>
      <c r="AA372" s="15">
        <v>6.7</v>
      </c>
      <c r="AB372" s="15">
        <v>25.2</v>
      </c>
      <c r="AC372" s="15">
        <v>10.7</v>
      </c>
      <c r="AD372" s="15">
        <v>0.69</v>
      </c>
      <c r="AE372" s="15">
        <v>1.22</v>
      </c>
      <c r="AF372" s="15">
        <f>(33.5*Table2[[#This Row],[C%]]+142.3*Table2[[#This Row],[H%]]-15.4*Table2[[#This Row],[O%]]-14.5*Table2[[#This Row],[N%]])/100</f>
        <v>19.377800000000001</v>
      </c>
      <c r="AG372" s="15">
        <v>1.2999999999999999E-3</v>
      </c>
      <c r="AH372" s="15"/>
      <c r="AI372" s="15"/>
      <c r="AJ372" s="15">
        <v>10.714285714285714</v>
      </c>
      <c r="AM372" s="13"/>
      <c r="AO372" s="15"/>
      <c r="AP372" s="15" t="e">
        <f>LN(25/Table2[[#This Row],[Temperature (C)]]/(1-SQRT((Table2[[#This Row],[Temperature (C)]]-5)/Table2[[#This Row],[Temperature (C)]])))/Table2[[#This Row],[b]]</f>
        <v>#DIV/0!</v>
      </c>
      <c r="AQ372" s="15">
        <f>IF(Table2[[#This Row],[b]]&lt;&gt;"",Table2[[#This Row],[T-5]], 0)</f>
        <v>0</v>
      </c>
      <c r="AR372">
        <v>3.2</v>
      </c>
      <c r="AT372" t="s">
        <v>503</v>
      </c>
      <c r="AU372">
        <v>300</v>
      </c>
      <c r="AV372" s="15">
        <v>11.3</v>
      </c>
      <c r="AW372" s="15">
        <v>21.1</v>
      </c>
      <c r="AX372" s="15">
        <f>100-Table2[[#This Row],[Solids wt%]]-Table2[[#This Row],[Biocrude wt%]]-Table2[[#This Row],[Gas wt%]]</f>
        <v>61.899999999999991</v>
      </c>
      <c r="AY372" s="15">
        <v>5.7</v>
      </c>
      <c r="AZ372" s="15"/>
      <c r="BA372" s="15"/>
      <c r="BB372" s="15">
        <f>IF(OR(Table2[[#This Row],[Gas wt%]]&lt;&gt;"",Table2[[#This Row],[Loss]]&lt;&gt;""),Table2[[#This Row],[Gas wt%]]+Table2[[#This Row],[Loss]],"")</f>
        <v>5.7</v>
      </c>
      <c r="BC372" s="15"/>
      <c r="BD372" s="15"/>
      <c r="BE372" s="15"/>
      <c r="BF372" s="15"/>
      <c r="BG372" s="15"/>
      <c r="BH372" s="15"/>
      <c r="BI372" s="15">
        <v>65.599999999999994</v>
      </c>
      <c r="BJ372" s="15">
        <v>8.3000000000000007</v>
      </c>
      <c r="BK372" s="15">
        <v>16.5</v>
      </c>
      <c r="BL372" s="15">
        <v>8.4</v>
      </c>
      <c r="BM372" s="15">
        <v>1.1000000000000001</v>
      </c>
      <c r="BN372" s="15">
        <v>30.9</v>
      </c>
      <c r="BO372" s="15">
        <v>31.4</v>
      </c>
      <c r="BP372" s="15"/>
      <c r="BQ372" s="15">
        <f>Table2[[#This Row],[H% B]]/Table2[[#This Row],[C% B]]*100</f>
        <v>12.652439024390247</v>
      </c>
      <c r="BR372" s="15"/>
      <c r="BS372" s="15"/>
      <c r="BT372" s="15"/>
      <c r="BU372" s="15"/>
      <c r="BV372" s="15"/>
      <c r="BW372" s="15"/>
      <c r="BX372" s="15"/>
      <c r="BY372" s="15"/>
      <c r="BZ372" s="15"/>
      <c r="CA372" s="15"/>
      <c r="CB372" s="15"/>
      <c r="CC372" s="15"/>
      <c r="CD372" s="15"/>
      <c r="CE372" s="15"/>
      <c r="CF372" s="15">
        <v>38.4</v>
      </c>
      <c r="CG372" s="15">
        <v>5.0999999999999996</v>
      </c>
      <c r="CH372" s="15">
        <v>50.5</v>
      </c>
      <c r="CI372" s="15">
        <v>4.9000000000000004</v>
      </c>
      <c r="CJ372" s="15">
        <v>0.44</v>
      </c>
      <c r="CK372" s="15"/>
      <c r="CL372" s="15"/>
      <c r="CM372" s="15"/>
      <c r="CN372" s="15"/>
      <c r="CO372" s="15"/>
      <c r="CP372" s="15"/>
      <c r="CQ372" s="15"/>
      <c r="CR372" s="15"/>
      <c r="CS372" s="15"/>
      <c r="CT372" s="15"/>
      <c r="CU372" s="15"/>
      <c r="CV372" s="15"/>
      <c r="CW372" s="15"/>
      <c r="CX372" s="15"/>
      <c r="CY372" s="15"/>
      <c r="CZ372" s="15"/>
      <c r="DA372" s="15"/>
      <c r="DB372" s="15">
        <v>0</v>
      </c>
    </row>
    <row r="373" spans="1:106" x14ac:dyDescent="0.25">
      <c r="A373" t="s">
        <v>375</v>
      </c>
      <c r="B373" t="s">
        <v>204</v>
      </c>
      <c r="C373">
        <v>2019</v>
      </c>
      <c r="D373" s="16" t="s">
        <v>377</v>
      </c>
      <c r="E373">
        <v>0</v>
      </c>
      <c r="F373" s="15">
        <v>31.4</v>
      </c>
      <c r="G373" s="15"/>
      <c r="H373" s="15"/>
      <c r="I373" s="15">
        <v>50.9</v>
      </c>
      <c r="J373" s="15">
        <v>5.2</v>
      </c>
      <c r="K373" s="15"/>
      <c r="L373" s="15">
        <f>IF(Table2[[#This Row],[Lipids wt%]]+Table2[[#This Row],[Protein wt%]]+Table2[[#This Row],[Carbs wt%]] =0,"",SUM(Table2[[#This Row],[Lipids wt%]],Table2[[#This Row],[Protein wt%]],Table2[[#This Row],[Carbs wt%]]))</f>
        <v>87.5</v>
      </c>
      <c r="M373" s="15">
        <v>12.5</v>
      </c>
      <c r="Z373" s="15">
        <v>45.6</v>
      </c>
      <c r="AA373" s="15">
        <v>6.7</v>
      </c>
      <c r="AB373" s="15">
        <v>25.2</v>
      </c>
      <c r="AC373" s="15">
        <v>10.7</v>
      </c>
      <c r="AD373" s="15">
        <v>0.69</v>
      </c>
      <c r="AE373" s="15">
        <v>1.22</v>
      </c>
      <c r="AF373" s="15">
        <f>(33.5*Table2[[#This Row],[C%]]+142.3*Table2[[#This Row],[H%]]-15.4*Table2[[#This Row],[O%]]-14.5*Table2[[#This Row],[N%]])/100</f>
        <v>19.377800000000001</v>
      </c>
      <c r="AG373" s="15">
        <v>1.2999999999999999E-3</v>
      </c>
      <c r="AH373" s="15"/>
      <c r="AI373" s="15"/>
      <c r="AJ373" s="15">
        <v>10.714285714285714</v>
      </c>
      <c r="AM373" s="13"/>
      <c r="AO373" s="15"/>
      <c r="AP373" s="15" t="e">
        <f>LN(25/Table2[[#This Row],[Temperature (C)]]/(1-SQRT((Table2[[#This Row],[Temperature (C)]]-5)/Table2[[#This Row],[Temperature (C)]])))/Table2[[#This Row],[b]]</f>
        <v>#DIV/0!</v>
      </c>
      <c r="AQ373" s="15">
        <f>IF(Table2[[#This Row],[b]]&lt;&gt;"",Table2[[#This Row],[T-5]], 0)</f>
        <v>0</v>
      </c>
      <c r="AR373">
        <v>31.6</v>
      </c>
      <c r="AT373" t="s">
        <v>503</v>
      </c>
      <c r="AU373">
        <v>300</v>
      </c>
      <c r="AV373" s="15">
        <v>8.5</v>
      </c>
      <c r="AW373" s="15">
        <v>22.6</v>
      </c>
      <c r="AX373" s="15">
        <f>100-Table2[[#This Row],[Solids wt%]]-Table2[[#This Row],[Biocrude wt%]]-Table2[[#This Row],[Gas wt%]]</f>
        <v>63.900000000000006</v>
      </c>
      <c r="AY373" s="15">
        <v>5</v>
      </c>
      <c r="AZ373" s="15"/>
      <c r="BA373" s="15"/>
      <c r="BB373" s="15">
        <f>IF(OR(Table2[[#This Row],[Gas wt%]]&lt;&gt;"",Table2[[#This Row],[Loss]]&lt;&gt;""),Table2[[#This Row],[Gas wt%]]+Table2[[#This Row],[Loss]],"")</f>
        <v>5</v>
      </c>
      <c r="BC373" s="15"/>
      <c r="BD373" s="15"/>
      <c r="BE373" s="15"/>
      <c r="BF373" s="15"/>
      <c r="BG373" s="15"/>
      <c r="BH373" s="15"/>
      <c r="BI373" s="15">
        <v>72.3</v>
      </c>
      <c r="BJ373" s="15">
        <v>8.6999999999999993</v>
      </c>
      <c r="BK373" s="15">
        <v>10.9</v>
      </c>
      <c r="BL373" s="15">
        <v>7.1</v>
      </c>
      <c r="BM373" s="15">
        <v>0.92</v>
      </c>
      <c r="BN373" s="15">
        <v>34.299999999999997</v>
      </c>
      <c r="BO373" s="15">
        <v>37.4</v>
      </c>
      <c r="BP373" s="15"/>
      <c r="BQ373" s="15">
        <f>Table2[[#This Row],[H% B]]/Table2[[#This Row],[C% B]]*100</f>
        <v>12.033195020746886</v>
      </c>
      <c r="BR373" s="15"/>
      <c r="BS373" s="15"/>
      <c r="BT373" s="15"/>
      <c r="BU373" s="15"/>
      <c r="BV373" s="15"/>
      <c r="BW373" s="15"/>
      <c r="BX373" s="15"/>
      <c r="BY373" s="15"/>
      <c r="BZ373" s="15"/>
      <c r="CA373" s="15"/>
      <c r="CB373" s="15"/>
      <c r="CC373" s="15"/>
      <c r="CD373" s="15"/>
      <c r="CE373" s="15"/>
      <c r="CF373" s="15">
        <v>25.1</v>
      </c>
      <c r="CG373" s="15">
        <v>3.2</v>
      </c>
      <c r="CH373" s="15">
        <v>58.7</v>
      </c>
      <c r="CI373" s="15">
        <v>2.5</v>
      </c>
      <c r="CJ373" s="15">
        <v>0.3</v>
      </c>
      <c r="CK373" s="15"/>
      <c r="CL373" s="15"/>
      <c r="CM373" s="15"/>
      <c r="CN373" s="15"/>
      <c r="CO373" s="15"/>
      <c r="CP373" s="15"/>
      <c r="CQ373" s="15"/>
      <c r="CR373" s="15"/>
      <c r="CS373" s="15"/>
      <c r="CT373" s="15"/>
      <c r="CU373" s="15"/>
      <c r="CV373" s="15"/>
      <c r="CW373" s="15"/>
      <c r="CX373" s="15"/>
      <c r="CY373" s="15"/>
      <c r="CZ373" s="15"/>
      <c r="DA373" s="15"/>
      <c r="DB373" s="15">
        <v>0</v>
      </c>
    </row>
    <row r="374" spans="1:106" x14ac:dyDescent="0.25">
      <c r="A374" t="s">
        <v>375</v>
      </c>
      <c r="B374" t="s">
        <v>204</v>
      </c>
      <c r="C374">
        <v>2019</v>
      </c>
      <c r="D374" s="16" t="s">
        <v>378</v>
      </c>
      <c r="E374">
        <v>0</v>
      </c>
      <c r="F374" s="15">
        <v>40.64064064064064</v>
      </c>
      <c r="G374" s="15"/>
      <c r="H374" s="15"/>
      <c r="I374" s="15">
        <v>40.04004004004004</v>
      </c>
      <c r="J374" s="15">
        <v>9.6096096096096097</v>
      </c>
      <c r="K374" s="15"/>
      <c r="L374" s="15">
        <f>IF(Table2[[#This Row],[Lipids wt%]]+Table2[[#This Row],[Protein wt%]]+Table2[[#This Row],[Carbs wt%]] =0,"",SUM(Table2[[#This Row],[Lipids wt%]],Table2[[#This Row],[Protein wt%]],Table2[[#This Row],[Carbs wt%]]))</f>
        <v>90.290290290290287</v>
      </c>
      <c r="M374" s="15">
        <v>9.6999999999999993</v>
      </c>
      <c r="Z374" s="15">
        <v>46.9</v>
      </c>
      <c r="AA374" s="15">
        <v>6.9</v>
      </c>
      <c r="AB374" s="15">
        <v>28</v>
      </c>
      <c r="AC374" s="15">
        <v>8.4</v>
      </c>
      <c r="AD374" s="15">
        <v>0.52</v>
      </c>
      <c r="AE374" s="15">
        <v>1.21</v>
      </c>
      <c r="AF374" s="15">
        <f>(33.5*Table2[[#This Row],[C%]]+142.3*Table2[[#This Row],[H%]]-15.4*Table2[[#This Row],[O%]]-14.5*Table2[[#This Row],[N%]])/100</f>
        <v>20.000200000000003</v>
      </c>
      <c r="AG374" s="15">
        <v>1.2999999999999999E-3</v>
      </c>
      <c r="AH374" s="15"/>
      <c r="AI374" s="15"/>
      <c r="AJ374" s="15">
        <v>2.912621359223301</v>
      </c>
      <c r="AM374" s="13"/>
      <c r="AO374" s="15"/>
      <c r="AP374" s="15" t="e">
        <f>LN(25/Table2[[#This Row],[Temperature (C)]]/(1-SQRT((Table2[[#This Row],[Temperature (C)]]-5)/Table2[[#This Row],[Temperature (C)]])))/Table2[[#This Row],[b]]</f>
        <v>#DIV/0!</v>
      </c>
      <c r="AQ374" s="15">
        <f>IF(Table2[[#This Row],[b]]&lt;&gt;"",Table2[[#This Row],[T-5]], 0)</f>
        <v>0</v>
      </c>
      <c r="AR374">
        <v>0</v>
      </c>
      <c r="AT374" t="s">
        <v>503</v>
      </c>
      <c r="AU374">
        <v>200</v>
      </c>
      <c r="AV374" s="15">
        <v>46.4</v>
      </c>
      <c r="AW374" s="15">
        <v>1</v>
      </c>
      <c r="AX374" s="15">
        <f>100-Table2[[#This Row],[Solids wt%]]-Table2[[#This Row],[Biocrude wt%]]-Table2[[#This Row],[Gas wt%]]</f>
        <v>51.9</v>
      </c>
      <c r="AY374" s="15">
        <v>0.7</v>
      </c>
      <c r="AZ374" s="15"/>
      <c r="BA374" s="15"/>
      <c r="BB374" s="15">
        <f>IF(OR(Table2[[#This Row],[Gas wt%]]&lt;&gt;"",Table2[[#This Row],[Loss]]&lt;&gt;""),Table2[[#This Row],[Gas wt%]]+Table2[[#This Row],[Loss]],"")</f>
        <v>0.7</v>
      </c>
      <c r="BC374" s="15"/>
      <c r="BD374" s="15"/>
      <c r="BE374" s="15"/>
      <c r="BF374" s="15"/>
      <c r="BG374" s="15"/>
      <c r="BH374" s="15"/>
      <c r="BI374" s="15"/>
      <c r="BJ374" s="15"/>
      <c r="BK374" s="15"/>
      <c r="BL374" s="15"/>
      <c r="BM374" s="15"/>
      <c r="BN374" s="15"/>
      <c r="BO374" s="15"/>
      <c r="BP374" s="15"/>
      <c r="BQ374" s="15"/>
      <c r="BR374" s="15"/>
      <c r="BS374" s="15"/>
      <c r="BT374" s="15"/>
      <c r="BU374" s="15"/>
      <c r="BV374" s="15"/>
      <c r="BW374" s="15"/>
      <c r="BX374" s="15"/>
      <c r="BY374" s="15"/>
      <c r="BZ374" s="15"/>
      <c r="CA374" s="15"/>
      <c r="CB374" s="15"/>
      <c r="CC374" s="15"/>
      <c r="CD374" s="15"/>
      <c r="CE374" s="15"/>
      <c r="CF374" s="15">
        <v>47.9</v>
      </c>
      <c r="CG374" s="15">
        <v>7.2</v>
      </c>
      <c r="CH374" s="15">
        <v>38.5</v>
      </c>
      <c r="CI374" s="15">
        <v>6</v>
      </c>
      <c r="CJ374" s="15">
        <v>0.36</v>
      </c>
      <c r="CK374" s="15"/>
      <c r="CL374" s="15"/>
      <c r="CM374" s="15"/>
      <c r="CN374" s="15"/>
      <c r="CO374" s="15"/>
      <c r="CP374" s="15"/>
      <c r="CQ374" s="15"/>
      <c r="CR374" s="15"/>
      <c r="CS374" s="15"/>
      <c r="CT374" s="15"/>
      <c r="CU374" s="15"/>
      <c r="CV374" s="15"/>
      <c r="CW374" s="15"/>
      <c r="CX374" s="15"/>
      <c r="CY374" s="15"/>
      <c r="CZ374" s="15"/>
      <c r="DA374" s="15"/>
      <c r="DB374" s="15">
        <v>0</v>
      </c>
    </row>
    <row r="375" spans="1:106" x14ac:dyDescent="0.25">
      <c r="A375" t="s">
        <v>375</v>
      </c>
      <c r="B375" t="s">
        <v>204</v>
      </c>
      <c r="C375">
        <v>2019</v>
      </c>
      <c r="D375" s="16" t="s">
        <v>378</v>
      </c>
      <c r="E375">
        <v>0</v>
      </c>
      <c r="F375" s="15">
        <v>40.64064064064064</v>
      </c>
      <c r="G375" s="15"/>
      <c r="H375" s="15"/>
      <c r="I375" s="15">
        <v>40.04004004004004</v>
      </c>
      <c r="J375" s="15">
        <v>9.6096096096096097</v>
      </c>
      <c r="K375" s="15"/>
      <c r="L375" s="15">
        <f>IF(Table2[[#This Row],[Lipids wt%]]+Table2[[#This Row],[Protein wt%]]+Table2[[#This Row],[Carbs wt%]] =0,"",SUM(Table2[[#This Row],[Lipids wt%]],Table2[[#This Row],[Protein wt%]],Table2[[#This Row],[Carbs wt%]]))</f>
        <v>90.290290290290287</v>
      </c>
      <c r="M375" s="15">
        <v>9.6999999999999993</v>
      </c>
      <c r="Z375" s="15">
        <v>46.9</v>
      </c>
      <c r="AA375" s="15">
        <v>6.9</v>
      </c>
      <c r="AB375" s="15">
        <v>28</v>
      </c>
      <c r="AC375" s="15">
        <v>8.4</v>
      </c>
      <c r="AD375" s="15">
        <v>0.52</v>
      </c>
      <c r="AE375" s="15">
        <v>1.21</v>
      </c>
      <c r="AF375" s="15">
        <f>(33.5*Table2[[#This Row],[C%]]+142.3*Table2[[#This Row],[H%]]-15.4*Table2[[#This Row],[O%]]-14.5*Table2[[#This Row],[N%]])/100</f>
        <v>20.000200000000003</v>
      </c>
      <c r="AG375" s="15">
        <v>1.2999999999999999E-3</v>
      </c>
      <c r="AH375" s="15"/>
      <c r="AI375" s="15"/>
      <c r="AJ375" s="15">
        <v>2.912621359223301</v>
      </c>
      <c r="AM375" s="13"/>
      <c r="AO375" s="15"/>
      <c r="AP375" s="15" t="e">
        <f>LN(25/Table2[[#This Row],[Temperature (C)]]/(1-SQRT((Table2[[#This Row],[Temperature (C)]]-5)/Table2[[#This Row],[Temperature (C)]])))/Table2[[#This Row],[b]]</f>
        <v>#DIV/0!</v>
      </c>
      <c r="AQ375" s="15">
        <f>IF(Table2[[#This Row],[b]]&lt;&gt;"",Table2[[#This Row],[T-5]], 0)</f>
        <v>0</v>
      </c>
      <c r="AR375">
        <v>3.2</v>
      </c>
      <c r="AT375" t="s">
        <v>503</v>
      </c>
      <c r="AU375">
        <v>200</v>
      </c>
      <c r="AV375" s="15">
        <v>38.200000000000003</v>
      </c>
      <c r="AW375" s="15">
        <v>3.8</v>
      </c>
      <c r="AX375" s="15">
        <f>100-Table2[[#This Row],[Solids wt%]]-Table2[[#This Row],[Biocrude wt%]]-Table2[[#This Row],[Gas wt%]]</f>
        <v>55.7</v>
      </c>
      <c r="AY375" s="15">
        <v>2.2999999999999998</v>
      </c>
      <c r="AZ375" s="15"/>
      <c r="BA375" s="15"/>
      <c r="BB375" s="15">
        <f>IF(OR(Table2[[#This Row],[Gas wt%]]&lt;&gt;"",Table2[[#This Row],[Loss]]&lt;&gt;""),Table2[[#This Row],[Gas wt%]]+Table2[[#This Row],[Loss]],"")</f>
        <v>2.2999999999999998</v>
      </c>
      <c r="BC375" s="15"/>
      <c r="BD375" s="15"/>
      <c r="BE375" s="15"/>
      <c r="BF375" s="15"/>
      <c r="BG375" s="15"/>
      <c r="BH375" s="15"/>
      <c r="BI375" s="15">
        <v>65.2</v>
      </c>
      <c r="BJ375" s="15">
        <v>9.1</v>
      </c>
      <c r="BK375" s="15">
        <v>24.4</v>
      </c>
      <c r="BL375" s="15">
        <v>1.3</v>
      </c>
      <c r="BM375" s="15"/>
      <c r="BN375" s="15">
        <v>31</v>
      </c>
      <c r="BO375" s="15">
        <v>5.6</v>
      </c>
      <c r="BP375" s="15"/>
      <c r="BQ375" s="15">
        <f>Table2[[#This Row],[H% B]]/Table2[[#This Row],[C% B]]*100</f>
        <v>13.957055214723926</v>
      </c>
      <c r="BR375" s="15"/>
      <c r="BS375" s="15"/>
      <c r="BT375" s="15"/>
      <c r="BU375" s="15"/>
      <c r="BV375" s="15"/>
      <c r="BW375" s="15"/>
      <c r="BX375" s="15"/>
      <c r="BY375" s="15"/>
      <c r="BZ375" s="15"/>
      <c r="CA375" s="15"/>
      <c r="CB375" s="15"/>
      <c r="CC375" s="15"/>
      <c r="CD375" s="15"/>
      <c r="CE375" s="15"/>
      <c r="CF375" s="15">
        <v>48.2</v>
      </c>
      <c r="CG375" s="15">
        <v>7</v>
      </c>
      <c r="CH375" s="15">
        <v>37.6</v>
      </c>
      <c r="CI375" s="15">
        <v>6</v>
      </c>
      <c r="CJ375" s="15">
        <v>0.4</v>
      </c>
      <c r="CK375" s="15"/>
      <c r="CL375" s="15"/>
      <c r="CM375" s="15"/>
      <c r="CN375" s="15"/>
      <c r="CO375" s="15"/>
      <c r="CP375" s="15"/>
      <c r="CQ375" s="15"/>
      <c r="CR375" s="15"/>
      <c r="CS375" s="15"/>
      <c r="CT375" s="15"/>
      <c r="CU375" s="15"/>
      <c r="CV375" s="15"/>
      <c r="CW375" s="15"/>
      <c r="CX375" s="15"/>
      <c r="CY375" s="15"/>
      <c r="CZ375" s="15"/>
      <c r="DA375" s="15"/>
      <c r="DB375" s="15">
        <v>0</v>
      </c>
    </row>
    <row r="376" spans="1:106" x14ac:dyDescent="0.25">
      <c r="A376" t="s">
        <v>375</v>
      </c>
      <c r="B376" t="s">
        <v>204</v>
      </c>
      <c r="C376">
        <v>2019</v>
      </c>
      <c r="D376" s="16" t="s">
        <v>378</v>
      </c>
      <c r="E376">
        <v>0</v>
      </c>
      <c r="F376" s="15">
        <v>40.64064064064064</v>
      </c>
      <c r="G376" s="15"/>
      <c r="H376" s="15"/>
      <c r="I376" s="15">
        <v>40.04004004004004</v>
      </c>
      <c r="J376" s="15">
        <v>9.6096096096096097</v>
      </c>
      <c r="K376" s="15"/>
      <c r="L376" s="15">
        <f>IF(Table2[[#This Row],[Lipids wt%]]+Table2[[#This Row],[Protein wt%]]+Table2[[#This Row],[Carbs wt%]] =0,"",SUM(Table2[[#This Row],[Lipids wt%]],Table2[[#This Row],[Protein wt%]],Table2[[#This Row],[Carbs wt%]]))</f>
        <v>90.290290290290287</v>
      </c>
      <c r="M376" s="15">
        <v>9.6999999999999993</v>
      </c>
      <c r="Z376" s="15">
        <v>46.9</v>
      </c>
      <c r="AA376" s="15">
        <v>6.9</v>
      </c>
      <c r="AB376" s="15">
        <v>28</v>
      </c>
      <c r="AC376" s="15">
        <v>8.4</v>
      </c>
      <c r="AD376" s="15">
        <v>0.52</v>
      </c>
      <c r="AE376" s="15">
        <v>1.21</v>
      </c>
      <c r="AF376" s="15">
        <f>(33.5*Table2[[#This Row],[C%]]+142.3*Table2[[#This Row],[H%]]-15.4*Table2[[#This Row],[O%]]-14.5*Table2[[#This Row],[N%]])/100</f>
        <v>20.000200000000003</v>
      </c>
      <c r="AG376" s="15">
        <v>1.2999999999999999E-3</v>
      </c>
      <c r="AH376" s="15"/>
      <c r="AI376" s="15"/>
      <c r="AJ376" s="15">
        <v>2.912621359223301</v>
      </c>
      <c r="AM376" s="13"/>
      <c r="AO376" s="15"/>
      <c r="AP376" s="15" t="e">
        <f>LN(25/Table2[[#This Row],[Temperature (C)]]/(1-SQRT((Table2[[#This Row],[Temperature (C)]]-5)/Table2[[#This Row],[Temperature (C)]])))/Table2[[#This Row],[b]]</f>
        <v>#DIV/0!</v>
      </c>
      <c r="AQ376" s="15">
        <f>IF(Table2[[#This Row],[b]]&lt;&gt;"",Table2[[#This Row],[T-5]], 0)</f>
        <v>0</v>
      </c>
      <c r="AR376">
        <v>31.6</v>
      </c>
      <c r="AT376" t="s">
        <v>503</v>
      </c>
      <c r="AU376">
        <v>200</v>
      </c>
      <c r="AV376" s="15">
        <v>14.5</v>
      </c>
      <c r="AW376" s="15">
        <v>11.7</v>
      </c>
      <c r="AX376" s="15">
        <f>100-Table2[[#This Row],[Solids wt%]]-Table2[[#This Row],[Biocrude wt%]]-Table2[[#This Row],[Gas wt%]]</f>
        <v>72.599999999999994</v>
      </c>
      <c r="AY376" s="15">
        <v>1.2</v>
      </c>
      <c r="AZ376" s="15"/>
      <c r="BA376" s="15"/>
      <c r="BB376" s="15">
        <f>IF(OR(Table2[[#This Row],[Gas wt%]]&lt;&gt;"",Table2[[#This Row],[Loss]]&lt;&gt;""),Table2[[#This Row],[Gas wt%]]+Table2[[#This Row],[Loss]],"")</f>
        <v>1.2</v>
      </c>
      <c r="BC376" s="15"/>
      <c r="BD376" s="15"/>
      <c r="BE376" s="15"/>
      <c r="BF376" s="15"/>
      <c r="BG376" s="15"/>
      <c r="BH376" s="15"/>
      <c r="BI376" s="15">
        <v>65.8</v>
      </c>
      <c r="BJ376" s="15">
        <v>9.3000000000000007</v>
      </c>
      <c r="BK376" s="15">
        <v>22.6</v>
      </c>
      <c r="BL376" s="15">
        <v>2</v>
      </c>
      <c r="BM376" s="15">
        <v>0.31</v>
      </c>
      <c r="BN376" s="15">
        <v>31.6</v>
      </c>
      <c r="BO376" s="15">
        <v>17.399999999999999</v>
      </c>
      <c r="BP376" s="15"/>
      <c r="BQ376" s="15">
        <f>Table2[[#This Row],[H% B]]/Table2[[#This Row],[C% B]]*100</f>
        <v>14.133738601823708</v>
      </c>
      <c r="BR376" s="15"/>
      <c r="BS376" s="15"/>
      <c r="BT376" s="15"/>
      <c r="BU376" s="15"/>
      <c r="BV376" s="15"/>
      <c r="BW376" s="15"/>
      <c r="BX376" s="15"/>
      <c r="BY376" s="15"/>
      <c r="BZ376" s="15"/>
      <c r="CA376" s="15"/>
      <c r="CB376" s="15"/>
      <c r="CC376" s="15"/>
      <c r="CD376" s="15"/>
      <c r="CE376" s="15"/>
      <c r="CF376" s="15">
        <v>49.6</v>
      </c>
      <c r="CG376" s="15">
        <v>6.7</v>
      </c>
      <c r="CH376" s="15">
        <v>31.2</v>
      </c>
      <c r="CI376" s="15">
        <v>8.9</v>
      </c>
      <c r="CJ376" s="15">
        <v>0.59</v>
      </c>
      <c r="CK376" s="15"/>
      <c r="CL376" s="15"/>
      <c r="CM376" s="15"/>
      <c r="CN376" s="15"/>
      <c r="CO376" s="15"/>
      <c r="CP376" s="15"/>
      <c r="CQ376" s="15"/>
      <c r="CR376" s="15"/>
      <c r="CS376" s="15"/>
      <c r="CT376" s="15"/>
      <c r="CU376" s="15"/>
      <c r="CV376" s="15"/>
      <c r="CW376" s="15"/>
      <c r="CX376" s="15"/>
      <c r="CY376" s="15"/>
      <c r="CZ376" s="15"/>
      <c r="DA376" s="15"/>
      <c r="DB376" s="15">
        <v>0</v>
      </c>
    </row>
    <row r="377" spans="1:106" x14ac:dyDescent="0.25">
      <c r="A377" t="s">
        <v>375</v>
      </c>
      <c r="B377" t="s">
        <v>204</v>
      </c>
      <c r="C377">
        <v>2019</v>
      </c>
      <c r="D377" s="16" t="s">
        <v>378</v>
      </c>
      <c r="E377">
        <v>0</v>
      </c>
      <c r="F377" s="15">
        <v>40.64064064064064</v>
      </c>
      <c r="G377" s="15"/>
      <c r="H377" s="15"/>
      <c r="I377" s="15">
        <v>40.04004004004004</v>
      </c>
      <c r="J377" s="15">
        <v>9.6096096096096097</v>
      </c>
      <c r="K377" s="15"/>
      <c r="L377" s="15">
        <f>IF(Table2[[#This Row],[Lipids wt%]]+Table2[[#This Row],[Protein wt%]]+Table2[[#This Row],[Carbs wt%]] =0,"",SUM(Table2[[#This Row],[Lipids wt%]],Table2[[#This Row],[Protein wt%]],Table2[[#This Row],[Carbs wt%]]))</f>
        <v>90.290290290290287</v>
      </c>
      <c r="M377" s="15">
        <v>9.6999999999999993</v>
      </c>
      <c r="Z377" s="15">
        <v>46.9</v>
      </c>
      <c r="AA377" s="15">
        <v>6.9</v>
      </c>
      <c r="AB377" s="15">
        <v>28</v>
      </c>
      <c r="AC377" s="15">
        <v>8.4</v>
      </c>
      <c r="AD377" s="15">
        <v>0.52</v>
      </c>
      <c r="AE377" s="15">
        <v>1.21</v>
      </c>
      <c r="AF377" s="15">
        <f>(33.5*Table2[[#This Row],[C%]]+142.3*Table2[[#This Row],[H%]]-15.4*Table2[[#This Row],[O%]]-14.5*Table2[[#This Row],[N%]])/100</f>
        <v>20.000200000000003</v>
      </c>
      <c r="AG377" s="15">
        <v>1.2999999999999999E-3</v>
      </c>
      <c r="AH377" s="15"/>
      <c r="AI377" s="15"/>
      <c r="AJ377" s="15">
        <v>2.912621359223301</v>
      </c>
      <c r="AM377" s="13"/>
      <c r="AO377" s="15"/>
      <c r="AP377" s="15" t="e">
        <f>LN(25/Table2[[#This Row],[Temperature (C)]]/(1-SQRT((Table2[[#This Row],[Temperature (C)]]-5)/Table2[[#This Row],[Temperature (C)]])))/Table2[[#This Row],[b]]</f>
        <v>#DIV/0!</v>
      </c>
      <c r="AQ377" s="15">
        <f>IF(Table2[[#This Row],[b]]&lt;&gt;"",Table2[[#This Row],[T-5]], 0)</f>
        <v>0</v>
      </c>
      <c r="AR377">
        <v>3.2</v>
      </c>
      <c r="AT377" t="s">
        <v>503</v>
      </c>
      <c r="AU377">
        <v>300</v>
      </c>
      <c r="AV377" s="15">
        <v>2.5</v>
      </c>
      <c r="AW377" s="15">
        <v>21.3</v>
      </c>
      <c r="AX377" s="15">
        <f>100-Table2[[#This Row],[Solids wt%]]-Table2[[#This Row],[Biocrude wt%]]-Table2[[#This Row],[Gas wt%]]</f>
        <v>69</v>
      </c>
      <c r="AY377" s="15">
        <v>7.2</v>
      </c>
      <c r="AZ377" s="15"/>
      <c r="BA377" s="15"/>
      <c r="BB377" s="15">
        <f>IF(OR(Table2[[#This Row],[Gas wt%]]&lt;&gt;"",Table2[[#This Row],[Loss]]&lt;&gt;""),Table2[[#This Row],[Gas wt%]]+Table2[[#This Row],[Loss]],"")</f>
        <v>7.2</v>
      </c>
      <c r="BC377" s="15"/>
      <c r="BD377" s="15"/>
      <c r="BE377" s="15"/>
      <c r="BF377" s="15"/>
      <c r="BG377" s="15"/>
      <c r="BH377" s="15"/>
      <c r="BI377" s="15">
        <v>69.3</v>
      </c>
      <c r="BJ377" s="15">
        <v>8.6999999999999993</v>
      </c>
      <c r="BK377" s="15">
        <v>15.1</v>
      </c>
      <c r="BL377" s="15">
        <v>6.1</v>
      </c>
      <c r="BM377" s="15">
        <v>0.8</v>
      </c>
      <c r="BN377" s="15">
        <v>32.799999999999997</v>
      </c>
      <c r="BO377" s="15">
        <v>32.9</v>
      </c>
      <c r="BP377" s="15"/>
      <c r="BQ377" s="15">
        <f>Table2[[#This Row],[H% B]]/Table2[[#This Row],[C% B]]*100</f>
        <v>12.554112554112553</v>
      </c>
      <c r="BR377" s="15"/>
      <c r="BS377" s="15"/>
      <c r="BT377" s="15"/>
      <c r="BU377" s="15"/>
      <c r="BV377" s="15"/>
      <c r="BW377" s="15"/>
      <c r="BX377" s="15"/>
      <c r="BY377" s="15"/>
      <c r="BZ377" s="15"/>
      <c r="CA377" s="15"/>
      <c r="CB377" s="15"/>
      <c r="CC377" s="15"/>
      <c r="CD377" s="15"/>
      <c r="CE377" s="15"/>
      <c r="CF377" s="15"/>
      <c r="CG377" s="15"/>
      <c r="CH377" s="15"/>
      <c r="CI377" s="15"/>
      <c r="CJ377" s="15"/>
      <c r="CK377" s="15"/>
      <c r="CL377" s="15"/>
      <c r="CM377" s="15"/>
      <c r="CN377" s="15"/>
      <c r="CO377" s="15"/>
      <c r="CP377" s="15"/>
      <c r="CQ377" s="15"/>
      <c r="CR377" s="15"/>
      <c r="CS377" s="15"/>
      <c r="CT377" s="15"/>
      <c r="CU377" s="15"/>
      <c r="CV377" s="15"/>
      <c r="CW377" s="15"/>
      <c r="CX377" s="15"/>
      <c r="CY377" s="15"/>
      <c r="CZ377" s="15"/>
      <c r="DA377" s="15"/>
      <c r="DB377" s="15">
        <v>0</v>
      </c>
    </row>
    <row r="378" spans="1:106" x14ac:dyDescent="0.25">
      <c r="A378" t="s">
        <v>375</v>
      </c>
      <c r="B378" t="s">
        <v>204</v>
      </c>
      <c r="C378">
        <v>2019</v>
      </c>
      <c r="D378" s="16" t="s">
        <v>378</v>
      </c>
      <c r="E378">
        <v>0</v>
      </c>
      <c r="F378" s="15">
        <v>40.64064064064064</v>
      </c>
      <c r="G378" s="15"/>
      <c r="H378" s="15"/>
      <c r="I378" s="15">
        <v>40.04004004004004</v>
      </c>
      <c r="J378" s="15">
        <v>9.6096096096096097</v>
      </c>
      <c r="K378" s="15"/>
      <c r="L378" s="15">
        <f>IF(Table2[[#This Row],[Lipids wt%]]+Table2[[#This Row],[Protein wt%]]+Table2[[#This Row],[Carbs wt%]] =0,"",SUM(Table2[[#This Row],[Lipids wt%]],Table2[[#This Row],[Protein wt%]],Table2[[#This Row],[Carbs wt%]]))</f>
        <v>90.290290290290287</v>
      </c>
      <c r="M378" s="15">
        <v>9.6999999999999993</v>
      </c>
      <c r="Z378" s="15">
        <v>46.9</v>
      </c>
      <c r="AA378" s="15">
        <v>6.9</v>
      </c>
      <c r="AB378" s="15">
        <v>28</v>
      </c>
      <c r="AC378" s="15">
        <v>8.4</v>
      </c>
      <c r="AD378" s="15">
        <v>0.52</v>
      </c>
      <c r="AE378" s="15">
        <v>1.21</v>
      </c>
      <c r="AF378" s="15">
        <f>(33.5*Table2[[#This Row],[C%]]+142.3*Table2[[#This Row],[H%]]-15.4*Table2[[#This Row],[O%]]-14.5*Table2[[#This Row],[N%]])/100</f>
        <v>20.000200000000003</v>
      </c>
      <c r="AG378" s="15">
        <v>1.2999999999999999E-3</v>
      </c>
      <c r="AH378" s="15"/>
      <c r="AI378" s="15"/>
      <c r="AJ378" s="15">
        <v>2.912621359223301</v>
      </c>
      <c r="AM378" s="13"/>
      <c r="AO378" s="15"/>
      <c r="AP378" s="15" t="e">
        <f>LN(25/Table2[[#This Row],[Temperature (C)]]/(1-SQRT((Table2[[#This Row],[Temperature (C)]]-5)/Table2[[#This Row],[Temperature (C)]])))/Table2[[#This Row],[b]]</f>
        <v>#DIV/0!</v>
      </c>
      <c r="AQ378" s="15">
        <f>IF(Table2[[#This Row],[b]]&lt;&gt;"",Table2[[#This Row],[T-5]], 0)</f>
        <v>0</v>
      </c>
      <c r="AR378">
        <v>31.6</v>
      </c>
      <c r="AT378" t="s">
        <v>503</v>
      </c>
      <c r="AU378">
        <v>300</v>
      </c>
      <c r="AV378" s="15">
        <v>2.9</v>
      </c>
      <c r="AW378" s="15">
        <v>26.3</v>
      </c>
      <c r="AX378" s="15">
        <f>100-Table2[[#This Row],[Solids wt%]]-Table2[[#This Row],[Biocrude wt%]]-Table2[[#This Row],[Gas wt%]]</f>
        <v>63.199999999999996</v>
      </c>
      <c r="AY378" s="15">
        <v>7.6</v>
      </c>
      <c r="AZ378" s="15"/>
      <c r="BA378" s="15"/>
      <c r="BB378" s="15">
        <f>IF(OR(Table2[[#This Row],[Gas wt%]]&lt;&gt;"",Table2[[#This Row],[Loss]]&lt;&gt;""),Table2[[#This Row],[Gas wt%]]+Table2[[#This Row],[Loss]],"")</f>
        <v>7.6</v>
      </c>
      <c r="BC378" s="15"/>
      <c r="BD378" s="15"/>
      <c r="BE378" s="15"/>
      <c r="BF378" s="15"/>
      <c r="BG378" s="15"/>
      <c r="BH378" s="15"/>
      <c r="BI378" s="15">
        <v>72.099999999999994</v>
      </c>
      <c r="BJ378" s="15">
        <v>8.8000000000000007</v>
      </c>
      <c r="BK378" s="15">
        <v>12.6</v>
      </c>
      <c r="BL378" s="15">
        <v>5.9</v>
      </c>
      <c r="BM378" s="15">
        <v>0.7</v>
      </c>
      <c r="BN378" s="15">
        <v>34.1</v>
      </c>
      <c r="BO378" s="15">
        <v>42.1</v>
      </c>
      <c r="BP378" s="15"/>
      <c r="BQ378" s="15">
        <f>Table2[[#This Row],[H% B]]/Table2[[#This Row],[C% B]]*100</f>
        <v>12.205270457697644</v>
      </c>
      <c r="BR378" s="15"/>
      <c r="BS378" s="15"/>
      <c r="BT378" s="15"/>
      <c r="BU378" s="15"/>
      <c r="BV378" s="15"/>
      <c r="BW378" s="15"/>
      <c r="BX378" s="15"/>
      <c r="BY378" s="15"/>
      <c r="BZ378" s="15"/>
      <c r="CA378" s="15"/>
      <c r="CB378" s="15"/>
      <c r="CC378" s="15"/>
      <c r="CD378" s="15"/>
      <c r="CE378" s="15"/>
      <c r="CF378" s="15"/>
      <c r="CG378" s="15"/>
      <c r="CH378" s="15"/>
      <c r="CI378" s="15"/>
      <c r="CJ378" s="15"/>
      <c r="CK378" s="15"/>
      <c r="CL378" s="15"/>
      <c r="CM378" s="15"/>
      <c r="CN378" s="15"/>
      <c r="CO378" s="15"/>
      <c r="CP378" s="15"/>
      <c r="CQ378" s="15"/>
      <c r="CR378" s="15"/>
      <c r="CS378" s="15"/>
      <c r="CT378" s="15"/>
      <c r="CU378" s="15"/>
      <c r="CV378" s="15"/>
      <c r="CW378" s="15"/>
      <c r="CX378" s="15"/>
      <c r="CY378" s="15"/>
      <c r="CZ378" s="15"/>
      <c r="DA378" s="15"/>
      <c r="DB378" s="15">
        <v>0</v>
      </c>
    </row>
    <row r="379" spans="1:106" x14ac:dyDescent="0.25">
      <c r="A379" t="s">
        <v>375</v>
      </c>
      <c r="B379" t="s">
        <v>204</v>
      </c>
      <c r="C379">
        <v>2019</v>
      </c>
      <c r="D379" s="16" t="s">
        <v>378</v>
      </c>
      <c r="E379">
        <v>0</v>
      </c>
      <c r="F379" s="15">
        <v>40.64064064064064</v>
      </c>
      <c r="G379" s="15"/>
      <c r="H379" s="15"/>
      <c r="I379" s="15">
        <v>40.04004004004004</v>
      </c>
      <c r="J379" s="15">
        <v>9.6096096096096097</v>
      </c>
      <c r="K379" s="15"/>
      <c r="L379" s="15">
        <f>IF(Table2[[#This Row],[Lipids wt%]]+Table2[[#This Row],[Protein wt%]]+Table2[[#This Row],[Carbs wt%]] =0,"",SUM(Table2[[#This Row],[Lipids wt%]],Table2[[#This Row],[Protein wt%]],Table2[[#This Row],[Carbs wt%]]))</f>
        <v>90.290290290290287</v>
      </c>
      <c r="M379" s="15">
        <v>9.6999999999999993</v>
      </c>
      <c r="Z379" s="15">
        <v>46.9</v>
      </c>
      <c r="AA379" s="15">
        <v>6.9</v>
      </c>
      <c r="AB379" s="15">
        <v>28</v>
      </c>
      <c r="AC379" s="15">
        <v>8.4</v>
      </c>
      <c r="AD379" s="15">
        <v>0.52</v>
      </c>
      <c r="AE379" s="15">
        <v>1.21</v>
      </c>
      <c r="AF379" s="15">
        <f>(33.5*Table2[[#This Row],[C%]]+142.3*Table2[[#This Row],[H%]]-15.4*Table2[[#This Row],[O%]]-14.5*Table2[[#This Row],[N%]])/100</f>
        <v>20.000200000000003</v>
      </c>
      <c r="AG379" s="15">
        <v>1.2999999999999999E-3</v>
      </c>
      <c r="AH379" s="15"/>
      <c r="AI379" s="15"/>
      <c r="AJ379" s="15">
        <v>10.714285714285714</v>
      </c>
      <c r="AM379" s="13"/>
      <c r="AO379" s="15"/>
      <c r="AP379" s="15" t="e">
        <f>LN(25/Table2[[#This Row],[Temperature (C)]]/(1-SQRT((Table2[[#This Row],[Temperature (C)]]-5)/Table2[[#This Row],[Temperature (C)]])))/Table2[[#This Row],[b]]</f>
        <v>#DIV/0!</v>
      </c>
      <c r="AQ379" s="15">
        <f>IF(Table2[[#This Row],[b]]&lt;&gt;"",Table2[[#This Row],[T-5]], 0)</f>
        <v>0</v>
      </c>
      <c r="AR379">
        <v>3.2</v>
      </c>
      <c r="AT379" t="s">
        <v>503</v>
      </c>
      <c r="AU379">
        <v>200</v>
      </c>
      <c r="AV379" s="15">
        <v>44.2</v>
      </c>
      <c r="AW379" s="15">
        <v>4</v>
      </c>
      <c r="AX379" s="15">
        <f>100-Table2[[#This Row],[Solids wt%]]-Table2[[#This Row],[Biocrude wt%]]-Table2[[#This Row],[Gas wt%]]</f>
        <v>51.099999999999994</v>
      </c>
      <c r="AY379" s="15">
        <v>0.7</v>
      </c>
      <c r="AZ379" s="15"/>
      <c r="BA379" s="15"/>
      <c r="BB379" s="15">
        <f>IF(OR(Table2[[#This Row],[Gas wt%]]&lt;&gt;"",Table2[[#This Row],[Loss]]&lt;&gt;""),Table2[[#This Row],[Gas wt%]]+Table2[[#This Row],[Loss]],"")</f>
        <v>0.7</v>
      </c>
      <c r="BC379" s="15"/>
      <c r="BD379" s="15"/>
      <c r="BE379" s="15"/>
      <c r="BF379" s="15"/>
      <c r="BG379" s="15"/>
      <c r="BH379" s="15"/>
      <c r="BI379" s="15">
        <v>71.7</v>
      </c>
      <c r="BJ379" s="15">
        <v>10.3</v>
      </c>
      <c r="BK379" s="15">
        <v>15.7</v>
      </c>
      <c r="BL379" s="15">
        <v>2</v>
      </c>
      <c r="BM379" s="15">
        <v>0.3</v>
      </c>
      <c r="BN379" s="15">
        <v>35.5</v>
      </c>
      <c r="BO379" s="15">
        <v>6.8</v>
      </c>
      <c r="BP379" s="15"/>
      <c r="BQ379" s="15">
        <f>Table2[[#This Row],[H% B]]/Table2[[#This Row],[C% B]]*100</f>
        <v>14.365411436541144</v>
      </c>
      <c r="BR379" s="15"/>
      <c r="BS379" s="15"/>
      <c r="BT379" s="15"/>
      <c r="BU379" s="15"/>
      <c r="BV379" s="15"/>
      <c r="BW379" s="15"/>
      <c r="BX379" s="15"/>
      <c r="BY379" s="15"/>
      <c r="BZ379" s="15"/>
      <c r="CA379" s="15"/>
      <c r="CB379" s="15"/>
      <c r="CC379" s="15"/>
      <c r="CD379" s="15"/>
      <c r="CE379" s="15"/>
      <c r="CF379" s="15">
        <v>47.9</v>
      </c>
      <c r="CG379" s="15">
        <v>7</v>
      </c>
      <c r="CH379" s="15">
        <v>36.1</v>
      </c>
      <c r="CI379" s="15">
        <v>8.3000000000000007</v>
      </c>
      <c r="CJ379" s="15">
        <v>0.43</v>
      </c>
      <c r="CK379" s="15"/>
      <c r="CL379" s="15"/>
      <c r="CM379" s="15"/>
      <c r="CN379" s="15"/>
      <c r="CO379" s="15"/>
      <c r="CP379" s="15"/>
      <c r="CQ379" s="15"/>
      <c r="CR379" s="15"/>
      <c r="CS379" s="15"/>
      <c r="CT379" s="15"/>
      <c r="CU379" s="15"/>
      <c r="CV379" s="15"/>
      <c r="CW379" s="15"/>
      <c r="CX379" s="15"/>
      <c r="CY379" s="15"/>
      <c r="CZ379" s="15"/>
      <c r="DA379" s="15"/>
      <c r="DB379" s="15">
        <v>0</v>
      </c>
    </row>
    <row r="380" spans="1:106" x14ac:dyDescent="0.25">
      <c r="A380" t="s">
        <v>375</v>
      </c>
      <c r="B380" t="s">
        <v>204</v>
      </c>
      <c r="C380">
        <v>2019</v>
      </c>
      <c r="D380" s="16" t="s">
        <v>378</v>
      </c>
      <c r="E380">
        <v>0</v>
      </c>
      <c r="F380" s="15">
        <v>40.64064064064064</v>
      </c>
      <c r="G380" s="15"/>
      <c r="H380" s="15"/>
      <c r="I380" s="15">
        <v>40.04004004004004</v>
      </c>
      <c r="J380" s="15">
        <v>9.6096096096096097</v>
      </c>
      <c r="K380" s="15"/>
      <c r="L380" s="15">
        <f>IF(Table2[[#This Row],[Lipids wt%]]+Table2[[#This Row],[Protein wt%]]+Table2[[#This Row],[Carbs wt%]] =0,"",SUM(Table2[[#This Row],[Lipids wt%]],Table2[[#This Row],[Protein wt%]],Table2[[#This Row],[Carbs wt%]]))</f>
        <v>90.290290290290287</v>
      </c>
      <c r="M380" s="15">
        <v>9.6999999999999993</v>
      </c>
      <c r="Z380" s="15">
        <v>46.9</v>
      </c>
      <c r="AA380" s="15">
        <v>6.9</v>
      </c>
      <c r="AB380" s="15">
        <v>28</v>
      </c>
      <c r="AC380" s="15">
        <v>8.4</v>
      </c>
      <c r="AD380" s="15">
        <v>0.52</v>
      </c>
      <c r="AE380" s="15">
        <v>1.21</v>
      </c>
      <c r="AF380" s="15">
        <f>(33.5*Table2[[#This Row],[C%]]+142.3*Table2[[#This Row],[H%]]-15.4*Table2[[#This Row],[O%]]-14.5*Table2[[#This Row],[N%]])/100</f>
        <v>20.000200000000003</v>
      </c>
      <c r="AG380" s="15">
        <v>1.2999999999999999E-3</v>
      </c>
      <c r="AH380" s="15"/>
      <c r="AI380" s="15"/>
      <c r="AJ380" s="15">
        <v>10.714285714285714</v>
      </c>
      <c r="AM380" s="13"/>
      <c r="AO380" s="15"/>
      <c r="AP380" s="15" t="e">
        <f>LN(25/Table2[[#This Row],[Temperature (C)]]/(1-SQRT((Table2[[#This Row],[Temperature (C)]]-5)/Table2[[#This Row],[Temperature (C)]])))/Table2[[#This Row],[b]]</f>
        <v>#DIV/0!</v>
      </c>
      <c r="AQ380" s="15">
        <f>IF(Table2[[#This Row],[b]]&lt;&gt;"",Table2[[#This Row],[T-5]], 0)</f>
        <v>0</v>
      </c>
      <c r="AR380">
        <v>31.6</v>
      </c>
      <c r="AT380" t="s">
        <v>503</v>
      </c>
      <c r="AU380">
        <v>200</v>
      </c>
      <c r="AV380" s="15">
        <v>18.899999999999999</v>
      </c>
      <c r="AW380" s="15">
        <v>12.3</v>
      </c>
      <c r="AX380" s="15">
        <f>100-Table2[[#This Row],[Solids wt%]]-Table2[[#This Row],[Biocrude wt%]]-Table2[[#This Row],[Gas wt%]]</f>
        <v>68</v>
      </c>
      <c r="AY380" s="15">
        <v>0.8</v>
      </c>
      <c r="AZ380" s="15"/>
      <c r="BA380" s="15"/>
      <c r="BB380" s="15">
        <f>IF(OR(Table2[[#This Row],[Gas wt%]]&lt;&gt;"",Table2[[#This Row],[Loss]]&lt;&gt;""),Table2[[#This Row],[Gas wt%]]+Table2[[#This Row],[Loss]],"")</f>
        <v>0.8</v>
      </c>
      <c r="BC380" s="15"/>
      <c r="BD380" s="15"/>
      <c r="BE380" s="15"/>
      <c r="BF380" s="15"/>
      <c r="BG380" s="15"/>
      <c r="BH380" s="15"/>
      <c r="BI380" s="15">
        <v>64.3</v>
      </c>
      <c r="BJ380" s="15">
        <v>9</v>
      </c>
      <c r="BK380" s="15">
        <v>23.6</v>
      </c>
      <c r="BL380" s="15">
        <v>2.7</v>
      </c>
      <c r="BM380" s="15">
        <v>0.35</v>
      </c>
      <c r="BN380" s="15">
        <v>30.6</v>
      </c>
      <c r="BO380" s="15">
        <v>17.7</v>
      </c>
      <c r="BP380" s="15"/>
      <c r="BQ380" s="15">
        <f>Table2[[#This Row],[H% B]]/Table2[[#This Row],[C% B]]*100</f>
        <v>13.996889580093313</v>
      </c>
      <c r="BR380" s="15"/>
      <c r="BS380" s="15"/>
      <c r="BT380" s="15"/>
      <c r="BU380" s="15"/>
      <c r="BV380" s="15"/>
      <c r="BW380" s="15"/>
      <c r="BX380" s="15"/>
      <c r="BY380" s="15"/>
      <c r="BZ380" s="15"/>
      <c r="CA380" s="15"/>
      <c r="CB380" s="15"/>
      <c r="CC380" s="15"/>
      <c r="CD380" s="15"/>
      <c r="CE380" s="15"/>
      <c r="CF380" s="15">
        <v>49.3</v>
      </c>
      <c r="CG380" s="15">
        <v>6.5</v>
      </c>
      <c r="CH380" s="15">
        <v>33.700000000000003</v>
      </c>
      <c r="CI380" s="15">
        <v>8.4</v>
      </c>
      <c r="CJ380" s="15">
        <v>0.51</v>
      </c>
      <c r="CK380" s="15"/>
      <c r="CL380" s="15"/>
      <c r="CM380" s="15"/>
      <c r="CN380" s="15"/>
      <c r="CO380" s="15"/>
      <c r="CP380" s="15"/>
      <c r="CQ380" s="15"/>
      <c r="CR380" s="15"/>
      <c r="CS380" s="15"/>
      <c r="CT380" s="15"/>
      <c r="CU380" s="15"/>
      <c r="CV380" s="15"/>
      <c r="CW380" s="15"/>
      <c r="CX380" s="15"/>
      <c r="CY380" s="15"/>
      <c r="CZ380" s="15"/>
      <c r="DA380" s="15"/>
      <c r="DB380" s="15">
        <v>0</v>
      </c>
    </row>
    <row r="381" spans="1:106" x14ac:dyDescent="0.25">
      <c r="A381" t="s">
        <v>375</v>
      </c>
      <c r="B381" t="s">
        <v>204</v>
      </c>
      <c r="C381">
        <v>2019</v>
      </c>
      <c r="D381" s="16" t="s">
        <v>378</v>
      </c>
      <c r="E381">
        <v>0</v>
      </c>
      <c r="F381" s="15">
        <v>40.64064064064064</v>
      </c>
      <c r="G381" s="15"/>
      <c r="H381" s="15"/>
      <c r="I381" s="15">
        <v>40.04004004004004</v>
      </c>
      <c r="J381" s="15">
        <v>9.6096096096096097</v>
      </c>
      <c r="K381" s="15"/>
      <c r="L381" s="15">
        <f>IF(Table2[[#This Row],[Lipids wt%]]+Table2[[#This Row],[Protein wt%]]+Table2[[#This Row],[Carbs wt%]] =0,"",SUM(Table2[[#This Row],[Lipids wt%]],Table2[[#This Row],[Protein wt%]],Table2[[#This Row],[Carbs wt%]]))</f>
        <v>90.290290290290287</v>
      </c>
      <c r="M381" s="15">
        <v>9.6999999999999993</v>
      </c>
      <c r="Z381" s="15">
        <v>46.9</v>
      </c>
      <c r="AA381" s="15">
        <v>6.9</v>
      </c>
      <c r="AB381" s="15">
        <v>28</v>
      </c>
      <c r="AC381" s="15">
        <v>8.4</v>
      </c>
      <c r="AD381" s="15">
        <v>0.52</v>
      </c>
      <c r="AE381" s="15">
        <v>1.21</v>
      </c>
      <c r="AF381" s="15">
        <f>(33.5*Table2[[#This Row],[C%]]+142.3*Table2[[#This Row],[H%]]-15.4*Table2[[#This Row],[O%]]-14.5*Table2[[#This Row],[N%]])/100</f>
        <v>20.000200000000003</v>
      </c>
      <c r="AG381" s="15">
        <v>1.2999999999999999E-3</v>
      </c>
      <c r="AH381" s="15"/>
      <c r="AI381" s="15"/>
      <c r="AJ381" s="15">
        <v>10.714285714285714</v>
      </c>
      <c r="AM381" s="13"/>
      <c r="AO381" s="15"/>
      <c r="AP381" s="15" t="e">
        <f>LN(25/Table2[[#This Row],[Temperature (C)]]/(1-SQRT((Table2[[#This Row],[Temperature (C)]]-5)/Table2[[#This Row],[Temperature (C)]])))/Table2[[#This Row],[b]]</f>
        <v>#DIV/0!</v>
      </c>
      <c r="AQ381" s="15">
        <f>IF(Table2[[#This Row],[b]]&lt;&gt;"",Table2[[#This Row],[T-5]], 0)</f>
        <v>0</v>
      </c>
      <c r="AR381">
        <v>0</v>
      </c>
      <c r="AT381" t="s">
        <v>503</v>
      </c>
      <c r="AU381">
        <v>300</v>
      </c>
      <c r="AV381" s="15">
        <v>52</v>
      </c>
      <c r="AW381" s="15">
        <v>1.5</v>
      </c>
      <c r="AX381" s="15">
        <f>100-Table2[[#This Row],[Solids wt%]]-Table2[[#This Row],[Biocrude wt%]]-Table2[[#This Row],[Gas wt%]]</f>
        <v>46.4</v>
      </c>
      <c r="AY381" s="15">
        <v>0.1</v>
      </c>
      <c r="AZ381" s="15"/>
      <c r="BA381" s="15"/>
      <c r="BB381" s="15">
        <f>IF(OR(Table2[[#This Row],[Gas wt%]]&lt;&gt;"",Table2[[#This Row],[Loss]]&lt;&gt;""),Table2[[#This Row],[Gas wt%]]+Table2[[#This Row],[Loss]],"")</f>
        <v>0.1</v>
      </c>
      <c r="BC381" s="15"/>
      <c r="BD381" s="15"/>
      <c r="BE381" s="15"/>
      <c r="BF381" s="15"/>
      <c r="BG381" s="15"/>
      <c r="BH381" s="15"/>
      <c r="BI381" s="15">
        <v>69.599999999999994</v>
      </c>
      <c r="BJ381" s="15">
        <v>9.8000000000000007</v>
      </c>
      <c r="BK381" s="15">
        <v>19.8</v>
      </c>
      <c r="BL381" s="15">
        <v>0.8</v>
      </c>
      <c r="BM381" s="15"/>
      <c r="BN381" s="15">
        <v>33.799999999999997</v>
      </c>
      <c r="BO381" s="15">
        <v>2.4</v>
      </c>
      <c r="BP381" s="15"/>
      <c r="BQ381" s="15">
        <f>Table2[[#This Row],[H% B]]/Table2[[#This Row],[C% B]]*100</f>
        <v>14.080459770114945</v>
      </c>
      <c r="BR381" s="15"/>
      <c r="BS381" s="15"/>
      <c r="BT381" s="15"/>
      <c r="BU381" s="15"/>
      <c r="BV381" s="15"/>
      <c r="BW381" s="15"/>
      <c r="BX381" s="15"/>
      <c r="BY381" s="15"/>
      <c r="BZ381" s="15"/>
      <c r="CA381" s="15"/>
      <c r="CB381" s="15"/>
      <c r="CC381" s="15"/>
      <c r="CD381" s="15"/>
      <c r="CE381" s="15"/>
      <c r="CF381" s="15">
        <v>47.8</v>
      </c>
      <c r="CG381" s="15">
        <v>7.3</v>
      </c>
      <c r="CH381" s="15">
        <v>37.5</v>
      </c>
      <c r="CI381" s="15">
        <v>6.3</v>
      </c>
      <c r="CJ381" s="15">
        <v>0.43</v>
      </c>
      <c r="CK381" s="15"/>
      <c r="CL381" s="15"/>
      <c r="CM381" s="15"/>
      <c r="CN381" s="15"/>
      <c r="CO381" s="15"/>
      <c r="CP381" s="15"/>
      <c r="CQ381" s="15"/>
      <c r="CR381" s="15"/>
      <c r="CS381" s="15"/>
      <c r="CT381" s="15"/>
      <c r="CU381" s="15"/>
      <c r="CV381" s="15"/>
      <c r="CW381" s="15"/>
      <c r="CX381" s="15"/>
      <c r="CY381" s="15"/>
      <c r="CZ381" s="15"/>
      <c r="DA381" s="15"/>
      <c r="DB381" s="15">
        <v>0</v>
      </c>
    </row>
    <row r="382" spans="1:106" x14ac:dyDescent="0.25">
      <c r="A382" t="s">
        <v>375</v>
      </c>
      <c r="B382" t="s">
        <v>204</v>
      </c>
      <c r="C382">
        <v>2019</v>
      </c>
      <c r="D382" s="16" t="s">
        <v>378</v>
      </c>
      <c r="E382">
        <v>0</v>
      </c>
      <c r="F382" s="15">
        <v>40.64064064064064</v>
      </c>
      <c r="G382" s="15"/>
      <c r="H382" s="15"/>
      <c r="I382" s="15">
        <v>40.04004004004004</v>
      </c>
      <c r="J382" s="15">
        <v>9.6096096096096097</v>
      </c>
      <c r="K382" s="15"/>
      <c r="L382" s="15">
        <f>IF(Table2[[#This Row],[Lipids wt%]]+Table2[[#This Row],[Protein wt%]]+Table2[[#This Row],[Carbs wt%]] =0,"",SUM(Table2[[#This Row],[Lipids wt%]],Table2[[#This Row],[Protein wt%]],Table2[[#This Row],[Carbs wt%]]))</f>
        <v>90.290290290290287</v>
      </c>
      <c r="M382" s="15">
        <v>9.6999999999999993</v>
      </c>
      <c r="Z382" s="15">
        <v>46.9</v>
      </c>
      <c r="AA382" s="15">
        <v>6.9</v>
      </c>
      <c r="AB382" s="15">
        <v>28</v>
      </c>
      <c r="AC382" s="15">
        <v>8.4</v>
      </c>
      <c r="AD382" s="15">
        <v>0.52</v>
      </c>
      <c r="AE382" s="15">
        <v>1.21</v>
      </c>
      <c r="AF382" s="15">
        <f>(33.5*Table2[[#This Row],[C%]]+142.3*Table2[[#This Row],[H%]]-15.4*Table2[[#This Row],[O%]]-14.5*Table2[[#This Row],[N%]])/100</f>
        <v>20.000200000000003</v>
      </c>
      <c r="AG382" s="15">
        <v>1.2999999999999999E-3</v>
      </c>
      <c r="AH382" s="15"/>
      <c r="AI382" s="15"/>
      <c r="AJ382" s="15">
        <v>10.714285714285714</v>
      </c>
      <c r="AM382" s="13"/>
      <c r="AO382" s="15"/>
      <c r="AP382" s="15" t="e">
        <f>LN(25/Table2[[#This Row],[Temperature (C)]]/(1-SQRT((Table2[[#This Row],[Temperature (C)]]-5)/Table2[[#This Row],[Temperature (C)]])))/Table2[[#This Row],[b]]</f>
        <v>#DIV/0!</v>
      </c>
      <c r="AQ382" s="15">
        <f>IF(Table2[[#This Row],[b]]&lt;&gt;"",Table2[[#This Row],[T-5]], 0)</f>
        <v>0</v>
      </c>
      <c r="AR382">
        <v>3.2</v>
      </c>
      <c r="AT382" t="s">
        <v>503</v>
      </c>
      <c r="AU382">
        <v>300</v>
      </c>
      <c r="AV382" s="15">
        <v>6.6</v>
      </c>
      <c r="AW382" s="15">
        <v>27.5</v>
      </c>
      <c r="AX382" s="15">
        <f>100-Table2[[#This Row],[Solids wt%]]-Table2[[#This Row],[Biocrude wt%]]-Table2[[#This Row],[Gas wt%]]</f>
        <v>58.100000000000009</v>
      </c>
      <c r="AY382" s="15">
        <v>7.8</v>
      </c>
      <c r="AZ382" s="15"/>
      <c r="BA382" s="15"/>
      <c r="BB382" s="15">
        <f>IF(OR(Table2[[#This Row],[Gas wt%]]&lt;&gt;"",Table2[[#This Row],[Loss]]&lt;&gt;""),Table2[[#This Row],[Gas wt%]]+Table2[[#This Row],[Loss]],"")</f>
        <v>7.8</v>
      </c>
      <c r="BC382" s="15"/>
      <c r="BD382" s="15"/>
      <c r="BE382" s="15"/>
      <c r="BF382" s="15"/>
      <c r="BG382" s="15"/>
      <c r="BH382" s="15"/>
      <c r="BI382" s="15">
        <v>73.5</v>
      </c>
      <c r="BJ382" s="15">
        <v>9.1999999999999993</v>
      </c>
      <c r="BK382" s="15">
        <v>9.6</v>
      </c>
      <c r="BL382" s="15">
        <v>7</v>
      </c>
      <c r="BM382" s="15">
        <v>0.75</v>
      </c>
      <c r="BN382" s="15">
        <v>35.4</v>
      </c>
      <c r="BO382" s="15">
        <v>45.7</v>
      </c>
      <c r="BP382" s="15"/>
      <c r="BQ382" s="15">
        <f>Table2[[#This Row],[H% B]]/Table2[[#This Row],[C% B]]*100</f>
        <v>12.517006802721086</v>
      </c>
      <c r="BR382" s="15"/>
      <c r="BS382" s="15"/>
      <c r="BT382" s="15"/>
      <c r="BU382" s="15"/>
      <c r="BV382" s="15"/>
      <c r="BW382" s="15"/>
      <c r="BX382" s="15"/>
      <c r="BY382" s="15"/>
      <c r="BZ382" s="15"/>
      <c r="CA382" s="15"/>
      <c r="CB382" s="15"/>
      <c r="CC382" s="15"/>
      <c r="CD382" s="15"/>
      <c r="CE382" s="15"/>
      <c r="CF382" s="15">
        <v>37</v>
      </c>
      <c r="CG382" s="15">
        <v>4.5999999999999996</v>
      </c>
      <c r="CH382" s="15">
        <v>46.1</v>
      </c>
      <c r="CI382" s="15">
        <v>5.8</v>
      </c>
      <c r="CJ382" s="15">
        <v>0.36</v>
      </c>
      <c r="CK382" s="15"/>
      <c r="CL382" s="15"/>
      <c r="CM382" s="15"/>
      <c r="CN382" s="15"/>
      <c r="CO382" s="15"/>
      <c r="CP382" s="15"/>
      <c r="CQ382" s="15"/>
      <c r="CR382" s="15"/>
      <c r="CS382" s="15"/>
      <c r="CT382" s="15"/>
      <c r="CU382" s="15"/>
      <c r="CV382" s="15"/>
      <c r="CW382" s="15"/>
      <c r="CX382" s="15"/>
      <c r="CY382" s="15"/>
      <c r="CZ382" s="15"/>
      <c r="DA382" s="15"/>
      <c r="DB382" s="15">
        <v>0</v>
      </c>
    </row>
    <row r="383" spans="1:106" x14ac:dyDescent="0.25">
      <c r="A383" t="s">
        <v>375</v>
      </c>
      <c r="B383" t="s">
        <v>204</v>
      </c>
      <c r="C383">
        <v>2019</v>
      </c>
      <c r="D383" s="16" t="s">
        <v>378</v>
      </c>
      <c r="E383">
        <v>0</v>
      </c>
      <c r="F383" s="15">
        <v>40.64064064064064</v>
      </c>
      <c r="G383" s="15"/>
      <c r="H383" s="15"/>
      <c r="I383" s="15">
        <v>40.04004004004004</v>
      </c>
      <c r="J383" s="15">
        <v>9.6096096096096097</v>
      </c>
      <c r="K383" s="15"/>
      <c r="L383" s="15">
        <f>IF(Table2[[#This Row],[Lipids wt%]]+Table2[[#This Row],[Protein wt%]]+Table2[[#This Row],[Carbs wt%]] =0,"",SUM(Table2[[#This Row],[Lipids wt%]],Table2[[#This Row],[Protein wt%]],Table2[[#This Row],[Carbs wt%]]))</f>
        <v>90.290290290290287</v>
      </c>
      <c r="M383" s="15">
        <v>9.6999999999999993</v>
      </c>
      <c r="Z383" s="15">
        <v>46.9</v>
      </c>
      <c r="AA383" s="15">
        <v>6.9</v>
      </c>
      <c r="AB383" s="15">
        <v>28</v>
      </c>
      <c r="AC383" s="15">
        <v>8.4</v>
      </c>
      <c r="AD383" s="15">
        <v>0.52</v>
      </c>
      <c r="AE383" s="15">
        <v>1.21</v>
      </c>
      <c r="AF383" s="15">
        <f>(33.5*Table2[[#This Row],[C%]]+142.3*Table2[[#This Row],[H%]]-15.4*Table2[[#This Row],[O%]]-14.5*Table2[[#This Row],[N%]])/100</f>
        <v>20.000200000000003</v>
      </c>
      <c r="AG383" s="15">
        <v>1.2999999999999999E-3</v>
      </c>
      <c r="AH383" s="15"/>
      <c r="AI383" s="15"/>
      <c r="AJ383" s="15">
        <v>10.714285714285714</v>
      </c>
      <c r="AM383" s="13"/>
      <c r="AO383" s="15"/>
      <c r="AP383" s="15" t="e">
        <f>LN(25/Table2[[#This Row],[Temperature (C)]]/(1-SQRT((Table2[[#This Row],[Temperature (C)]]-5)/Table2[[#This Row],[Temperature (C)]])))/Table2[[#This Row],[b]]</f>
        <v>#DIV/0!</v>
      </c>
      <c r="AQ383" s="15">
        <f>IF(Table2[[#This Row],[b]]&lt;&gt;"",Table2[[#This Row],[T-5]], 0)</f>
        <v>0</v>
      </c>
      <c r="AR383">
        <v>31.6</v>
      </c>
      <c r="AT383" t="s">
        <v>503</v>
      </c>
      <c r="AU383">
        <v>300</v>
      </c>
      <c r="AV383" s="15">
        <v>5.0999999999999996</v>
      </c>
      <c r="AW383" s="15">
        <v>31.7</v>
      </c>
      <c r="AX383" s="15">
        <f>100-Table2[[#This Row],[Solids wt%]]-Table2[[#This Row],[Biocrude wt%]]-Table2[[#This Row],[Gas wt%]]</f>
        <v>55.7</v>
      </c>
      <c r="AY383" s="15">
        <v>7.5</v>
      </c>
      <c r="AZ383" s="15"/>
      <c r="BA383" s="15"/>
      <c r="BB383" s="15">
        <f>IF(OR(Table2[[#This Row],[Gas wt%]]&lt;&gt;"",Table2[[#This Row],[Loss]]&lt;&gt;""),Table2[[#This Row],[Gas wt%]]+Table2[[#This Row],[Loss]],"")</f>
        <v>7.5</v>
      </c>
      <c r="BC383" s="15"/>
      <c r="BD383" s="15"/>
      <c r="BE383" s="15"/>
      <c r="BF383" s="15"/>
      <c r="BG383" s="15"/>
      <c r="BH383" s="15"/>
      <c r="BI383" s="15">
        <v>75.2</v>
      </c>
      <c r="BJ383" s="15">
        <v>9.3000000000000007</v>
      </c>
      <c r="BK383" s="15">
        <v>8.1</v>
      </c>
      <c r="BL383" s="15">
        <v>6.8</v>
      </c>
      <c r="BM383" s="15">
        <v>0.68</v>
      </c>
      <c r="BN383" s="15">
        <v>36.200000000000003</v>
      </c>
      <c r="BO383" s="15">
        <v>54</v>
      </c>
      <c r="BP383" s="15"/>
      <c r="BQ383" s="15">
        <f>Table2[[#This Row],[H% B]]/Table2[[#This Row],[C% B]]*100</f>
        <v>12.367021276595745</v>
      </c>
      <c r="BR383" s="15"/>
      <c r="BS383" s="15"/>
      <c r="BT383" s="15"/>
      <c r="BU383" s="15"/>
      <c r="BV383" s="15"/>
      <c r="BW383" s="15"/>
      <c r="BX383" s="15"/>
      <c r="BY383" s="15"/>
      <c r="BZ383" s="15"/>
      <c r="CA383" s="15"/>
      <c r="CB383" s="15"/>
      <c r="CC383" s="15"/>
      <c r="CD383" s="15"/>
      <c r="CE383" s="15"/>
      <c r="CF383" s="15">
        <v>21.4</v>
      </c>
      <c r="CG383" s="15">
        <v>2.7</v>
      </c>
      <c r="CH383" s="15">
        <v>65.900000000000006</v>
      </c>
      <c r="CI383" s="15">
        <v>2.2999999999999998</v>
      </c>
      <c r="CJ383" s="15">
        <v>0.21</v>
      </c>
      <c r="CK383" s="15"/>
      <c r="CL383" s="15"/>
      <c r="CM383" s="15"/>
      <c r="CN383" s="15"/>
      <c r="CO383" s="15"/>
      <c r="CP383" s="15"/>
      <c r="CQ383" s="15"/>
      <c r="CR383" s="15"/>
      <c r="CS383" s="15"/>
      <c r="CT383" s="15"/>
      <c r="CU383" s="15"/>
      <c r="CV383" s="15"/>
      <c r="CW383" s="15"/>
      <c r="CX383" s="15"/>
      <c r="CY383" s="15"/>
      <c r="CZ383" s="15"/>
      <c r="DA383" s="15"/>
      <c r="DB383" s="15">
        <v>0</v>
      </c>
    </row>
    <row r="384" spans="1:106" x14ac:dyDescent="0.25">
      <c r="A384" t="s">
        <v>379</v>
      </c>
      <c r="B384" t="s">
        <v>334</v>
      </c>
      <c r="C384">
        <v>2020</v>
      </c>
      <c r="D384" s="16" t="s">
        <v>178</v>
      </c>
      <c r="E384">
        <v>0</v>
      </c>
      <c r="F384" s="15">
        <v>22.027649769585253</v>
      </c>
      <c r="G384" s="15"/>
      <c r="H384" s="15"/>
      <c r="I384" s="15">
        <v>64.792626728110605</v>
      </c>
      <c r="J384" s="15">
        <v>5.3456221198156681</v>
      </c>
      <c r="K384" s="15"/>
      <c r="L384" s="15">
        <f>IF(Table2[[#This Row],[Lipids wt%]]+Table2[[#This Row],[Protein wt%]]+Table2[[#This Row],[Carbs wt%]] =0,"",SUM(Table2[[#This Row],[Lipids wt%]],Table2[[#This Row],[Protein wt%]],Table2[[#This Row],[Carbs wt%]]))</f>
        <v>92.16589861751153</v>
      </c>
      <c r="M384" s="15">
        <v>8.5</v>
      </c>
      <c r="P384">
        <v>10.3</v>
      </c>
      <c r="Q384">
        <v>10.8</v>
      </c>
      <c r="R384">
        <v>69.400000000000006</v>
      </c>
      <c r="Z384" s="15">
        <v>46.9</v>
      </c>
      <c r="AA384" s="15">
        <v>6.9</v>
      </c>
      <c r="AB384" s="15">
        <v>35.5</v>
      </c>
      <c r="AC384" s="15">
        <v>10.7</v>
      </c>
      <c r="AD384" s="15"/>
      <c r="AE384" s="15"/>
      <c r="AF384" s="15">
        <v>18.5</v>
      </c>
      <c r="AG384" s="15">
        <v>0.05</v>
      </c>
      <c r="AH384" s="15"/>
      <c r="AI384" s="15"/>
      <c r="AJ384" s="15">
        <v>10</v>
      </c>
      <c r="AL384">
        <v>10</v>
      </c>
      <c r="AM384" s="13">
        <v>0.104473</v>
      </c>
      <c r="AO384" s="15">
        <v>30</v>
      </c>
      <c r="AP384" s="15">
        <f>LN(25/Table2[[#This Row],[Temperature (C)]]/(1-SQRT((Table2[[#This Row],[Temperature (C)]]-5)/Table2[[#This Row],[Temperature (C)]])))/Table2[[#This Row],[b]]</f>
        <v>21.999867342421314</v>
      </c>
      <c r="AQ384" s="15">
        <f>IF(Table2[[#This Row],[b]]&lt;&gt;"",Table2[[#This Row],[T-5]], 0)</f>
        <v>21.999867342421314</v>
      </c>
      <c r="AR384">
        <f>Table2[[#This Row],[Temperature (C)]]/Table2[[#This Row],[Heating rate C/min]]+Table2[[#This Row],[Holding Time (min)]]</f>
        <v>60</v>
      </c>
      <c r="AT384" t="s">
        <v>503</v>
      </c>
      <c r="AU384">
        <v>300</v>
      </c>
      <c r="AV384" s="15"/>
      <c r="AW384" s="15">
        <v>28.5</v>
      </c>
      <c r="AX384" s="15"/>
      <c r="AY384" s="15"/>
      <c r="AZ384" s="15"/>
      <c r="BA384" s="15"/>
      <c r="BB384" s="15" t="str">
        <f>IF(OR(Table2[[#This Row],[Gas wt%]]&lt;&gt;"",Table2[[#This Row],[Loss]]&lt;&gt;""),Table2[[#This Row],[Gas wt%]]+Table2[[#This Row],[Loss]],"")</f>
        <v/>
      </c>
      <c r="BC384" s="15"/>
      <c r="BD384" s="15"/>
      <c r="BE384" s="15"/>
      <c r="BF384" s="15"/>
      <c r="BG384" s="15"/>
      <c r="BH384" s="15"/>
      <c r="BI384" s="15"/>
      <c r="BJ384" s="15"/>
      <c r="BK384" s="15"/>
      <c r="BL384" s="15"/>
      <c r="BM384" s="15"/>
      <c r="BN384" s="15"/>
      <c r="BO384" s="15"/>
      <c r="BP384" s="15"/>
      <c r="BQ384" s="15"/>
      <c r="BR384" s="15"/>
      <c r="BS384" s="15"/>
      <c r="BT384" s="15"/>
      <c r="BU384" s="15"/>
      <c r="BV384" s="15"/>
      <c r="BW384" s="15"/>
      <c r="BX384" s="15"/>
      <c r="BY384" s="15"/>
      <c r="BZ384" s="15"/>
      <c r="CA384" s="15"/>
      <c r="CB384" s="15"/>
      <c r="CC384" s="15"/>
      <c r="CD384" s="15"/>
      <c r="CE384" s="15"/>
      <c r="CF384" s="15"/>
      <c r="CG384" s="15"/>
      <c r="CH384" s="15"/>
      <c r="CI384" s="15"/>
      <c r="CJ384" s="15"/>
      <c r="CK384" s="15"/>
      <c r="CL384" s="15"/>
      <c r="CM384" s="15"/>
      <c r="CN384" s="15"/>
      <c r="CO384" s="15"/>
      <c r="CP384" s="15"/>
      <c r="CQ384" s="15"/>
      <c r="CR384" s="15"/>
      <c r="CS384" s="15"/>
      <c r="CT384" s="15"/>
      <c r="CU384" s="15"/>
      <c r="CV384" s="15"/>
      <c r="CW384" s="15"/>
      <c r="CX384" s="15"/>
      <c r="CY384" s="15"/>
      <c r="CZ384" s="15"/>
      <c r="DA384" s="15"/>
      <c r="DB384" s="15">
        <v>0</v>
      </c>
    </row>
    <row r="385" spans="1:106" x14ac:dyDescent="0.25">
      <c r="A385" t="s">
        <v>379</v>
      </c>
      <c r="B385" t="s">
        <v>334</v>
      </c>
      <c r="C385">
        <v>2020</v>
      </c>
      <c r="D385" s="16" t="s">
        <v>178</v>
      </c>
      <c r="E385">
        <v>0</v>
      </c>
      <c r="F385" s="15">
        <v>22.027649769585253</v>
      </c>
      <c r="G385" s="15"/>
      <c r="H385" s="15"/>
      <c r="I385" s="15">
        <v>64.792626728110605</v>
      </c>
      <c r="J385" s="15">
        <v>5.3456221198156681</v>
      </c>
      <c r="K385" s="15"/>
      <c r="L385" s="15">
        <f>IF(Table2[[#This Row],[Lipids wt%]]+Table2[[#This Row],[Protein wt%]]+Table2[[#This Row],[Carbs wt%]] =0,"",SUM(Table2[[#This Row],[Lipids wt%]],Table2[[#This Row],[Protein wt%]],Table2[[#This Row],[Carbs wt%]]))</f>
        <v>92.16589861751153</v>
      </c>
      <c r="M385" s="15">
        <v>8.5</v>
      </c>
      <c r="P385">
        <v>10.3</v>
      </c>
      <c r="Q385">
        <v>10.8</v>
      </c>
      <c r="R385">
        <v>69.400000000000006</v>
      </c>
      <c r="Z385" s="15">
        <v>46.9</v>
      </c>
      <c r="AA385" s="15">
        <v>6.9</v>
      </c>
      <c r="AB385" s="15">
        <v>35.5</v>
      </c>
      <c r="AC385" s="15">
        <v>10.7</v>
      </c>
      <c r="AD385" s="15"/>
      <c r="AE385" s="15"/>
      <c r="AF385" s="15">
        <v>18.5</v>
      </c>
      <c r="AG385" s="15">
        <v>0.05</v>
      </c>
      <c r="AH385" s="15"/>
      <c r="AI385" s="15"/>
      <c r="AJ385" s="15">
        <v>10</v>
      </c>
      <c r="AL385">
        <v>10</v>
      </c>
      <c r="AM385" s="13">
        <v>0.104473</v>
      </c>
      <c r="AO385" s="15">
        <v>50</v>
      </c>
      <c r="AP385" s="15">
        <f>LN(25/Table2[[#This Row],[Temperature (C)]]/(1-SQRT((Table2[[#This Row],[Temperature (C)]]-5)/Table2[[#This Row],[Temperature (C)]])))/Table2[[#This Row],[b]]</f>
        <v>21.991779414572768</v>
      </c>
      <c r="AQ385" s="15">
        <f>IF(Table2[[#This Row],[b]]&lt;&gt;"",Table2[[#This Row],[T-5]], 0)</f>
        <v>21.991779414572768</v>
      </c>
      <c r="AR385">
        <f>Table2[[#This Row],[Temperature (C)]]/Table2[[#This Row],[Heating rate C/min]]+Table2[[#This Row],[Holding Time (min)]]</f>
        <v>75</v>
      </c>
      <c r="AT385" t="s">
        <v>503</v>
      </c>
      <c r="AU385">
        <v>250</v>
      </c>
      <c r="AV385" s="15"/>
      <c r="AW385" s="15">
        <v>15.9</v>
      </c>
      <c r="AX385" s="15"/>
      <c r="AY385" s="15"/>
      <c r="AZ385" s="15"/>
      <c r="BA385" s="15"/>
      <c r="BB385" s="15" t="str">
        <f>IF(OR(Table2[[#This Row],[Gas wt%]]&lt;&gt;"",Table2[[#This Row],[Loss]]&lt;&gt;""),Table2[[#This Row],[Gas wt%]]+Table2[[#This Row],[Loss]],"")</f>
        <v/>
      </c>
      <c r="BC385" s="15"/>
      <c r="BD385" s="15"/>
      <c r="BE385" s="15"/>
      <c r="BF385" s="15"/>
      <c r="BG385" s="15"/>
      <c r="BH385" s="15"/>
      <c r="BI385" s="15"/>
      <c r="BJ385" s="15"/>
      <c r="BK385" s="15"/>
      <c r="BL385" s="15"/>
      <c r="BM385" s="15"/>
      <c r="BN385" s="15"/>
      <c r="BO385" s="15"/>
      <c r="BP385" s="15"/>
      <c r="BQ385" s="15"/>
      <c r="BR385" s="15"/>
      <c r="BS385" s="15"/>
      <c r="BT385" s="15"/>
      <c r="BU385" s="15"/>
      <c r="BV385" s="15"/>
      <c r="BW385" s="15"/>
      <c r="BX385" s="15"/>
      <c r="BY385" s="15"/>
      <c r="BZ385" s="15"/>
      <c r="CA385" s="15"/>
      <c r="CB385" s="15"/>
      <c r="CC385" s="15"/>
      <c r="CD385" s="15"/>
      <c r="CE385" s="15"/>
      <c r="CF385" s="15"/>
      <c r="CG385" s="15"/>
      <c r="CH385" s="15"/>
      <c r="CI385" s="15"/>
      <c r="CJ385" s="15"/>
      <c r="CK385" s="15"/>
      <c r="CL385" s="15"/>
      <c r="CM385" s="15"/>
      <c r="CN385" s="15"/>
      <c r="CO385" s="15"/>
      <c r="CP385" s="15"/>
      <c r="CQ385" s="15"/>
      <c r="CR385" s="15"/>
      <c r="CS385" s="15"/>
      <c r="CT385" s="15"/>
      <c r="CU385" s="15"/>
      <c r="CV385" s="15"/>
      <c r="CW385" s="15"/>
      <c r="CX385" s="15"/>
      <c r="CY385" s="15"/>
      <c r="CZ385" s="15"/>
      <c r="DA385" s="15"/>
      <c r="DB385" s="15">
        <v>0</v>
      </c>
    </row>
    <row r="386" spans="1:106" x14ac:dyDescent="0.25">
      <c r="A386" s="1" t="s">
        <v>379</v>
      </c>
      <c r="B386" t="s">
        <v>334</v>
      </c>
      <c r="C386">
        <v>2020</v>
      </c>
      <c r="D386" s="16" t="s">
        <v>178</v>
      </c>
      <c r="E386">
        <v>0</v>
      </c>
      <c r="F386" s="15">
        <v>22.027649769585253</v>
      </c>
      <c r="G386" s="15"/>
      <c r="H386" s="15"/>
      <c r="I386" s="15">
        <v>64.792626728110605</v>
      </c>
      <c r="J386" s="15">
        <v>5.3456221198156681</v>
      </c>
      <c r="K386" s="15"/>
      <c r="L386" s="15">
        <f>IF(Table2[[#This Row],[Lipids wt%]]+Table2[[#This Row],[Protein wt%]]+Table2[[#This Row],[Carbs wt%]] =0,"",SUM(Table2[[#This Row],[Lipids wt%]],Table2[[#This Row],[Protein wt%]],Table2[[#This Row],[Carbs wt%]]))</f>
        <v>92.16589861751153</v>
      </c>
      <c r="M386" s="15">
        <v>8.5</v>
      </c>
      <c r="P386">
        <v>10.3</v>
      </c>
      <c r="Q386">
        <v>10.8</v>
      </c>
      <c r="R386">
        <v>69.400000000000006</v>
      </c>
      <c r="Z386" s="15">
        <v>46.9</v>
      </c>
      <c r="AA386" s="15">
        <v>6.9</v>
      </c>
      <c r="AB386" s="15">
        <v>35.5</v>
      </c>
      <c r="AC386" s="15">
        <v>10.7</v>
      </c>
      <c r="AD386" s="15"/>
      <c r="AE386" s="15"/>
      <c r="AF386" s="15">
        <v>18.5</v>
      </c>
      <c r="AG386" s="15">
        <v>0.05</v>
      </c>
      <c r="AH386" s="15"/>
      <c r="AI386" s="15"/>
      <c r="AJ386" s="15">
        <v>10</v>
      </c>
      <c r="AL386">
        <v>10</v>
      </c>
      <c r="AM386" s="13">
        <v>0.104473</v>
      </c>
      <c r="AO386" s="15">
        <v>30</v>
      </c>
      <c r="AP386" s="15">
        <f>LN(25/Table2[[#This Row],[Temperature (C)]]/(1-SQRT((Table2[[#This Row],[Temperature (C)]]-5)/Table2[[#This Row],[Temperature (C)]])))/Table2[[#This Row],[b]]</f>
        <v>21.999867342421314</v>
      </c>
      <c r="AQ386" s="15">
        <f>IF(Table2[[#This Row],[b]]&lt;&gt;"",Table2[[#This Row],[T-5]], 0)</f>
        <v>21.999867342421314</v>
      </c>
      <c r="AR386">
        <f>Table2[[#This Row],[Temperature (C)]]/Table2[[#This Row],[Heating rate C/min]]+Table2[[#This Row],[Holding Time (min)]]</f>
        <v>60</v>
      </c>
      <c r="AT386" t="s">
        <v>503</v>
      </c>
      <c r="AU386">
        <v>300</v>
      </c>
      <c r="AV386" s="15"/>
      <c r="AW386" s="15">
        <v>26</v>
      </c>
      <c r="AX386" s="15"/>
      <c r="AY386" s="15"/>
      <c r="AZ386" s="15"/>
      <c r="BA386" s="15"/>
      <c r="BB386" s="15" t="str">
        <f>IF(OR(Table2[[#This Row],[Gas wt%]]&lt;&gt;"",Table2[[#This Row],[Loss]]&lt;&gt;""),Table2[[#This Row],[Gas wt%]]+Table2[[#This Row],[Loss]],"")</f>
        <v/>
      </c>
      <c r="BC386" s="15"/>
      <c r="BD386" s="15"/>
      <c r="BE386" s="15"/>
      <c r="BF386" s="15"/>
      <c r="BG386" s="15"/>
      <c r="BH386" s="15"/>
      <c r="BI386" s="15"/>
      <c r="BJ386" s="15"/>
      <c r="BK386" s="15"/>
      <c r="BL386" s="15"/>
      <c r="BM386" s="15"/>
      <c r="BN386" s="15"/>
      <c r="BO386" s="15"/>
      <c r="BP386" s="15"/>
      <c r="BQ386" s="15"/>
      <c r="BR386" s="15"/>
      <c r="BS386" s="15"/>
      <c r="BT386" s="15"/>
      <c r="BU386" s="15"/>
      <c r="BV386" s="15"/>
      <c r="BW386" s="15"/>
      <c r="BX386" s="15"/>
      <c r="BY386" s="15"/>
      <c r="BZ386" s="15"/>
      <c r="CA386" s="15"/>
      <c r="CB386" s="15"/>
      <c r="CC386" s="15"/>
      <c r="CD386" s="15"/>
      <c r="CE386" s="15"/>
      <c r="CF386" s="15"/>
      <c r="CG386" s="15"/>
      <c r="CH386" s="15"/>
      <c r="CI386" s="15"/>
      <c r="CJ386" s="15"/>
      <c r="CK386" s="15"/>
      <c r="CL386" s="15"/>
      <c r="CM386" s="15"/>
      <c r="CN386" s="15"/>
      <c r="CO386" s="15"/>
      <c r="CP386" s="15"/>
      <c r="CQ386" s="15"/>
      <c r="CR386" s="15"/>
      <c r="CS386" s="15"/>
      <c r="CT386" s="15"/>
      <c r="CU386" s="15"/>
      <c r="CV386" s="15"/>
      <c r="CW386" s="15"/>
      <c r="CX386" s="15"/>
      <c r="CY386" s="15"/>
      <c r="CZ386" s="15"/>
      <c r="DA386" s="15"/>
      <c r="DB386" s="15">
        <v>0</v>
      </c>
    </row>
    <row r="387" spans="1:106" x14ac:dyDescent="0.25">
      <c r="A387" t="s">
        <v>379</v>
      </c>
      <c r="B387" t="s">
        <v>334</v>
      </c>
      <c r="C387">
        <v>2020</v>
      </c>
      <c r="D387" s="16" t="s">
        <v>178</v>
      </c>
      <c r="E387">
        <v>0</v>
      </c>
      <c r="F387" s="15">
        <v>22.027649769585253</v>
      </c>
      <c r="G387" s="15"/>
      <c r="H387" s="15"/>
      <c r="I387" s="15">
        <v>64.792626728110605</v>
      </c>
      <c r="J387" s="15">
        <v>5.3456221198156681</v>
      </c>
      <c r="K387" s="15"/>
      <c r="L387" s="15">
        <f>IF(Table2[[#This Row],[Lipids wt%]]+Table2[[#This Row],[Protein wt%]]+Table2[[#This Row],[Carbs wt%]] =0,"",SUM(Table2[[#This Row],[Lipids wt%]],Table2[[#This Row],[Protein wt%]],Table2[[#This Row],[Carbs wt%]]))</f>
        <v>92.16589861751153</v>
      </c>
      <c r="M387" s="15">
        <v>8.5</v>
      </c>
      <c r="P387">
        <v>10.3</v>
      </c>
      <c r="Q387">
        <v>10.8</v>
      </c>
      <c r="R387">
        <v>69.400000000000006</v>
      </c>
      <c r="Z387" s="15">
        <v>46.9</v>
      </c>
      <c r="AA387" s="15">
        <v>6.9</v>
      </c>
      <c r="AB387" s="15">
        <v>35.5</v>
      </c>
      <c r="AC387" s="15">
        <v>10.7</v>
      </c>
      <c r="AD387" s="15"/>
      <c r="AE387" s="15"/>
      <c r="AF387" s="15">
        <v>18.5</v>
      </c>
      <c r="AG387" s="15">
        <v>0.05</v>
      </c>
      <c r="AH387" s="15"/>
      <c r="AI387" s="15"/>
      <c r="AJ387" s="15">
        <v>10</v>
      </c>
      <c r="AL387">
        <v>10</v>
      </c>
      <c r="AM387" s="13">
        <v>0.104473</v>
      </c>
      <c r="AO387" s="15">
        <v>30</v>
      </c>
      <c r="AP387" s="15">
        <f>LN(25/Table2[[#This Row],[Temperature (C)]]/(1-SQRT((Table2[[#This Row],[Temperature (C)]]-5)/Table2[[#This Row],[Temperature (C)]])))/Table2[[#This Row],[b]]</f>
        <v>21.987551446297449</v>
      </c>
      <c r="AQ387" s="15">
        <f>IF(Table2[[#This Row],[b]]&lt;&gt;"",Table2[[#This Row],[T-5]], 0)</f>
        <v>21.987551446297449</v>
      </c>
      <c r="AR387">
        <f>Table2[[#This Row],[Temperature (C)]]/Table2[[#This Row],[Heating rate C/min]]+Table2[[#This Row],[Holding Time (min)]]</f>
        <v>53</v>
      </c>
      <c r="AT387" t="s">
        <v>503</v>
      </c>
      <c r="AU387">
        <v>230</v>
      </c>
      <c r="AV387" s="15"/>
      <c r="AW387" s="15">
        <v>12.8</v>
      </c>
      <c r="AX387" s="15"/>
      <c r="AY387" s="15"/>
      <c r="AZ387" s="15"/>
      <c r="BA387" s="15"/>
      <c r="BB387" s="15" t="str">
        <f>IF(OR(Table2[[#This Row],[Gas wt%]]&lt;&gt;"",Table2[[#This Row],[Loss]]&lt;&gt;""),Table2[[#This Row],[Gas wt%]]+Table2[[#This Row],[Loss]],"")</f>
        <v/>
      </c>
      <c r="BC387" s="15"/>
      <c r="BD387" s="15"/>
      <c r="BE387" s="15"/>
      <c r="BF387" s="15"/>
      <c r="BG387" s="15"/>
      <c r="BH387" s="15"/>
      <c r="BI387" s="15"/>
      <c r="BJ387" s="15"/>
      <c r="BK387" s="15"/>
      <c r="BL387" s="15"/>
      <c r="BM387" s="15"/>
      <c r="BN387" s="15"/>
      <c r="BO387" s="15"/>
      <c r="BP387" s="15"/>
      <c r="BQ387" s="15"/>
      <c r="BR387" s="15"/>
      <c r="BS387" s="15"/>
      <c r="BT387" s="15"/>
      <c r="BU387" s="15"/>
      <c r="BV387" s="15"/>
      <c r="BW387" s="15"/>
      <c r="BX387" s="15"/>
      <c r="BY387" s="15"/>
      <c r="BZ387" s="15"/>
      <c r="CA387" s="15"/>
      <c r="CB387" s="15"/>
      <c r="CC387" s="15"/>
      <c r="CD387" s="15"/>
      <c r="CE387" s="15"/>
      <c r="CF387" s="15"/>
      <c r="CG387" s="15"/>
      <c r="CH387" s="15"/>
      <c r="CI387" s="15"/>
      <c r="CJ387" s="15"/>
      <c r="CK387" s="15"/>
      <c r="CL387" s="15"/>
      <c r="CM387" s="15"/>
      <c r="CN387" s="15"/>
      <c r="CO387" s="15"/>
      <c r="CP387" s="15"/>
      <c r="CQ387" s="15"/>
      <c r="CR387" s="15"/>
      <c r="CS387" s="15"/>
      <c r="CT387" s="15"/>
      <c r="CU387" s="15"/>
      <c r="CV387" s="15"/>
      <c r="CW387" s="15"/>
      <c r="CX387" s="15"/>
      <c r="CY387" s="15"/>
      <c r="CZ387" s="15"/>
      <c r="DA387" s="15"/>
      <c r="DB387" s="15">
        <v>0</v>
      </c>
    </row>
    <row r="388" spans="1:106" x14ac:dyDescent="0.25">
      <c r="A388" t="s">
        <v>379</v>
      </c>
      <c r="B388" t="s">
        <v>334</v>
      </c>
      <c r="C388">
        <v>2020</v>
      </c>
      <c r="D388" s="16" t="s">
        <v>178</v>
      </c>
      <c r="E388">
        <v>0</v>
      </c>
      <c r="F388" s="15">
        <v>22.027649769585253</v>
      </c>
      <c r="G388" s="15"/>
      <c r="H388" s="15"/>
      <c r="I388" s="15">
        <v>64.792626728110605</v>
      </c>
      <c r="J388" s="15">
        <v>5.3456221198156681</v>
      </c>
      <c r="K388" s="15"/>
      <c r="L388" s="15">
        <f>IF(Table2[[#This Row],[Lipids wt%]]+Table2[[#This Row],[Protein wt%]]+Table2[[#This Row],[Carbs wt%]] =0,"",SUM(Table2[[#This Row],[Lipids wt%]],Table2[[#This Row],[Protein wt%]],Table2[[#This Row],[Carbs wt%]]))</f>
        <v>92.16589861751153</v>
      </c>
      <c r="M388" s="15">
        <v>8.5</v>
      </c>
      <c r="P388">
        <v>10.3</v>
      </c>
      <c r="Q388">
        <v>10.8</v>
      </c>
      <c r="R388">
        <v>69.400000000000006</v>
      </c>
      <c r="Z388" s="15">
        <v>46.9</v>
      </c>
      <c r="AA388" s="15">
        <v>6.9</v>
      </c>
      <c r="AB388" s="15">
        <v>35.5</v>
      </c>
      <c r="AC388" s="15">
        <v>10.7</v>
      </c>
      <c r="AD388" s="15"/>
      <c r="AE388" s="15"/>
      <c r="AF388" s="15">
        <v>18.5</v>
      </c>
      <c r="AG388" s="15">
        <v>0.05</v>
      </c>
      <c r="AH388" s="15"/>
      <c r="AI388" s="15"/>
      <c r="AJ388" s="15">
        <v>10</v>
      </c>
      <c r="AL388">
        <v>10</v>
      </c>
      <c r="AM388" s="13">
        <v>0.104473</v>
      </c>
      <c r="AO388" s="15">
        <v>30</v>
      </c>
      <c r="AP388" s="15">
        <f>LN(25/Table2[[#This Row],[Temperature (C)]]/(1-SQRT((Table2[[#This Row],[Temperature (C)]]-5)/Table2[[#This Row],[Temperature (C)]])))/Table2[[#This Row],[b]]</f>
        <v>22.007499208160873</v>
      </c>
      <c r="AQ388" s="15">
        <f>IF(Table2[[#This Row],[b]]&lt;&gt;"",Table2[[#This Row],[T-5]], 0)</f>
        <v>22.007499208160873</v>
      </c>
      <c r="AR388">
        <f>Table2[[#This Row],[Temperature (C)]]/Table2[[#This Row],[Heating rate C/min]]+Table2[[#This Row],[Holding Time (min)]]</f>
        <v>67</v>
      </c>
      <c r="AT388" t="s">
        <v>503</v>
      </c>
      <c r="AU388">
        <v>370</v>
      </c>
      <c r="AV388" s="15"/>
      <c r="AW388" s="15">
        <v>28</v>
      </c>
      <c r="AX388" s="15"/>
      <c r="AY388" s="15"/>
      <c r="AZ388" s="15"/>
      <c r="BA388" s="15"/>
      <c r="BB388" s="15" t="str">
        <f>IF(OR(Table2[[#This Row],[Gas wt%]]&lt;&gt;"",Table2[[#This Row],[Loss]]&lt;&gt;""),Table2[[#This Row],[Gas wt%]]+Table2[[#This Row],[Loss]],"")</f>
        <v/>
      </c>
      <c r="BC388" s="15"/>
      <c r="BD388" s="15"/>
      <c r="BE388" s="15"/>
      <c r="BF388" s="15"/>
      <c r="BG388" s="15"/>
      <c r="BH388" s="15"/>
      <c r="BI388" s="15"/>
      <c r="BJ388" s="15"/>
      <c r="BK388" s="15"/>
      <c r="BL388" s="15"/>
      <c r="BM388" s="15"/>
      <c r="BN388" s="15"/>
      <c r="BO388" s="15"/>
      <c r="BP388" s="15"/>
      <c r="BQ388" s="15"/>
      <c r="BR388" s="15"/>
      <c r="BS388" s="15"/>
      <c r="BT388" s="15"/>
      <c r="BU388" s="15"/>
      <c r="BV388" s="15"/>
      <c r="BW388" s="15"/>
      <c r="BX388" s="15"/>
      <c r="BY388" s="15"/>
      <c r="BZ388" s="15"/>
      <c r="CA388" s="15"/>
      <c r="CB388" s="15"/>
      <c r="CC388" s="15"/>
      <c r="CD388" s="15"/>
      <c r="CE388" s="15"/>
      <c r="CF388" s="15"/>
      <c r="CG388" s="15"/>
      <c r="CH388" s="15"/>
      <c r="CI388" s="15"/>
      <c r="CJ388" s="15"/>
      <c r="CK388" s="15"/>
      <c r="CL388" s="15"/>
      <c r="CM388" s="15"/>
      <c r="CN388" s="15"/>
      <c r="CO388" s="15"/>
      <c r="CP388" s="15"/>
      <c r="CQ388" s="15"/>
      <c r="CR388" s="15"/>
      <c r="CS388" s="15"/>
      <c r="CT388" s="15"/>
      <c r="CU388" s="15"/>
      <c r="CV388" s="15"/>
      <c r="CW388" s="15"/>
      <c r="CX388" s="15"/>
      <c r="CY388" s="15"/>
      <c r="CZ388" s="15"/>
      <c r="DA388" s="15"/>
      <c r="DB388" s="15">
        <v>0</v>
      </c>
    </row>
    <row r="389" spans="1:106" x14ac:dyDescent="0.25">
      <c r="A389" t="s">
        <v>379</v>
      </c>
      <c r="B389" t="s">
        <v>334</v>
      </c>
      <c r="C389">
        <v>2020</v>
      </c>
      <c r="D389" s="16" t="s">
        <v>178</v>
      </c>
      <c r="E389">
        <v>0</v>
      </c>
      <c r="F389" s="15">
        <v>22.027649769585253</v>
      </c>
      <c r="G389" s="15"/>
      <c r="H389" s="15"/>
      <c r="I389" s="15">
        <v>64.792626728110605</v>
      </c>
      <c r="J389" s="15">
        <v>5.3456221198156681</v>
      </c>
      <c r="K389" s="15"/>
      <c r="L389" s="15">
        <f>IF(Table2[[#This Row],[Lipids wt%]]+Table2[[#This Row],[Protein wt%]]+Table2[[#This Row],[Carbs wt%]] =0,"",SUM(Table2[[#This Row],[Lipids wt%]],Table2[[#This Row],[Protein wt%]],Table2[[#This Row],[Carbs wt%]]))</f>
        <v>92.16589861751153</v>
      </c>
      <c r="M389" s="15">
        <v>8.5</v>
      </c>
      <c r="P389">
        <v>10.3</v>
      </c>
      <c r="Q389">
        <v>10.8</v>
      </c>
      <c r="R389">
        <v>69.400000000000006</v>
      </c>
      <c r="Z389" s="15">
        <v>46.9</v>
      </c>
      <c r="AA389" s="15">
        <v>6.9</v>
      </c>
      <c r="AB389" s="15">
        <v>35.5</v>
      </c>
      <c r="AC389" s="15">
        <v>10.7</v>
      </c>
      <c r="AD389" s="15"/>
      <c r="AE389" s="15"/>
      <c r="AF389" s="15">
        <v>18.5</v>
      </c>
      <c r="AG389" s="15">
        <v>0.05</v>
      </c>
      <c r="AH389" s="15"/>
      <c r="AI389" s="15"/>
      <c r="AJ389" s="15">
        <v>10</v>
      </c>
      <c r="AL389">
        <v>10</v>
      </c>
      <c r="AM389" s="13">
        <v>0.104473</v>
      </c>
      <c r="AO389" s="15">
        <v>30</v>
      </c>
      <c r="AP389" s="15">
        <f>LN(25/Table2[[#This Row],[Temperature (C)]]/(1-SQRT((Table2[[#This Row],[Temperature (C)]]-5)/Table2[[#This Row],[Temperature (C)]])))/Table2[[#This Row],[b]]</f>
        <v>21.999867342421314</v>
      </c>
      <c r="AQ389" s="15">
        <f>IF(Table2[[#This Row],[b]]&lt;&gt;"",Table2[[#This Row],[T-5]], 0)</f>
        <v>21.999867342421314</v>
      </c>
      <c r="AR389">
        <f>Table2[[#This Row],[Temperature (C)]]/Table2[[#This Row],[Heating rate C/min]]+Table2[[#This Row],[Holding Time (min)]]</f>
        <v>60</v>
      </c>
      <c r="AT389" t="s">
        <v>503</v>
      </c>
      <c r="AU389">
        <v>300</v>
      </c>
      <c r="AV389" s="15"/>
      <c r="AW389" s="15">
        <v>28.5</v>
      </c>
      <c r="AX389" s="15"/>
      <c r="AY389" s="15"/>
      <c r="AZ389" s="15"/>
      <c r="BA389" s="15"/>
      <c r="BB389" s="15" t="str">
        <f>IF(OR(Table2[[#This Row],[Gas wt%]]&lt;&gt;"",Table2[[#This Row],[Loss]]&lt;&gt;""),Table2[[#This Row],[Gas wt%]]+Table2[[#This Row],[Loss]],"")</f>
        <v/>
      </c>
      <c r="BC389" s="15"/>
      <c r="BD389" s="15"/>
      <c r="BE389" s="15"/>
      <c r="BF389" s="15"/>
      <c r="BG389" s="15"/>
      <c r="BH389" s="15"/>
      <c r="BI389" s="15"/>
      <c r="BJ389" s="15"/>
      <c r="BK389" s="15"/>
      <c r="BL389" s="15"/>
      <c r="BM389" s="15"/>
      <c r="BN389" s="15"/>
      <c r="BO389" s="15"/>
      <c r="BP389" s="15"/>
      <c r="BQ389" s="15"/>
      <c r="BR389" s="15"/>
      <c r="BS389" s="15"/>
      <c r="BT389" s="15"/>
      <c r="BU389" s="15"/>
      <c r="BV389" s="15"/>
      <c r="BW389" s="15"/>
      <c r="BX389" s="15"/>
      <c r="BY389" s="15"/>
      <c r="BZ389" s="15"/>
      <c r="CA389" s="15"/>
      <c r="CB389" s="15"/>
      <c r="CC389" s="15"/>
      <c r="CD389" s="15"/>
      <c r="CE389" s="15"/>
      <c r="CF389" s="15"/>
      <c r="CG389" s="15"/>
      <c r="CH389" s="15"/>
      <c r="CI389" s="15"/>
      <c r="CJ389" s="15"/>
      <c r="CK389" s="15"/>
      <c r="CL389" s="15"/>
      <c r="CM389" s="15"/>
      <c r="CN389" s="15"/>
      <c r="CO389" s="15"/>
      <c r="CP389" s="15"/>
      <c r="CQ389" s="15"/>
      <c r="CR389" s="15"/>
      <c r="CS389" s="15"/>
      <c r="CT389" s="15"/>
      <c r="CU389" s="15"/>
      <c r="CV389" s="15"/>
      <c r="CW389" s="15"/>
      <c r="CX389" s="15"/>
      <c r="CY389" s="15"/>
      <c r="CZ389" s="15"/>
      <c r="DA389" s="15"/>
      <c r="DB389" s="15">
        <v>0</v>
      </c>
    </row>
    <row r="390" spans="1:106" x14ac:dyDescent="0.25">
      <c r="A390" t="s">
        <v>379</v>
      </c>
      <c r="B390" t="s">
        <v>334</v>
      </c>
      <c r="C390">
        <v>2020</v>
      </c>
      <c r="D390" s="16" t="s">
        <v>178</v>
      </c>
      <c r="E390">
        <v>0</v>
      </c>
      <c r="F390" s="15">
        <v>22.027649769585253</v>
      </c>
      <c r="G390" s="15"/>
      <c r="H390" s="15"/>
      <c r="I390" s="15">
        <v>64.792626728110605</v>
      </c>
      <c r="J390" s="15">
        <v>5.3456221198156681</v>
      </c>
      <c r="K390" s="15"/>
      <c r="L390" s="15">
        <f>IF(Table2[[#This Row],[Lipids wt%]]+Table2[[#This Row],[Protein wt%]]+Table2[[#This Row],[Carbs wt%]] =0,"",SUM(Table2[[#This Row],[Lipids wt%]],Table2[[#This Row],[Protein wt%]],Table2[[#This Row],[Carbs wt%]]))</f>
        <v>92.16589861751153</v>
      </c>
      <c r="M390" s="15">
        <v>8.5</v>
      </c>
      <c r="P390">
        <v>10.3</v>
      </c>
      <c r="Q390">
        <v>10.8</v>
      </c>
      <c r="R390">
        <v>69.400000000000006</v>
      </c>
      <c r="Z390" s="15">
        <v>46.9</v>
      </c>
      <c r="AA390" s="15">
        <v>6.9</v>
      </c>
      <c r="AB390" s="15">
        <v>35.5</v>
      </c>
      <c r="AC390" s="15">
        <v>10.7</v>
      </c>
      <c r="AD390" s="15"/>
      <c r="AE390" s="15"/>
      <c r="AF390" s="15">
        <v>18.5</v>
      </c>
      <c r="AG390" s="15">
        <v>0.05</v>
      </c>
      <c r="AH390" s="15"/>
      <c r="AI390" s="15"/>
      <c r="AJ390" s="15">
        <v>10</v>
      </c>
      <c r="AL390">
        <v>10</v>
      </c>
      <c r="AM390" s="13">
        <v>0.104473</v>
      </c>
      <c r="AO390" s="15">
        <v>60</v>
      </c>
      <c r="AP390" s="15">
        <f>LN(25/Table2[[#This Row],[Temperature (C)]]/(1-SQRT((Table2[[#This Row],[Temperature (C)]]-5)/Table2[[#This Row],[Temperature (C)]])))/Table2[[#This Row],[b]]</f>
        <v>21.999867342421314</v>
      </c>
      <c r="AQ390" s="15">
        <f>IF(Table2[[#This Row],[b]]&lt;&gt;"",Table2[[#This Row],[T-5]], 0)</f>
        <v>21.999867342421314</v>
      </c>
      <c r="AR390">
        <f>Table2[[#This Row],[Temperature (C)]]/Table2[[#This Row],[Heating rate C/min]]+Table2[[#This Row],[Holding Time (min)]]</f>
        <v>90</v>
      </c>
      <c r="AT390" t="s">
        <v>503</v>
      </c>
      <c r="AU390">
        <v>300</v>
      </c>
      <c r="AV390" s="15"/>
      <c r="AW390" s="15">
        <v>36.700000000000003</v>
      </c>
      <c r="AX390" s="15"/>
      <c r="AY390" s="15"/>
      <c r="AZ390" s="15"/>
      <c r="BA390" s="15"/>
      <c r="BB390" s="15" t="str">
        <f>IF(OR(Table2[[#This Row],[Gas wt%]]&lt;&gt;"",Table2[[#This Row],[Loss]]&lt;&gt;""),Table2[[#This Row],[Gas wt%]]+Table2[[#This Row],[Loss]],"")</f>
        <v/>
      </c>
      <c r="BC390" s="15"/>
      <c r="BD390" s="15"/>
      <c r="BE390" s="15"/>
      <c r="BF390" s="15"/>
      <c r="BG390" s="15"/>
      <c r="BH390" s="15"/>
      <c r="BI390" s="15"/>
      <c r="BJ390" s="15"/>
      <c r="BK390" s="15"/>
      <c r="BL390" s="15"/>
      <c r="BM390" s="15"/>
      <c r="BN390" s="15"/>
      <c r="BO390" s="15"/>
      <c r="BP390" s="15"/>
      <c r="BQ390" s="15"/>
      <c r="BR390" s="15"/>
      <c r="BS390" s="15"/>
      <c r="BT390" s="15"/>
      <c r="BU390" s="15"/>
      <c r="BV390" s="15"/>
      <c r="BW390" s="15"/>
      <c r="BX390" s="15"/>
      <c r="BY390" s="15"/>
      <c r="BZ390" s="15"/>
      <c r="CA390" s="15"/>
      <c r="CB390" s="15"/>
      <c r="CC390" s="15"/>
      <c r="CD390" s="15"/>
      <c r="CE390" s="15"/>
      <c r="CF390" s="15"/>
      <c r="CG390" s="15"/>
      <c r="CH390" s="15"/>
      <c r="CI390" s="15"/>
      <c r="CJ390" s="15"/>
      <c r="CK390" s="15"/>
      <c r="CL390" s="15"/>
      <c r="CM390" s="15"/>
      <c r="CN390" s="15"/>
      <c r="CO390" s="15"/>
      <c r="CP390" s="15"/>
      <c r="CQ390" s="15"/>
      <c r="CR390" s="15"/>
      <c r="CS390" s="15"/>
      <c r="CT390" s="15"/>
      <c r="CU390" s="15"/>
      <c r="CV390" s="15"/>
      <c r="CW390" s="15"/>
      <c r="CX390" s="15"/>
      <c r="CY390" s="15"/>
      <c r="CZ390" s="15"/>
      <c r="DA390" s="15"/>
      <c r="DB390" s="15">
        <v>0</v>
      </c>
    </row>
    <row r="391" spans="1:106" x14ac:dyDescent="0.25">
      <c r="A391" t="s">
        <v>379</v>
      </c>
      <c r="B391" t="s">
        <v>334</v>
      </c>
      <c r="C391">
        <v>2020</v>
      </c>
      <c r="D391" s="16" t="s">
        <v>178</v>
      </c>
      <c r="E391">
        <v>0</v>
      </c>
      <c r="F391" s="15">
        <v>22.027649769585253</v>
      </c>
      <c r="G391" s="15"/>
      <c r="H391" s="15"/>
      <c r="I391" s="15">
        <v>64.792626728110605</v>
      </c>
      <c r="J391" s="15">
        <v>5.3456221198156681</v>
      </c>
      <c r="K391" s="15"/>
      <c r="L391" s="15">
        <f>IF(Table2[[#This Row],[Lipids wt%]]+Table2[[#This Row],[Protein wt%]]+Table2[[#This Row],[Carbs wt%]] =0,"",SUM(Table2[[#This Row],[Lipids wt%]],Table2[[#This Row],[Protein wt%]],Table2[[#This Row],[Carbs wt%]]))</f>
        <v>92.16589861751153</v>
      </c>
      <c r="M391" s="15">
        <v>8.5</v>
      </c>
      <c r="P391">
        <v>10.3</v>
      </c>
      <c r="Q391">
        <v>10.8</v>
      </c>
      <c r="R391">
        <v>69.400000000000006</v>
      </c>
      <c r="Z391" s="15">
        <v>46.9</v>
      </c>
      <c r="AA391" s="15">
        <v>6.9</v>
      </c>
      <c r="AB391" s="15">
        <v>35.5</v>
      </c>
      <c r="AC391" s="15">
        <v>10.7</v>
      </c>
      <c r="AD391" s="15"/>
      <c r="AE391" s="15"/>
      <c r="AF391" s="15">
        <v>18.5</v>
      </c>
      <c r="AG391" s="15">
        <v>0.05</v>
      </c>
      <c r="AH391" s="15"/>
      <c r="AI391" s="15"/>
      <c r="AJ391" s="15">
        <v>10</v>
      </c>
      <c r="AL391">
        <v>10</v>
      </c>
      <c r="AM391" s="13">
        <v>0.104473</v>
      </c>
      <c r="AO391" s="15">
        <v>30</v>
      </c>
      <c r="AP391" s="15">
        <f>LN(25/Table2[[#This Row],[Temperature (C)]]/(1-SQRT((Table2[[#This Row],[Temperature (C)]]-5)/Table2[[#This Row],[Temperature (C)]])))/Table2[[#This Row],[b]]</f>
        <v>21.999867342421314</v>
      </c>
      <c r="AQ391" s="15">
        <f>IF(Table2[[#This Row],[b]]&lt;&gt;"",Table2[[#This Row],[T-5]], 0)</f>
        <v>21.999867342421314</v>
      </c>
      <c r="AR391">
        <f>Table2[[#This Row],[Temperature (C)]]/Table2[[#This Row],[Heating rate C/min]]+Table2[[#This Row],[Holding Time (min)]]</f>
        <v>60</v>
      </c>
      <c r="AT391" t="s">
        <v>503</v>
      </c>
      <c r="AU391">
        <v>300</v>
      </c>
      <c r="AV391" s="15"/>
      <c r="AW391" s="15">
        <v>29</v>
      </c>
      <c r="AX391" s="15"/>
      <c r="AY391" s="15"/>
      <c r="AZ391" s="15"/>
      <c r="BA391" s="15"/>
      <c r="BB391" s="15" t="str">
        <f>IF(OR(Table2[[#This Row],[Gas wt%]]&lt;&gt;"",Table2[[#This Row],[Loss]]&lt;&gt;""),Table2[[#This Row],[Gas wt%]]+Table2[[#This Row],[Loss]],"")</f>
        <v/>
      </c>
      <c r="BC391" s="15"/>
      <c r="BD391" s="15"/>
      <c r="BE391" s="15"/>
      <c r="BF391" s="15"/>
      <c r="BG391" s="15"/>
      <c r="BH391" s="15"/>
      <c r="BI391" s="15"/>
      <c r="BJ391" s="15"/>
      <c r="BK391" s="15"/>
      <c r="BL391" s="15"/>
      <c r="BM391" s="15"/>
      <c r="BN391" s="15"/>
      <c r="BO391" s="15"/>
      <c r="BP391" s="15"/>
      <c r="BQ391" s="15"/>
      <c r="BR391" s="15"/>
      <c r="BS391" s="15"/>
      <c r="BT391" s="15"/>
      <c r="BU391" s="15"/>
      <c r="BV391" s="15"/>
      <c r="BW391" s="15"/>
      <c r="BX391" s="15"/>
      <c r="BY391" s="15"/>
      <c r="BZ391" s="15"/>
      <c r="CA391" s="15"/>
      <c r="CB391" s="15"/>
      <c r="CC391" s="15"/>
      <c r="CD391" s="15"/>
      <c r="CE391" s="15"/>
      <c r="CF391" s="15"/>
      <c r="CG391" s="15"/>
      <c r="CH391" s="15"/>
      <c r="CI391" s="15"/>
      <c r="CJ391" s="15"/>
      <c r="CK391" s="15"/>
      <c r="CL391" s="15"/>
      <c r="CM391" s="15"/>
      <c r="CN391" s="15"/>
      <c r="CO391" s="15"/>
      <c r="CP391" s="15"/>
      <c r="CQ391" s="15"/>
      <c r="CR391" s="15"/>
      <c r="CS391" s="15"/>
      <c r="CT391" s="15"/>
      <c r="CU391" s="15"/>
      <c r="CV391" s="15"/>
      <c r="CW391" s="15"/>
      <c r="CX391" s="15"/>
      <c r="CY391" s="15"/>
      <c r="CZ391" s="15"/>
      <c r="DA391" s="15"/>
      <c r="DB391" s="15">
        <v>0</v>
      </c>
    </row>
    <row r="392" spans="1:106" x14ac:dyDescent="0.25">
      <c r="A392" t="s">
        <v>379</v>
      </c>
      <c r="B392" t="s">
        <v>334</v>
      </c>
      <c r="C392">
        <v>2020</v>
      </c>
      <c r="D392" s="16" t="s">
        <v>178</v>
      </c>
      <c r="E392">
        <v>0</v>
      </c>
      <c r="F392" s="15">
        <v>22.027649769585253</v>
      </c>
      <c r="G392" s="15"/>
      <c r="H392" s="15"/>
      <c r="I392" s="15">
        <v>64.792626728110605</v>
      </c>
      <c r="J392" s="15">
        <v>5.3456221198156681</v>
      </c>
      <c r="K392" s="15"/>
      <c r="L392" s="15">
        <f>IF(Table2[[#This Row],[Lipids wt%]]+Table2[[#This Row],[Protein wt%]]+Table2[[#This Row],[Carbs wt%]] =0,"",SUM(Table2[[#This Row],[Lipids wt%]],Table2[[#This Row],[Protein wt%]],Table2[[#This Row],[Carbs wt%]]))</f>
        <v>92.16589861751153</v>
      </c>
      <c r="M392" s="15">
        <v>8.5</v>
      </c>
      <c r="P392">
        <v>10.3</v>
      </c>
      <c r="Q392">
        <v>10.8</v>
      </c>
      <c r="R392">
        <v>69.400000000000006</v>
      </c>
      <c r="Z392" s="15">
        <v>46.9</v>
      </c>
      <c r="AA392" s="15">
        <v>6.9</v>
      </c>
      <c r="AB392" s="15">
        <v>35.5</v>
      </c>
      <c r="AC392" s="15">
        <v>10.7</v>
      </c>
      <c r="AD392" s="15"/>
      <c r="AE392" s="15"/>
      <c r="AF392" s="15">
        <v>18.5</v>
      </c>
      <c r="AG392" s="15">
        <v>0.05</v>
      </c>
      <c r="AH392" s="15"/>
      <c r="AI392" s="15"/>
      <c r="AJ392" s="15">
        <v>10</v>
      </c>
      <c r="AL392">
        <v>10</v>
      </c>
      <c r="AM392" s="13">
        <v>0.104473</v>
      </c>
      <c r="AO392" s="15">
        <v>0</v>
      </c>
      <c r="AP392" s="15">
        <f>LN(25/Table2[[#This Row],[Temperature (C)]]/(1-SQRT((Table2[[#This Row],[Temperature (C)]]-5)/Table2[[#This Row],[Temperature (C)]])))/Table2[[#This Row],[b]]</f>
        <v>21.999867342421314</v>
      </c>
      <c r="AQ392" s="15">
        <f>IF(Table2[[#This Row],[b]]&lt;&gt;"",Table2[[#This Row],[T-5]], 0)</f>
        <v>21.999867342421314</v>
      </c>
      <c r="AR392">
        <f>Table2[[#This Row],[Temperature (C)]]/Table2[[#This Row],[Heating rate C/min]]+Table2[[#This Row],[Holding Time (min)]]</f>
        <v>30</v>
      </c>
      <c r="AT392" t="s">
        <v>503</v>
      </c>
      <c r="AU392">
        <v>300</v>
      </c>
      <c r="AV392" s="15"/>
      <c r="AW392" s="15">
        <v>6.6</v>
      </c>
      <c r="AX392" s="15"/>
      <c r="AY392" s="15"/>
      <c r="AZ392" s="15"/>
      <c r="BA392" s="15"/>
      <c r="BB392" s="15" t="str">
        <f>IF(OR(Table2[[#This Row],[Gas wt%]]&lt;&gt;"",Table2[[#This Row],[Loss]]&lt;&gt;""),Table2[[#This Row],[Gas wt%]]+Table2[[#This Row],[Loss]],"")</f>
        <v/>
      </c>
      <c r="BC392" s="15"/>
      <c r="BD392" s="15"/>
      <c r="BE392" s="15"/>
      <c r="BF392" s="15"/>
      <c r="BG392" s="15"/>
      <c r="BH392" s="15"/>
      <c r="BI392" s="15"/>
      <c r="BJ392" s="15"/>
      <c r="BK392" s="15"/>
      <c r="BL392" s="15"/>
      <c r="BM392" s="15"/>
      <c r="BN392" s="15"/>
      <c r="BO392" s="15"/>
      <c r="BP392" s="15"/>
      <c r="BQ392" s="15"/>
      <c r="BR392" s="15"/>
      <c r="BS392" s="15"/>
      <c r="BT392" s="15"/>
      <c r="BU392" s="15"/>
      <c r="BV392" s="15"/>
      <c r="BW392" s="15"/>
      <c r="BX392" s="15"/>
      <c r="BY392" s="15"/>
      <c r="BZ392" s="15"/>
      <c r="CA392" s="15"/>
      <c r="CB392" s="15"/>
      <c r="CC392" s="15"/>
      <c r="CD392" s="15"/>
      <c r="CE392" s="15"/>
      <c r="CF392" s="15"/>
      <c r="CG392" s="15"/>
      <c r="CH392" s="15"/>
      <c r="CI392" s="15"/>
      <c r="CJ392" s="15"/>
      <c r="CK392" s="15"/>
      <c r="CL392" s="15"/>
      <c r="CM392" s="15"/>
      <c r="CN392" s="15"/>
      <c r="CO392" s="15"/>
      <c r="CP392" s="15"/>
      <c r="CQ392" s="15"/>
      <c r="CR392" s="15"/>
      <c r="CS392" s="15"/>
      <c r="CT392" s="15"/>
      <c r="CU392" s="15"/>
      <c r="CV392" s="15"/>
      <c r="CW392" s="15"/>
      <c r="CX392" s="15"/>
      <c r="CY392" s="15"/>
      <c r="CZ392" s="15"/>
      <c r="DA392" s="15"/>
      <c r="DB392" s="15">
        <v>0</v>
      </c>
    </row>
    <row r="393" spans="1:106" x14ac:dyDescent="0.25">
      <c r="A393" t="s">
        <v>379</v>
      </c>
      <c r="B393" t="s">
        <v>334</v>
      </c>
      <c r="C393">
        <v>2020</v>
      </c>
      <c r="D393" s="16" t="s">
        <v>178</v>
      </c>
      <c r="E393">
        <v>0</v>
      </c>
      <c r="F393" s="15">
        <v>22.027649769585253</v>
      </c>
      <c r="G393" s="15"/>
      <c r="H393" s="15"/>
      <c r="I393" s="15">
        <v>64.792626728110605</v>
      </c>
      <c r="J393" s="15">
        <v>5.3456221198156681</v>
      </c>
      <c r="K393" s="15"/>
      <c r="L393" s="15">
        <f>IF(Table2[[#This Row],[Lipids wt%]]+Table2[[#This Row],[Protein wt%]]+Table2[[#This Row],[Carbs wt%]] =0,"",SUM(Table2[[#This Row],[Lipids wt%]],Table2[[#This Row],[Protein wt%]],Table2[[#This Row],[Carbs wt%]]))</f>
        <v>92.16589861751153</v>
      </c>
      <c r="M393" s="15">
        <v>8.5</v>
      </c>
      <c r="P393">
        <v>10.3</v>
      </c>
      <c r="Q393">
        <v>10.8</v>
      </c>
      <c r="R393">
        <v>69.400000000000006</v>
      </c>
      <c r="Z393" s="15">
        <v>46.9</v>
      </c>
      <c r="AA393" s="15">
        <v>6.9</v>
      </c>
      <c r="AB393" s="15">
        <v>35.5</v>
      </c>
      <c r="AC393" s="15">
        <v>10.7</v>
      </c>
      <c r="AD393" s="15"/>
      <c r="AE393" s="15"/>
      <c r="AF393" s="15">
        <v>18.5</v>
      </c>
      <c r="AG393" s="15">
        <v>0.05</v>
      </c>
      <c r="AH393" s="15"/>
      <c r="AI393" s="15"/>
      <c r="AJ393" s="15">
        <v>10</v>
      </c>
      <c r="AL393">
        <v>10</v>
      </c>
      <c r="AM393" s="13">
        <v>0.104473</v>
      </c>
      <c r="AO393" s="15">
        <v>10</v>
      </c>
      <c r="AP393" s="15">
        <f>LN(25/Table2[[#This Row],[Temperature (C)]]/(1-SQRT((Table2[[#This Row],[Temperature (C)]]-5)/Table2[[#This Row],[Temperature (C)]])))/Table2[[#This Row],[b]]</f>
        <v>22.005631871246631</v>
      </c>
      <c r="AQ393" s="15">
        <f>IF(Table2[[#This Row],[b]]&lt;&gt;"",Table2[[#This Row],[T-5]], 0)</f>
        <v>22.005631871246631</v>
      </c>
      <c r="AR393">
        <f>Table2[[#This Row],[Temperature (C)]]/Table2[[#This Row],[Heating rate C/min]]+Table2[[#This Row],[Holding Time (min)]]</f>
        <v>45</v>
      </c>
      <c r="AT393" t="s">
        <v>503</v>
      </c>
      <c r="AU393">
        <v>350</v>
      </c>
      <c r="AV393" s="15"/>
      <c r="AW393" s="15">
        <v>19.899999999999999</v>
      </c>
      <c r="AX393" s="15"/>
      <c r="AY393" s="15"/>
      <c r="AZ393" s="15"/>
      <c r="BA393" s="15"/>
      <c r="BB393" s="15" t="str">
        <f>IF(OR(Table2[[#This Row],[Gas wt%]]&lt;&gt;"",Table2[[#This Row],[Loss]]&lt;&gt;""),Table2[[#This Row],[Gas wt%]]+Table2[[#This Row],[Loss]],"")</f>
        <v/>
      </c>
      <c r="BC393" s="15"/>
      <c r="BD393" s="15"/>
      <c r="BE393" s="15"/>
      <c r="BF393" s="15"/>
      <c r="BG393" s="15"/>
      <c r="BH393" s="15"/>
      <c r="BI393" s="15"/>
      <c r="BJ393" s="15"/>
      <c r="BK393" s="15"/>
      <c r="BL393" s="15"/>
      <c r="BM393" s="15"/>
      <c r="BN393" s="15"/>
      <c r="BO393" s="15"/>
      <c r="BP393" s="15"/>
      <c r="BQ393" s="15"/>
      <c r="BR393" s="15"/>
      <c r="BS393" s="15"/>
      <c r="BT393" s="15"/>
      <c r="BU393" s="15"/>
      <c r="BV393" s="15"/>
      <c r="BW393" s="15"/>
      <c r="BX393" s="15"/>
      <c r="BY393" s="15"/>
      <c r="BZ393" s="15"/>
      <c r="CA393" s="15"/>
      <c r="CB393" s="15"/>
      <c r="CC393" s="15"/>
      <c r="CD393" s="15"/>
      <c r="CE393" s="15"/>
      <c r="CF393" s="15"/>
      <c r="CG393" s="15"/>
      <c r="CH393" s="15"/>
      <c r="CI393" s="15"/>
      <c r="CJ393" s="15"/>
      <c r="CK393" s="15"/>
      <c r="CL393" s="15"/>
      <c r="CM393" s="15"/>
      <c r="CN393" s="15"/>
      <c r="CO393" s="15"/>
      <c r="CP393" s="15"/>
      <c r="CQ393" s="15"/>
      <c r="CR393" s="15"/>
      <c r="CS393" s="15"/>
      <c r="CT393" s="15"/>
      <c r="CU393" s="15"/>
      <c r="CV393" s="15"/>
      <c r="CW393" s="15"/>
      <c r="CX393" s="15"/>
      <c r="CY393" s="15"/>
      <c r="CZ393" s="15"/>
      <c r="DA393" s="15"/>
      <c r="DB393" s="15">
        <v>0</v>
      </c>
    </row>
    <row r="394" spans="1:106" x14ac:dyDescent="0.25">
      <c r="A394" t="s">
        <v>379</v>
      </c>
      <c r="B394" t="s">
        <v>334</v>
      </c>
      <c r="C394">
        <v>2020</v>
      </c>
      <c r="D394" s="16" t="s">
        <v>178</v>
      </c>
      <c r="E394">
        <v>0</v>
      </c>
      <c r="F394" s="15">
        <v>22.027649769585253</v>
      </c>
      <c r="G394" s="15"/>
      <c r="H394" s="15"/>
      <c r="I394" s="15">
        <v>64.792626728110605</v>
      </c>
      <c r="J394" s="15">
        <v>5.3456221198156681</v>
      </c>
      <c r="K394" s="15"/>
      <c r="L394" s="15">
        <f>IF(Table2[[#This Row],[Lipids wt%]]+Table2[[#This Row],[Protein wt%]]+Table2[[#This Row],[Carbs wt%]] =0,"",SUM(Table2[[#This Row],[Lipids wt%]],Table2[[#This Row],[Protein wt%]],Table2[[#This Row],[Carbs wt%]]))</f>
        <v>92.16589861751153</v>
      </c>
      <c r="M394" s="15">
        <v>8.5</v>
      </c>
      <c r="P394">
        <v>10.3</v>
      </c>
      <c r="Q394">
        <v>10.8</v>
      </c>
      <c r="R394">
        <v>69.400000000000006</v>
      </c>
      <c r="Z394" s="15">
        <v>46.9</v>
      </c>
      <c r="AA394" s="15">
        <v>6.9</v>
      </c>
      <c r="AB394" s="15">
        <v>35.5</v>
      </c>
      <c r="AC394" s="15">
        <v>10.7</v>
      </c>
      <c r="AD394" s="15"/>
      <c r="AE394" s="15"/>
      <c r="AF394" s="15">
        <v>18.5</v>
      </c>
      <c r="AG394" s="15">
        <v>0.05</v>
      </c>
      <c r="AH394" s="15"/>
      <c r="AI394" s="15"/>
      <c r="AJ394" s="15">
        <v>10</v>
      </c>
      <c r="AL394">
        <v>10</v>
      </c>
      <c r="AM394" s="13">
        <v>0.104473</v>
      </c>
      <c r="AO394" s="15">
        <v>50</v>
      </c>
      <c r="AP394" s="15">
        <f>LN(25/Table2[[#This Row],[Temperature (C)]]/(1-SQRT((Table2[[#This Row],[Temperature (C)]]-5)/Table2[[#This Row],[Temperature (C)]])))/Table2[[#This Row],[b]]</f>
        <v>22.005631871246631</v>
      </c>
      <c r="AQ394" s="15">
        <f>IF(Table2[[#This Row],[b]]&lt;&gt;"",Table2[[#This Row],[T-5]], 0)</f>
        <v>22.005631871246631</v>
      </c>
      <c r="AR394">
        <f>Table2[[#This Row],[Temperature (C)]]/Table2[[#This Row],[Heating rate C/min]]+Table2[[#This Row],[Holding Time (min)]]</f>
        <v>85</v>
      </c>
      <c r="AT394" t="s">
        <v>503</v>
      </c>
      <c r="AU394">
        <v>350</v>
      </c>
      <c r="AV394" s="15"/>
      <c r="AW394" s="15">
        <v>30.1</v>
      </c>
      <c r="AX394" s="15"/>
      <c r="AY394" s="15"/>
      <c r="AZ394" s="15"/>
      <c r="BA394" s="15"/>
      <c r="BB394" s="15" t="str">
        <f>IF(OR(Table2[[#This Row],[Gas wt%]]&lt;&gt;"",Table2[[#This Row],[Loss]]&lt;&gt;""),Table2[[#This Row],[Gas wt%]]+Table2[[#This Row],[Loss]],"")</f>
        <v/>
      </c>
      <c r="BC394" s="15"/>
      <c r="BD394" s="15"/>
      <c r="BE394" s="15"/>
      <c r="BF394" s="15"/>
      <c r="BG394" s="15"/>
      <c r="BH394" s="15"/>
      <c r="BI394" s="15"/>
      <c r="BJ394" s="15"/>
      <c r="BK394" s="15"/>
      <c r="BL394" s="15"/>
      <c r="BM394" s="15"/>
      <c r="BN394" s="15"/>
      <c r="BO394" s="15"/>
      <c r="BP394" s="15"/>
      <c r="BQ394" s="15"/>
      <c r="BR394" s="15"/>
      <c r="BS394" s="15"/>
      <c r="BT394" s="15"/>
      <c r="BU394" s="15"/>
      <c r="BV394" s="15"/>
      <c r="BW394" s="15"/>
      <c r="BX394" s="15"/>
      <c r="BY394" s="15"/>
      <c r="BZ394" s="15"/>
      <c r="CA394" s="15"/>
      <c r="CB394" s="15"/>
      <c r="CC394" s="15"/>
      <c r="CD394" s="15"/>
      <c r="CE394" s="15"/>
      <c r="CF394" s="15"/>
      <c r="CG394" s="15"/>
      <c r="CH394" s="15"/>
      <c r="CI394" s="15"/>
      <c r="CJ394" s="15"/>
      <c r="CK394" s="15"/>
      <c r="CL394" s="15"/>
      <c r="CM394" s="15"/>
      <c r="CN394" s="15"/>
      <c r="CO394" s="15"/>
      <c r="CP394" s="15"/>
      <c r="CQ394" s="15"/>
      <c r="CR394" s="15"/>
      <c r="CS394" s="15"/>
      <c r="CT394" s="15"/>
      <c r="CU394" s="15"/>
      <c r="CV394" s="15"/>
      <c r="CW394" s="15"/>
      <c r="CX394" s="15"/>
      <c r="CY394" s="15"/>
      <c r="CZ394" s="15"/>
      <c r="DA394" s="15"/>
      <c r="DB394" s="15">
        <v>0</v>
      </c>
    </row>
    <row r="395" spans="1:106" x14ac:dyDescent="0.25">
      <c r="A395" t="s">
        <v>379</v>
      </c>
      <c r="B395" t="s">
        <v>334</v>
      </c>
      <c r="C395">
        <v>2020</v>
      </c>
      <c r="D395" s="16" t="s">
        <v>178</v>
      </c>
      <c r="E395">
        <v>0</v>
      </c>
      <c r="F395" s="15">
        <v>22.027649769585253</v>
      </c>
      <c r="G395" s="15"/>
      <c r="H395" s="15"/>
      <c r="I395" s="15">
        <v>64.792626728110605</v>
      </c>
      <c r="J395" s="15">
        <v>5.3456221198156681</v>
      </c>
      <c r="K395" s="15"/>
      <c r="L395" s="15">
        <f>IF(Table2[[#This Row],[Lipids wt%]]+Table2[[#This Row],[Protein wt%]]+Table2[[#This Row],[Carbs wt%]] =0,"",SUM(Table2[[#This Row],[Lipids wt%]],Table2[[#This Row],[Protein wt%]],Table2[[#This Row],[Carbs wt%]]))</f>
        <v>92.16589861751153</v>
      </c>
      <c r="M395" s="15">
        <v>8.5</v>
      </c>
      <c r="P395">
        <v>10.3</v>
      </c>
      <c r="Q395">
        <v>10.8</v>
      </c>
      <c r="R395">
        <v>69.400000000000006</v>
      </c>
      <c r="Z395" s="15">
        <v>46.9</v>
      </c>
      <c r="AA395" s="15">
        <v>6.9</v>
      </c>
      <c r="AB395" s="15">
        <v>35.5</v>
      </c>
      <c r="AC395" s="15">
        <v>10.7</v>
      </c>
      <c r="AD395" s="15"/>
      <c r="AE395" s="15"/>
      <c r="AF395" s="15">
        <v>18.5</v>
      </c>
      <c r="AG395" s="15">
        <v>0.05</v>
      </c>
      <c r="AH395" s="15"/>
      <c r="AI395" s="15"/>
      <c r="AJ395" s="15">
        <v>10</v>
      </c>
      <c r="AL395">
        <v>10</v>
      </c>
      <c r="AM395" s="13">
        <v>0.104473</v>
      </c>
      <c r="AO395" s="15">
        <v>30</v>
      </c>
      <c r="AP395" s="15">
        <f>LN(25/Table2[[#This Row],[Temperature (C)]]/(1-SQRT((Table2[[#This Row],[Temperature (C)]]-5)/Table2[[#This Row],[Temperature (C)]])))/Table2[[#This Row],[b]]</f>
        <v>21.999867342421314</v>
      </c>
      <c r="AQ395" s="15">
        <f>IF(Table2[[#This Row],[b]]&lt;&gt;"",Table2[[#This Row],[T-5]], 0)</f>
        <v>21.999867342421314</v>
      </c>
      <c r="AR395">
        <f>Table2[[#This Row],[Temperature (C)]]/Table2[[#This Row],[Heating rate C/min]]+Table2[[#This Row],[Holding Time (min)]]</f>
        <v>60</v>
      </c>
      <c r="AT395" t="s">
        <v>503</v>
      </c>
      <c r="AU395">
        <v>300</v>
      </c>
      <c r="AV395" s="15"/>
      <c r="AW395" s="15">
        <v>28.3</v>
      </c>
      <c r="AX395" s="15"/>
      <c r="AY395" s="15"/>
      <c r="AZ395" s="15"/>
      <c r="BA395" s="15"/>
      <c r="BB395" s="15" t="str">
        <f>IF(OR(Table2[[#This Row],[Gas wt%]]&lt;&gt;"",Table2[[#This Row],[Loss]]&lt;&gt;""),Table2[[#This Row],[Gas wt%]]+Table2[[#This Row],[Loss]],"")</f>
        <v/>
      </c>
      <c r="BC395" s="15"/>
      <c r="BD395" s="15"/>
      <c r="BE395" s="15"/>
      <c r="BF395" s="15"/>
      <c r="BG395" s="15"/>
      <c r="BH395" s="15"/>
      <c r="BI395" s="15"/>
      <c r="BJ395" s="15"/>
      <c r="BK395" s="15"/>
      <c r="BL395" s="15"/>
      <c r="BM395" s="15"/>
      <c r="BN395" s="15"/>
      <c r="BO395" s="15"/>
      <c r="BP395" s="15"/>
      <c r="BQ395" s="15"/>
      <c r="BR395" s="15"/>
      <c r="BS395" s="15"/>
      <c r="BT395" s="15"/>
      <c r="BU395" s="15"/>
      <c r="BV395" s="15"/>
      <c r="BW395" s="15"/>
      <c r="BX395" s="15"/>
      <c r="BY395" s="15"/>
      <c r="BZ395" s="15"/>
      <c r="CA395" s="15"/>
      <c r="CB395" s="15"/>
      <c r="CC395" s="15"/>
      <c r="CD395" s="15"/>
      <c r="CE395" s="15"/>
      <c r="CF395" s="15"/>
      <c r="CG395" s="15"/>
      <c r="CH395" s="15"/>
      <c r="CI395" s="15"/>
      <c r="CJ395" s="15"/>
      <c r="CK395" s="15"/>
      <c r="CL395" s="15"/>
      <c r="CM395" s="15"/>
      <c r="CN395" s="15"/>
      <c r="CO395" s="15"/>
      <c r="CP395" s="15"/>
      <c r="CQ395" s="15"/>
      <c r="CR395" s="15"/>
      <c r="CS395" s="15"/>
      <c r="CT395" s="15"/>
      <c r="CU395" s="15"/>
      <c r="CV395" s="15"/>
      <c r="CW395" s="15"/>
      <c r="CX395" s="15"/>
      <c r="CY395" s="15"/>
      <c r="CZ395" s="15"/>
      <c r="DA395" s="15"/>
      <c r="DB395" s="15">
        <v>0</v>
      </c>
    </row>
    <row r="396" spans="1:106" x14ac:dyDescent="0.25">
      <c r="A396" t="s">
        <v>379</v>
      </c>
      <c r="B396" t="s">
        <v>334</v>
      </c>
      <c r="C396">
        <v>2020</v>
      </c>
      <c r="D396" s="16" t="s">
        <v>178</v>
      </c>
      <c r="E396">
        <v>0</v>
      </c>
      <c r="F396" s="15">
        <v>22.027649769585253</v>
      </c>
      <c r="G396" s="15"/>
      <c r="H396" s="15"/>
      <c r="I396" s="15">
        <v>64.792626728110605</v>
      </c>
      <c r="J396" s="15">
        <v>5.3456221198156681</v>
      </c>
      <c r="K396" s="15"/>
      <c r="L396" s="15">
        <f>IF(Table2[[#This Row],[Lipids wt%]]+Table2[[#This Row],[Protein wt%]]+Table2[[#This Row],[Carbs wt%]] =0,"",SUM(Table2[[#This Row],[Lipids wt%]],Table2[[#This Row],[Protein wt%]],Table2[[#This Row],[Carbs wt%]]))</f>
        <v>92.16589861751153</v>
      </c>
      <c r="M396" s="15">
        <v>8.5</v>
      </c>
      <c r="P396">
        <v>10.3</v>
      </c>
      <c r="Q396">
        <v>10.8</v>
      </c>
      <c r="R396">
        <v>69.400000000000006</v>
      </c>
      <c r="Z396" s="15">
        <v>46.9</v>
      </c>
      <c r="AA396" s="15">
        <v>6.9</v>
      </c>
      <c r="AB396" s="15">
        <v>35.5</v>
      </c>
      <c r="AC396" s="15">
        <v>10.7</v>
      </c>
      <c r="AD396" s="15"/>
      <c r="AE396" s="15"/>
      <c r="AF396" s="15">
        <v>18.5</v>
      </c>
      <c r="AG396" s="15">
        <v>0.05</v>
      </c>
      <c r="AH396" s="15"/>
      <c r="AI396" s="15"/>
      <c r="AJ396" s="15">
        <v>10</v>
      </c>
      <c r="AL396">
        <v>10</v>
      </c>
      <c r="AM396" s="13">
        <v>0.104473</v>
      </c>
      <c r="AO396" s="15">
        <v>10</v>
      </c>
      <c r="AP396" s="15">
        <f>LN(25/Table2[[#This Row],[Temperature (C)]]/(1-SQRT((Table2[[#This Row],[Temperature (C)]]-5)/Table2[[#This Row],[Temperature (C)]])))/Table2[[#This Row],[b]]</f>
        <v>21.991779414572768</v>
      </c>
      <c r="AQ396" s="15">
        <f>IF(Table2[[#This Row],[b]]&lt;&gt;"",Table2[[#This Row],[T-5]], 0)</f>
        <v>21.991779414572768</v>
      </c>
      <c r="AR396">
        <f>Table2[[#This Row],[Temperature (C)]]/Table2[[#This Row],[Heating rate C/min]]+Table2[[#This Row],[Holding Time (min)]]</f>
        <v>35</v>
      </c>
      <c r="AT396" t="s">
        <v>503</v>
      </c>
      <c r="AU396">
        <v>250</v>
      </c>
      <c r="AV396" s="15"/>
      <c r="AW396" s="15">
        <v>8.8000000000000007</v>
      </c>
      <c r="AX396" s="15"/>
      <c r="AY396" s="15"/>
      <c r="AZ396" s="15"/>
      <c r="BA396" s="15"/>
      <c r="BB396" s="15" t="str">
        <f>IF(OR(Table2[[#This Row],[Gas wt%]]&lt;&gt;"",Table2[[#This Row],[Loss]]&lt;&gt;""),Table2[[#This Row],[Gas wt%]]+Table2[[#This Row],[Loss]],"")</f>
        <v/>
      </c>
      <c r="BC396" s="15"/>
      <c r="BD396" s="15"/>
      <c r="BE396" s="15"/>
      <c r="BF396" s="15"/>
      <c r="BG396" s="15"/>
      <c r="BH396" s="15"/>
      <c r="BI396" s="15"/>
      <c r="BJ396" s="15"/>
      <c r="BK396" s="15"/>
      <c r="BL396" s="15"/>
      <c r="BM396" s="15"/>
      <c r="BN396" s="15"/>
      <c r="BO396" s="15"/>
      <c r="BP396" s="15"/>
      <c r="BQ396" s="15"/>
      <c r="BR396" s="15"/>
      <c r="BS396" s="15"/>
      <c r="BT396" s="15"/>
      <c r="BU396" s="15"/>
      <c r="BV396" s="15"/>
      <c r="BW396" s="15"/>
      <c r="BX396" s="15"/>
      <c r="BY396" s="15"/>
      <c r="BZ396" s="15"/>
      <c r="CA396" s="15"/>
      <c r="CB396" s="15"/>
      <c r="CC396" s="15"/>
      <c r="CD396" s="15"/>
      <c r="CE396" s="15"/>
      <c r="CF396" s="15"/>
      <c r="CG396" s="15"/>
      <c r="CH396" s="15"/>
      <c r="CI396" s="15"/>
      <c r="CJ396" s="15"/>
      <c r="CK396" s="15"/>
      <c r="CL396" s="15"/>
      <c r="CM396" s="15"/>
      <c r="CN396" s="15"/>
      <c r="CO396" s="15"/>
      <c r="CP396" s="15"/>
      <c r="CQ396" s="15"/>
      <c r="CR396" s="15"/>
      <c r="CS396" s="15"/>
      <c r="CT396" s="15"/>
      <c r="CU396" s="15"/>
      <c r="CV396" s="15"/>
      <c r="CW396" s="15"/>
      <c r="CX396" s="15"/>
      <c r="CY396" s="15"/>
      <c r="CZ396" s="15"/>
      <c r="DA396" s="15"/>
      <c r="DB396" s="15">
        <v>0</v>
      </c>
    </row>
    <row r="397" spans="1:106" x14ac:dyDescent="0.25">
      <c r="A397" t="s">
        <v>379</v>
      </c>
      <c r="B397" t="s">
        <v>334</v>
      </c>
      <c r="C397">
        <v>2020</v>
      </c>
      <c r="D397" s="16" t="s">
        <v>178</v>
      </c>
      <c r="E397">
        <v>0</v>
      </c>
      <c r="F397" s="15">
        <v>22.027649769585253</v>
      </c>
      <c r="G397" s="15"/>
      <c r="H397" s="15"/>
      <c r="I397" s="15">
        <v>64.792626728110605</v>
      </c>
      <c r="J397" s="15">
        <v>5.3456221198156681</v>
      </c>
      <c r="K397" s="15"/>
      <c r="L397" s="15">
        <f>IF(Table2[[#This Row],[Lipids wt%]]+Table2[[#This Row],[Protein wt%]]+Table2[[#This Row],[Carbs wt%]] =0,"",SUM(Table2[[#This Row],[Lipids wt%]],Table2[[#This Row],[Protein wt%]],Table2[[#This Row],[Carbs wt%]]))</f>
        <v>92.16589861751153</v>
      </c>
      <c r="M397" s="15">
        <v>8.5</v>
      </c>
      <c r="P397">
        <v>10.3</v>
      </c>
      <c r="Q397">
        <v>10.8</v>
      </c>
      <c r="R397">
        <v>69.400000000000006</v>
      </c>
      <c r="Z397" s="15">
        <v>46.9</v>
      </c>
      <c r="AA397" s="15">
        <v>6.9</v>
      </c>
      <c r="AB397" s="15">
        <v>35.5</v>
      </c>
      <c r="AC397" s="15">
        <v>10.7</v>
      </c>
      <c r="AD397" s="15"/>
      <c r="AE397" s="15"/>
      <c r="AF397" s="15">
        <v>18.5</v>
      </c>
      <c r="AG397" s="15">
        <v>0.05</v>
      </c>
      <c r="AH397" s="15"/>
      <c r="AI397" s="15"/>
      <c r="AJ397" s="15">
        <v>10</v>
      </c>
      <c r="AL397">
        <v>10</v>
      </c>
      <c r="AM397" s="13">
        <v>0.104473</v>
      </c>
      <c r="AO397" s="15">
        <v>30</v>
      </c>
      <c r="AP397" s="15">
        <f>LN(25/Table2[[#This Row],[Temperature (C)]]/(1-SQRT((Table2[[#This Row],[Temperature (C)]]-5)/Table2[[#This Row],[Temperature (C)]])))/Table2[[#This Row],[b]]</f>
        <v>22.004615359887691</v>
      </c>
      <c r="AQ397" s="15">
        <f>IF(Table2[[#This Row],[b]]&lt;&gt;"",Table2[[#This Row],[T-5]], 0)</f>
        <v>22.004615359887691</v>
      </c>
      <c r="AR397">
        <f>Table2[[#This Row],[Temperature (C)]]/Table2[[#This Row],[Heating rate C/min]]+Table2[[#This Row],[Holding Time (min)]]</f>
        <v>64</v>
      </c>
      <c r="AT397" t="s">
        <v>503</v>
      </c>
      <c r="AU397">
        <v>340</v>
      </c>
      <c r="AV397" s="15"/>
      <c r="AW397" s="15">
        <v>36.700000000000003</v>
      </c>
      <c r="AX397" s="15"/>
      <c r="AY397" s="15"/>
      <c r="AZ397" s="15"/>
      <c r="BA397" s="15"/>
      <c r="BB397" s="15" t="str">
        <f>IF(OR(Table2[[#This Row],[Gas wt%]]&lt;&gt;"",Table2[[#This Row],[Loss]]&lt;&gt;""),Table2[[#This Row],[Gas wt%]]+Table2[[#This Row],[Loss]],"")</f>
        <v/>
      </c>
      <c r="BC397" s="15"/>
      <c r="BD397" s="15"/>
      <c r="BE397" s="15"/>
      <c r="BF397" s="15"/>
      <c r="BG397" s="15"/>
      <c r="BH397" s="15"/>
      <c r="BI397" s="15"/>
      <c r="BJ397" s="15"/>
      <c r="BK397" s="15"/>
      <c r="BL397" s="15"/>
      <c r="BM397" s="15"/>
      <c r="BN397" s="15"/>
      <c r="BO397" s="15"/>
      <c r="BP397" s="15"/>
      <c r="BQ397" s="15"/>
      <c r="BR397" s="15"/>
      <c r="BS397" s="15"/>
      <c r="BT397" s="15"/>
      <c r="BU397" s="15"/>
      <c r="BV397" s="15"/>
      <c r="BW397" s="15"/>
      <c r="BX397" s="15"/>
      <c r="BY397" s="15"/>
      <c r="BZ397" s="15"/>
      <c r="CA397" s="15"/>
      <c r="CB397" s="15"/>
      <c r="CC397" s="15"/>
      <c r="CD397" s="15"/>
      <c r="CE397" s="15"/>
      <c r="CF397" s="15"/>
      <c r="CG397" s="15"/>
      <c r="CH397" s="15"/>
      <c r="CI397" s="15"/>
      <c r="CJ397" s="15"/>
      <c r="CK397" s="15"/>
      <c r="CL397" s="15"/>
      <c r="CM397" s="15"/>
      <c r="CN397" s="15"/>
      <c r="CO397" s="15"/>
      <c r="CP397" s="15"/>
      <c r="CQ397" s="15"/>
      <c r="CR397" s="15"/>
      <c r="CS397" s="15"/>
      <c r="CT397" s="15"/>
      <c r="CU397" s="15"/>
      <c r="CV397" s="15"/>
      <c r="CW397" s="15"/>
      <c r="CX397" s="15"/>
      <c r="CY397" s="15"/>
      <c r="CZ397" s="15"/>
      <c r="DA397" s="15"/>
      <c r="DB397" s="15">
        <v>0</v>
      </c>
    </row>
    <row r="398" spans="1:106" x14ac:dyDescent="0.25">
      <c r="A398" t="s">
        <v>379</v>
      </c>
      <c r="B398" t="s">
        <v>334</v>
      </c>
      <c r="C398">
        <v>2020</v>
      </c>
      <c r="D398" s="16" t="s">
        <v>178</v>
      </c>
      <c r="E398">
        <v>0</v>
      </c>
      <c r="F398" s="15">
        <v>22.027649769585253</v>
      </c>
      <c r="G398" s="15"/>
      <c r="H398" s="15"/>
      <c r="I398" s="15">
        <v>64.792626728110605</v>
      </c>
      <c r="J398" s="15">
        <v>5.3456221198156681</v>
      </c>
      <c r="K398" s="15"/>
      <c r="L398" s="15">
        <f>IF(Table2[[#This Row],[Lipids wt%]]+Table2[[#This Row],[Protein wt%]]+Table2[[#This Row],[Carbs wt%]] =0,"",SUM(Table2[[#This Row],[Lipids wt%]],Table2[[#This Row],[Protein wt%]],Table2[[#This Row],[Carbs wt%]]))</f>
        <v>92.16589861751153</v>
      </c>
      <c r="M398" s="15">
        <v>8.5</v>
      </c>
      <c r="P398">
        <v>10.3</v>
      </c>
      <c r="Q398">
        <v>10.8</v>
      </c>
      <c r="R398">
        <v>69.400000000000006</v>
      </c>
      <c r="Z398" s="15">
        <v>46.9</v>
      </c>
      <c r="AA398" s="15">
        <v>6.9</v>
      </c>
      <c r="AB398" s="15">
        <v>35.5</v>
      </c>
      <c r="AC398" s="15">
        <v>10.7</v>
      </c>
      <c r="AD398" s="15"/>
      <c r="AE398" s="15"/>
      <c r="AF398" s="15">
        <v>18.5</v>
      </c>
      <c r="AG398" s="15">
        <v>0.05</v>
      </c>
      <c r="AH398" s="15"/>
      <c r="AI398" s="15"/>
      <c r="AJ398" s="15">
        <v>10</v>
      </c>
      <c r="AL398">
        <v>10</v>
      </c>
      <c r="AM398" s="13">
        <v>0.104473</v>
      </c>
      <c r="AO398" s="15">
        <v>50</v>
      </c>
      <c r="AP398" s="15">
        <f>LN(25/Table2[[#This Row],[Temperature (C)]]/(1-SQRT((Table2[[#This Row],[Temperature (C)]]-5)/Table2[[#This Row],[Temperature (C)]])))/Table2[[#This Row],[b]]</f>
        <v>21.999867342421314</v>
      </c>
      <c r="AQ398" s="15">
        <f>IF(Table2[[#This Row],[b]]&lt;&gt;"",Table2[[#This Row],[T-5]], 0)</f>
        <v>21.999867342421314</v>
      </c>
      <c r="AR398">
        <f>Table2[[#This Row],[Temperature (C)]]/Table2[[#This Row],[Heating rate C/min]]+Table2[[#This Row],[Holding Time (min)]]</f>
        <v>80</v>
      </c>
      <c r="AT398" t="s">
        <v>503</v>
      </c>
      <c r="AU398">
        <v>300</v>
      </c>
      <c r="AV398" s="15"/>
      <c r="AW398" s="15">
        <v>35.5</v>
      </c>
      <c r="AX398" s="15"/>
      <c r="AY398" s="15"/>
      <c r="AZ398" s="15"/>
      <c r="BA398" s="15"/>
      <c r="BB398" s="15" t="str">
        <f>IF(OR(Table2[[#This Row],[Gas wt%]]&lt;&gt;"",Table2[[#This Row],[Loss]]&lt;&gt;""),Table2[[#This Row],[Gas wt%]]+Table2[[#This Row],[Loss]],"")</f>
        <v/>
      </c>
      <c r="BC398" s="15"/>
      <c r="BD398" s="15"/>
      <c r="BE398" s="15"/>
      <c r="BF398" s="15"/>
      <c r="BG398" s="15"/>
      <c r="BH398" s="15"/>
      <c r="BI398" s="15"/>
      <c r="BJ398" s="15"/>
      <c r="BK398" s="15"/>
      <c r="BL398" s="15"/>
      <c r="BM398" s="15"/>
      <c r="BN398" s="15"/>
      <c r="BO398" s="15"/>
      <c r="BP398" s="15"/>
      <c r="BQ398" s="15"/>
      <c r="BR398" s="15"/>
      <c r="BS398" s="15"/>
      <c r="BT398" s="15"/>
      <c r="BU398" s="15"/>
      <c r="BV398" s="15"/>
      <c r="BW398" s="15"/>
      <c r="BX398" s="15"/>
      <c r="BY398" s="15"/>
      <c r="BZ398" s="15"/>
      <c r="CA398" s="15"/>
      <c r="CB398" s="15"/>
      <c r="CC398" s="15"/>
      <c r="CD398" s="15"/>
      <c r="CE398" s="15"/>
      <c r="CF398" s="15"/>
      <c r="CG398" s="15"/>
      <c r="CH398" s="15"/>
      <c r="CI398" s="15"/>
      <c r="CJ398" s="15"/>
      <c r="CK398" s="15"/>
      <c r="CL398" s="15"/>
      <c r="CM398" s="15"/>
      <c r="CN398" s="15"/>
      <c r="CO398" s="15"/>
      <c r="CP398" s="15"/>
      <c r="CQ398" s="15"/>
      <c r="CR398" s="15"/>
      <c r="CS398" s="15"/>
      <c r="CT398" s="15"/>
      <c r="CU398" s="15"/>
      <c r="CV398" s="15"/>
      <c r="CW398" s="15"/>
      <c r="CX398" s="15"/>
      <c r="CY398" s="15"/>
      <c r="CZ398" s="15"/>
      <c r="DA398" s="15"/>
      <c r="DB398" s="15">
        <v>0</v>
      </c>
    </row>
    <row r="399" spans="1:106" x14ac:dyDescent="0.25">
      <c r="A399" t="s">
        <v>379</v>
      </c>
      <c r="B399" t="s">
        <v>334</v>
      </c>
      <c r="C399">
        <v>2020</v>
      </c>
      <c r="D399" s="16" t="s">
        <v>178</v>
      </c>
      <c r="E399">
        <v>0</v>
      </c>
      <c r="F399" s="15">
        <v>22.027649769585253</v>
      </c>
      <c r="G399" s="15"/>
      <c r="H399" s="15"/>
      <c r="I399" s="15">
        <v>64.792626728110605</v>
      </c>
      <c r="J399" s="15">
        <v>5.3456221198156681</v>
      </c>
      <c r="K399" s="15"/>
      <c r="L399" s="15">
        <f>IF(Table2[[#This Row],[Lipids wt%]]+Table2[[#This Row],[Protein wt%]]+Table2[[#This Row],[Carbs wt%]] =0,"",SUM(Table2[[#This Row],[Lipids wt%]],Table2[[#This Row],[Protein wt%]],Table2[[#This Row],[Carbs wt%]]))</f>
        <v>92.16589861751153</v>
      </c>
      <c r="M399" s="15">
        <v>8.5</v>
      </c>
      <c r="P399">
        <v>10.3</v>
      </c>
      <c r="Q399">
        <v>10.8</v>
      </c>
      <c r="R399">
        <v>69.400000000000006</v>
      </c>
      <c r="Z399" s="15">
        <v>46.9</v>
      </c>
      <c r="AA399" s="15">
        <v>6.9</v>
      </c>
      <c r="AB399" s="15">
        <v>35.5</v>
      </c>
      <c r="AC399" s="15">
        <v>10.7</v>
      </c>
      <c r="AD399" s="15"/>
      <c r="AE399" s="15"/>
      <c r="AF399" s="15">
        <v>18.5</v>
      </c>
      <c r="AG399" s="15">
        <v>0.05</v>
      </c>
      <c r="AH399" s="15"/>
      <c r="AI399" s="15"/>
      <c r="AJ399" s="15">
        <v>10</v>
      </c>
      <c r="AL399">
        <v>10</v>
      </c>
      <c r="AM399" s="13">
        <v>0.104473</v>
      </c>
      <c r="AO399" s="15">
        <v>40</v>
      </c>
      <c r="AP399" s="15">
        <f>LN(25/Table2[[#This Row],[Temperature (C)]]/(1-SQRT((Table2[[#This Row],[Temperature (C)]]-5)/Table2[[#This Row],[Temperature (C)]])))/Table2[[#This Row],[b]]</f>
        <v>21.999867342421314</v>
      </c>
      <c r="AQ399" s="15">
        <f>IF(Table2[[#This Row],[b]]&lt;&gt;"",Table2[[#This Row],[T-5]], 0)</f>
        <v>21.999867342421314</v>
      </c>
      <c r="AR399">
        <f>Table2[[#This Row],[Temperature (C)]]/Table2[[#This Row],[Heating rate C/min]]+Table2[[#This Row],[Holding Time (min)]]</f>
        <v>70</v>
      </c>
      <c r="AT399" t="s">
        <v>503</v>
      </c>
      <c r="AU399">
        <v>300</v>
      </c>
      <c r="AV399" s="15"/>
      <c r="AW399" s="15">
        <v>33.299999999999997</v>
      </c>
      <c r="AX399" s="15"/>
      <c r="AY399" s="15"/>
      <c r="AZ399" s="15"/>
      <c r="BA399" s="15"/>
      <c r="BB399" s="15" t="str">
        <f>IF(OR(Table2[[#This Row],[Gas wt%]]&lt;&gt;"",Table2[[#This Row],[Loss]]&lt;&gt;""),Table2[[#This Row],[Gas wt%]]+Table2[[#This Row],[Loss]],"")</f>
        <v/>
      </c>
      <c r="BC399" s="15"/>
      <c r="BD399" s="15"/>
      <c r="BE399" s="15"/>
      <c r="BF399" s="15"/>
      <c r="BG399" s="15"/>
      <c r="BH399" s="15"/>
      <c r="BI399" s="15"/>
      <c r="BJ399" s="15"/>
      <c r="BK399" s="15"/>
      <c r="BL399" s="15"/>
      <c r="BM399" s="15"/>
      <c r="BN399" s="15"/>
      <c r="BO399" s="15"/>
      <c r="BP399" s="15"/>
      <c r="BQ399" s="15"/>
      <c r="BR399" s="15"/>
      <c r="BS399" s="15"/>
      <c r="BT399" s="15"/>
      <c r="BU399" s="15"/>
      <c r="BV399" s="15"/>
      <c r="BW399" s="15"/>
      <c r="BX399" s="15"/>
      <c r="BY399" s="15"/>
      <c r="BZ399" s="15"/>
      <c r="CA399" s="15"/>
      <c r="CB399" s="15"/>
      <c r="CC399" s="15"/>
      <c r="CD399" s="15"/>
      <c r="CE399" s="15"/>
      <c r="CF399" s="15"/>
      <c r="CG399" s="15"/>
      <c r="CH399" s="15"/>
      <c r="CI399" s="15"/>
      <c r="CJ399" s="15"/>
      <c r="CK399" s="15"/>
      <c r="CL399" s="15"/>
      <c r="CM399" s="15"/>
      <c r="CN399" s="15"/>
      <c r="CO399" s="15"/>
      <c r="CP399" s="15"/>
      <c r="CQ399" s="15"/>
      <c r="CR399" s="15"/>
      <c r="CS399" s="15"/>
      <c r="CT399" s="15"/>
      <c r="CU399" s="15"/>
      <c r="CV399" s="15"/>
      <c r="CW399" s="15"/>
      <c r="CX399" s="15"/>
      <c r="CY399" s="15"/>
      <c r="CZ399" s="15"/>
      <c r="DA399" s="15"/>
      <c r="DB399" s="15">
        <v>0</v>
      </c>
    </row>
    <row r="400" spans="1:106" x14ac:dyDescent="0.25">
      <c r="A400" t="s">
        <v>379</v>
      </c>
      <c r="B400" t="s">
        <v>334</v>
      </c>
      <c r="C400">
        <v>2020</v>
      </c>
      <c r="D400" s="16" t="s">
        <v>178</v>
      </c>
      <c r="E400">
        <v>0</v>
      </c>
      <c r="F400" s="15">
        <v>22.027649769585253</v>
      </c>
      <c r="G400" s="15"/>
      <c r="H400" s="15"/>
      <c r="I400" s="15">
        <v>64.792626728110605</v>
      </c>
      <c r="J400" s="15">
        <v>5.3456221198156681</v>
      </c>
      <c r="K400" s="15"/>
      <c r="L400" s="15">
        <f>IF(Table2[[#This Row],[Lipids wt%]]+Table2[[#This Row],[Protein wt%]]+Table2[[#This Row],[Carbs wt%]] =0,"",SUM(Table2[[#This Row],[Lipids wt%]],Table2[[#This Row],[Protein wt%]],Table2[[#This Row],[Carbs wt%]]))</f>
        <v>92.16589861751153</v>
      </c>
      <c r="M400" s="15">
        <v>8.5</v>
      </c>
      <c r="P400">
        <v>10.3</v>
      </c>
      <c r="Q400">
        <v>10.8</v>
      </c>
      <c r="R400">
        <v>69.400000000000006</v>
      </c>
      <c r="Z400" s="15">
        <v>46.9</v>
      </c>
      <c r="AA400" s="15">
        <v>6.9</v>
      </c>
      <c r="AB400" s="15">
        <v>35.5</v>
      </c>
      <c r="AC400" s="15">
        <v>10.7</v>
      </c>
      <c r="AD400" s="15"/>
      <c r="AE400" s="15"/>
      <c r="AF400" s="15">
        <v>18.5</v>
      </c>
      <c r="AG400" s="15">
        <v>0.05</v>
      </c>
      <c r="AH400" s="15"/>
      <c r="AI400" s="15"/>
      <c r="AJ400" s="15">
        <v>10</v>
      </c>
      <c r="AL400">
        <v>10</v>
      </c>
      <c r="AM400" s="13">
        <v>0.104473</v>
      </c>
      <c r="AO400" s="15">
        <v>30</v>
      </c>
      <c r="AP400" s="15">
        <f>LN(25/Table2[[#This Row],[Temperature (C)]]/(1-SQRT((Table2[[#This Row],[Temperature (C)]]-5)/Table2[[#This Row],[Temperature (C)]])))/Table2[[#This Row],[b]]</f>
        <v>22.002390608749096</v>
      </c>
      <c r="AQ400" s="15">
        <f>IF(Table2[[#This Row],[b]]&lt;&gt;"",Table2[[#This Row],[T-5]], 0)</f>
        <v>22.002390608749096</v>
      </c>
      <c r="AR400">
        <f>Table2[[#This Row],[Temperature (C)]]/Table2[[#This Row],[Heating rate C/min]]+Table2[[#This Row],[Holding Time (min)]]</f>
        <v>62</v>
      </c>
      <c r="AT400" t="s">
        <v>503</v>
      </c>
      <c r="AU400">
        <v>320</v>
      </c>
      <c r="AV400" s="15"/>
      <c r="AW400" s="15">
        <v>32.4</v>
      </c>
      <c r="AX400" s="15"/>
      <c r="AY400" s="15"/>
      <c r="AZ400" s="15"/>
      <c r="BA400" s="15"/>
      <c r="BB400" s="15" t="str">
        <f>IF(OR(Table2[[#This Row],[Gas wt%]]&lt;&gt;"",Table2[[#This Row],[Loss]]&lt;&gt;""),Table2[[#This Row],[Gas wt%]]+Table2[[#This Row],[Loss]],"")</f>
        <v/>
      </c>
      <c r="BC400" s="15"/>
      <c r="BD400" s="15"/>
      <c r="BE400" s="15"/>
      <c r="BF400" s="15"/>
      <c r="BG400" s="15"/>
      <c r="BH400" s="15"/>
      <c r="BI400" s="15"/>
      <c r="BJ400" s="15"/>
      <c r="BK400" s="15"/>
      <c r="BL400" s="15"/>
      <c r="BM400" s="15"/>
      <c r="BN400" s="15"/>
      <c r="BO400" s="15"/>
      <c r="BP400" s="15"/>
      <c r="BQ400" s="15"/>
      <c r="BR400" s="15"/>
      <c r="BS400" s="15"/>
      <c r="BT400" s="15"/>
      <c r="BU400" s="15"/>
      <c r="BV400" s="15"/>
      <c r="BW400" s="15"/>
      <c r="BX400" s="15"/>
      <c r="BY400" s="15"/>
      <c r="BZ400" s="15"/>
      <c r="CA400" s="15"/>
      <c r="CB400" s="15"/>
      <c r="CC400" s="15"/>
      <c r="CD400" s="15"/>
      <c r="CE400" s="15"/>
      <c r="CF400" s="15"/>
      <c r="CG400" s="15"/>
      <c r="CH400" s="15"/>
      <c r="CI400" s="15"/>
      <c r="CJ400" s="15"/>
      <c r="CK400" s="15"/>
      <c r="CL400" s="15"/>
      <c r="CM400" s="15"/>
      <c r="CN400" s="15"/>
      <c r="CO400" s="15"/>
      <c r="CP400" s="15"/>
      <c r="CQ400" s="15"/>
      <c r="CR400" s="15"/>
      <c r="CS400" s="15"/>
      <c r="CT400" s="15"/>
      <c r="CU400" s="15"/>
      <c r="CV400" s="15"/>
      <c r="CW400" s="15"/>
      <c r="CX400" s="15"/>
      <c r="CY400" s="15"/>
      <c r="CZ400" s="15"/>
      <c r="DA400" s="15"/>
      <c r="DB400" s="15">
        <v>0</v>
      </c>
    </row>
    <row r="401" spans="1:106" x14ac:dyDescent="0.25">
      <c r="A401" t="s">
        <v>379</v>
      </c>
      <c r="B401" t="s">
        <v>334</v>
      </c>
      <c r="C401">
        <v>2020</v>
      </c>
      <c r="D401" s="16" t="s">
        <v>178</v>
      </c>
      <c r="E401">
        <v>0</v>
      </c>
      <c r="F401" s="15">
        <v>22.027649769585253</v>
      </c>
      <c r="G401" s="15"/>
      <c r="H401" s="15"/>
      <c r="I401" s="15">
        <v>64.792626728110605</v>
      </c>
      <c r="J401" s="15">
        <v>5.3456221198156681</v>
      </c>
      <c r="K401" s="15"/>
      <c r="L401" s="15">
        <f>IF(Table2[[#This Row],[Lipids wt%]]+Table2[[#This Row],[Protein wt%]]+Table2[[#This Row],[Carbs wt%]] =0,"",SUM(Table2[[#This Row],[Lipids wt%]],Table2[[#This Row],[Protein wt%]],Table2[[#This Row],[Carbs wt%]]))</f>
        <v>92.16589861751153</v>
      </c>
      <c r="M401" s="15">
        <v>8.5</v>
      </c>
      <c r="P401">
        <v>10.3</v>
      </c>
      <c r="Q401">
        <v>10.8</v>
      </c>
      <c r="R401">
        <v>69.400000000000006</v>
      </c>
      <c r="Z401" s="15">
        <v>46.9</v>
      </c>
      <c r="AA401" s="15">
        <v>6.9</v>
      </c>
      <c r="AB401" s="15">
        <v>35.5</v>
      </c>
      <c r="AC401" s="15">
        <v>10.7</v>
      </c>
      <c r="AD401" s="15"/>
      <c r="AE401" s="15"/>
      <c r="AF401" s="15">
        <v>18.5</v>
      </c>
      <c r="AG401" s="15">
        <v>0.05</v>
      </c>
      <c r="AH401" s="15"/>
      <c r="AI401" s="15"/>
      <c r="AJ401" s="15">
        <v>10</v>
      </c>
      <c r="AL401">
        <v>10</v>
      </c>
      <c r="AM401" s="13">
        <v>0.104473</v>
      </c>
      <c r="AO401" s="15">
        <v>30</v>
      </c>
      <c r="AP401" s="15">
        <f>LN(25/Table2[[#This Row],[Temperature (C)]]/(1-SQRT((Table2[[#This Row],[Temperature (C)]]-5)/Table2[[#This Row],[Temperature (C)]])))/Table2[[#This Row],[b]]</f>
        <v>22.00659161176149</v>
      </c>
      <c r="AQ401" s="15">
        <f>IF(Table2[[#This Row],[b]]&lt;&gt;"",Table2[[#This Row],[T-5]], 0)</f>
        <v>22.00659161176149</v>
      </c>
      <c r="AR401">
        <f>Table2[[#This Row],[Temperature (C)]]/Table2[[#This Row],[Heating rate C/min]]+Table2[[#This Row],[Holding Time (min)]]</f>
        <v>66</v>
      </c>
      <c r="AT401" t="s">
        <v>503</v>
      </c>
      <c r="AU401">
        <v>360</v>
      </c>
      <c r="AV401" s="15"/>
      <c r="AW401" s="15">
        <v>36.1</v>
      </c>
      <c r="AX401" s="15"/>
      <c r="AY401" s="15"/>
      <c r="AZ401" s="15"/>
      <c r="BA401" s="15"/>
      <c r="BB401" s="15" t="str">
        <f>IF(OR(Table2[[#This Row],[Gas wt%]]&lt;&gt;"",Table2[[#This Row],[Loss]]&lt;&gt;""),Table2[[#This Row],[Gas wt%]]+Table2[[#This Row],[Loss]],"")</f>
        <v/>
      </c>
      <c r="BC401" s="15"/>
      <c r="BD401" s="15"/>
      <c r="BE401" s="15"/>
      <c r="BF401" s="15"/>
      <c r="BG401" s="15"/>
      <c r="BH401" s="15"/>
      <c r="BI401" s="15"/>
      <c r="BJ401" s="15"/>
      <c r="BK401" s="15"/>
      <c r="BL401" s="15"/>
      <c r="BM401" s="15"/>
      <c r="BN401" s="15"/>
      <c r="BO401" s="15"/>
      <c r="BP401" s="15"/>
      <c r="BQ401" s="15"/>
      <c r="BR401" s="15"/>
      <c r="BS401" s="15"/>
      <c r="BT401" s="15"/>
      <c r="BU401" s="15"/>
      <c r="BV401" s="15"/>
      <c r="BW401" s="15"/>
      <c r="BX401" s="15"/>
      <c r="BY401" s="15"/>
      <c r="BZ401" s="15"/>
      <c r="CA401" s="15"/>
      <c r="CB401" s="15"/>
      <c r="CC401" s="15"/>
      <c r="CD401" s="15"/>
      <c r="CE401" s="15"/>
      <c r="CF401" s="15"/>
      <c r="CG401" s="15"/>
      <c r="CH401" s="15"/>
      <c r="CI401" s="15"/>
      <c r="CJ401" s="15"/>
      <c r="CK401" s="15"/>
      <c r="CL401" s="15"/>
      <c r="CM401" s="15"/>
      <c r="CN401" s="15"/>
      <c r="CO401" s="15"/>
      <c r="CP401" s="15"/>
      <c r="CQ401" s="15"/>
      <c r="CR401" s="15"/>
      <c r="CS401" s="15"/>
      <c r="CT401" s="15"/>
      <c r="CU401" s="15"/>
      <c r="CV401" s="15"/>
      <c r="CW401" s="15"/>
      <c r="CX401" s="15"/>
      <c r="CY401" s="15"/>
      <c r="CZ401" s="15"/>
      <c r="DA401" s="15"/>
      <c r="DB401" s="15">
        <v>0</v>
      </c>
    </row>
    <row r="402" spans="1:106" x14ac:dyDescent="0.25">
      <c r="A402" t="s">
        <v>413</v>
      </c>
      <c r="B402" t="s">
        <v>148</v>
      </c>
      <c r="C402">
        <v>2013</v>
      </c>
      <c r="D402" s="16" t="s">
        <v>408</v>
      </c>
      <c r="E402">
        <v>0</v>
      </c>
      <c r="F402" s="15">
        <v>26.900000000000002</v>
      </c>
      <c r="G402" s="15"/>
      <c r="H402" s="15"/>
      <c r="I402" s="15">
        <v>28</v>
      </c>
      <c r="J402" s="15">
        <v>16.8</v>
      </c>
      <c r="K402" s="15"/>
      <c r="L402" s="15">
        <f>IF(Table2[[#This Row],[Lipids wt%]]+Table2[[#This Row],[Protein wt%]]+Table2[[#This Row],[Carbs wt%]] =0,"",SUM(Table2[[#This Row],[Lipids wt%]],Table2[[#This Row],[Protein wt%]],Table2[[#This Row],[Carbs wt%]]))</f>
        <v>71.7</v>
      </c>
      <c r="M402" s="15">
        <v>28.3</v>
      </c>
      <c r="Z402" s="15">
        <v>44.4</v>
      </c>
      <c r="AA402" s="15">
        <v>5.4</v>
      </c>
      <c r="AB402" s="15">
        <f>100-(Table2[[#This Row],[C%]]+Table2[[#This Row],[H%]]+Table2[[#This Row],[N%]]+Table2[[#This Row],[S%]])</f>
        <v>44.100000000000009</v>
      </c>
      <c r="AC402" s="15">
        <v>5.8</v>
      </c>
      <c r="AD402" s="15">
        <v>0.3</v>
      </c>
      <c r="AE402" s="15"/>
      <c r="AF402" s="15">
        <f>(33.5*Table2[[#This Row],[C%]]+142.3*Table2[[#This Row],[H%]]-15.4*Table2[[#This Row],[O%]]-14.5*Table2[[#This Row],[N%]])/100</f>
        <v>14.925799999999997</v>
      </c>
      <c r="AG402" s="15">
        <v>4.2999999999999997E-2</v>
      </c>
      <c r="AH402" s="15">
        <v>20</v>
      </c>
      <c r="AI402" s="15"/>
      <c r="AJ402" s="15">
        <v>6</v>
      </c>
      <c r="AM402" s="13">
        <v>1.34613</v>
      </c>
      <c r="AN402">
        <v>3.5</v>
      </c>
      <c r="AO402" s="15">
        <v>5</v>
      </c>
      <c r="AP402" s="15">
        <f>LN(25/Table2[[#This Row],[Temperature (C)]]/(1-SQRT((Table2[[#This Row],[Temperature (C)]]-5)/Table2[[#This Row],[Temperature (C)]])))/Table2[[#This Row],[b]]</f>
        <v>1.7067795612449472</v>
      </c>
      <c r="AQ402" s="15">
        <f>IF(Table2[[#This Row],[b]]&lt;&gt;"",Table2[[#This Row],[T-5]], 0)</f>
        <v>1.7067795612449472</v>
      </c>
      <c r="AR402">
        <f>Table2[[#This Row],[Time to reach temp min]]+Table2[[#This Row],[Holding Time (min)]]</f>
        <v>8.5</v>
      </c>
      <c r="AT402" t="s">
        <v>503</v>
      </c>
      <c r="AU402">
        <v>250</v>
      </c>
      <c r="AV402" s="15">
        <v>41.6</v>
      </c>
      <c r="AW402" s="15">
        <v>17.600000000000001</v>
      </c>
      <c r="AX402" s="15">
        <v>27.1</v>
      </c>
      <c r="AY402" s="15">
        <v>6.1</v>
      </c>
      <c r="AZ402" s="15"/>
      <c r="BA402" s="15"/>
      <c r="BB402" s="15">
        <f>IF(OR(Table2[[#This Row],[Gas wt%]]&lt;&gt;"",Table2[[#This Row],[Loss]]&lt;&gt;""),Table2[[#This Row],[Gas wt%]]+Table2[[#This Row],[Loss]],"")</f>
        <v>6.1</v>
      </c>
      <c r="BC402" s="15"/>
      <c r="BD402" s="15"/>
      <c r="BE402" s="15"/>
      <c r="BF402" s="15"/>
      <c r="BG402" s="15"/>
      <c r="BH402" s="15">
        <f>100-SUM(Table2[[#This Row],[Solids wt%]:[Gas wt%]])</f>
        <v>7.5999999999999943</v>
      </c>
      <c r="BI402" s="15">
        <v>69.3</v>
      </c>
      <c r="BJ402" s="15">
        <v>9.1</v>
      </c>
      <c r="BK402" s="15">
        <v>12.9</v>
      </c>
      <c r="BL402" s="15">
        <v>5.0999999999999996</v>
      </c>
      <c r="BM402" s="15">
        <v>0.2</v>
      </c>
      <c r="BN402" s="15">
        <v>33.799999999999997</v>
      </c>
      <c r="BO402" s="15"/>
      <c r="BP402" s="15">
        <v>3.4</v>
      </c>
      <c r="BQ402" s="15">
        <f>Table2[[#This Row],[H% B]]/Table2[[#This Row],[C% B]]*100</f>
        <v>13.131313131313133</v>
      </c>
      <c r="BR402" s="15"/>
      <c r="BS402" s="15"/>
      <c r="BT402" s="15"/>
      <c r="BU402" s="15"/>
      <c r="BV402" s="15"/>
      <c r="BW402" s="15"/>
      <c r="BX402" s="15"/>
      <c r="BY402" s="15"/>
      <c r="BZ402" s="15"/>
      <c r="CA402" s="15"/>
      <c r="CB402" s="15"/>
      <c r="CC402" s="15"/>
      <c r="CD402" s="15"/>
      <c r="CE402" s="15"/>
      <c r="CF402" s="15"/>
      <c r="CG402" s="15"/>
      <c r="CH402" s="15"/>
      <c r="CI402" s="15"/>
      <c r="CJ402" s="15"/>
      <c r="CK402" s="15"/>
      <c r="CL402" s="15"/>
      <c r="CM402" s="15"/>
      <c r="CN402" s="15"/>
      <c r="CO402" s="15"/>
      <c r="CP402" s="15"/>
      <c r="CQ402" s="15"/>
      <c r="CR402" s="15"/>
      <c r="CS402" s="15"/>
      <c r="CT402" s="15"/>
      <c r="CU402" s="15"/>
      <c r="CV402" s="15"/>
      <c r="CW402" s="15"/>
      <c r="CX402" s="15"/>
      <c r="CY402" s="15"/>
      <c r="CZ402" s="15"/>
      <c r="DA402" s="15"/>
      <c r="DB402" s="15">
        <v>0</v>
      </c>
    </row>
    <row r="403" spans="1:106" x14ac:dyDescent="0.25">
      <c r="A403" t="s">
        <v>413</v>
      </c>
      <c r="B403" t="s">
        <v>148</v>
      </c>
      <c r="C403">
        <v>2013</v>
      </c>
      <c r="D403" s="16" t="s">
        <v>408</v>
      </c>
      <c r="E403">
        <v>0</v>
      </c>
      <c r="F403" s="15">
        <v>26.900000000000002</v>
      </c>
      <c r="G403" s="15"/>
      <c r="H403" s="15"/>
      <c r="I403" s="15">
        <v>28</v>
      </c>
      <c r="J403" s="15">
        <v>16.8</v>
      </c>
      <c r="K403" s="15"/>
      <c r="L403" s="15">
        <f>IF(Table2[[#This Row],[Lipids wt%]]+Table2[[#This Row],[Protein wt%]]+Table2[[#This Row],[Carbs wt%]] =0,"",SUM(Table2[[#This Row],[Lipids wt%]],Table2[[#This Row],[Protein wt%]],Table2[[#This Row],[Carbs wt%]]))</f>
        <v>71.7</v>
      </c>
      <c r="M403" s="15">
        <v>28.3</v>
      </c>
      <c r="Z403" s="15">
        <v>44.4</v>
      </c>
      <c r="AA403" s="15">
        <v>5.4</v>
      </c>
      <c r="AB403" s="15">
        <f>100-(Table2[[#This Row],[C%]]+Table2[[#This Row],[H%]]+Table2[[#This Row],[N%]]+Table2[[#This Row],[S%]])</f>
        <v>44.100000000000009</v>
      </c>
      <c r="AC403" s="15">
        <v>5.8</v>
      </c>
      <c r="AD403" s="15">
        <v>0.3</v>
      </c>
      <c r="AE403" s="15"/>
      <c r="AF403" s="15">
        <f>(33.5*Table2[[#This Row],[C%]]+142.3*Table2[[#This Row],[H%]]-15.4*Table2[[#This Row],[O%]]-14.5*Table2[[#This Row],[N%]])/100</f>
        <v>14.925799999999997</v>
      </c>
      <c r="AG403" s="15">
        <v>4.2999999999999997E-2</v>
      </c>
      <c r="AH403" s="15">
        <v>20</v>
      </c>
      <c r="AI403" s="15"/>
      <c r="AJ403" s="15">
        <v>6</v>
      </c>
      <c r="AM403" s="13">
        <v>0.81907300000000005</v>
      </c>
      <c r="AN403">
        <v>6</v>
      </c>
      <c r="AO403" s="15">
        <v>5</v>
      </c>
      <c r="AP403" s="15">
        <f>LN(25/Table2[[#This Row],[Temperature (C)]]/(1-SQRT((Table2[[#This Row],[Temperature (C)]]-5)/Table2[[#This Row],[Temperature (C)]])))/Table2[[#This Row],[b]]</f>
        <v>2.807118496698755</v>
      </c>
      <c r="AQ403" s="15">
        <f>IF(Table2[[#This Row],[b]]&lt;&gt;"",Table2[[#This Row],[T-5]], 0)</f>
        <v>2.807118496698755</v>
      </c>
      <c r="AR403">
        <f>Table2[[#This Row],[Time to reach temp min]]+Table2[[#This Row],[Holding Time (min)]]</f>
        <v>11</v>
      </c>
      <c r="AT403" t="s">
        <v>503</v>
      </c>
      <c r="AU403">
        <v>375</v>
      </c>
      <c r="AV403" s="15">
        <v>4.9000000000000004</v>
      </c>
      <c r="AW403" s="15">
        <v>50.6</v>
      </c>
      <c r="AX403" s="15">
        <v>11.3</v>
      </c>
      <c r="AY403" s="15">
        <v>23.6</v>
      </c>
      <c r="AZ403" s="15"/>
      <c r="BA403" s="15"/>
      <c r="BB403" s="15">
        <f>IF(OR(Table2[[#This Row],[Gas wt%]]&lt;&gt;"",Table2[[#This Row],[Loss]]&lt;&gt;""),Table2[[#This Row],[Gas wt%]]+Table2[[#This Row],[Loss]],"")</f>
        <v>23.6</v>
      </c>
      <c r="BC403" s="15"/>
      <c r="BD403" s="15"/>
      <c r="BE403" s="15"/>
      <c r="BF403" s="15"/>
      <c r="BG403" s="15"/>
      <c r="BH403" s="15">
        <f>100-SUM(Table2[[#This Row],[Solids wt%]:[Gas wt%]])</f>
        <v>9.5999999999999943</v>
      </c>
      <c r="BI403" s="15">
        <v>73.2</v>
      </c>
      <c r="BJ403" s="15">
        <v>8.9</v>
      </c>
      <c r="BK403" s="15">
        <v>8.1</v>
      </c>
      <c r="BL403" s="15">
        <v>6.3</v>
      </c>
      <c r="BM403" s="15">
        <v>0.3</v>
      </c>
      <c r="BN403" s="15">
        <v>35.6</v>
      </c>
      <c r="BO403" s="15"/>
      <c r="BP403" s="15">
        <v>3.1</v>
      </c>
      <c r="BQ403" s="15">
        <f>Table2[[#This Row],[H% B]]/Table2[[#This Row],[C% B]]*100</f>
        <v>12.158469945355192</v>
      </c>
      <c r="BR403" s="15"/>
      <c r="BS403" s="15"/>
      <c r="BT403" s="15"/>
      <c r="BU403" s="15"/>
      <c r="BV403" s="15"/>
      <c r="BW403" s="15"/>
      <c r="BX403" s="15"/>
      <c r="BY403" s="15"/>
      <c r="BZ403" s="15"/>
      <c r="CA403" s="15"/>
      <c r="CB403" s="15"/>
      <c r="CC403" s="15"/>
      <c r="CD403" s="15"/>
      <c r="CE403" s="15"/>
      <c r="CF403" s="15"/>
      <c r="CG403" s="15"/>
      <c r="CH403" s="15"/>
      <c r="CI403" s="15"/>
      <c r="CJ403" s="15"/>
      <c r="CK403" s="15"/>
      <c r="CL403" s="15"/>
      <c r="CM403" s="15"/>
      <c r="CN403" s="15"/>
      <c r="CO403" s="15"/>
      <c r="CP403" s="15"/>
      <c r="CQ403" s="15"/>
      <c r="CR403" s="15"/>
      <c r="CS403" s="15"/>
      <c r="CT403" s="15"/>
      <c r="CU403" s="15"/>
      <c r="CV403" s="15"/>
      <c r="CW403" s="15"/>
      <c r="CX403" s="15"/>
      <c r="CY403" s="15"/>
      <c r="CZ403" s="15"/>
      <c r="DA403" s="15"/>
      <c r="DB403" s="15">
        <v>0</v>
      </c>
    </row>
    <row r="404" spans="1:106" x14ac:dyDescent="0.25">
      <c r="A404" t="s">
        <v>413</v>
      </c>
      <c r="B404" t="s">
        <v>148</v>
      </c>
      <c r="C404">
        <v>2013</v>
      </c>
      <c r="D404" s="16" t="s">
        <v>409</v>
      </c>
      <c r="E404">
        <v>0</v>
      </c>
      <c r="F404" s="15">
        <v>16</v>
      </c>
      <c r="G404" s="15"/>
      <c r="H404" s="15"/>
      <c r="I404" s="15">
        <v>37.5</v>
      </c>
      <c r="J404" s="15">
        <v>21.9</v>
      </c>
      <c r="K404" s="15"/>
      <c r="L404" s="15">
        <f>IF(Table2[[#This Row],[Lipids wt%]]+Table2[[#This Row],[Protein wt%]]+Table2[[#This Row],[Carbs wt%]] =0,"",SUM(Table2[[#This Row],[Lipids wt%]],Table2[[#This Row],[Protein wt%]],Table2[[#This Row],[Carbs wt%]]))</f>
        <v>75.400000000000006</v>
      </c>
      <c r="M404" s="15">
        <v>24.6</v>
      </c>
      <c r="Z404" s="15">
        <v>38</v>
      </c>
      <c r="AA404" s="15">
        <v>4.8</v>
      </c>
      <c r="AB404" s="15">
        <f>100-(Table2[[#This Row],[C%]]+Table2[[#This Row],[H%]]+Table2[[#This Row],[N%]]+Table2[[#This Row],[S%]])</f>
        <v>51.3</v>
      </c>
      <c r="AC404" s="15">
        <v>5.2</v>
      </c>
      <c r="AD404" s="15">
        <v>0.7</v>
      </c>
      <c r="AE404" s="15"/>
      <c r="AF404" s="15">
        <f>(33.5*Table2[[#This Row],[C%]]+142.3*Table2[[#This Row],[H%]]-15.4*Table2[[#This Row],[O%]]-14.5*Table2[[#This Row],[N%]])/100</f>
        <v>10.906199999999998</v>
      </c>
      <c r="AG404" s="15">
        <v>4.2999999999999997E-2</v>
      </c>
      <c r="AH404" s="15">
        <v>20</v>
      </c>
      <c r="AI404" s="15"/>
      <c r="AJ404" s="15">
        <v>6</v>
      </c>
      <c r="AM404" s="13">
        <v>1.34613</v>
      </c>
      <c r="AN404">
        <v>3.5</v>
      </c>
      <c r="AO404" s="15">
        <v>5</v>
      </c>
      <c r="AP404" s="15">
        <f>LN(25/Table2[[#This Row],[Temperature (C)]]/(1-SQRT((Table2[[#This Row],[Temperature (C)]]-5)/Table2[[#This Row],[Temperature (C)]])))/Table2[[#This Row],[b]]</f>
        <v>1.7067795612449472</v>
      </c>
      <c r="AQ404" s="15">
        <f>IF(Table2[[#This Row],[b]]&lt;&gt;"",Table2[[#This Row],[T-5]], 0)</f>
        <v>1.7067795612449472</v>
      </c>
      <c r="AR404">
        <f>Table2[[#This Row],[Time to reach temp min]]+Table2[[#This Row],[Holding Time (min)]]</f>
        <v>8.5</v>
      </c>
      <c r="AT404" t="s">
        <v>503</v>
      </c>
      <c r="AU404">
        <v>250</v>
      </c>
      <c r="AV404" s="15">
        <v>17.8</v>
      </c>
      <c r="AW404" s="15">
        <v>40.799999999999997</v>
      </c>
      <c r="AX404" s="15">
        <v>22.9</v>
      </c>
      <c r="AY404" s="15">
        <v>12.5</v>
      </c>
      <c r="AZ404" s="15"/>
      <c r="BA404" s="15"/>
      <c r="BB404" s="15">
        <f>IF(OR(Table2[[#This Row],[Gas wt%]]&lt;&gt;"",Table2[[#This Row],[Loss]]&lt;&gt;""),Table2[[#This Row],[Gas wt%]]+Table2[[#This Row],[Loss]],"")</f>
        <v>12.5</v>
      </c>
      <c r="BC404" s="15"/>
      <c r="BD404" s="15"/>
      <c r="BE404" s="15"/>
      <c r="BF404" s="15"/>
      <c r="BG404" s="15"/>
      <c r="BH404" s="15">
        <f>100-SUM(Table2[[#This Row],[Solids wt%]:[Gas wt%]])</f>
        <v>6</v>
      </c>
      <c r="BI404" s="15">
        <v>62.9</v>
      </c>
      <c r="BJ404" s="15">
        <v>8</v>
      </c>
      <c r="BK404" s="15">
        <v>12</v>
      </c>
      <c r="BL404" s="15">
        <v>4.7</v>
      </c>
      <c r="BM404" s="15">
        <v>0.3</v>
      </c>
      <c r="BN404" s="15">
        <v>30.3</v>
      </c>
      <c r="BO404" s="15"/>
      <c r="BP404" s="15">
        <v>12.2</v>
      </c>
      <c r="BQ404" s="15">
        <f>Table2[[#This Row],[H% B]]/Table2[[#This Row],[C% B]]*100</f>
        <v>12.71860095389507</v>
      </c>
      <c r="BR404" s="15"/>
      <c r="BS404" s="15"/>
      <c r="BT404" s="15"/>
      <c r="BU404" s="15"/>
      <c r="BV404" s="15"/>
      <c r="BW404" s="15"/>
      <c r="BX404" s="15"/>
      <c r="BY404" s="15"/>
      <c r="BZ404" s="15"/>
      <c r="CA404" s="15"/>
      <c r="CB404" s="15"/>
      <c r="CC404" s="15"/>
      <c r="CD404" s="15"/>
      <c r="CE404" s="15"/>
      <c r="CF404" s="15"/>
      <c r="CG404" s="15"/>
      <c r="CH404" s="15"/>
      <c r="CI404" s="15"/>
      <c r="CJ404" s="15"/>
      <c r="CK404" s="15"/>
      <c r="CL404" s="15"/>
      <c r="CM404" s="15"/>
      <c r="CN404" s="15"/>
      <c r="CO404" s="15"/>
      <c r="CP404" s="15"/>
      <c r="CQ404" s="15"/>
      <c r="CR404" s="15"/>
      <c r="CS404" s="15"/>
      <c r="CT404" s="15"/>
      <c r="CU404" s="15"/>
      <c r="CV404" s="15"/>
      <c r="CW404" s="15"/>
      <c r="CX404" s="15"/>
      <c r="CY404" s="15"/>
      <c r="CZ404" s="15"/>
      <c r="DA404" s="15"/>
      <c r="DB404" s="15">
        <v>0</v>
      </c>
    </row>
    <row r="405" spans="1:106" x14ac:dyDescent="0.25">
      <c r="A405" t="s">
        <v>413</v>
      </c>
      <c r="B405" t="s">
        <v>148</v>
      </c>
      <c r="C405">
        <v>2013</v>
      </c>
      <c r="D405" s="16" t="s">
        <v>409</v>
      </c>
      <c r="E405">
        <v>0</v>
      </c>
      <c r="F405" s="15">
        <v>16</v>
      </c>
      <c r="G405" s="15"/>
      <c r="H405" s="15"/>
      <c r="I405" s="15">
        <v>37.5</v>
      </c>
      <c r="J405" s="15">
        <v>21.9</v>
      </c>
      <c r="K405" s="15"/>
      <c r="L405" s="15">
        <f>IF(Table2[[#This Row],[Lipids wt%]]+Table2[[#This Row],[Protein wt%]]+Table2[[#This Row],[Carbs wt%]] =0,"",SUM(Table2[[#This Row],[Lipids wt%]],Table2[[#This Row],[Protein wt%]],Table2[[#This Row],[Carbs wt%]]))</f>
        <v>75.400000000000006</v>
      </c>
      <c r="M405" s="15">
        <v>24.6</v>
      </c>
      <c r="Z405" s="15">
        <v>38</v>
      </c>
      <c r="AA405" s="15">
        <v>4.8</v>
      </c>
      <c r="AB405" s="15">
        <f>100-(Table2[[#This Row],[C%]]+Table2[[#This Row],[H%]]+Table2[[#This Row],[N%]]+Table2[[#This Row],[S%]])</f>
        <v>51.3</v>
      </c>
      <c r="AC405" s="15">
        <v>5.2</v>
      </c>
      <c r="AD405" s="15">
        <v>0.7</v>
      </c>
      <c r="AE405" s="15"/>
      <c r="AF405" s="15">
        <f>(33.5*Table2[[#This Row],[C%]]+142.3*Table2[[#This Row],[H%]]-15.4*Table2[[#This Row],[O%]]-14.5*Table2[[#This Row],[N%]])/100</f>
        <v>10.906199999999998</v>
      </c>
      <c r="AG405" s="15">
        <v>4.2999999999999997E-2</v>
      </c>
      <c r="AH405" s="15">
        <v>20</v>
      </c>
      <c r="AI405" s="15"/>
      <c r="AJ405" s="15">
        <v>6</v>
      </c>
      <c r="AM405" s="13">
        <v>0.81907300000000005</v>
      </c>
      <c r="AN405">
        <v>6</v>
      </c>
      <c r="AO405" s="15">
        <v>5</v>
      </c>
      <c r="AP405" s="15">
        <f>LN(25/Table2[[#This Row],[Temperature (C)]]/(1-SQRT((Table2[[#This Row],[Temperature (C)]]-5)/Table2[[#This Row],[Temperature (C)]])))/Table2[[#This Row],[b]]</f>
        <v>2.807118496698755</v>
      </c>
      <c r="AQ405" s="15">
        <f>IF(Table2[[#This Row],[b]]&lt;&gt;"",Table2[[#This Row],[T-5]], 0)</f>
        <v>2.807118496698755</v>
      </c>
      <c r="AR405">
        <f>Table2[[#This Row],[Time to reach temp min]]+Table2[[#This Row],[Holding Time (min)]]</f>
        <v>11</v>
      </c>
      <c r="AT405" t="s">
        <v>503</v>
      </c>
      <c r="AU405">
        <v>375</v>
      </c>
      <c r="AV405" s="15">
        <v>6.7</v>
      </c>
      <c r="AW405" s="15">
        <v>54.3</v>
      </c>
      <c r="AX405" s="15">
        <v>12.6</v>
      </c>
      <c r="AY405" s="15">
        <v>27.5</v>
      </c>
      <c r="AZ405" s="15"/>
      <c r="BA405" s="15"/>
      <c r="BB405" s="15">
        <f>IF(OR(Table2[[#This Row],[Gas wt%]]&lt;&gt;"",Table2[[#This Row],[Loss]]&lt;&gt;""),Table2[[#This Row],[Gas wt%]]+Table2[[#This Row],[Loss]],"")</f>
        <v>27.5</v>
      </c>
      <c r="BC405" s="15"/>
      <c r="BD405" s="15"/>
      <c r="BE405" s="15"/>
      <c r="BF405" s="15"/>
      <c r="BG405" s="15"/>
      <c r="BH405" s="15"/>
      <c r="BI405" s="15">
        <v>73.400000000000006</v>
      </c>
      <c r="BJ405" s="15">
        <v>9.1</v>
      </c>
      <c r="BK405" s="15">
        <v>7.8</v>
      </c>
      <c r="BL405" s="15">
        <v>5.8</v>
      </c>
      <c r="BM405" s="15">
        <v>1</v>
      </c>
      <c r="BN405" s="15">
        <v>35.9</v>
      </c>
      <c r="BO405" s="15"/>
      <c r="BP405" s="15">
        <v>2.9</v>
      </c>
      <c r="BQ405" s="15">
        <f>Table2[[#This Row],[H% B]]/Table2[[#This Row],[C% B]]*100</f>
        <v>12.397820163487737</v>
      </c>
      <c r="BR405" s="15"/>
      <c r="BS405" s="15"/>
      <c r="BT405" s="15"/>
      <c r="BU405" s="15"/>
      <c r="BV405" s="15"/>
      <c r="BW405" s="15"/>
      <c r="BX405" s="15"/>
      <c r="BY405" s="15"/>
      <c r="BZ405" s="15"/>
      <c r="CA405" s="15"/>
      <c r="CB405" s="15"/>
      <c r="CC405" s="15"/>
      <c r="CD405" s="15"/>
      <c r="CE405" s="15"/>
      <c r="CF405" s="15"/>
      <c r="CG405" s="15"/>
      <c r="CH405" s="15"/>
      <c r="CI405" s="15"/>
      <c r="CJ405" s="15"/>
      <c r="CK405" s="15"/>
      <c r="CL405" s="15"/>
      <c r="CM405" s="15"/>
      <c r="CN405" s="15"/>
      <c r="CO405" s="15"/>
      <c r="CP405" s="15"/>
      <c r="CQ405" s="15"/>
      <c r="CR405" s="15"/>
      <c r="CS405" s="15"/>
      <c r="CT405" s="15"/>
      <c r="CU405" s="15"/>
      <c r="CV405" s="15"/>
      <c r="CW405" s="15"/>
      <c r="CX405" s="15"/>
      <c r="CY405" s="15"/>
      <c r="CZ405" s="15"/>
      <c r="DA405" s="15"/>
      <c r="DB405" s="15">
        <v>0</v>
      </c>
    </row>
    <row r="406" spans="1:106" x14ac:dyDescent="0.25">
      <c r="A406" t="s">
        <v>413</v>
      </c>
      <c r="B406" t="s">
        <v>148</v>
      </c>
      <c r="C406">
        <v>2013</v>
      </c>
      <c r="D406" s="16" t="s">
        <v>206</v>
      </c>
      <c r="E406">
        <v>0</v>
      </c>
      <c r="F406" s="15">
        <v>19.2</v>
      </c>
      <c r="G406" s="15"/>
      <c r="H406" s="15"/>
      <c r="I406" s="15">
        <v>43.899999999999991</v>
      </c>
      <c r="J406" s="15">
        <v>25.099999999999998</v>
      </c>
      <c r="K406" s="15"/>
      <c r="L406" s="15">
        <f>IF(Table2[[#This Row],[Lipids wt%]]+Table2[[#This Row],[Protein wt%]]+Table2[[#This Row],[Carbs wt%]] =0,"",SUM(Table2[[#This Row],[Lipids wt%]],Table2[[#This Row],[Protein wt%]],Table2[[#This Row],[Carbs wt%]]))</f>
        <v>88.199999999999989</v>
      </c>
      <c r="M406" s="15">
        <v>11.8</v>
      </c>
      <c r="Z406" s="15">
        <v>51</v>
      </c>
      <c r="AA406" s="15">
        <v>6.6</v>
      </c>
      <c r="AB406" s="15">
        <f>100-(Table2[[#This Row],[C%]]+Table2[[#This Row],[H%]]+Table2[[#This Row],[N%]]+Table2[[#This Row],[S%]])</f>
        <v>35.099999999999994</v>
      </c>
      <c r="AC406" s="15">
        <v>6.9</v>
      </c>
      <c r="AD406" s="15">
        <v>0.4</v>
      </c>
      <c r="AE406" s="15"/>
      <c r="AF406" s="15">
        <f>(33.5*Table2[[#This Row],[C%]]+142.3*Table2[[#This Row],[H%]]-15.4*Table2[[#This Row],[O%]]-14.5*Table2[[#This Row],[N%]])/100</f>
        <v>20.070900000000005</v>
      </c>
      <c r="AG406" s="15">
        <v>4.2999999999999997E-2</v>
      </c>
      <c r="AH406" s="15">
        <v>20</v>
      </c>
      <c r="AI406" s="15"/>
      <c r="AJ406" s="15">
        <v>6</v>
      </c>
      <c r="AM406" s="13">
        <v>1.34613</v>
      </c>
      <c r="AN406">
        <v>3.5</v>
      </c>
      <c r="AO406" s="15">
        <v>5</v>
      </c>
      <c r="AP406" s="15">
        <f>LN(25/Table2[[#This Row],[Temperature (C)]]/(1-SQRT((Table2[[#This Row],[Temperature (C)]]-5)/Table2[[#This Row],[Temperature (C)]])))/Table2[[#This Row],[b]]</f>
        <v>1.7067795612449472</v>
      </c>
      <c r="AQ406" s="15">
        <f>IF(Table2[[#This Row],[b]]&lt;&gt;"",Table2[[#This Row],[T-5]], 0)</f>
        <v>1.7067795612449472</v>
      </c>
      <c r="AR406">
        <f>Table2[[#This Row],[Time to reach temp min]]+Table2[[#This Row],[Holding Time (min)]]</f>
        <v>8.5</v>
      </c>
      <c r="AT406" t="s">
        <v>503</v>
      </c>
      <c r="AU406">
        <v>250</v>
      </c>
      <c r="AV406" s="15">
        <v>24.7</v>
      </c>
      <c r="AW406" s="15">
        <v>34.4</v>
      </c>
      <c r="AX406" s="15">
        <v>26.2</v>
      </c>
      <c r="AY406" s="15">
        <v>6.7</v>
      </c>
      <c r="AZ406" s="15"/>
      <c r="BA406" s="15"/>
      <c r="BB406" s="15">
        <f>IF(OR(Table2[[#This Row],[Gas wt%]]&lt;&gt;"",Table2[[#This Row],[Loss]]&lt;&gt;""),Table2[[#This Row],[Gas wt%]]+Table2[[#This Row],[Loss]],"")</f>
        <v>6.7</v>
      </c>
      <c r="BC406" s="15"/>
      <c r="BD406" s="15"/>
      <c r="BE406" s="15"/>
      <c r="BF406" s="15"/>
      <c r="BG406" s="15"/>
      <c r="BH406" s="15">
        <f>100-SUM(Table2[[#This Row],[Solids wt%]:[Gas wt%]])</f>
        <v>8</v>
      </c>
      <c r="BI406" s="15">
        <v>71.5</v>
      </c>
      <c r="BJ406" s="15">
        <v>9.6999999999999993</v>
      </c>
      <c r="BK406" s="15">
        <v>11.5</v>
      </c>
      <c r="BL406" s="15">
        <v>3.7</v>
      </c>
      <c r="BM406" s="15">
        <v>0.2</v>
      </c>
      <c r="BN406" s="15">
        <v>35.4</v>
      </c>
      <c r="BO406" s="15"/>
      <c r="BP406" s="15">
        <v>3.4</v>
      </c>
      <c r="BQ406" s="15">
        <f>Table2[[#This Row],[H% B]]/Table2[[#This Row],[C% B]]*100</f>
        <v>13.566433566433567</v>
      </c>
      <c r="BR406" s="15"/>
      <c r="BS406" s="15"/>
      <c r="BT406" s="15"/>
      <c r="BU406" s="15"/>
      <c r="BV406" s="15"/>
      <c r="BW406" s="15"/>
      <c r="BX406" s="15"/>
      <c r="BY406" s="15"/>
      <c r="BZ406" s="15"/>
      <c r="CA406" s="15"/>
      <c r="CB406" s="15"/>
      <c r="CC406" s="15"/>
      <c r="CD406" s="15"/>
      <c r="CE406" s="15"/>
      <c r="CF406" s="15"/>
      <c r="CG406" s="15"/>
      <c r="CH406" s="15"/>
      <c r="CI406" s="15"/>
      <c r="CJ406" s="15"/>
      <c r="CK406" s="15"/>
      <c r="CL406" s="15"/>
      <c r="CM406" s="15"/>
      <c r="CN406" s="15"/>
      <c r="CO406" s="15"/>
      <c r="CP406" s="15"/>
      <c r="CQ406" s="15"/>
      <c r="CR406" s="15"/>
      <c r="CS406" s="15"/>
      <c r="CT406" s="15"/>
      <c r="CU406" s="15"/>
      <c r="CV406" s="15"/>
      <c r="CW406" s="15"/>
      <c r="CX406" s="15"/>
      <c r="CY406" s="15"/>
      <c r="CZ406" s="15"/>
      <c r="DA406" s="15"/>
      <c r="DB406" s="15">
        <v>0</v>
      </c>
    </row>
    <row r="407" spans="1:106" x14ac:dyDescent="0.25">
      <c r="A407" t="s">
        <v>413</v>
      </c>
      <c r="B407" t="s">
        <v>148</v>
      </c>
      <c r="C407">
        <v>2013</v>
      </c>
      <c r="D407" s="16" t="s">
        <v>206</v>
      </c>
      <c r="E407">
        <v>0</v>
      </c>
      <c r="F407" s="15">
        <v>19.2</v>
      </c>
      <c r="G407" s="15"/>
      <c r="H407" s="15"/>
      <c r="I407" s="15">
        <v>43.899999999999991</v>
      </c>
      <c r="J407" s="15">
        <v>25.099999999999998</v>
      </c>
      <c r="K407" s="15"/>
      <c r="L407" s="15">
        <f>IF(Table2[[#This Row],[Lipids wt%]]+Table2[[#This Row],[Protein wt%]]+Table2[[#This Row],[Carbs wt%]] =0,"",SUM(Table2[[#This Row],[Lipids wt%]],Table2[[#This Row],[Protein wt%]],Table2[[#This Row],[Carbs wt%]]))</f>
        <v>88.199999999999989</v>
      </c>
      <c r="M407" s="15">
        <v>11.8</v>
      </c>
      <c r="Z407" s="15">
        <v>51</v>
      </c>
      <c r="AA407" s="15">
        <v>6.6</v>
      </c>
      <c r="AB407" s="15">
        <f>100-(Table2[[#This Row],[C%]]+Table2[[#This Row],[H%]]+Table2[[#This Row],[N%]]+Table2[[#This Row],[S%]])</f>
        <v>35.099999999999994</v>
      </c>
      <c r="AC407" s="15">
        <v>6.9</v>
      </c>
      <c r="AD407" s="15">
        <v>0.4</v>
      </c>
      <c r="AE407" s="15"/>
      <c r="AF407" s="15">
        <f>(33.5*Table2[[#This Row],[C%]]+142.3*Table2[[#This Row],[H%]]-15.4*Table2[[#This Row],[O%]]-14.5*Table2[[#This Row],[N%]])/100</f>
        <v>20.070900000000005</v>
      </c>
      <c r="AG407" s="15">
        <v>4.2999999999999997E-2</v>
      </c>
      <c r="AH407" s="15">
        <v>20</v>
      </c>
      <c r="AI407" s="15"/>
      <c r="AJ407" s="15">
        <v>6</v>
      </c>
      <c r="AM407" s="13">
        <v>0.81907300000000005</v>
      </c>
      <c r="AN407">
        <v>6</v>
      </c>
      <c r="AO407" s="15">
        <v>5</v>
      </c>
      <c r="AP407" s="15">
        <f>LN(25/Table2[[#This Row],[Temperature (C)]]/(1-SQRT((Table2[[#This Row],[Temperature (C)]]-5)/Table2[[#This Row],[Temperature (C)]])))/Table2[[#This Row],[b]]</f>
        <v>2.807118496698755</v>
      </c>
      <c r="AQ407" s="15">
        <f>IF(Table2[[#This Row],[b]]&lt;&gt;"",Table2[[#This Row],[T-5]], 0)</f>
        <v>2.807118496698755</v>
      </c>
      <c r="AR407">
        <f>Table2[[#This Row],[Time to reach temp min]]+Table2[[#This Row],[Holding Time (min)]]</f>
        <v>11</v>
      </c>
      <c r="AT407" t="s">
        <v>503</v>
      </c>
      <c r="AU407">
        <v>375</v>
      </c>
      <c r="AV407" s="15">
        <v>6.1</v>
      </c>
      <c r="AW407" s="15">
        <v>54.3</v>
      </c>
      <c r="AX407" s="15">
        <v>18.899999999999999</v>
      </c>
      <c r="AY407" s="15">
        <v>20.3</v>
      </c>
      <c r="AZ407" s="15"/>
      <c r="BA407" s="15"/>
      <c r="BB407" s="15">
        <f>IF(OR(Table2[[#This Row],[Gas wt%]]&lt;&gt;"",Table2[[#This Row],[Loss]]&lt;&gt;""),Table2[[#This Row],[Gas wt%]]+Table2[[#This Row],[Loss]],"")</f>
        <v>20.3</v>
      </c>
      <c r="BC407" s="15"/>
      <c r="BD407" s="15"/>
      <c r="BE407" s="15"/>
      <c r="BF407" s="15"/>
      <c r="BG407" s="15"/>
      <c r="BH407" s="15">
        <f>100-SUM(Table2[[#This Row],[Solids wt%]:[Gas wt%]])</f>
        <v>0.40000000000000568</v>
      </c>
      <c r="BI407" s="15">
        <v>74.7</v>
      </c>
      <c r="BJ407" s="15">
        <v>9.9</v>
      </c>
      <c r="BK407" s="15">
        <v>8.5</v>
      </c>
      <c r="BL407" s="15">
        <v>5.2</v>
      </c>
      <c r="BM407" s="15">
        <v>0.4</v>
      </c>
      <c r="BN407" s="15">
        <v>37.200000000000003</v>
      </c>
      <c r="BO407" s="15"/>
      <c r="BP407" s="15">
        <v>1.3</v>
      </c>
      <c r="BQ407" s="15">
        <f>Table2[[#This Row],[H% B]]/Table2[[#This Row],[C% B]]*100</f>
        <v>13.253012048192772</v>
      </c>
      <c r="BR407" s="15"/>
      <c r="BS407" s="15"/>
      <c r="BT407" s="15"/>
      <c r="BU407" s="15"/>
      <c r="BV407" s="15"/>
      <c r="BW407" s="15"/>
      <c r="BX407" s="15"/>
      <c r="BY407" s="15"/>
      <c r="BZ407" s="15"/>
      <c r="CA407" s="15"/>
      <c r="CB407" s="15"/>
      <c r="CC407" s="15"/>
      <c r="CD407" s="15"/>
      <c r="CE407" s="15"/>
      <c r="CF407" s="15"/>
      <c r="CG407" s="15"/>
      <c r="CH407" s="15"/>
      <c r="CI407" s="15"/>
      <c r="CJ407" s="15"/>
      <c r="CK407" s="15"/>
      <c r="CL407" s="15"/>
      <c r="CM407" s="15"/>
      <c r="CN407" s="15"/>
      <c r="CO407" s="15"/>
      <c r="CP407" s="15"/>
      <c r="CQ407" s="15"/>
      <c r="CR407" s="15"/>
      <c r="CS407" s="15"/>
      <c r="CT407" s="15"/>
      <c r="CU407" s="15"/>
      <c r="CV407" s="15"/>
      <c r="CW407" s="15"/>
      <c r="CX407" s="15"/>
      <c r="CY407" s="15"/>
      <c r="CZ407" s="15"/>
      <c r="DA407" s="15"/>
      <c r="DB407" s="15">
        <v>0</v>
      </c>
    </row>
    <row r="408" spans="1:106" x14ac:dyDescent="0.25">
      <c r="A408" t="s">
        <v>413</v>
      </c>
      <c r="B408" t="s">
        <v>148</v>
      </c>
      <c r="C408">
        <v>2013</v>
      </c>
      <c r="D408" s="16" t="s">
        <v>410</v>
      </c>
      <c r="E408">
        <v>0</v>
      </c>
      <c r="F408" s="15">
        <v>14.499999999999996</v>
      </c>
      <c r="G408" s="15"/>
      <c r="H408" s="15"/>
      <c r="I408" s="15">
        <v>51.7</v>
      </c>
      <c r="J408" s="15">
        <v>21.8</v>
      </c>
      <c r="K408" s="15"/>
      <c r="L408" s="15">
        <f>IF(Table2[[#This Row],[Lipids wt%]]+Table2[[#This Row],[Protein wt%]]+Table2[[#This Row],[Carbs wt%]] =0,"",SUM(Table2[[#This Row],[Lipids wt%]],Table2[[#This Row],[Protein wt%]],Table2[[#This Row],[Carbs wt%]]))</f>
        <v>88</v>
      </c>
      <c r="M408" s="15">
        <v>12</v>
      </c>
      <c r="Z408" s="15">
        <v>50.6</v>
      </c>
      <c r="AA408" s="15">
        <v>6.4</v>
      </c>
      <c r="AB408" s="15">
        <f>100-(Table2[[#This Row],[C%]]+Table2[[#This Row],[H%]]+Table2[[#This Row],[N%]]+Table2[[#This Row],[S%]])</f>
        <v>35.799999999999997</v>
      </c>
      <c r="AC408" s="15">
        <v>6.8</v>
      </c>
      <c r="AD408" s="15">
        <v>0.4</v>
      </c>
      <c r="AE408" s="15"/>
      <c r="AF408" s="15">
        <f>(33.5*Table2[[#This Row],[C%]]+142.3*Table2[[#This Row],[H%]]-15.4*Table2[[#This Row],[O%]]-14.5*Table2[[#This Row],[N%]])/100</f>
        <v>19.559000000000001</v>
      </c>
      <c r="AG408" s="15">
        <v>4.2999999999999997E-2</v>
      </c>
      <c r="AH408" s="15">
        <v>20</v>
      </c>
      <c r="AI408" s="15"/>
      <c r="AJ408" s="15">
        <v>6</v>
      </c>
      <c r="AM408" s="13">
        <v>1.34613</v>
      </c>
      <c r="AN408">
        <v>3.5</v>
      </c>
      <c r="AO408" s="15">
        <v>5</v>
      </c>
      <c r="AP408" s="15">
        <f>LN(25/Table2[[#This Row],[Temperature (C)]]/(1-SQRT((Table2[[#This Row],[Temperature (C)]]-5)/Table2[[#This Row],[Temperature (C)]])))/Table2[[#This Row],[b]]</f>
        <v>1.7067795612449472</v>
      </c>
      <c r="AQ408" s="15">
        <f>IF(Table2[[#This Row],[b]]&lt;&gt;"",Table2[[#This Row],[T-5]], 0)</f>
        <v>1.7067795612449472</v>
      </c>
      <c r="AR408">
        <f>Table2[[#This Row],[Time to reach temp min]]+Table2[[#This Row],[Holding Time (min)]]</f>
        <v>8.5</v>
      </c>
      <c r="AT408" t="s">
        <v>503</v>
      </c>
      <c r="AU408">
        <v>250</v>
      </c>
      <c r="AV408" s="15">
        <v>36.6</v>
      </c>
      <c r="AW408" s="15">
        <v>35.700000000000003</v>
      </c>
      <c r="AX408" s="15">
        <v>17.5</v>
      </c>
      <c r="AY408" s="15">
        <v>9.6999999999999993</v>
      </c>
      <c r="AZ408" s="15"/>
      <c r="BA408" s="15"/>
      <c r="BB408" s="15">
        <f>IF(OR(Table2[[#This Row],[Gas wt%]]&lt;&gt;"",Table2[[#This Row],[Loss]]&lt;&gt;""),Table2[[#This Row],[Gas wt%]]+Table2[[#This Row],[Loss]],"")</f>
        <v>9.6999999999999993</v>
      </c>
      <c r="BC408" s="15"/>
      <c r="BD408" s="15"/>
      <c r="BE408" s="15"/>
      <c r="BF408" s="15"/>
      <c r="BG408" s="15"/>
      <c r="BH408" s="15">
        <f>100-SUM(Table2[[#This Row],[Solids wt%]:[Gas wt%]])</f>
        <v>0.49999999999998579</v>
      </c>
      <c r="BI408" s="15">
        <v>72.599999999999994</v>
      </c>
      <c r="BJ408" s="15">
        <v>9.4</v>
      </c>
      <c r="BK408" s="15">
        <v>12.5</v>
      </c>
      <c r="BL408" s="15">
        <v>4.0999999999999996</v>
      </c>
      <c r="BM408" s="15">
        <v>0.3</v>
      </c>
      <c r="BN408" s="15">
        <v>35.299999999999997</v>
      </c>
      <c r="BO408" s="15"/>
      <c r="BP408" s="15">
        <v>1.2</v>
      </c>
      <c r="BQ408" s="15">
        <f>Table2[[#This Row],[H% B]]/Table2[[#This Row],[C% B]]*100</f>
        <v>12.947658402203857</v>
      </c>
      <c r="BR408" s="15"/>
      <c r="BS408" s="15"/>
      <c r="BT408" s="15"/>
      <c r="BU408" s="15"/>
      <c r="BV408" s="15"/>
      <c r="BW408" s="15"/>
      <c r="BX408" s="15"/>
      <c r="BY408" s="15"/>
      <c r="BZ408" s="15"/>
      <c r="CA408" s="15"/>
      <c r="CB408" s="15"/>
      <c r="CC408" s="15"/>
      <c r="CD408" s="15"/>
      <c r="CE408" s="15"/>
      <c r="CF408" s="15"/>
      <c r="CG408" s="15"/>
      <c r="CH408" s="15"/>
      <c r="CI408" s="15"/>
      <c r="CJ408" s="15"/>
      <c r="CK408" s="15"/>
      <c r="CL408" s="15"/>
      <c r="CM408" s="15"/>
      <c r="CN408" s="15"/>
      <c r="CO408" s="15"/>
      <c r="CP408" s="15"/>
      <c r="CQ408" s="15"/>
      <c r="CR408" s="15"/>
      <c r="CS408" s="15"/>
      <c r="CT408" s="15"/>
      <c r="CU408" s="15"/>
      <c r="CV408" s="15"/>
      <c r="CW408" s="15"/>
      <c r="CX408" s="15"/>
      <c r="CY408" s="15"/>
      <c r="CZ408" s="15"/>
      <c r="DA408" s="15"/>
      <c r="DB408" s="15">
        <v>0</v>
      </c>
    </row>
    <row r="409" spans="1:106" x14ac:dyDescent="0.25">
      <c r="A409" t="s">
        <v>413</v>
      </c>
      <c r="B409" t="s">
        <v>148</v>
      </c>
      <c r="C409">
        <v>2013</v>
      </c>
      <c r="D409" s="16" t="s">
        <v>410</v>
      </c>
      <c r="E409">
        <v>0</v>
      </c>
      <c r="F409" s="15">
        <v>14.499999999999996</v>
      </c>
      <c r="G409" s="15"/>
      <c r="H409" s="15"/>
      <c r="I409" s="15">
        <v>51.7</v>
      </c>
      <c r="J409" s="15">
        <v>21.8</v>
      </c>
      <c r="K409" s="15"/>
      <c r="L409" s="15">
        <f>IF(Table2[[#This Row],[Lipids wt%]]+Table2[[#This Row],[Protein wt%]]+Table2[[#This Row],[Carbs wt%]] =0,"",SUM(Table2[[#This Row],[Lipids wt%]],Table2[[#This Row],[Protein wt%]],Table2[[#This Row],[Carbs wt%]]))</f>
        <v>88</v>
      </c>
      <c r="M409" s="15">
        <v>12</v>
      </c>
      <c r="Z409" s="15">
        <v>50.6</v>
      </c>
      <c r="AA409" s="15">
        <v>6.4</v>
      </c>
      <c r="AB409" s="15">
        <f>100-(Table2[[#This Row],[C%]]+Table2[[#This Row],[H%]]+Table2[[#This Row],[N%]]+Table2[[#This Row],[S%]])</f>
        <v>35.799999999999997</v>
      </c>
      <c r="AC409" s="15">
        <v>6.8</v>
      </c>
      <c r="AD409" s="15">
        <v>0.4</v>
      </c>
      <c r="AE409" s="15"/>
      <c r="AF409" s="15">
        <f>(33.5*Table2[[#This Row],[C%]]+142.3*Table2[[#This Row],[H%]]-15.4*Table2[[#This Row],[O%]]-14.5*Table2[[#This Row],[N%]])/100</f>
        <v>19.559000000000001</v>
      </c>
      <c r="AG409" s="15">
        <v>4.2999999999999997E-2</v>
      </c>
      <c r="AH409" s="15">
        <v>20</v>
      </c>
      <c r="AI409" s="15"/>
      <c r="AJ409" s="15">
        <v>6</v>
      </c>
      <c r="AM409" s="13">
        <v>0.81907300000000005</v>
      </c>
      <c r="AN409">
        <v>6</v>
      </c>
      <c r="AO409" s="15">
        <v>5</v>
      </c>
      <c r="AP409" s="15">
        <f>LN(25/Table2[[#This Row],[Temperature (C)]]/(1-SQRT((Table2[[#This Row],[Temperature (C)]]-5)/Table2[[#This Row],[Temperature (C)]])))/Table2[[#This Row],[b]]</f>
        <v>2.807118496698755</v>
      </c>
      <c r="AQ409" s="15">
        <f>IF(Table2[[#This Row],[b]]&lt;&gt;"",Table2[[#This Row],[T-5]], 0)</f>
        <v>2.807118496698755</v>
      </c>
      <c r="AR409">
        <f>Table2[[#This Row],[Time to reach temp min]]+Table2[[#This Row],[Holding Time (min)]]</f>
        <v>11</v>
      </c>
      <c r="AT409" t="s">
        <v>503</v>
      </c>
      <c r="AU409">
        <v>375</v>
      </c>
      <c r="AV409" s="15">
        <v>2.5</v>
      </c>
      <c r="AW409" s="15">
        <v>58.1</v>
      </c>
      <c r="AX409" s="15">
        <v>12.8</v>
      </c>
      <c r="AY409" s="15">
        <v>26.3</v>
      </c>
      <c r="AZ409" s="15"/>
      <c r="BA409" s="15"/>
      <c r="BB409" s="15">
        <f>IF(OR(Table2[[#This Row],[Gas wt%]]&lt;&gt;"",Table2[[#This Row],[Loss]]&lt;&gt;""),Table2[[#This Row],[Gas wt%]]+Table2[[#This Row],[Loss]],"")</f>
        <v>26.3</v>
      </c>
      <c r="BC409" s="15"/>
      <c r="BD409" s="15"/>
      <c r="BE409" s="15"/>
      <c r="BF409" s="15"/>
      <c r="BG409" s="15"/>
      <c r="BH409" s="15">
        <f>100-SUM(Table2[[#This Row],[Solids wt%]:[Gas wt%]])</f>
        <v>0.29999999999999716</v>
      </c>
      <c r="BI409" s="15">
        <v>74.3</v>
      </c>
      <c r="BJ409" s="15">
        <v>9.1</v>
      </c>
      <c r="BK409" s="15">
        <v>8.4</v>
      </c>
      <c r="BL409" s="15">
        <v>6.1</v>
      </c>
      <c r="BM409" s="15">
        <v>0.4</v>
      </c>
      <c r="BN409" s="15">
        <v>36.200000000000003</v>
      </c>
      <c r="BO409" s="15"/>
      <c r="BP409" s="15">
        <v>1.7</v>
      </c>
      <c r="BQ409" s="15">
        <f>Table2[[#This Row],[H% B]]/Table2[[#This Row],[C% B]]*100</f>
        <v>12.24764468371467</v>
      </c>
      <c r="BR409" s="15"/>
      <c r="BS409" s="15"/>
      <c r="BT409" s="15"/>
      <c r="BU409" s="15"/>
      <c r="BV409" s="15"/>
      <c r="BW409" s="15"/>
      <c r="BX409" s="15"/>
      <c r="BY409" s="15"/>
      <c r="BZ409" s="15"/>
      <c r="CA409" s="15"/>
      <c r="CB409" s="15"/>
      <c r="CC409" s="15"/>
      <c r="CD409" s="15"/>
      <c r="CE409" s="15"/>
      <c r="CF409" s="15"/>
      <c r="CG409" s="15"/>
      <c r="CH409" s="15"/>
      <c r="CI409" s="15"/>
      <c r="CJ409" s="15"/>
      <c r="CK409" s="15"/>
      <c r="CL409" s="15"/>
      <c r="CM409" s="15"/>
      <c r="CN409" s="15"/>
      <c r="CO409" s="15"/>
      <c r="CP409" s="15"/>
      <c r="CQ409" s="15"/>
      <c r="CR409" s="15"/>
      <c r="CS409" s="15"/>
      <c r="CT409" s="15"/>
      <c r="CU409" s="15"/>
      <c r="CV409" s="15"/>
      <c r="CW409" s="15"/>
      <c r="CX409" s="15"/>
      <c r="CY409" s="15"/>
      <c r="CZ409" s="15"/>
      <c r="DA409" s="15"/>
      <c r="DB409" s="15">
        <v>0</v>
      </c>
    </row>
    <row r="410" spans="1:106" x14ac:dyDescent="0.25">
      <c r="A410" t="s">
        <v>413</v>
      </c>
      <c r="B410" t="s">
        <v>148</v>
      </c>
      <c r="C410">
        <v>2013</v>
      </c>
      <c r="D410" s="16" t="s">
        <v>411</v>
      </c>
      <c r="E410">
        <v>0</v>
      </c>
      <c r="F410" s="15">
        <v>21</v>
      </c>
      <c r="G410" s="15"/>
      <c r="H410" s="15"/>
      <c r="I410" s="15">
        <v>43.6</v>
      </c>
      <c r="J410" s="15">
        <v>19.5</v>
      </c>
      <c r="K410" s="15"/>
      <c r="L410" s="15">
        <f>IF(Table2[[#This Row],[Lipids wt%]]+Table2[[#This Row],[Protein wt%]]+Table2[[#This Row],[Carbs wt%]] =0,"",SUM(Table2[[#This Row],[Lipids wt%]],Table2[[#This Row],[Protein wt%]],Table2[[#This Row],[Carbs wt%]]))</f>
        <v>84.1</v>
      </c>
      <c r="M410" s="15">
        <v>15.9</v>
      </c>
      <c r="Z410" s="15">
        <v>45</v>
      </c>
      <c r="AA410" s="15">
        <v>5.9</v>
      </c>
      <c r="AB410" s="15">
        <f>100-(Table2[[#This Row],[C%]]+Table2[[#This Row],[H%]]+Table2[[#This Row],[N%]]+Table2[[#This Row],[S%]])</f>
        <v>41.7</v>
      </c>
      <c r="AC410" s="15">
        <v>6.3</v>
      </c>
      <c r="AD410" s="15">
        <v>1.1000000000000001</v>
      </c>
      <c r="AE410" s="15"/>
      <c r="AF410" s="15">
        <f>(33.5*Table2[[#This Row],[C%]]+142.3*Table2[[#This Row],[H%]]-15.4*Table2[[#This Row],[O%]]-14.5*Table2[[#This Row],[N%]])/100</f>
        <v>16.135400000000001</v>
      </c>
      <c r="AG410" s="15">
        <v>4.2999999999999997E-2</v>
      </c>
      <c r="AH410" s="15">
        <v>20</v>
      </c>
      <c r="AI410" s="15"/>
      <c r="AJ410" s="15">
        <v>6</v>
      </c>
      <c r="AM410" s="13">
        <v>1.34613</v>
      </c>
      <c r="AN410">
        <v>3.5</v>
      </c>
      <c r="AO410" s="15">
        <v>5</v>
      </c>
      <c r="AP410" s="15">
        <f>LN(25/Table2[[#This Row],[Temperature (C)]]/(1-SQRT((Table2[[#This Row],[Temperature (C)]]-5)/Table2[[#This Row],[Temperature (C)]])))/Table2[[#This Row],[b]]</f>
        <v>1.7067795612449472</v>
      </c>
      <c r="AQ410" s="15">
        <f>IF(Table2[[#This Row],[b]]&lt;&gt;"",Table2[[#This Row],[T-5]], 0)</f>
        <v>1.7067795612449472</v>
      </c>
      <c r="AR410">
        <f>Table2[[#This Row],[Time to reach temp min]]+Table2[[#This Row],[Holding Time (min)]]</f>
        <v>8.5</v>
      </c>
      <c r="AT410" t="s">
        <v>503</v>
      </c>
      <c r="AU410">
        <v>250</v>
      </c>
      <c r="AV410" s="15">
        <v>21.1</v>
      </c>
      <c r="AW410" s="15">
        <v>29.4</v>
      </c>
      <c r="AX410" s="15">
        <v>28</v>
      </c>
      <c r="AY410" s="15">
        <v>12.6</v>
      </c>
      <c r="AZ410" s="15"/>
      <c r="BA410" s="15"/>
      <c r="BB410" s="15">
        <f>IF(OR(Table2[[#This Row],[Gas wt%]]&lt;&gt;"",Table2[[#This Row],[Loss]]&lt;&gt;""),Table2[[#This Row],[Gas wt%]]+Table2[[#This Row],[Loss]],"")</f>
        <v>12.6</v>
      </c>
      <c r="BC410" s="15"/>
      <c r="BD410" s="15"/>
      <c r="BE410" s="15"/>
      <c r="BF410" s="15"/>
      <c r="BG410" s="15"/>
      <c r="BH410" s="15">
        <f>100-SUM(Table2[[#This Row],[Solids wt%]:[Gas wt%]])</f>
        <v>8.9000000000000057</v>
      </c>
      <c r="BI410" s="15">
        <v>62.6</v>
      </c>
      <c r="BJ410" s="15">
        <v>7.4</v>
      </c>
      <c r="BK410" s="15">
        <v>14</v>
      </c>
      <c r="BL410" s="15">
        <v>4.8</v>
      </c>
      <c r="BM410" s="15">
        <v>0.4</v>
      </c>
      <c r="BN410" s="15">
        <v>29.3</v>
      </c>
      <c r="BO410" s="15"/>
      <c r="BP410" s="15">
        <v>10.9</v>
      </c>
      <c r="BQ410" s="15">
        <f>Table2[[#This Row],[H% B]]/Table2[[#This Row],[C% B]]*100</f>
        <v>11.821086261980831</v>
      </c>
      <c r="BR410" s="15"/>
      <c r="BS410" s="15"/>
      <c r="BT410" s="15"/>
      <c r="BU410" s="15"/>
      <c r="BV410" s="15"/>
      <c r="BW410" s="15"/>
      <c r="BX410" s="15"/>
      <c r="BY410" s="15"/>
      <c r="BZ410" s="15"/>
      <c r="CA410" s="15"/>
      <c r="CB410" s="15"/>
      <c r="CC410" s="15"/>
      <c r="CD410" s="15"/>
      <c r="CE410" s="15"/>
      <c r="CF410" s="15"/>
      <c r="CG410" s="15"/>
      <c r="CH410" s="15"/>
      <c r="CI410" s="15"/>
      <c r="CJ410" s="15"/>
      <c r="CK410" s="15"/>
      <c r="CL410" s="15"/>
      <c r="CM410" s="15"/>
      <c r="CN410" s="15"/>
      <c r="CO410" s="15"/>
      <c r="CP410" s="15"/>
      <c r="CQ410" s="15"/>
      <c r="CR410" s="15"/>
      <c r="CS410" s="15"/>
      <c r="CT410" s="15"/>
      <c r="CU410" s="15"/>
      <c r="CV410" s="15"/>
      <c r="CW410" s="15"/>
      <c r="CX410" s="15"/>
      <c r="CY410" s="15"/>
      <c r="CZ410" s="15"/>
      <c r="DA410" s="15"/>
      <c r="DB410" s="15">
        <v>0</v>
      </c>
    </row>
    <row r="411" spans="1:106" x14ac:dyDescent="0.25">
      <c r="A411" t="s">
        <v>413</v>
      </c>
      <c r="B411" t="s">
        <v>148</v>
      </c>
      <c r="C411">
        <v>2013</v>
      </c>
      <c r="D411" s="16" t="s">
        <v>411</v>
      </c>
      <c r="E411">
        <v>0</v>
      </c>
      <c r="F411" s="15">
        <v>21</v>
      </c>
      <c r="G411" s="15"/>
      <c r="H411" s="15"/>
      <c r="I411" s="15">
        <v>43.6</v>
      </c>
      <c r="J411" s="15">
        <v>19.5</v>
      </c>
      <c r="K411" s="15"/>
      <c r="L411" s="15">
        <f>IF(Table2[[#This Row],[Lipids wt%]]+Table2[[#This Row],[Protein wt%]]+Table2[[#This Row],[Carbs wt%]] =0,"",SUM(Table2[[#This Row],[Lipids wt%]],Table2[[#This Row],[Protein wt%]],Table2[[#This Row],[Carbs wt%]]))</f>
        <v>84.1</v>
      </c>
      <c r="M411" s="15">
        <v>15.9</v>
      </c>
      <c r="Z411" s="15">
        <v>45</v>
      </c>
      <c r="AA411" s="15">
        <v>5.9</v>
      </c>
      <c r="AB411" s="15">
        <f>100-(Table2[[#This Row],[C%]]+Table2[[#This Row],[H%]]+Table2[[#This Row],[N%]]+Table2[[#This Row],[S%]])</f>
        <v>41.7</v>
      </c>
      <c r="AC411" s="15">
        <v>6.3</v>
      </c>
      <c r="AD411" s="15">
        <v>1.1000000000000001</v>
      </c>
      <c r="AE411" s="15"/>
      <c r="AF411" s="15">
        <f>(33.5*Table2[[#This Row],[C%]]+142.3*Table2[[#This Row],[H%]]-15.4*Table2[[#This Row],[O%]]-14.5*Table2[[#This Row],[N%]])/100</f>
        <v>16.135400000000001</v>
      </c>
      <c r="AG411" s="15">
        <v>4.2999999999999997E-2</v>
      </c>
      <c r="AH411" s="15">
        <v>20</v>
      </c>
      <c r="AI411" s="15"/>
      <c r="AJ411" s="15">
        <v>6</v>
      </c>
      <c r="AM411" s="13">
        <v>0.81907300000000005</v>
      </c>
      <c r="AN411">
        <v>6</v>
      </c>
      <c r="AO411" s="15">
        <v>5</v>
      </c>
      <c r="AP411" s="15">
        <f>LN(25/Table2[[#This Row],[Temperature (C)]]/(1-SQRT((Table2[[#This Row],[Temperature (C)]]-5)/Table2[[#This Row],[Temperature (C)]])))/Table2[[#This Row],[b]]</f>
        <v>2.807118496698755</v>
      </c>
      <c r="AQ411" s="15">
        <f>IF(Table2[[#This Row],[b]]&lt;&gt;"",Table2[[#This Row],[T-5]], 0)</f>
        <v>2.807118496698755</v>
      </c>
      <c r="AR411">
        <f>Table2[[#This Row],[Time to reach temp min]]+Table2[[#This Row],[Holding Time (min)]]</f>
        <v>11</v>
      </c>
      <c r="AT411" t="s">
        <v>503</v>
      </c>
      <c r="AU411">
        <v>375</v>
      </c>
      <c r="AV411" s="15">
        <v>3.9</v>
      </c>
      <c r="AW411" s="15">
        <v>45.6</v>
      </c>
      <c r="AX411" s="15">
        <v>15.2</v>
      </c>
      <c r="AY411" s="15">
        <v>25.6</v>
      </c>
      <c r="AZ411" s="15"/>
      <c r="BA411" s="15"/>
      <c r="BB411" s="15">
        <f>IF(OR(Table2[[#This Row],[Gas wt%]]&lt;&gt;"",Table2[[#This Row],[Loss]]&lt;&gt;""),Table2[[#This Row],[Gas wt%]]+Table2[[#This Row],[Loss]],"")</f>
        <v>25.6</v>
      </c>
      <c r="BC411" s="15"/>
      <c r="BD411" s="15"/>
      <c r="BE411" s="15"/>
      <c r="BF411" s="15"/>
      <c r="BG411" s="15"/>
      <c r="BH411" s="15">
        <f>100-SUM(Table2[[#This Row],[Solids wt%]:[Gas wt%]])</f>
        <v>9.6999999999999886</v>
      </c>
      <c r="BI411" s="15">
        <v>74</v>
      </c>
      <c r="BJ411" s="15">
        <v>9</v>
      </c>
      <c r="BK411" s="15">
        <v>7.7</v>
      </c>
      <c r="BL411" s="15">
        <v>6.1</v>
      </c>
      <c r="BM411" s="15">
        <v>0.9</v>
      </c>
      <c r="BN411" s="15">
        <v>36</v>
      </c>
      <c r="BO411" s="15"/>
      <c r="BP411" s="15">
        <v>2.4</v>
      </c>
      <c r="BQ411" s="15">
        <f>Table2[[#This Row],[H% B]]/Table2[[#This Row],[C% B]]*100</f>
        <v>12.162162162162163</v>
      </c>
      <c r="BR411" s="15"/>
      <c r="BS411" s="15"/>
      <c r="BT411" s="15"/>
      <c r="BU411" s="15"/>
      <c r="BV411" s="15"/>
      <c r="BW411" s="15"/>
      <c r="BX411" s="15"/>
      <c r="BY411" s="15"/>
      <c r="BZ411" s="15"/>
      <c r="CA411" s="15"/>
      <c r="CB411" s="15"/>
      <c r="CC411" s="15"/>
      <c r="CD411" s="15"/>
      <c r="CE411" s="15"/>
      <c r="CF411" s="15"/>
      <c r="CG411" s="15"/>
      <c r="CH411" s="15"/>
      <c r="CI411" s="15"/>
      <c r="CJ411" s="15"/>
      <c r="CK411" s="15"/>
      <c r="CL411" s="15"/>
      <c r="CM411" s="15"/>
      <c r="CN411" s="15"/>
      <c r="CO411" s="15"/>
      <c r="CP411" s="15"/>
      <c r="CQ411" s="15"/>
      <c r="CR411" s="15"/>
      <c r="CS411" s="15"/>
      <c r="CT411" s="15"/>
      <c r="CU411" s="15"/>
      <c r="CV411" s="15"/>
      <c r="CW411" s="15"/>
      <c r="CX411" s="15"/>
      <c r="CY411" s="15"/>
      <c r="CZ411" s="15"/>
      <c r="DA411" s="15"/>
      <c r="DB411" s="15">
        <v>0</v>
      </c>
    </row>
    <row r="412" spans="1:106" x14ac:dyDescent="0.25">
      <c r="A412" t="s">
        <v>413</v>
      </c>
      <c r="B412" t="s">
        <v>148</v>
      </c>
      <c r="C412">
        <v>2013</v>
      </c>
      <c r="D412" s="16" t="s">
        <v>132</v>
      </c>
      <c r="E412">
        <v>0</v>
      </c>
      <c r="F412" s="15">
        <v>16.099999999999998</v>
      </c>
      <c r="G412" s="15"/>
      <c r="H412" s="15"/>
      <c r="I412" s="15">
        <v>41.2</v>
      </c>
      <c r="J412" s="15">
        <v>20.399999999999999</v>
      </c>
      <c r="K412" s="15"/>
      <c r="L412" s="15">
        <f>IF(Table2[[#This Row],[Lipids wt%]]+Table2[[#This Row],[Protein wt%]]+Table2[[#This Row],[Carbs wt%]] =0,"",SUM(Table2[[#This Row],[Lipids wt%]],Table2[[#This Row],[Protein wt%]],Table2[[#This Row],[Carbs wt%]]))</f>
        <v>77.7</v>
      </c>
      <c r="M412" s="15">
        <v>22.3</v>
      </c>
      <c r="Z412" s="15">
        <v>42.3</v>
      </c>
      <c r="AA412" s="15">
        <v>5.0999999999999996</v>
      </c>
      <c r="AB412" s="15">
        <f>100-(Table2[[#This Row],[C%]]+Table2[[#This Row],[H%]]+Table2[[#This Row],[N%]]+Table2[[#This Row],[S%]])</f>
        <v>46</v>
      </c>
      <c r="AC412" s="15">
        <v>6.2</v>
      </c>
      <c r="AD412" s="15">
        <v>0.4</v>
      </c>
      <c r="AE412" s="15"/>
      <c r="AF412" s="15">
        <f>(33.5*Table2[[#This Row],[C%]]+142.3*Table2[[#This Row],[H%]]-15.4*Table2[[#This Row],[O%]]-14.5*Table2[[#This Row],[N%]])/100</f>
        <v>13.444799999999995</v>
      </c>
      <c r="AG412" s="15">
        <v>4.2999999999999997E-2</v>
      </c>
      <c r="AH412" s="15">
        <v>20</v>
      </c>
      <c r="AI412" s="15"/>
      <c r="AJ412" s="15">
        <v>6</v>
      </c>
      <c r="AM412" s="13">
        <v>1.34613</v>
      </c>
      <c r="AN412">
        <v>3.5</v>
      </c>
      <c r="AO412" s="15">
        <v>5</v>
      </c>
      <c r="AP412" s="15">
        <f>LN(25/Table2[[#This Row],[Temperature (C)]]/(1-SQRT((Table2[[#This Row],[Temperature (C)]]-5)/Table2[[#This Row],[Temperature (C)]])))/Table2[[#This Row],[b]]</f>
        <v>1.7067795612449472</v>
      </c>
      <c r="AQ412" s="15">
        <f>IF(Table2[[#This Row],[b]]&lt;&gt;"",Table2[[#This Row],[T-5]], 0)</f>
        <v>1.7067795612449472</v>
      </c>
      <c r="AR412">
        <f>Table2[[#This Row],[Time to reach temp min]]+Table2[[#This Row],[Holding Time (min)]]</f>
        <v>8.5</v>
      </c>
      <c r="AT412" t="s">
        <v>503</v>
      </c>
      <c r="AU412">
        <v>250</v>
      </c>
      <c r="AV412" s="15">
        <v>27</v>
      </c>
      <c r="AW412" s="15">
        <v>33</v>
      </c>
      <c r="AX412" s="15">
        <v>29.9</v>
      </c>
      <c r="AY412" s="15">
        <v>10.8</v>
      </c>
      <c r="AZ412" s="15"/>
      <c r="BA412" s="15"/>
      <c r="BB412" s="15">
        <f>IF(OR(Table2[[#This Row],[Gas wt%]]&lt;&gt;"",Table2[[#This Row],[Loss]]&lt;&gt;""),Table2[[#This Row],[Gas wt%]]+Table2[[#This Row],[Loss]],"")</f>
        <v>10.8</v>
      </c>
      <c r="BC412" s="15"/>
      <c r="BD412" s="15"/>
      <c r="BE412" s="15"/>
      <c r="BF412" s="15"/>
      <c r="BG412" s="15"/>
      <c r="BH412" s="15"/>
      <c r="BI412" s="15">
        <v>70.599999999999994</v>
      </c>
      <c r="BJ412" s="15">
        <v>9.1999999999999993</v>
      </c>
      <c r="BK412" s="15">
        <v>12.3</v>
      </c>
      <c r="BL412" s="15">
        <v>5.5</v>
      </c>
      <c r="BM412" s="15">
        <v>0.4</v>
      </c>
      <c r="BN412" s="15">
        <v>34.4</v>
      </c>
      <c r="BO412" s="15"/>
      <c r="BP412" s="15">
        <v>2.2000000000000002</v>
      </c>
      <c r="BQ412" s="15">
        <f>Table2[[#This Row],[H% B]]/Table2[[#This Row],[C% B]]*100</f>
        <v>13.031161473087819</v>
      </c>
      <c r="BR412" s="15"/>
      <c r="BS412" s="15"/>
      <c r="BT412" s="15"/>
      <c r="BU412" s="15"/>
      <c r="BV412" s="15"/>
      <c r="BW412" s="15"/>
      <c r="BX412" s="15"/>
      <c r="BY412" s="15"/>
      <c r="BZ412" s="15"/>
      <c r="CA412" s="15"/>
      <c r="CB412" s="15"/>
      <c r="CC412" s="15"/>
      <c r="CD412" s="15"/>
      <c r="CE412" s="15"/>
      <c r="CF412" s="15"/>
      <c r="CG412" s="15"/>
      <c r="CH412" s="15"/>
      <c r="CI412" s="15"/>
      <c r="CJ412" s="15"/>
      <c r="CK412" s="15"/>
      <c r="CL412" s="15"/>
      <c r="CM412" s="15"/>
      <c r="CN412" s="15"/>
      <c r="CO412" s="15"/>
      <c r="CP412" s="15"/>
      <c r="CQ412" s="15"/>
      <c r="CR412" s="15"/>
      <c r="CS412" s="15"/>
      <c r="CT412" s="15"/>
      <c r="CU412" s="15"/>
      <c r="CV412" s="15"/>
      <c r="CW412" s="15"/>
      <c r="CX412" s="15"/>
      <c r="CY412" s="15"/>
      <c r="CZ412" s="15"/>
      <c r="DA412" s="15"/>
      <c r="DB412" s="15">
        <v>0</v>
      </c>
    </row>
    <row r="413" spans="1:106" x14ac:dyDescent="0.25">
      <c r="A413" t="s">
        <v>413</v>
      </c>
      <c r="B413" t="s">
        <v>148</v>
      </c>
      <c r="C413">
        <v>2013</v>
      </c>
      <c r="D413" s="16" t="s">
        <v>132</v>
      </c>
      <c r="E413">
        <v>0</v>
      </c>
      <c r="F413" s="15">
        <v>16.099999999999998</v>
      </c>
      <c r="G413" s="15"/>
      <c r="H413" s="15"/>
      <c r="I413" s="15">
        <v>41.2</v>
      </c>
      <c r="J413" s="15">
        <v>20.399999999999999</v>
      </c>
      <c r="K413" s="15"/>
      <c r="L413" s="15">
        <f>IF(Table2[[#This Row],[Lipids wt%]]+Table2[[#This Row],[Protein wt%]]+Table2[[#This Row],[Carbs wt%]] =0,"",SUM(Table2[[#This Row],[Lipids wt%]],Table2[[#This Row],[Protein wt%]],Table2[[#This Row],[Carbs wt%]]))</f>
        <v>77.7</v>
      </c>
      <c r="M413" s="15">
        <v>22.3</v>
      </c>
      <c r="Z413" s="15">
        <v>42.3</v>
      </c>
      <c r="AA413" s="15">
        <v>5.0999999999999996</v>
      </c>
      <c r="AB413" s="15">
        <f>100-(Table2[[#This Row],[C%]]+Table2[[#This Row],[H%]]+Table2[[#This Row],[N%]]+Table2[[#This Row],[S%]])</f>
        <v>46</v>
      </c>
      <c r="AC413" s="15">
        <v>6.2</v>
      </c>
      <c r="AD413" s="15">
        <v>0.4</v>
      </c>
      <c r="AE413" s="15"/>
      <c r="AF413" s="15">
        <f>(33.5*Table2[[#This Row],[C%]]+142.3*Table2[[#This Row],[H%]]-15.4*Table2[[#This Row],[O%]]-14.5*Table2[[#This Row],[N%]])/100</f>
        <v>13.444799999999995</v>
      </c>
      <c r="AG413" s="15">
        <v>4.2999999999999997E-2</v>
      </c>
      <c r="AH413" s="15">
        <v>20</v>
      </c>
      <c r="AI413" s="15"/>
      <c r="AJ413" s="15">
        <v>6</v>
      </c>
      <c r="AM413" s="13">
        <v>0.81907300000000005</v>
      </c>
      <c r="AN413">
        <v>6</v>
      </c>
      <c r="AO413" s="15">
        <v>5</v>
      </c>
      <c r="AP413" s="15">
        <f>LN(25/Table2[[#This Row],[Temperature (C)]]/(1-SQRT((Table2[[#This Row],[Temperature (C)]]-5)/Table2[[#This Row],[Temperature (C)]])))/Table2[[#This Row],[b]]</f>
        <v>2.807118496698755</v>
      </c>
      <c r="AQ413" s="15">
        <f>IF(Table2[[#This Row],[b]]&lt;&gt;"",Table2[[#This Row],[T-5]], 0)</f>
        <v>2.807118496698755</v>
      </c>
      <c r="AR413">
        <f>Table2[[#This Row],[Time to reach temp min]]+Table2[[#This Row],[Holding Time (min)]]</f>
        <v>11</v>
      </c>
      <c r="AT413" t="s">
        <v>503</v>
      </c>
      <c r="AU413">
        <v>375</v>
      </c>
      <c r="AV413" s="15">
        <v>3.9</v>
      </c>
      <c r="AW413" s="15">
        <v>55.3</v>
      </c>
      <c r="AX413" s="15">
        <v>16.8</v>
      </c>
      <c r="AY413" s="15">
        <v>22.4</v>
      </c>
      <c r="AZ413" s="15"/>
      <c r="BA413" s="15"/>
      <c r="BB413" s="15">
        <f>IF(OR(Table2[[#This Row],[Gas wt%]]&lt;&gt;"",Table2[[#This Row],[Loss]]&lt;&gt;""),Table2[[#This Row],[Gas wt%]]+Table2[[#This Row],[Loss]],"")</f>
        <v>22.4</v>
      </c>
      <c r="BC413" s="15"/>
      <c r="BD413" s="15"/>
      <c r="BE413" s="15"/>
      <c r="BF413" s="15"/>
      <c r="BG413" s="15"/>
      <c r="BH413" s="15">
        <f>100-SUM(Table2[[#This Row],[Solids wt%]:[Gas wt%]])</f>
        <v>1.5999999999999943</v>
      </c>
      <c r="BI413" s="15">
        <v>72.5</v>
      </c>
      <c r="BJ413" s="15">
        <v>8.6999999999999993</v>
      </c>
      <c r="BK413" s="15">
        <v>8.6</v>
      </c>
      <c r="BL413" s="15">
        <v>7.1</v>
      </c>
      <c r="BM413" s="15">
        <v>0.5</v>
      </c>
      <c r="BN413" s="15">
        <v>35</v>
      </c>
      <c r="BO413" s="15"/>
      <c r="BP413" s="15">
        <v>2.6</v>
      </c>
      <c r="BQ413" s="15">
        <f>Table2[[#This Row],[H% B]]/Table2[[#This Row],[C% B]]*100</f>
        <v>12</v>
      </c>
      <c r="BR413" s="15"/>
      <c r="BS413" s="15"/>
      <c r="BT413" s="15"/>
      <c r="BU413" s="15"/>
      <c r="BV413" s="15"/>
      <c r="BW413" s="15"/>
      <c r="BX413" s="15"/>
      <c r="BY413" s="15"/>
      <c r="BZ413" s="15"/>
      <c r="CA413" s="15"/>
      <c r="CB413" s="15"/>
      <c r="CC413" s="15"/>
      <c r="CD413" s="15"/>
      <c r="CE413" s="15"/>
      <c r="CF413" s="15"/>
      <c r="CG413" s="15"/>
      <c r="CH413" s="15"/>
      <c r="CI413" s="15"/>
      <c r="CJ413" s="15"/>
      <c r="CK413" s="15"/>
      <c r="CL413" s="15"/>
      <c r="CM413" s="15"/>
      <c r="CN413" s="15"/>
      <c r="CO413" s="15"/>
      <c r="CP413" s="15"/>
      <c r="CQ413" s="15"/>
      <c r="CR413" s="15"/>
      <c r="CS413" s="15"/>
      <c r="CT413" s="15"/>
      <c r="CU413" s="15"/>
      <c r="CV413" s="15"/>
      <c r="CW413" s="15"/>
      <c r="CX413" s="15"/>
      <c r="CY413" s="15"/>
      <c r="CZ413" s="15"/>
      <c r="DA413" s="15"/>
      <c r="DB413" s="15">
        <v>0</v>
      </c>
    </row>
    <row r="414" spans="1:106" x14ac:dyDescent="0.25">
      <c r="A414" t="s">
        <v>413</v>
      </c>
      <c r="B414" t="s">
        <v>148</v>
      </c>
      <c r="C414">
        <v>2013</v>
      </c>
      <c r="D414" s="16" t="s">
        <v>412</v>
      </c>
      <c r="E414">
        <v>0</v>
      </c>
      <c r="F414" s="15">
        <v>32.5</v>
      </c>
      <c r="G414" s="15"/>
      <c r="H414" s="15"/>
      <c r="I414" s="15">
        <v>45.6</v>
      </c>
      <c r="J414" s="15">
        <v>12.1</v>
      </c>
      <c r="K414" s="15"/>
      <c r="L414" s="15">
        <f>IF(Table2[[#This Row],[Lipids wt%]]+Table2[[#This Row],[Protein wt%]]+Table2[[#This Row],[Carbs wt%]] =0,"",SUM(Table2[[#This Row],[Lipids wt%]],Table2[[#This Row],[Protein wt%]],Table2[[#This Row],[Carbs wt%]]))</f>
        <v>90.2</v>
      </c>
      <c r="M414" s="15">
        <v>9.8000000000000007</v>
      </c>
      <c r="Z414" s="15">
        <v>45.6</v>
      </c>
      <c r="AA414" s="15">
        <v>6.1</v>
      </c>
      <c r="AB414" s="15">
        <f>100-(Table2[[#This Row],[C%]]+Table2[[#This Row],[H%]]+Table2[[#This Row],[N%]]+Table2[[#This Row],[S%]])</f>
        <v>41.199999999999996</v>
      </c>
      <c r="AC414" s="15">
        <v>6</v>
      </c>
      <c r="AD414" s="15">
        <v>1.1000000000000001</v>
      </c>
      <c r="AE414" s="15"/>
      <c r="AF414" s="15">
        <f>(33.5*Table2[[#This Row],[C%]]+142.3*Table2[[#This Row],[H%]]-15.4*Table2[[#This Row],[O%]]-14.5*Table2[[#This Row],[N%]])/100</f>
        <v>16.741500000000002</v>
      </c>
      <c r="AG414" s="15">
        <v>4.2999999999999997E-2</v>
      </c>
      <c r="AH414" s="15">
        <v>20</v>
      </c>
      <c r="AI414" s="15"/>
      <c r="AJ414" s="15">
        <v>6</v>
      </c>
      <c r="AM414" s="13">
        <v>1.34613</v>
      </c>
      <c r="AN414">
        <v>3.5</v>
      </c>
      <c r="AO414" s="15">
        <v>5</v>
      </c>
      <c r="AP414" s="15">
        <f>LN(25/Table2[[#This Row],[Temperature (C)]]/(1-SQRT((Table2[[#This Row],[Temperature (C)]]-5)/Table2[[#This Row],[Temperature (C)]])))/Table2[[#This Row],[b]]</f>
        <v>1.7067795612449472</v>
      </c>
      <c r="AQ414" s="15">
        <f>IF(Table2[[#This Row],[b]]&lt;&gt;"",Table2[[#This Row],[T-5]], 0)</f>
        <v>1.7067795612449472</v>
      </c>
      <c r="AR414">
        <f>Table2[[#This Row],[Time to reach temp min]]+Table2[[#This Row],[Holding Time (min)]]</f>
        <v>8.5</v>
      </c>
      <c r="AT414" t="s">
        <v>503</v>
      </c>
      <c r="AU414">
        <v>250</v>
      </c>
      <c r="AV414" s="15">
        <v>27.6</v>
      </c>
      <c r="AW414" s="15">
        <v>24.7</v>
      </c>
      <c r="AX414" s="15">
        <v>34</v>
      </c>
      <c r="AY414" s="15">
        <v>10.9</v>
      </c>
      <c r="AZ414" s="15"/>
      <c r="BA414" s="15"/>
      <c r="BB414" s="15">
        <f>IF(OR(Table2[[#This Row],[Gas wt%]]&lt;&gt;"",Table2[[#This Row],[Loss]]&lt;&gt;""),Table2[[#This Row],[Gas wt%]]+Table2[[#This Row],[Loss]],"")</f>
        <v>10.9</v>
      </c>
      <c r="BC414" s="15"/>
      <c r="BD414" s="15"/>
      <c r="BE414" s="15"/>
      <c r="BF414" s="15"/>
      <c r="BG414" s="15"/>
      <c r="BH414" s="15">
        <f>100-SUM(Table2[[#This Row],[Solids wt%]:[Gas wt%]])</f>
        <v>2.7999999999999972</v>
      </c>
      <c r="BI414" s="15">
        <v>69.099999999999994</v>
      </c>
      <c r="BJ414" s="15">
        <v>8.4</v>
      </c>
      <c r="BK414" s="15">
        <v>15.2</v>
      </c>
      <c r="BL414" s="15">
        <v>5</v>
      </c>
      <c r="BM414" s="15">
        <v>0.5</v>
      </c>
      <c r="BN414" s="15">
        <v>32.700000000000003</v>
      </c>
      <c r="BO414" s="15"/>
      <c r="BP414" s="15">
        <v>1.7</v>
      </c>
      <c r="BQ414" s="15">
        <f>Table2[[#This Row],[H% B]]/Table2[[#This Row],[C% B]]*100</f>
        <v>12.156295224312592</v>
      </c>
      <c r="BR414" s="15"/>
      <c r="BS414" s="15"/>
      <c r="BT414" s="15"/>
      <c r="BU414" s="15"/>
      <c r="BV414" s="15"/>
      <c r="BW414" s="15"/>
      <c r="BX414" s="15"/>
      <c r="BY414" s="15"/>
      <c r="BZ414" s="15"/>
      <c r="CA414" s="15"/>
      <c r="CB414" s="15"/>
      <c r="CC414" s="15"/>
      <c r="CD414" s="15"/>
      <c r="CE414" s="15"/>
      <c r="CF414" s="15"/>
      <c r="CG414" s="15"/>
      <c r="CH414" s="15"/>
      <c r="CI414" s="15"/>
      <c r="CJ414" s="15"/>
      <c r="CK414" s="15"/>
      <c r="CL414" s="15"/>
      <c r="CM414" s="15"/>
      <c r="CN414" s="15"/>
      <c r="CO414" s="15"/>
      <c r="CP414" s="15"/>
      <c r="CQ414" s="15"/>
      <c r="CR414" s="15"/>
      <c r="CS414" s="15"/>
      <c r="CT414" s="15"/>
      <c r="CU414" s="15"/>
      <c r="CV414" s="15"/>
      <c r="CW414" s="15"/>
      <c r="CX414" s="15"/>
      <c r="CY414" s="15"/>
      <c r="CZ414" s="15"/>
      <c r="DA414" s="15"/>
      <c r="DB414" s="15">
        <v>0</v>
      </c>
    </row>
    <row r="415" spans="1:106" x14ac:dyDescent="0.25">
      <c r="A415" t="s">
        <v>413</v>
      </c>
      <c r="B415" t="s">
        <v>148</v>
      </c>
      <c r="C415">
        <v>2013</v>
      </c>
      <c r="D415" s="16" t="s">
        <v>412</v>
      </c>
      <c r="E415">
        <v>0</v>
      </c>
      <c r="F415" s="15">
        <v>32.5</v>
      </c>
      <c r="G415" s="15"/>
      <c r="H415" s="15"/>
      <c r="I415" s="15">
        <v>45.6</v>
      </c>
      <c r="J415" s="15">
        <v>12.1</v>
      </c>
      <c r="K415" s="15"/>
      <c r="L415" s="15">
        <f>IF(Table2[[#This Row],[Lipids wt%]]+Table2[[#This Row],[Protein wt%]]+Table2[[#This Row],[Carbs wt%]] =0,"",SUM(Table2[[#This Row],[Lipids wt%]],Table2[[#This Row],[Protein wt%]],Table2[[#This Row],[Carbs wt%]]))</f>
        <v>90.2</v>
      </c>
      <c r="M415" s="15">
        <v>9.8000000000000007</v>
      </c>
      <c r="Z415" s="15">
        <v>45.6</v>
      </c>
      <c r="AA415" s="15">
        <v>6.1</v>
      </c>
      <c r="AB415" s="15">
        <f>100-(Table2[[#This Row],[C%]]+Table2[[#This Row],[H%]]+Table2[[#This Row],[N%]]+Table2[[#This Row],[S%]])</f>
        <v>41.199999999999996</v>
      </c>
      <c r="AC415" s="15">
        <v>6</v>
      </c>
      <c r="AD415" s="15">
        <v>1.1000000000000001</v>
      </c>
      <c r="AE415" s="15"/>
      <c r="AF415" s="15">
        <f>(33.5*Table2[[#This Row],[C%]]+142.3*Table2[[#This Row],[H%]]-15.4*Table2[[#This Row],[O%]]-14.5*Table2[[#This Row],[N%]])/100</f>
        <v>16.741500000000002</v>
      </c>
      <c r="AG415" s="15">
        <v>4.2999999999999997E-2</v>
      </c>
      <c r="AH415" s="15">
        <v>20</v>
      </c>
      <c r="AI415" s="15"/>
      <c r="AJ415" s="15">
        <v>6</v>
      </c>
      <c r="AM415" s="13">
        <v>0.81907300000000005</v>
      </c>
      <c r="AN415">
        <v>6</v>
      </c>
      <c r="AO415" s="15">
        <v>5</v>
      </c>
      <c r="AP415" s="15">
        <f>LN(25/Table2[[#This Row],[Temperature (C)]]/(1-SQRT((Table2[[#This Row],[Temperature (C)]]-5)/Table2[[#This Row],[Temperature (C)]])))/Table2[[#This Row],[b]]</f>
        <v>2.807118496698755</v>
      </c>
      <c r="AQ415" s="15">
        <f>IF(Table2[[#This Row],[b]]&lt;&gt;"",Table2[[#This Row],[T-5]], 0)</f>
        <v>2.807118496698755</v>
      </c>
      <c r="AR415">
        <f>Table2[[#This Row],[Time to reach temp min]]+Table2[[#This Row],[Holding Time (min)]]</f>
        <v>11</v>
      </c>
      <c r="AT415" t="s">
        <v>503</v>
      </c>
      <c r="AU415">
        <v>375</v>
      </c>
      <c r="AV415" s="15">
        <v>2.9</v>
      </c>
      <c r="AW415" s="15">
        <v>47.1</v>
      </c>
      <c r="AX415" s="15">
        <v>16.2</v>
      </c>
      <c r="AY415" s="15">
        <v>28.8</v>
      </c>
      <c r="AZ415" s="15"/>
      <c r="BA415" s="15"/>
      <c r="BB415" s="15">
        <f>IF(OR(Table2[[#This Row],[Gas wt%]]&lt;&gt;"",Table2[[#This Row],[Loss]]&lt;&gt;""),Table2[[#This Row],[Gas wt%]]+Table2[[#This Row],[Loss]],"")</f>
        <v>28.8</v>
      </c>
      <c r="BC415" s="15"/>
      <c r="BD415" s="15"/>
      <c r="BE415" s="15"/>
      <c r="BF415" s="15"/>
      <c r="BG415" s="15"/>
      <c r="BH415" s="15">
        <f>100-SUM(Table2[[#This Row],[Solids wt%]:[Gas wt%]])</f>
        <v>5</v>
      </c>
      <c r="BI415" s="15">
        <v>73.900000000000006</v>
      </c>
      <c r="BJ415" s="15">
        <v>8.1999999999999993</v>
      </c>
      <c r="BK415" s="15">
        <v>8.6999999999999993</v>
      </c>
      <c r="BL415" s="15">
        <v>6.8</v>
      </c>
      <c r="BM415" s="15">
        <v>0.7</v>
      </c>
      <c r="BN415" s="15">
        <v>35</v>
      </c>
      <c r="BO415" s="15"/>
      <c r="BP415" s="15">
        <v>1.7</v>
      </c>
      <c r="BQ415" s="15">
        <f>Table2[[#This Row],[H% B]]/Table2[[#This Row],[C% B]]*100</f>
        <v>11.096075778078482</v>
      </c>
      <c r="BR415" s="15"/>
      <c r="BS415" s="15"/>
      <c r="BT415" s="15"/>
      <c r="BU415" s="15"/>
      <c r="BV415" s="15"/>
      <c r="BW415" s="15"/>
      <c r="BX415" s="15"/>
      <c r="BY415" s="15"/>
      <c r="BZ415" s="15"/>
      <c r="CA415" s="15"/>
      <c r="CB415" s="15"/>
      <c r="CC415" s="15"/>
      <c r="CD415" s="15"/>
      <c r="CE415" s="15"/>
      <c r="CF415" s="15"/>
      <c r="CG415" s="15"/>
      <c r="CH415" s="15"/>
      <c r="CI415" s="15"/>
      <c r="CJ415" s="15"/>
      <c r="CK415" s="15"/>
      <c r="CL415" s="15"/>
      <c r="CM415" s="15"/>
      <c r="CN415" s="15"/>
      <c r="CO415" s="15"/>
      <c r="CP415" s="15"/>
      <c r="CQ415" s="15"/>
      <c r="CR415" s="15"/>
      <c r="CS415" s="15"/>
      <c r="CT415" s="15"/>
      <c r="CU415" s="15"/>
      <c r="CV415" s="15"/>
      <c r="CW415" s="15"/>
      <c r="CX415" s="15"/>
      <c r="CY415" s="15"/>
      <c r="CZ415" s="15"/>
      <c r="DA415" s="15"/>
      <c r="DB415" s="15">
        <v>0</v>
      </c>
    </row>
    <row r="416" spans="1:106" x14ac:dyDescent="0.25">
      <c r="A416" t="s">
        <v>413</v>
      </c>
      <c r="B416" t="s">
        <v>148</v>
      </c>
      <c r="C416">
        <v>2013</v>
      </c>
      <c r="D416" s="16" t="s">
        <v>174</v>
      </c>
      <c r="E416">
        <v>0</v>
      </c>
      <c r="F416" s="15">
        <v>19.400000000000006</v>
      </c>
      <c r="G416" s="15"/>
      <c r="H416" s="15"/>
      <c r="I416" s="15">
        <v>50.8</v>
      </c>
      <c r="J416" s="15">
        <v>23.4</v>
      </c>
      <c r="K416" s="15"/>
      <c r="L416" s="15">
        <f>IF(Table2[[#This Row],[Lipids wt%]]+Table2[[#This Row],[Protein wt%]]+Table2[[#This Row],[Carbs wt%]] =0,"",SUM(Table2[[#This Row],[Lipids wt%]],Table2[[#This Row],[Protein wt%]],Table2[[#This Row],[Carbs wt%]]))</f>
        <v>93.6</v>
      </c>
      <c r="M416" s="15">
        <v>6.4</v>
      </c>
      <c r="Z416" s="15">
        <v>51.9</v>
      </c>
      <c r="AA416" s="15">
        <v>7.5</v>
      </c>
      <c r="AB416" s="15">
        <f>100-(Table2[[#This Row],[C%]]+Table2[[#This Row],[H%]]+Table2[[#This Row],[N%]]+Table2[[#This Row],[S%]])</f>
        <v>31.5</v>
      </c>
      <c r="AC416" s="15">
        <v>8.6</v>
      </c>
      <c r="AD416" s="15">
        <v>0.5</v>
      </c>
      <c r="AE416" s="15"/>
      <c r="AF416" s="15">
        <f>(33.5*Table2[[#This Row],[C%]]+142.3*Table2[[#This Row],[H%]]-15.4*Table2[[#This Row],[O%]]-14.5*Table2[[#This Row],[N%]])/100</f>
        <v>21.960999999999999</v>
      </c>
      <c r="AG416" s="15">
        <v>4.2999999999999997E-2</v>
      </c>
      <c r="AH416" s="15">
        <v>20</v>
      </c>
      <c r="AI416" s="15"/>
      <c r="AJ416" s="15">
        <v>6</v>
      </c>
      <c r="AM416" s="13">
        <v>1.34613</v>
      </c>
      <c r="AN416">
        <v>3.5</v>
      </c>
      <c r="AO416" s="15">
        <v>5</v>
      </c>
      <c r="AP416" s="15">
        <f>LN(25/Table2[[#This Row],[Temperature (C)]]/(1-SQRT((Table2[[#This Row],[Temperature (C)]]-5)/Table2[[#This Row],[Temperature (C)]])))/Table2[[#This Row],[b]]</f>
        <v>1.7067795612449472</v>
      </c>
      <c r="AQ416" s="15">
        <f>IF(Table2[[#This Row],[b]]&lt;&gt;"",Table2[[#This Row],[T-5]], 0)</f>
        <v>1.7067795612449472</v>
      </c>
      <c r="AR416">
        <f>Table2[[#This Row],[Time to reach temp min]]+Table2[[#This Row],[Holding Time (min)]]</f>
        <v>8.5</v>
      </c>
      <c r="AT416" t="s">
        <v>503</v>
      </c>
      <c r="AU416">
        <v>250</v>
      </c>
      <c r="AV416" s="15">
        <v>11.9</v>
      </c>
      <c r="AW416" s="15">
        <v>44.8</v>
      </c>
      <c r="AX416" s="15">
        <v>28.3</v>
      </c>
      <c r="AY416" s="15">
        <v>8.6999999999999993</v>
      </c>
      <c r="AZ416" s="15"/>
      <c r="BA416" s="15"/>
      <c r="BB416" s="15">
        <f>IF(OR(Table2[[#This Row],[Gas wt%]]&lt;&gt;"",Table2[[#This Row],[Loss]]&lt;&gt;""),Table2[[#This Row],[Gas wt%]]+Table2[[#This Row],[Loss]],"")</f>
        <v>8.6999999999999993</v>
      </c>
      <c r="BC416" s="15"/>
      <c r="BD416" s="15"/>
      <c r="BE416" s="15"/>
      <c r="BF416" s="15"/>
      <c r="BG416" s="15"/>
      <c r="BH416" s="15">
        <f>100-SUM(Table2[[#This Row],[Solids wt%]:[Gas wt%]])</f>
        <v>6.2999999999999972</v>
      </c>
      <c r="BI416" s="15">
        <v>71.3</v>
      </c>
      <c r="BJ416" s="15">
        <v>9.1</v>
      </c>
      <c r="BK416" s="15">
        <v>12.2</v>
      </c>
      <c r="BL416" s="15">
        <v>5.3</v>
      </c>
      <c r="BM416" s="15">
        <v>0.4</v>
      </c>
      <c r="BN416" s="15">
        <v>34.6</v>
      </c>
      <c r="BO416" s="15"/>
      <c r="BP416" s="15">
        <v>1.7</v>
      </c>
      <c r="BQ416" s="15">
        <f>Table2[[#This Row],[H% B]]/Table2[[#This Row],[C% B]]*100</f>
        <v>12.76297335203366</v>
      </c>
      <c r="BR416" s="15"/>
      <c r="BS416" s="15"/>
      <c r="BT416" s="15"/>
      <c r="BU416" s="15"/>
      <c r="BV416" s="15"/>
      <c r="BW416" s="15"/>
      <c r="BX416" s="15"/>
      <c r="BY416" s="15"/>
      <c r="BZ416" s="15"/>
      <c r="CA416" s="15"/>
      <c r="CB416" s="15"/>
      <c r="CC416" s="15"/>
      <c r="CD416" s="15"/>
      <c r="CE416" s="15"/>
      <c r="CF416" s="15"/>
      <c r="CG416" s="15"/>
      <c r="CH416" s="15"/>
      <c r="CI416" s="15"/>
      <c r="CJ416" s="15"/>
      <c r="CK416" s="15"/>
      <c r="CL416" s="15"/>
      <c r="CM416" s="15"/>
      <c r="CN416" s="15"/>
      <c r="CO416" s="15"/>
      <c r="CP416" s="15"/>
      <c r="CQ416" s="15"/>
      <c r="CR416" s="15"/>
      <c r="CS416" s="15"/>
      <c r="CT416" s="15"/>
      <c r="CU416" s="15"/>
      <c r="CV416" s="15"/>
      <c r="CW416" s="15"/>
      <c r="CX416" s="15"/>
      <c r="CY416" s="15"/>
      <c r="CZ416" s="15"/>
      <c r="DA416" s="15"/>
      <c r="DB416" s="15">
        <v>0</v>
      </c>
    </row>
    <row r="417" spans="1:106" x14ac:dyDescent="0.25">
      <c r="A417" t="s">
        <v>413</v>
      </c>
      <c r="B417" t="s">
        <v>148</v>
      </c>
      <c r="C417">
        <v>2013</v>
      </c>
      <c r="D417" s="16" t="s">
        <v>174</v>
      </c>
      <c r="E417">
        <v>0</v>
      </c>
      <c r="F417" s="15">
        <v>19.400000000000006</v>
      </c>
      <c r="G417" s="15"/>
      <c r="H417" s="15"/>
      <c r="I417" s="15">
        <v>50.8</v>
      </c>
      <c r="J417" s="15">
        <v>23.4</v>
      </c>
      <c r="K417" s="15"/>
      <c r="L417" s="15">
        <f>IF(Table2[[#This Row],[Lipids wt%]]+Table2[[#This Row],[Protein wt%]]+Table2[[#This Row],[Carbs wt%]] =0,"",SUM(Table2[[#This Row],[Lipids wt%]],Table2[[#This Row],[Protein wt%]],Table2[[#This Row],[Carbs wt%]]))</f>
        <v>93.6</v>
      </c>
      <c r="M417" s="15">
        <v>6.4</v>
      </c>
      <c r="Z417" s="15">
        <v>51.9</v>
      </c>
      <c r="AA417" s="15">
        <v>7.5</v>
      </c>
      <c r="AB417" s="15">
        <f>100-(Table2[[#This Row],[C%]]+Table2[[#This Row],[H%]]+Table2[[#This Row],[N%]]+Table2[[#This Row],[S%]])</f>
        <v>31.5</v>
      </c>
      <c r="AC417" s="15">
        <v>8.6</v>
      </c>
      <c r="AD417" s="15">
        <v>0.5</v>
      </c>
      <c r="AE417" s="15"/>
      <c r="AF417" s="15">
        <f>(33.5*Table2[[#This Row],[C%]]+142.3*Table2[[#This Row],[H%]]-15.4*Table2[[#This Row],[O%]]-14.5*Table2[[#This Row],[N%]])/100</f>
        <v>21.960999999999999</v>
      </c>
      <c r="AG417" s="15">
        <v>4.2999999999999997E-2</v>
      </c>
      <c r="AH417" s="15">
        <v>20</v>
      </c>
      <c r="AI417" s="15"/>
      <c r="AJ417" s="15">
        <v>6</v>
      </c>
      <c r="AM417" s="13">
        <v>0.81907300000000005</v>
      </c>
      <c r="AN417">
        <v>6</v>
      </c>
      <c r="AO417" s="15">
        <v>5</v>
      </c>
      <c r="AP417" s="15">
        <f>LN(25/Table2[[#This Row],[Temperature (C)]]/(1-SQRT((Table2[[#This Row],[Temperature (C)]]-5)/Table2[[#This Row],[Temperature (C)]])))/Table2[[#This Row],[b]]</f>
        <v>2.807118496698755</v>
      </c>
      <c r="AQ417" s="15">
        <f>IF(Table2[[#This Row],[b]]&lt;&gt;"",Table2[[#This Row],[T-5]], 0)</f>
        <v>2.807118496698755</v>
      </c>
      <c r="AR417">
        <f>Table2[[#This Row],[Time to reach temp min]]+Table2[[#This Row],[Holding Time (min)]]</f>
        <v>11</v>
      </c>
      <c r="AT417" t="s">
        <v>503</v>
      </c>
      <c r="AU417">
        <v>375</v>
      </c>
      <c r="AV417" s="15">
        <v>5.7</v>
      </c>
      <c r="AW417" s="15">
        <v>55.3</v>
      </c>
      <c r="AX417" s="15">
        <v>17.5</v>
      </c>
      <c r="AY417" s="15">
        <v>19.7</v>
      </c>
      <c r="AZ417" s="15"/>
      <c r="BA417" s="15"/>
      <c r="BB417" s="15">
        <f>IF(OR(Table2[[#This Row],[Gas wt%]]&lt;&gt;"",Table2[[#This Row],[Loss]]&lt;&gt;""),Table2[[#This Row],[Gas wt%]]+Table2[[#This Row],[Loss]],"")</f>
        <v>19.7</v>
      </c>
      <c r="BC417" s="15"/>
      <c r="BD417" s="15"/>
      <c r="BE417" s="15"/>
      <c r="BF417" s="15"/>
      <c r="BG417" s="15"/>
      <c r="BH417" s="15">
        <f>100-SUM(Table2[[#This Row],[Solids wt%]:[Gas wt%]])</f>
        <v>1.7999999999999972</v>
      </c>
      <c r="BI417" s="15">
        <v>72</v>
      </c>
      <c r="BJ417" s="15">
        <v>8.8000000000000007</v>
      </c>
      <c r="BK417" s="15">
        <v>9.9</v>
      </c>
      <c r="BL417" s="15">
        <v>6.2</v>
      </c>
      <c r="BM417" s="15">
        <v>0.3</v>
      </c>
      <c r="BN417" s="15">
        <v>34.9</v>
      </c>
      <c r="BO417" s="15"/>
      <c r="BP417" s="15">
        <v>2.7</v>
      </c>
      <c r="BQ417" s="15">
        <f>Table2[[#This Row],[H% B]]/Table2[[#This Row],[C% B]]*100</f>
        <v>12.222222222222223</v>
      </c>
      <c r="BR417" s="15"/>
      <c r="BS417" s="15"/>
      <c r="BT417" s="15"/>
      <c r="BU417" s="15"/>
      <c r="BV417" s="15"/>
      <c r="BW417" s="15"/>
      <c r="BX417" s="15"/>
      <c r="BY417" s="15"/>
      <c r="BZ417" s="15"/>
      <c r="CA417" s="15"/>
      <c r="CB417" s="15"/>
      <c r="CC417" s="15"/>
      <c r="CD417" s="15"/>
      <c r="CE417" s="15"/>
      <c r="CF417" s="15"/>
      <c r="CG417" s="15"/>
      <c r="CH417" s="15"/>
      <c r="CI417" s="15"/>
      <c r="CJ417" s="15"/>
      <c r="CK417" s="15"/>
      <c r="CL417" s="15"/>
      <c r="CM417" s="15"/>
      <c r="CN417" s="15"/>
      <c r="CO417" s="15"/>
      <c r="CP417" s="15"/>
      <c r="CQ417" s="15"/>
      <c r="CR417" s="15"/>
      <c r="CS417" s="15"/>
      <c r="CT417" s="15"/>
      <c r="CU417" s="15"/>
      <c r="CV417" s="15"/>
      <c r="CW417" s="15"/>
      <c r="CX417" s="15"/>
      <c r="CY417" s="15"/>
      <c r="CZ417" s="15"/>
      <c r="DA417" s="15"/>
      <c r="DB417" s="15">
        <v>0</v>
      </c>
    </row>
    <row r="418" spans="1:106" x14ac:dyDescent="0.25">
      <c r="A418" t="s">
        <v>417</v>
      </c>
      <c r="B418" t="s">
        <v>149</v>
      </c>
      <c r="C418">
        <v>2014</v>
      </c>
      <c r="D418" s="16" t="s">
        <v>414</v>
      </c>
      <c r="E418">
        <v>0</v>
      </c>
      <c r="F418" s="15">
        <v>30.372807017543856</v>
      </c>
      <c r="G418" s="15"/>
      <c r="H418" s="15"/>
      <c r="I418" s="15">
        <v>27.412280701754383</v>
      </c>
      <c r="J418" s="15">
        <v>12.171052631578947</v>
      </c>
      <c r="K418" s="15"/>
      <c r="L418" s="15">
        <f>IF(Table2[[#This Row],[Lipids wt%]]+Table2[[#This Row],[Protein wt%]]+Table2[[#This Row],[Carbs wt%]] =0,"",SUM(Table2[[#This Row],[Lipids wt%]],Table2[[#This Row],[Protein wt%]],Table2[[#This Row],[Carbs wt%]]))</f>
        <v>69.956140350877178</v>
      </c>
      <c r="M418" s="15">
        <v>27.4</v>
      </c>
      <c r="P418">
        <v>8.8000000000000007</v>
      </c>
      <c r="Z418" s="15">
        <v>36.1</v>
      </c>
      <c r="AA418" s="15">
        <v>5.8</v>
      </c>
      <c r="AB418" s="15">
        <v>29.4</v>
      </c>
      <c r="AC418" s="15">
        <v>5.2</v>
      </c>
      <c r="AD418" s="15">
        <v>1.9</v>
      </c>
      <c r="AE418" s="15"/>
      <c r="AF418" s="15">
        <v>16.5</v>
      </c>
      <c r="AG418" s="15">
        <v>3.5000000000000003E-2</v>
      </c>
      <c r="AH418" s="15">
        <v>2</v>
      </c>
      <c r="AI418" s="15">
        <v>28</v>
      </c>
      <c r="AJ418" s="15">
        <v>6.6</v>
      </c>
      <c r="AM418" s="13">
        <v>1.54772</v>
      </c>
      <c r="AN418">
        <v>3</v>
      </c>
      <c r="AO418" s="15">
        <v>5</v>
      </c>
      <c r="AP418" s="15">
        <f>LN(25/Table2[[#This Row],[Temperature (C)]]/(1-SQRT((Table2[[#This Row],[Temperature (C)]]-5)/Table2[[#This Row],[Temperature (C)]])))/Table2[[#This Row],[b]]</f>
        <v>1.4853207570772089</v>
      </c>
      <c r="AQ418" s="15">
        <f>IF(Table2[[#This Row],[b]]&lt;&gt;"",Table2[[#This Row],[T-5]], 0)</f>
        <v>1.4853207570772089</v>
      </c>
      <c r="AR418">
        <v>8</v>
      </c>
      <c r="AT418" t="s">
        <v>503</v>
      </c>
      <c r="AU418">
        <f t="shared" ref="AU418:AU429" si="2">330/2+345/2</f>
        <v>337.5</v>
      </c>
      <c r="AV418" s="15">
        <v>14.1</v>
      </c>
      <c r="AW418" s="15"/>
      <c r="AX418" s="15"/>
      <c r="AY418" s="15"/>
      <c r="AZ418" s="15"/>
      <c r="BA418" s="15"/>
      <c r="BB418" s="15" t="str">
        <f>IF(OR(Table2[[#This Row],[Gas wt%]]&lt;&gt;"",Table2[[#This Row],[Loss]]&lt;&gt;""),Table2[[#This Row],[Gas wt%]]+Table2[[#This Row],[Loss]],"")</f>
        <v/>
      </c>
      <c r="BC418" s="15">
        <v>38.6</v>
      </c>
      <c r="BD418" s="15"/>
      <c r="BE418" s="15"/>
      <c r="BF418" s="15"/>
      <c r="BG418" s="15"/>
      <c r="BH418" s="15"/>
      <c r="BI418" s="15">
        <v>71.900000000000006</v>
      </c>
      <c r="BJ418" s="15">
        <v>7.7</v>
      </c>
      <c r="BK418" s="15">
        <v>11.7</v>
      </c>
      <c r="BL418" s="15">
        <v>6.1</v>
      </c>
      <c r="BM418" s="15">
        <v>0.8</v>
      </c>
      <c r="BN418" s="15">
        <v>33</v>
      </c>
      <c r="BO418" s="15"/>
      <c r="BP418" s="15"/>
      <c r="BQ418" s="15">
        <f>Table2[[#This Row],[H% B]]/Table2[[#This Row],[C% B]]*100</f>
        <v>10.709318497913769</v>
      </c>
      <c r="BR418" s="15"/>
      <c r="BS418" s="15"/>
      <c r="BT418" s="15"/>
      <c r="BU418" s="15"/>
      <c r="BV418" s="15"/>
      <c r="BW418" s="15"/>
      <c r="BX418" s="15"/>
      <c r="BY418" s="15"/>
      <c r="BZ418" s="15"/>
      <c r="CA418" s="15"/>
      <c r="CB418" s="15"/>
      <c r="CC418" s="15"/>
      <c r="CD418" s="15"/>
      <c r="CE418" s="15"/>
      <c r="CF418" s="15">
        <v>28.1</v>
      </c>
      <c r="CG418" s="15">
        <v>3.5</v>
      </c>
      <c r="CH418" s="15">
        <v>2.7</v>
      </c>
      <c r="CI418" s="15">
        <v>2</v>
      </c>
      <c r="CJ418" s="15">
        <v>7</v>
      </c>
      <c r="CK418" s="15">
        <v>14.3</v>
      </c>
      <c r="CL418" s="15"/>
      <c r="CM418" s="15"/>
      <c r="CN418" s="15"/>
      <c r="CO418" s="15"/>
      <c r="CP418" s="15"/>
      <c r="CQ418" s="15"/>
      <c r="CR418" s="15"/>
      <c r="CS418" s="15">
        <v>5750</v>
      </c>
      <c r="CT418" s="15">
        <v>1636</v>
      </c>
      <c r="CU418" s="15"/>
      <c r="CV418" s="15"/>
      <c r="CW418" s="15"/>
      <c r="CX418" s="15"/>
      <c r="CY418" s="15"/>
      <c r="CZ418" s="15"/>
      <c r="DA418" s="15"/>
      <c r="DB418" s="15">
        <v>0</v>
      </c>
    </row>
    <row r="419" spans="1:106" x14ac:dyDescent="0.25">
      <c r="A419" t="s">
        <v>417</v>
      </c>
      <c r="B419" t="s">
        <v>149</v>
      </c>
      <c r="C419">
        <v>2014</v>
      </c>
      <c r="D419" s="16" t="s">
        <v>414</v>
      </c>
      <c r="E419">
        <v>0</v>
      </c>
      <c r="F419" s="15">
        <v>46.03691639522259</v>
      </c>
      <c r="G419" s="15"/>
      <c r="H419" s="15"/>
      <c r="I419" s="15">
        <v>36.373507057546149</v>
      </c>
      <c r="J419" s="15">
        <v>12.160694896851249</v>
      </c>
      <c r="K419" s="15"/>
      <c r="L419" s="15">
        <f>IF(Table2[[#This Row],[Lipids wt%]]+Table2[[#This Row],[Protein wt%]]+Table2[[#This Row],[Carbs wt%]] =0,"",SUM(Table2[[#This Row],[Lipids wt%]],Table2[[#This Row],[Protein wt%]],Table2[[#This Row],[Carbs wt%]]))</f>
        <v>94.571118349619979</v>
      </c>
      <c r="M419" s="15">
        <v>5</v>
      </c>
      <c r="P419">
        <v>8</v>
      </c>
      <c r="Z419" s="15">
        <v>48</v>
      </c>
      <c r="AA419" s="15">
        <v>7.3</v>
      </c>
      <c r="AB419" s="15">
        <v>33.299999999999997</v>
      </c>
      <c r="AC419" s="15">
        <v>7</v>
      </c>
      <c r="AD419" s="15">
        <v>1</v>
      </c>
      <c r="AE419" s="15"/>
      <c r="AF419" s="15">
        <v>21.9</v>
      </c>
      <c r="AG419" s="15">
        <v>3.5000000000000003E-2</v>
      </c>
      <c r="AH419" s="15">
        <v>2</v>
      </c>
      <c r="AI419" s="15">
        <v>28</v>
      </c>
      <c r="AJ419" s="15">
        <v>6.6</v>
      </c>
      <c r="AM419" s="13">
        <v>1.54772</v>
      </c>
      <c r="AN419">
        <v>3</v>
      </c>
      <c r="AO419" s="15">
        <v>5</v>
      </c>
      <c r="AP419" s="15">
        <f>LN(25/Table2[[#This Row],[Temperature (C)]]/(1-SQRT((Table2[[#This Row],[Temperature (C)]]-5)/Table2[[#This Row],[Temperature (C)]])))/Table2[[#This Row],[b]]</f>
        <v>1.4853207570772089</v>
      </c>
      <c r="AQ419" s="15">
        <f>IF(Table2[[#This Row],[b]]&lt;&gt;"",Table2[[#This Row],[T-5]], 0)</f>
        <v>1.4853207570772089</v>
      </c>
      <c r="AR419">
        <v>8</v>
      </c>
      <c r="AT419" t="s">
        <v>503</v>
      </c>
      <c r="AU419">
        <f t="shared" si="2"/>
        <v>337.5</v>
      </c>
      <c r="AV419" s="15">
        <v>9.5</v>
      </c>
      <c r="AW419" s="15"/>
      <c r="AX419" s="15"/>
      <c r="AY419" s="15"/>
      <c r="AZ419" s="15"/>
      <c r="BA419" s="15"/>
      <c r="BB419" s="15" t="str">
        <f>IF(OR(Table2[[#This Row],[Gas wt%]]&lt;&gt;"",Table2[[#This Row],[Loss]]&lt;&gt;""),Table2[[#This Row],[Gas wt%]]+Table2[[#This Row],[Loss]],"")</f>
        <v/>
      </c>
      <c r="BC419" s="15">
        <v>41.7</v>
      </c>
      <c r="BD419" s="15"/>
      <c r="BE419" s="15"/>
      <c r="BF419" s="15"/>
      <c r="BG419" s="15"/>
      <c r="BH419" s="15"/>
      <c r="BI419" s="15">
        <v>72.2</v>
      </c>
      <c r="BJ419" s="15">
        <v>7.9</v>
      </c>
      <c r="BK419" s="15">
        <v>11.3</v>
      </c>
      <c r="BL419" s="15">
        <v>6.7</v>
      </c>
      <c r="BM419" s="15">
        <v>0.7</v>
      </c>
      <c r="BN419" s="15">
        <v>33.299999999999997</v>
      </c>
      <c r="BO419" s="15"/>
      <c r="BP419" s="15"/>
      <c r="BQ419" s="15">
        <f>Table2[[#This Row],[H% B]]/Table2[[#This Row],[C% B]]*100</f>
        <v>10.941828254847644</v>
      </c>
      <c r="BR419" s="15"/>
      <c r="BS419" s="15"/>
      <c r="BT419" s="15"/>
      <c r="BU419" s="15"/>
      <c r="BV419" s="15"/>
      <c r="BW419" s="15"/>
      <c r="BX419" s="15"/>
      <c r="BY419" s="15"/>
      <c r="BZ419" s="15"/>
      <c r="CA419" s="15"/>
      <c r="CB419" s="15"/>
      <c r="CC419" s="15"/>
      <c r="CD419" s="15"/>
      <c r="CE419" s="15"/>
      <c r="CF419" s="15">
        <v>29.7</v>
      </c>
      <c r="CG419" s="15">
        <v>2.9</v>
      </c>
      <c r="CH419" s="15">
        <v>2.8</v>
      </c>
      <c r="CI419" s="15">
        <v>3.1</v>
      </c>
      <c r="CJ419" s="15">
        <v>5.6</v>
      </c>
      <c r="CK419" s="15">
        <v>14</v>
      </c>
      <c r="CL419" s="15"/>
      <c r="CM419" s="15"/>
      <c r="CN419" s="15"/>
      <c r="CO419" s="15"/>
      <c r="CP419" s="15"/>
      <c r="CQ419" s="15"/>
      <c r="CR419" s="15"/>
      <c r="CS419" s="15">
        <v>6214</v>
      </c>
      <c r="CT419" s="15">
        <v>1421</v>
      </c>
      <c r="CU419" s="15"/>
      <c r="CV419" s="15"/>
      <c r="CW419" s="15"/>
      <c r="CX419" s="15"/>
      <c r="CY419" s="15"/>
      <c r="CZ419" s="15"/>
      <c r="DA419" s="15"/>
      <c r="DB419" s="15">
        <v>0</v>
      </c>
    </row>
    <row r="420" spans="1:106" x14ac:dyDescent="0.25">
      <c r="A420" t="s">
        <v>417</v>
      </c>
      <c r="B420" t="s">
        <v>149</v>
      </c>
      <c r="C420">
        <v>2014</v>
      </c>
      <c r="D420" s="16" t="s">
        <v>414</v>
      </c>
      <c r="E420">
        <v>0</v>
      </c>
      <c r="F420" s="15">
        <v>61.050328227571107</v>
      </c>
      <c r="G420" s="15"/>
      <c r="H420" s="15"/>
      <c r="I420" s="15">
        <v>8.6433260393873077</v>
      </c>
      <c r="J420" s="15">
        <v>5.361050328227571</v>
      </c>
      <c r="K420" s="15"/>
      <c r="L420" s="15">
        <f>IF(Table2[[#This Row],[Lipids wt%]]+Table2[[#This Row],[Protein wt%]]+Table2[[#This Row],[Carbs wt%]] =0,"",SUM(Table2[[#This Row],[Lipids wt%]],Table2[[#This Row],[Protein wt%]],Table2[[#This Row],[Carbs wt%]]))</f>
        <v>75.054704595185981</v>
      </c>
      <c r="M420" s="15">
        <v>22.8</v>
      </c>
      <c r="P420">
        <v>8.6999999999999993</v>
      </c>
      <c r="Z420" s="15">
        <v>34</v>
      </c>
      <c r="AA420" s="15">
        <v>5.7</v>
      </c>
      <c r="AB420" s="15">
        <v>38.9</v>
      </c>
      <c r="AC420" s="15">
        <v>1.6</v>
      </c>
      <c r="AD420" s="15">
        <v>1.6</v>
      </c>
      <c r="AE420" s="15"/>
      <c r="AF420" s="15">
        <v>14.7</v>
      </c>
      <c r="AG420" s="15">
        <v>3.5000000000000003E-2</v>
      </c>
      <c r="AH420" s="15">
        <v>2</v>
      </c>
      <c r="AI420" s="15">
        <v>28</v>
      </c>
      <c r="AJ420" s="15">
        <v>6.6</v>
      </c>
      <c r="AM420" s="13">
        <v>1.54772</v>
      </c>
      <c r="AN420">
        <v>3</v>
      </c>
      <c r="AO420" s="15">
        <v>5</v>
      </c>
      <c r="AP420" s="15">
        <f>LN(25/Table2[[#This Row],[Temperature (C)]]/(1-SQRT((Table2[[#This Row],[Temperature (C)]]-5)/Table2[[#This Row],[Temperature (C)]])))/Table2[[#This Row],[b]]</f>
        <v>1.4853207570772089</v>
      </c>
      <c r="AQ420" s="15">
        <f>IF(Table2[[#This Row],[b]]&lt;&gt;"",Table2[[#This Row],[T-5]], 0)</f>
        <v>1.4853207570772089</v>
      </c>
      <c r="AR420">
        <v>8</v>
      </c>
      <c r="AT420" t="s">
        <v>503</v>
      </c>
      <c r="AU420">
        <f t="shared" si="2"/>
        <v>337.5</v>
      </c>
      <c r="AV420" s="15">
        <v>10</v>
      </c>
      <c r="AW420" s="15"/>
      <c r="AX420" s="15"/>
      <c r="AY420" s="15"/>
      <c r="AZ420" s="15"/>
      <c r="BA420" s="15"/>
      <c r="BB420" s="15" t="str">
        <f>IF(OR(Table2[[#This Row],[Gas wt%]]&lt;&gt;"",Table2[[#This Row],[Loss]]&lt;&gt;""),Table2[[#This Row],[Gas wt%]]+Table2[[#This Row],[Loss]],"")</f>
        <v/>
      </c>
      <c r="BC420" s="15">
        <v>31.4</v>
      </c>
      <c r="BD420" s="15"/>
      <c r="BE420" s="15"/>
      <c r="BF420" s="15"/>
      <c r="BG420" s="15"/>
      <c r="BH420" s="15"/>
      <c r="BI420" s="15">
        <v>73.5</v>
      </c>
      <c r="BJ420" s="15">
        <v>7.6</v>
      </c>
      <c r="BK420" s="15">
        <v>14.8</v>
      </c>
      <c r="BL420" s="15">
        <v>3.2</v>
      </c>
      <c r="BM420" s="15">
        <v>0.3</v>
      </c>
      <c r="BN420" s="15">
        <v>33</v>
      </c>
      <c r="BO420" s="15"/>
      <c r="BP420" s="15"/>
      <c r="BQ420" s="15">
        <f>Table2[[#This Row],[H% B]]/Table2[[#This Row],[C% B]]*100</f>
        <v>10.340136054421768</v>
      </c>
      <c r="BR420" s="15"/>
      <c r="BS420" s="15"/>
      <c r="BT420" s="15"/>
      <c r="BU420" s="15"/>
      <c r="BV420" s="15"/>
      <c r="BW420" s="15"/>
      <c r="BX420" s="15"/>
      <c r="BY420" s="15"/>
      <c r="BZ420" s="15"/>
      <c r="CA420" s="15"/>
      <c r="CB420" s="15"/>
      <c r="CC420" s="15"/>
      <c r="CD420" s="15"/>
      <c r="CE420" s="15"/>
      <c r="CF420" s="15">
        <v>40.1</v>
      </c>
      <c r="CG420" s="15">
        <v>3</v>
      </c>
      <c r="CH420" s="15">
        <v>3.2</v>
      </c>
      <c r="CI420" s="15">
        <v>2.4</v>
      </c>
      <c r="CJ420" s="15">
        <v>6.6</v>
      </c>
      <c r="CK420" s="15">
        <v>17.899999999999999</v>
      </c>
      <c r="CL420" s="15"/>
      <c r="CM420" s="15"/>
      <c r="CN420" s="15"/>
      <c r="CO420" s="15"/>
      <c r="CP420" s="15"/>
      <c r="CQ420" s="15"/>
      <c r="CR420" s="15"/>
      <c r="CS420" s="15">
        <v>3807</v>
      </c>
      <c r="CT420" s="15">
        <v>465</v>
      </c>
      <c r="CU420" s="15"/>
      <c r="CV420" s="15"/>
      <c r="CW420" s="15"/>
      <c r="CX420" s="15"/>
      <c r="CY420" s="15"/>
      <c r="CZ420" s="15"/>
      <c r="DA420" s="15"/>
      <c r="DB420" s="15">
        <v>0</v>
      </c>
    </row>
    <row r="421" spans="1:106" x14ac:dyDescent="0.25">
      <c r="A421" t="s">
        <v>417</v>
      </c>
      <c r="B421" t="s">
        <v>149</v>
      </c>
      <c r="C421">
        <v>2014</v>
      </c>
      <c r="D421" s="16" t="s">
        <v>414</v>
      </c>
      <c r="E421">
        <v>0</v>
      </c>
      <c r="F421" s="15">
        <v>82.423580786026207</v>
      </c>
      <c r="G421" s="15"/>
      <c r="H421" s="15"/>
      <c r="I421" s="15">
        <v>7.860262008733625</v>
      </c>
      <c r="J421" s="15">
        <v>6.004366812227075</v>
      </c>
      <c r="K421" s="15"/>
      <c r="L421" s="15">
        <f>IF(Table2[[#This Row],[Lipids wt%]]+Table2[[#This Row],[Protein wt%]]+Table2[[#This Row],[Carbs wt%]] =0,"",SUM(Table2[[#This Row],[Lipids wt%]],Table2[[#This Row],[Protein wt%]],Table2[[#This Row],[Carbs wt%]]))</f>
        <v>96.288209606986911</v>
      </c>
      <c r="M421" s="15">
        <v>3.4</v>
      </c>
      <c r="P421">
        <v>8.3000000000000007</v>
      </c>
      <c r="Z421" s="15">
        <v>42.9</v>
      </c>
      <c r="AA421" s="15">
        <v>6.8</v>
      </c>
      <c r="AB421" s="15">
        <v>45.5</v>
      </c>
      <c r="AC421" s="15">
        <v>1.5</v>
      </c>
      <c r="AD421" s="15">
        <v>0.4</v>
      </c>
      <c r="AE421" s="15"/>
      <c r="AF421" s="15">
        <v>18.2</v>
      </c>
      <c r="AG421" s="15">
        <v>3.5000000000000003E-2</v>
      </c>
      <c r="AH421" s="15">
        <v>2</v>
      </c>
      <c r="AI421" s="15">
        <v>28</v>
      </c>
      <c r="AJ421" s="15">
        <v>6.6</v>
      </c>
      <c r="AM421" s="13">
        <v>1.54772</v>
      </c>
      <c r="AN421">
        <v>3</v>
      </c>
      <c r="AO421" s="15">
        <v>5</v>
      </c>
      <c r="AP421" s="15">
        <f>LN(25/Table2[[#This Row],[Temperature (C)]]/(1-SQRT((Table2[[#This Row],[Temperature (C)]]-5)/Table2[[#This Row],[Temperature (C)]])))/Table2[[#This Row],[b]]</f>
        <v>1.4853207570772089</v>
      </c>
      <c r="AQ421" s="15">
        <f>IF(Table2[[#This Row],[b]]&lt;&gt;"",Table2[[#This Row],[T-5]], 0)</f>
        <v>1.4853207570772089</v>
      </c>
      <c r="AR421">
        <v>8</v>
      </c>
      <c r="AT421" t="s">
        <v>503</v>
      </c>
      <c r="AU421">
        <f t="shared" si="2"/>
        <v>337.5</v>
      </c>
      <c r="AV421" s="15">
        <v>9.1999999999999993</v>
      </c>
      <c r="AW421" s="15"/>
      <c r="AX421" s="15"/>
      <c r="AY421" s="15"/>
      <c r="AZ421" s="15"/>
      <c r="BA421" s="15"/>
      <c r="BB421" s="15" t="str">
        <f>IF(OR(Table2[[#This Row],[Gas wt%]]&lt;&gt;"",Table2[[#This Row],[Loss]]&lt;&gt;""),Table2[[#This Row],[Gas wt%]]+Table2[[#This Row],[Loss]],"")</f>
        <v/>
      </c>
      <c r="BC421" s="15">
        <v>33.4</v>
      </c>
      <c r="BD421" s="15"/>
      <c r="BE421" s="15"/>
      <c r="BF421" s="15"/>
      <c r="BG421" s="15"/>
      <c r="BH421" s="15"/>
      <c r="BI421" s="15">
        <v>73.5</v>
      </c>
      <c r="BJ421" s="15">
        <v>7.5</v>
      </c>
      <c r="BK421" s="15">
        <v>14.8</v>
      </c>
      <c r="BL421" s="15">
        <v>3</v>
      </c>
      <c r="BM421" s="15">
        <v>0.2</v>
      </c>
      <c r="BN421" s="15">
        <v>32.9</v>
      </c>
      <c r="BO421" s="15"/>
      <c r="BP421" s="15"/>
      <c r="BQ421" s="15">
        <f>Table2[[#This Row],[H% B]]/Table2[[#This Row],[C% B]]*100</f>
        <v>10.204081632653061</v>
      </c>
      <c r="BR421" s="15"/>
      <c r="BS421" s="15"/>
      <c r="BT421" s="15"/>
      <c r="BU421" s="15"/>
      <c r="BV421" s="15"/>
      <c r="BW421" s="15"/>
      <c r="BX421" s="15"/>
      <c r="BY421" s="15"/>
      <c r="BZ421" s="15"/>
      <c r="CA421" s="15"/>
      <c r="CB421" s="15"/>
      <c r="CC421" s="15"/>
      <c r="CD421" s="15"/>
      <c r="CE421" s="15"/>
      <c r="CF421" s="15">
        <v>45.6</v>
      </c>
      <c r="CG421" s="15">
        <v>3.3</v>
      </c>
      <c r="CH421" s="15">
        <v>3.7</v>
      </c>
      <c r="CI421" s="15">
        <v>2.7</v>
      </c>
      <c r="CJ421" s="15">
        <v>4.3</v>
      </c>
      <c r="CK421" s="15">
        <v>19.899999999999999</v>
      </c>
      <c r="CL421" s="15"/>
      <c r="CM421" s="15"/>
      <c r="CN421" s="15"/>
      <c r="CO421" s="15"/>
      <c r="CP421" s="15"/>
      <c r="CQ421" s="15"/>
      <c r="CR421" s="15"/>
      <c r="CS421" s="15">
        <v>5150</v>
      </c>
      <c r="CT421" s="15">
        <v>398</v>
      </c>
      <c r="CU421" s="15"/>
      <c r="CV421" s="15"/>
      <c r="CW421" s="15"/>
      <c r="CX421" s="15"/>
      <c r="CY421" s="15"/>
      <c r="CZ421" s="15"/>
      <c r="DA421" s="15"/>
      <c r="DB421" s="15">
        <v>0</v>
      </c>
    </row>
    <row r="422" spans="1:106" x14ac:dyDescent="0.25">
      <c r="A422" t="s">
        <v>417</v>
      </c>
      <c r="B422" t="s">
        <v>149</v>
      </c>
      <c r="C422">
        <v>2014</v>
      </c>
      <c r="D422" s="16" t="s">
        <v>415</v>
      </c>
      <c r="E422">
        <v>0</v>
      </c>
      <c r="F422" s="15">
        <v>45.56818181818182</v>
      </c>
      <c r="G422" s="15"/>
      <c r="H422" s="15"/>
      <c r="I422" s="15">
        <v>20.681818181818183</v>
      </c>
      <c r="J422" s="15">
        <v>2.3863636363636362</v>
      </c>
      <c r="K422" s="15"/>
      <c r="L422" s="15">
        <f>IF(Table2[[#This Row],[Lipids wt%]]+Table2[[#This Row],[Protein wt%]]+Table2[[#This Row],[Carbs wt%]] =0,"",SUM(Table2[[#This Row],[Lipids wt%]],Table2[[#This Row],[Protein wt%]],Table2[[#This Row],[Carbs wt%]]))</f>
        <v>68.63636363636364</v>
      </c>
      <c r="M422" s="15">
        <v>27.6</v>
      </c>
      <c r="P422">
        <v>11.9</v>
      </c>
      <c r="Z422" s="15">
        <v>31.1</v>
      </c>
      <c r="AA422" s="15">
        <v>5.5</v>
      </c>
      <c r="AB422" s="15">
        <v>42.1</v>
      </c>
      <c r="AC422" s="15">
        <v>4</v>
      </c>
      <c r="AD422" s="15">
        <v>4.9000000000000004</v>
      </c>
      <c r="AE422" s="15"/>
      <c r="AF422" s="15">
        <v>13.5</v>
      </c>
      <c r="AG422" s="15">
        <v>3.5000000000000003E-2</v>
      </c>
      <c r="AH422" s="15">
        <v>2</v>
      </c>
      <c r="AI422" s="15">
        <v>28</v>
      </c>
      <c r="AJ422" s="15">
        <v>6.6</v>
      </c>
      <c r="AM422" s="13">
        <v>1.54772</v>
      </c>
      <c r="AN422">
        <v>3</v>
      </c>
      <c r="AO422" s="15">
        <v>5</v>
      </c>
      <c r="AP422" s="15">
        <f>LN(25/Table2[[#This Row],[Temperature (C)]]/(1-SQRT((Table2[[#This Row],[Temperature (C)]]-5)/Table2[[#This Row],[Temperature (C)]])))/Table2[[#This Row],[b]]</f>
        <v>1.4853207570772089</v>
      </c>
      <c r="AQ422" s="15">
        <f>IF(Table2[[#This Row],[b]]&lt;&gt;"",Table2[[#This Row],[T-5]], 0)</f>
        <v>1.4853207570772089</v>
      </c>
      <c r="AR422">
        <v>8</v>
      </c>
      <c r="AT422" t="s">
        <v>503</v>
      </c>
      <c r="AU422">
        <f t="shared" si="2"/>
        <v>337.5</v>
      </c>
      <c r="AV422" s="15">
        <v>15.5</v>
      </c>
      <c r="AW422" s="15"/>
      <c r="AX422" s="15"/>
      <c r="AY422" s="15"/>
      <c r="AZ422" s="15"/>
      <c r="BA422" s="15"/>
      <c r="BB422" s="15" t="str">
        <f>IF(OR(Table2[[#This Row],[Gas wt%]]&lt;&gt;"",Table2[[#This Row],[Loss]]&lt;&gt;""),Table2[[#This Row],[Gas wt%]]+Table2[[#This Row],[Loss]],"")</f>
        <v/>
      </c>
      <c r="BC422" s="15">
        <v>32.6</v>
      </c>
      <c r="BD422" s="15"/>
      <c r="BE422" s="15"/>
      <c r="BF422" s="15"/>
      <c r="BG422" s="15"/>
      <c r="BH422" s="15"/>
      <c r="BI422" s="15">
        <v>71.900000000000006</v>
      </c>
      <c r="BJ422" s="15">
        <v>7.2</v>
      </c>
      <c r="BK422" s="15">
        <v>12</v>
      </c>
      <c r="BL422" s="15">
        <v>6.4</v>
      </c>
      <c r="BM422" s="15">
        <v>0.7</v>
      </c>
      <c r="BN422" s="15">
        <v>32.299999999999997</v>
      </c>
      <c r="BO422" s="15"/>
      <c r="BP422" s="15"/>
      <c r="BQ422" s="15">
        <f>Table2[[#This Row],[H% B]]/Table2[[#This Row],[C% B]]*100</f>
        <v>10.013908205841446</v>
      </c>
      <c r="BR422" s="15"/>
      <c r="BS422" s="15"/>
      <c r="BT422" s="15"/>
      <c r="BU422" s="15"/>
      <c r="BV422" s="15"/>
      <c r="BW422" s="15"/>
      <c r="BX422" s="15"/>
      <c r="BY422" s="15"/>
      <c r="BZ422" s="15"/>
      <c r="CA422" s="15"/>
      <c r="CB422" s="15"/>
      <c r="CC422" s="15"/>
      <c r="CD422" s="15"/>
      <c r="CE422" s="15"/>
      <c r="CF422" s="15">
        <v>16.3</v>
      </c>
      <c r="CG422" s="15">
        <v>2</v>
      </c>
      <c r="CH422" s="15">
        <v>2.8</v>
      </c>
      <c r="CI422" s="15">
        <v>1.4</v>
      </c>
      <c r="CJ422" s="15">
        <v>14.9</v>
      </c>
      <c r="CK422" s="15">
        <v>9.3000000000000007</v>
      </c>
      <c r="CL422" s="15"/>
      <c r="CM422" s="15"/>
      <c r="CN422" s="15"/>
      <c r="CO422" s="15"/>
      <c r="CP422" s="15"/>
      <c r="CQ422" s="15"/>
      <c r="CR422" s="15"/>
      <c r="CS422" s="15">
        <v>4750</v>
      </c>
      <c r="CT422" s="15">
        <v>1243</v>
      </c>
      <c r="CU422" s="15"/>
      <c r="CV422" s="15"/>
      <c r="CW422" s="15"/>
      <c r="CX422" s="15"/>
      <c r="CY422" s="15"/>
      <c r="CZ422" s="15"/>
      <c r="DA422" s="15"/>
      <c r="DB422" s="15">
        <v>0</v>
      </c>
    </row>
    <row r="423" spans="1:106" x14ac:dyDescent="0.25">
      <c r="A423" t="s">
        <v>417</v>
      </c>
      <c r="B423" t="s">
        <v>149</v>
      </c>
      <c r="C423">
        <v>2014</v>
      </c>
      <c r="D423" s="16" t="s">
        <v>415</v>
      </c>
      <c r="E423">
        <v>0</v>
      </c>
      <c r="F423" s="15">
        <v>57.458563535911601</v>
      </c>
      <c r="G423" s="15"/>
      <c r="H423" s="15"/>
      <c r="I423" s="15">
        <v>23.204419889502763</v>
      </c>
      <c r="J423" s="15">
        <v>2.3204419889502761</v>
      </c>
      <c r="K423" s="15"/>
      <c r="L423" s="15">
        <f>IF(Table2[[#This Row],[Lipids wt%]]+Table2[[#This Row],[Protein wt%]]+Table2[[#This Row],[Carbs wt%]] =0,"",SUM(Table2[[#This Row],[Lipids wt%]],Table2[[#This Row],[Protein wt%]],Table2[[#This Row],[Carbs wt%]]))</f>
        <v>82.983425414364632</v>
      </c>
      <c r="M423" s="15">
        <v>15.4</v>
      </c>
      <c r="P423">
        <v>9.5</v>
      </c>
      <c r="Z423" s="15">
        <v>35.9</v>
      </c>
      <c r="AA423" s="15">
        <v>6.1</v>
      </c>
      <c r="AB423" s="15">
        <v>45.1</v>
      </c>
      <c r="AC423" s="15">
        <v>4.5999999999999996</v>
      </c>
      <c r="AD423" s="15">
        <v>4.7</v>
      </c>
      <c r="AE423" s="15"/>
      <c r="AF423" s="15">
        <v>15.5</v>
      </c>
      <c r="AG423" s="15">
        <v>3.5000000000000003E-2</v>
      </c>
      <c r="AH423" s="15">
        <v>2</v>
      </c>
      <c r="AI423" s="15">
        <v>28</v>
      </c>
      <c r="AJ423" s="15">
        <v>6.6</v>
      </c>
      <c r="AM423" s="13">
        <v>1.54772</v>
      </c>
      <c r="AN423">
        <v>3</v>
      </c>
      <c r="AO423" s="15">
        <v>5</v>
      </c>
      <c r="AP423" s="15">
        <f>LN(25/Table2[[#This Row],[Temperature (C)]]/(1-SQRT((Table2[[#This Row],[Temperature (C)]]-5)/Table2[[#This Row],[Temperature (C)]])))/Table2[[#This Row],[b]]</f>
        <v>1.4853207570772089</v>
      </c>
      <c r="AQ423" s="15">
        <f>IF(Table2[[#This Row],[b]]&lt;&gt;"",Table2[[#This Row],[T-5]], 0)</f>
        <v>1.4853207570772089</v>
      </c>
      <c r="AR423">
        <v>8</v>
      </c>
      <c r="AT423" t="s">
        <v>503</v>
      </c>
      <c r="AU423">
        <f t="shared" si="2"/>
        <v>337.5</v>
      </c>
      <c r="AV423" s="15">
        <v>20.2</v>
      </c>
      <c r="AW423" s="15"/>
      <c r="AX423" s="15"/>
      <c r="AY423" s="15"/>
      <c r="AZ423" s="15"/>
      <c r="BA423" s="15"/>
      <c r="BB423" s="15" t="str">
        <f>IF(OR(Table2[[#This Row],[Gas wt%]]&lt;&gt;"",Table2[[#This Row],[Loss]]&lt;&gt;""),Table2[[#This Row],[Gas wt%]]+Table2[[#This Row],[Loss]],"")</f>
        <v/>
      </c>
      <c r="BC423" s="15">
        <v>32.299999999999997</v>
      </c>
      <c r="BD423" s="15"/>
      <c r="BE423" s="15"/>
      <c r="BF423" s="15"/>
      <c r="BG423" s="15"/>
      <c r="BH423" s="15"/>
      <c r="BI423" s="15">
        <v>73.2</v>
      </c>
      <c r="BJ423" s="15">
        <v>8.1</v>
      </c>
      <c r="BK423" s="15">
        <v>11.9</v>
      </c>
      <c r="BL423" s="15">
        <v>5.7</v>
      </c>
      <c r="BM423" s="15">
        <v>0.5</v>
      </c>
      <c r="BN423" s="15">
        <v>33.799999999999997</v>
      </c>
      <c r="BO423" s="15"/>
      <c r="BP423" s="15"/>
      <c r="BQ423" s="15">
        <f>Table2[[#This Row],[H% B]]/Table2[[#This Row],[C% B]]*100</f>
        <v>11.065573770491802</v>
      </c>
      <c r="BR423" s="15"/>
      <c r="BS423" s="15"/>
      <c r="BT423" s="15"/>
      <c r="BU423" s="15"/>
      <c r="BV423" s="15"/>
      <c r="BW423" s="15"/>
      <c r="BX423" s="15"/>
      <c r="BY423" s="15"/>
      <c r="BZ423" s="15"/>
      <c r="CA423" s="15"/>
      <c r="CB423" s="15"/>
      <c r="CC423" s="15"/>
      <c r="CD423" s="15"/>
      <c r="CE423" s="15"/>
      <c r="CF423" s="15">
        <v>8</v>
      </c>
      <c r="CG423" s="15">
        <v>1.6</v>
      </c>
      <c r="CH423" s="15">
        <v>1.8</v>
      </c>
      <c r="CI423" s="15">
        <v>0.7</v>
      </c>
      <c r="CJ423" s="15">
        <v>18.100000000000001</v>
      </c>
      <c r="CK423" s="15">
        <v>6.3</v>
      </c>
      <c r="CL423" s="15"/>
      <c r="CM423" s="15"/>
      <c r="CN423" s="15"/>
      <c r="CO423" s="15"/>
      <c r="CP423" s="15"/>
      <c r="CQ423" s="15"/>
      <c r="CR423" s="15"/>
      <c r="CS423" s="15">
        <v>5343</v>
      </c>
      <c r="CT423" s="15">
        <v>1286</v>
      </c>
      <c r="CU423" s="15"/>
      <c r="CV423" s="15"/>
      <c r="CW423" s="15"/>
      <c r="CX423" s="15"/>
      <c r="CY423" s="15"/>
      <c r="CZ423" s="15"/>
      <c r="DA423" s="15"/>
      <c r="DB423" s="15">
        <v>0</v>
      </c>
    </row>
    <row r="424" spans="1:106" x14ac:dyDescent="0.25">
      <c r="A424" t="s">
        <v>417</v>
      </c>
      <c r="B424" t="s">
        <v>149</v>
      </c>
      <c r="C424">
        <v>2014</v>
      </c>
      <c r="D424" s="16" t="s">
        <v>415</v>
      </c>
      <c r="E424">
        <v>0</v>
      </c>
      <c r="F424" s="15">
        <v>63.553530751708429</v>
      </c>
      <c r="G424" s="15"/>
      <c r="H424" s="15"/>
      <c r="I424" s="15">
        <v>5.4669703872437356</v>
      </c>
      <c r="J424" s="15">
        <v>1.3667425968109339</v>
      </c>
      <c r="K424" s="15"/>
      <c r="L424" s="15">
        <f>IF(Table2[[#This Row],[Lipids wt%]]+Table2[[#This Row],[Protein wt%]]+Table2[[#This Row],[Carbs wt%]] =0,"",SUM(Table2[[#This Row],[Lipids wt%]],Table2[[#This Row],[Protein wt%]],Table2[[#This Row],[Carbs wt%]]))</f>
        <v>70.387243735763093</v>
      </c>
      <c r="M424" s="15">
        <v>26</v>
      </c>
      <c r="P424">
        <v>12.2</v>
      </c>
      <c r="Z424" s="15">
        <v>30.5</v>
      </c>
      <c r="AA424" s="15">
        <v>5.5</v>
      </c>
      <c r="AB424" s="15">
        <v>49.2</v>
      </c>
      <c r="AC424" s="15">
        <v>1</v>
      </c>
      <c r="AD424" s="15">
        <v>5.2</v>
      </c>
      <c r="AE424" s="15"/>
      <c r="AF424" s="15">
        <v>12.6</v>
      </c>
      <c r="AG424" s="15">
        <v>3.5000000000000003E-2</v>
      </c>
      <c r="AH424" s="15">
        <v>2</v>
      </c>
      <c r="AI424" s="15">
        <v>28</v>
      </c>
      <c r="AJ424" s="15">
        <v>6.6</v>
      </c>
      <c r="AM424" s="13">
        <v>1.54772</v>
      </c>
      <c r="AN424">
        <v>3</v>
      </c>
      <c r="AO424" s="15">
        <v>5</v>
      </c>
      <c r="AP424" s="15">
        <f>LN(25/Table2[[#This Row],[Temperature (C)]]/(1-SQRT((Table2[[#This Row],[Temperature (C)]]-5)/Table2[[#This Row],[Temperature (C)]])))/Table2[[#This Row],[b]]</f>
        <v>1.4853207570772089</v>
      </c>
      <c r="AQ424" s="15">
        <f>IF(Table2[[#This Row],[b]]&lt;&gt;"",Table2[[#This Row],[T-5]], 0)</f>
        <v>1.4853207570772089</v>
      </c>
      <c r="AR424">
        <v>8</v>
      </c>
      <c r="AT424" t="s">
        <v>503</v>
      </c>
      <c r="AU424">
        <f t="shared" si="2"/>
        <v>337.5</v>
      </c>
      <c r="AV424" s="15">
        <v>8.3000000000000007</v>
      </c>
      <c r="AW424" s="15"/>
      <c r="AX424" s="15"/>
      <c r="AY424" s="15"/>
      <c r="AZ424" s="15"/>
      <c r="BA424" s="15"/>
      <c r="BB424" s="15" t="str">
        <f>IF(OR(Table2[[#This Row],[Gas wt%]]&lt;&gt;"",Table2[[#This Row],[Loss]]&lt;&gt;""),Table2[[#This Row],[Gas wt%]]+Table2[[#This Row],[Loss]],"")</f>
        <v/>
      </c>
      <c r="BC424" s="15">
        <v>34</v>
      </c>
      <c r="BD424" s="15"/>
      <c r="BE424" s="15"/>
      <c r="BF424" s="15"/>
      <c r="BG424" s="15"/>
      <c r="BH424" s="15"/>
      <c r="BI424" s="15">
        <v>73.099999999999994</v>
      </c>
      <c r="BJ424" s="15">
        <v>6.9</v>
      </c>
      <c r="BK424" s="15">
        <v>16.2</v>
      </c>
      <c r="BL424" s="15">
        <v>2.7</v>
      </c>
      <c r="BM424" s="15">
        <v>0.2</v>
      </c>
      <c r="BN424" s="15">
        <v>32</v>
      </c>
      <c r="BO424" s="15"/>
      <c r="BP424" s="15"/>
      <c r="BQ424" s="15">
        <f>Table2[[#This Row],[H% B]]/Table2[[#This Row],[C% B]]*100</f>
        <v>9.439124487004106</v>
      </c>
      <c r="BR424" s="15"/>
      <c r="BS424" s="15"/>
      <c r="BT424" s="15"/>
      <c r="BU424" s="15"/>
      <c r="BV424" s="15"/>
      <c r="BW424" s="15"/>
      <c r="BX424" s="15"/>
      <c r="BY424" s="15"/>
      <c r="BZ424" s="15"/>
      <c r="CA424" s="15"/>
      <c r="CB424" s="15"/>
      <c r="CC424" s="15"/>
      <c r="CD424" s="15"/>
      <c r="CE424" s="15"/>
      <c r="CF424" s="15">
        <v>34.5</v>
      </c>
      <c r="CG424" s="15">
        <v>2.7</v>
      </c>
      <c r="CH424" s="15">
        <v>4</v>
      </c>
      <c r="CI424" s="15">
        <v>1.6</v>
      </c>
      <c r="CJ424" s="15">
        <v>10.4</v>
      </c>
      <c r="CK424" s="15">
        <v>15.8</v>
      </c>
      <c r="CL424" s="15"/>
      <c r="CM424" s="15"/>
      <c r="CN424" s="15"/>
      <c r="CO424" s="15"/>
      <c r="CP424" s="15"/>
      <c r="CQ424" s="15"/>
      <c r="CR424" s="15"/>
      <c r="CS424" s="15">
        <v>4064</v>
      </c>
      <c r="CT424" s="15">
        <v>317</v>
      </c>
      <c r="CU424" s="15"/>
      <c r="CV424" s="15"/>
      <c r="CW424" s="15"/>
      <c r="CX424" s="15"/>
      <c r="CY424" s="15"/>
      <c r="CZ424" s="15"/>
      <c r="DA424" s="15"/>
      <c r="DB424" s="15">
        <v>0</v>
      </c>
    </row>
    <row r="425" spans="1:106" x14ac:dyDescent="0.25">
      <c r="A425" t="s">
        <v>417</v>
      </c>
      <c r="B425" t="s">
        <v>149</v>
      </c>
      <c r="C425">
        <v>2014</v>
      </c>
      <c r="D425" s="16" t="s">
        <v>415</v>
      </c>
      <c r="E425">
        <v>0</v>
      </c>
      <c r="F425" s="15">
        <v>76.398210290827734</v>
      </c>
      <c r="G425" s="15"/>
      <c r="H425" s="15"/>
      <c r="I425" s="15">
        <v>5.3691275167785228</v>
      </c>
      <c r="J425" s="15">
        <v>1.5659955257270692</v>
      </c>
      <c r="K425" s="15"/>
      <c r="L425" s="15">
        <f>IF(Table2[[#This Row],[Lipids wt%]]+Table2[[#This Row],[Protein wt%]]+Table2[[#This Row],[Carbs wt%]] =0,"",SUM(Table2[[#This Row],[Lipids wt%]],Table2[[#This Row],[Protein wt%]],Table2[[#This Row],[Carbs wt%]]))</f>
        <v>83.333333333333329</v>
      </c>
      <c r="M425" s="15">
        <v>14.9</v>
      </c>
      <c r="P425">
        <v>10.6</v>
      </c>
      <c r="Z425" s="15">
        <v>33.1</v>
      </c>
      <c r="AA425" s="15">
        <v>5.9</v>
      </c>
      <c r="AB425" s="15">
        <v>53.3</v>
      </c>
      <c r="AC425" s="15">
        <v>1.1000000000000001</v>
      </c>
      <c r="AD425" s="15">
        <v>5.4</v>
      </c>
      <c r="AE425" s="15"/>
      <c r="AF425" s="15">
        <v>13.6</v>
      </c>
      <c r="AG425" s="15">
        <v>3.5000000000000003E-2</v>
      </c>
      <c r="AH425" s="15">
        <v>2</v>
      </c>
      <c r="AI425" s="15">
        <v>28</v>
      </c>
      <c r="AJ425" s="15">
        <v>6.6</v>
      </c>
      <c r="AM425" s="13">
        <v>1.54772</v>
      </c>
      <c r="AN425">
        <v>3</v>
      </c>
      <c r="AO425" s="15">
        <v>5</v>
      </c>
      <c r="AP425" s="15">
        <f>LN(25/Table2[[#This Row],[Temperature (C)]]/(1-SQRT((Table2[[#This Row],[Temperature (C)]]-5)/Table2[[#This Row],[Temperature (C)]])))/Table2[[#This Row],[b]]</f>
        <v>1.4853207570772089</v>
      </c>
      <c r="AQ425" s="15">
        <f>IF(Table2[[#This Row],[b]]&lt;&gt;"",Table2[[#This Row],[T-5]], 0)</f>
        <v>1.4853207570772089</v>
      </c>
      <c r="AR425">
        <v>8</v>
      </c>
      <c r="AT425" t="s">
        <v>503</v>
      </c>
      <c r="AU425">
        <f t="shared" si="2"/>
        <v>337.5</v>
      </c>
      <c r="AV425" s="15">
        <v>9.3000000000000007</v>
      </c>
      <c r="AW425" s="15"/>
      <c r="AX425" s="15"/>
      <c r="AY425" s="15"/>
      <c r="AZ425" s="15"/>
      <c r="BA425" s="15"/>
      <c r="BB425" s="15" t="str">
        <f>IF(OR(Table2[[#This Row],[Gas wt%]]&lt;&gt;"",Table2[[#This Row],[Loss]]&lt;&gt;""),Table2[[#This Row],[Gas wt%]]+Table2[[#This Row],[Loss]],"")</f>
        <v/>
      </c>
      <c r="BC425" s="15">
        <v>30.6</v>
      </c>
      <c r="BD425" s="15"/>
      <c r="BE425" s="15"/>
      <c r="BF425" s="15"/>
      <c r="BG425" s="15"/>
      <c r="BH425" s="15"/>
      <c r="BI425" s="15">
        <v>72</v>
      </c>
      <c r="BJ425" s="15">
        <v>6.9</v>
      </c>
      <c r="BK425" s="15">
        <v>15.9</v>
      </c>
      <c r="BL425" s="15">
        <v>3</v>
      </c>
      <c r="BM425" s="15">
        <v>0.2</v>
      </c>
      <c r="BN425" s="15">
        <v>31.6</v>
      </c>
      <c r="BO425" s="15"/>
      <c r="BP425" s="15"/>
      <c r="BQ425" s="15">
        <f>Table2[[#This Row],[H% B]]/Table2[[#This Row],[C% B]]*100</f>
        <v>9.5833333333333339</v>
      </c>
      <c r="BR425" s="15"/>
      <c r="BS425" s="15"/>
      <c r="BT425" s="15"/>
      <c r="BU425" s="15"/>
      <c r="BV425" s="15"/>
      <c r="BW425" s="15"/>
      <c r="BX425" s="15"/>
      <c r="BY425" s="15"/>
      <c r="BZ425" s="15"/>
      <c r="CA425" s="15"/>
      <c r="CB425" s="15"/>
      <c r="CC425" s="15"/>
      <c r="CD425" s="15"/>
      <c r="CE425" s="15"/>
      <c r="CF425" s="15">
        <v>28.5</v>
      </c>
      <c r="CG425" s="15">
        <v>2.1</v>
      </c>
      <c r="CH425" s="15">
        <v>3.2</v>
      </c>
      <c r="CI425" s="15">
        <v>1.3</v>
      </c>
      <c r="CJ425" s="15">
        <v>13</v>
      </c>
      <c r="CK425" s="15">
        <v>13.3</v>
      </c>
      <c r="CL425" s="15"/>
      <c r="CM425" s="15"/>
      <c r="CN425" s="15"/>
      <c r="CO425" s="15"/>
      <c r="CP425" s="15"/>
      <c r="CQ425" s="15"/>
      <c r="CR425" s="15"/>
      <c r="CS425" s="15">
        <v>4071</v>
      </c>
      <c r="CT425" s="15">
        <v>272</v>
      </c>
      <c r="CU425" s="15"/>
      <c r="CV425" s="15"/>
      <c r="CW425" s="15"/>
      <c r="CX425" s="15"/>
      <c r="CY425" s="15"/>
      <c r="CZ425" s="15"/>
      <c r="DA425" s="15"/>
      <c r="DB425" s="15">
        <v>0</v>
      </c>
    </row>
    <row r="426" spans="1:106" x14ac:dyDescent="0.25">
      <c r="A426" t="s">
        <v>417</v>
      </c>
      <c r="B426" t="s">
        <v>149</v>
      </c>
      <c r="C426">
        <v>2014</v>
      </c>
      <c r="D426" s="16" t="s">
        <v>416</v>
      </c>
      <c r="E426">
        <v>0</v>
      </c>
      <c r="F426" s="15">
        <v>63.333333333333329</v>
      </c>
      <c r="G426" s="15"/>
      <c r="H426" s="15"/>
      <c r="I426" s="15">
        <v>21.182795698924732</v>
      </c>
      <c r="J426" s="15">
        <v>7.956989247311828</v>
      </c>
      <c r="K426" s="15"/>
      <c r="L426" s="15">
        <f>IF(Table2[[#This Row],[Lipids wt%]]+Table2[[#This Row],[Protein wt%]]+Table2[[#This Row],[Carbs wt%]] =0,"",SUM(Table2[[#This Row],[Lipids wt%]],Table2[[#This Row],[Protein wt%]],Table2[[#This Row],[Carbs wt%]]))</f>
        <v>92.473118279569889</v>
      </c>
      <c r="M426" s="15">
        <v>7</v>
      </c>
      <c r="P426">
        <v>7</v>
      </c>
      <c r="Z426" s="15">
        <v>44.1</v>
      </c>
      <c r="AA426" s="15">
        <v>6.7</v>
      </c>
      <c r="AB426" s="15">
        <v>38.799999999999997</v>
      </c>
      <c r="AC426" s="15">
        <v>4.2</v>
      </c>
      <c r="AD426" s="15">
        <v>0.2</v>
      </c>
      <c r="AE426" s="15"/>
      <c r="AF426" s="15">
        <v>19.2</v>
      </c>
      <c r="AG426" s="15">
        <v>3.5000000000000003E-2</v>
      </c>
      <c r="AH426" s="15">
        <v>2</v>
      </c>
      <c r="AI426" s="15">
        <v>28</v>
      </c>
      <c r="AJ426" s="15">
        <v>6.6</v>
      </c>
      <c r="AM426" s="13">
        <v>1.54772</v>
      </c>
      <c r="AN426">
        <v>3</v>
      </c>
      <c r="AO426" s="15">
        <v>5</v>
      </c>
      <c r="AP426" s="15">
        <f>LN(25/Table2[[#This Row],[Temperature (C)]]/(1-SQRT((Table2[[#This Row],[Temperature (C)]]-5)/Table2[[#This Row],[Temperature (C)]])))/Table2[[#This Row],[b]]</f>
        <v>1.4853207570772089</v>
      </c>
      <c r="AQ426" s="15">
        <f>IF(Table2[[#This Row],[b]]&lt;&gt;"",Table2[[#This Row],[T-5]], 0)</f>
        <v>1.4853207570772089</v>
      </c>
      <c r="AR426">
        <v>8</v>
      </c>
      <c r="AT426" t="s">
        <v>503</v>
      </c>
      <c r="AU426">
        <f t="shared" si="2"/>
        <v>337.5</v>
      </c>
      <c r="AV426" s="15">
        <v>6.5</v>
      </c>
      <c r="AW426" s="15"/>
      <c r="AX426" s="15"/>
      <c r="AY426" s="15"/>
      <c r="AZ426" s="15"/>
      <c r="BA426" s="15"/>
      <c r="BB426" s="15" t="str">
        <f>IF(OR(Table2[[#This Row],[Gas wt%]]&lt;&gt;"",Table2[[#This Row],[Loss]]&lt;&gt;""),Table2[[#This Row],[Gas wt%]]+Table2[[#This Row],[Loss]],"")</f>
        <v/>
      </c>
      <c r="BC426" s="15">
        <v>35.6</v>
      </c>
      <c r="BD426" s="15"/>
      <c r="BE426" s="15"/>
      <c r="BF426" s="15"/>
      <c r="BG426" s="15"/>
      <c r="BH426" s="15"/>
      <c r="BI426" s="15">
        <v>71.7</v>
      </c>
      <c r="BJ426" s="15">
        <v>7.4</v>
      </c>
      <c r="BK426" s="15">
        <v>13.8</v>
      </c>
      <c r="BL426" s="15">
        <v>5.3</v>
      </c>
      <c r="BM426" s="15">
        <v>0.4</v>
      </c>
      <c r="BN426" s="15">
        <v>32.200000000000003</v>
      </c>
      <c r="BO426" s="15"/>
      <c r="BP426" s="15"/>
      <c r="BQ426" s="15">
        <f>Table2[[#This Row],[H% B]]/Table2[[#This Row],[C% B]]*100</f>
        <v>10.320781032078104</v>
      </c>
      <c r="BR426" s="15"/>
      <c r="BS426" s="15"/>
      <c r="BT426" s="15"/>
      <c r="BU426" s="15"/>
      <c r="BV426" s="15"/>
      <c r="BW426" s="15"/>
      <c r="BX426" s="15"/>
      <c r="BY426" s="15"/>
      <c r="BZ426" s="15"/>
      <c r="CA426" s="15"/>
      <c r="CB426" s="15"/>
      <c r="CC426" s="15"/>
      <c r="CD426" s="15"/>
      <c r="CE426" s="15"/>
      <c r="CF426" s="15">
        <v>38.9</v>
      </c>
      <c r="CG426" s="15">
        <v>3.2</v>
      </c>
      <c r="CH426" s="15">
        <v>4.2</v>
      </c>
      <c r="CI426" s="15">
        <v>3.6</v>
      </c>
      <c r="CJ426" s="15">
        <v>0.6</v>
      </c>
      <c r="CK426" s="15">
        <v>16.899999999999999</v>
      </c>
      <c r="CL426" s="15"/>
      <c r="CM426" s="15"/>
      <c r="CN426" s="15"/>
      <c r="CO426" s="15"/>
      <c r="CP426" s="15"/>
      <c r="CQ426" s="15"/>
      <c r="CR426" s="15"/>
      <c r="CS426" s="15">
        <v>6921</v>
      </c>
      <c r="CT426" s="15">
        <v>1043</v>
      </c>
      <c r="CU426" s="15"/>
      <c r="CV426" s="15"/>
      <c r="CW426" s="15"/>
      <c r="CX426" s="15"/>
      <c r="CY426" s="15"/>
      <c r="CZ426" s="15"/>
      <c r="DA426" s="15"/>
      <c r="DB426" s="15">
        <v>0</v>
      </c>
    </row>
    <row r="427" spans="1:106" x14ac:dyDescent="0.25">
      <c r="A427" t="s">
        <v>417</v>
      </c>
      <c r="B427" t="s">
        <v>149</v>
      </c>
      <c r="C427">
        <v>2014</v>
      </c>
      <c r="D427" s="16" t="s">
        <v>416</v>
      </c>
      <c r="E427">
        <v>0</v>
      </c>
      <c r="F427" s="15">
        <v>62.284482758620683</v>
      </c>
      <c r="G427" s="15"/>
      <c r="H427" s="15"/>
      <c r="I427" s="15">
        <v>21.336206896551726</v>
      </c>
      <c r="J427" s="15">
        <v>9.1594827586206904</v>
      </c>
      <c r="K427" s="15"/>
      <c r="L427" s="15">
        <f>IF(Table2[[#This Row],[Lipids wt%]]+Table2[[#This Row],[Protein wt%]]+Table2[[#This Row],[Carbs wt%]] =0,"",SUM(Table2[[#This Row],[Lipids wt%]],Table2[[#This Row],[Protein wt%]],Table2[[#This Row],[Carbs wt%]]))</f>
        <v>92.780172413793096</v>
      </c>
      <c r="M427" s="15">
        <v>6.7</v>
      </c>
      <c r="P427">
        <v>7.2</v>
      </c>
      <c r="Z427" s="15">
        <v>44.4</v>
      </c>
      <c r="AA427" s="15">
        <v>6.7</v>
      </c>
      <c r="AB427" s="15">
        <v>39.200000000000003</v>
      </c>
      <c r="AC427" s="15">
        <v>4.2</v>
      </c>
      <c r="AD427" s="15">
        <v>0.2</v>
      </c>
      <c r="AE427" s="15"/>
      <c r="AF427" s="15">
        <v>19.3</v>
      </c>
      <c r="AG427" s="15">
        <v>3.5000000000000003E-2</v>
      </c>
      <c r="AH427" s="15">
        <v>2</v>
      </c>
      <c r="AI427" s="15">
        <v>28</v>
      </c>
      <c r="AJ427" s="15">
        <v>6.6</v>
      </c>
      <c r="AM427" s="13">
        <v>1.54772</v>
      </c>
      <c r="AN427">
        <v>3</v>
      </c>
      <c r="AO427" s="15">
        <v>5</v>
      </c>
      <c r="AP427" s="15">
        <f>LN(25/Table2[[#This Row],[Temperature (C)]]/(1-SQRT((Table2[[#This Row],[Temperature (C)]]-5)/Table2[[#This Row],[Temperature (C)]])))/Table2[[#This Row],[b]]</f>
        <v>1.4853207570772089</v>
      </c>
      <c r="AQ427" s="15">
        <f>IF(Table2[[#This Row],[b]]&lt;&gt;"",Table2[[#This Row],[T-5]], 0)</f>
        <v>1.4853207570772089</v>
      </c>
      <c r="AR427">
        <v>8</v>
      </c>
      <c r="AT427" t="s">
        <v>503</v>
      </c>
      <c r="AU427">
        <f t="shared" si="2"/>
        <v>337.5</v>
      </c>
      <c r="AV427" s="15">
        <v>7.3</v>
      </c>
      <c r="AW427" s="15"/>
      <c r="AX427" s="15"/>
      <c r="AY427" s="15"/>
      <c r="AZ427" s="15"/>
      <c r="BA427" s="15"/>
      <c r="BB427" s="15" t="str">
        <f>IF(OR(Table2[[#This Row],[Gas wt%]]&lt;&gt;"",Table2[[#This Row],[Loss]]&lt;&gt;""),Table2[[#This Row],[Gas wt%]]+Table2[[#This Row],[Loss]],"")</f>
        <v/>
      </c>
      <c r="BC427" s="15">
        <v>38.799999999999997</v>
      </c>
      <c r="BD427" s="15"/>
      <c r="BE427" s="15"/>
      <c r="BF427" s="15"/>
      <c r="BG427" s="15"/>
      <c r="BH427" s="15"/>
      <c r="BI427" s="15">
        <v>71.7</v>
      </c>
      <c r="BJ427" s="15">
        <v>7.3</v>
      </c>
      <c r="BK427" s="15">
        <v>13.8</v>
      </c>
      <c r="BL427" s="15">
        <v>5.3</v>
      </c>
      <c r="BM427" s="15">
        <v>0.3</v>
      </c>
      <c r="BN427" s="15">
        <v>32.200000000000003</v>
      </c>
      <c r="BO427" s="15"/>
      <c r="BP427" s="15"/>
      <c r="BQ427" s="15">
        <f>Table2[[#This Row],[H% B]]/Table2[[#This Row],[C% B]]*100</f>
        <v>10.181311018131101</v>
      </c>
      <c r="BR427" s="15"/>
      <c r="BS427" s="15"/>
      <c r="BT427" s="15"/>
      <c r="BU427" s="15"/>
      <c r="BV427" s="15"/>
      <c r="BW427" s="15"/>
      <c r="BX427" s="15"/>
      <c r="BY427" s="15"/>
      <c r="BZ427" s="15"/>
      <c r="CA427" s="15"/>
      <c r="CB427" s="15"/>
      <c r="CC427" s="15"/>
      <c r="CD427" s="15"/>
      <c r="CE427" s="15"/>
      <c r="CF427" s="15">
        <v>41.5</v>
      </c>
      <c r="CG427" s="15">
        <v>3.3</v>
      </c>
      <c r="CH427" s="15">
        <v>4.3</v>
      </c>
      <c r="CI427" s="15">
        <v>3.9</v>
      </c>
      <c r="CJ427" s="15">
        <v>0.9</v>
      </c>
      <c r="CK427" s="15">
        <v>18</v>
      </c>
      <c r="CL427" s="15"/>
      <c r="CM427" s="15"/>
      <c r="CN427" s="15"/>
      <c r="CO427" s="15"/>
      <c r="CP427" s="15"/>
      <c r="CQ427" s="15"/>
      <c r="CR427" s="15"/>
      <c r="CS427" s="15">
        <v>5843</v>
      </c>
      <c r="CT427" s="15">
        <v>1021</v>
      </c>
      <c r="CU427" s="15"/>
      <c r="CV427" s="15"/>
      <c r="CW427" s="15"/>
      <c r="CX427" s="15"/>
      <c r="CY427" s="15"/>
      <c r="CZ427" s="15"/>
      <c r="DA427" s="15"/>
      <c r="DB427" s="15">
        <v>0</v>
      </c>
    </row>
    <row r="428" spans="1:106" x14ac:dyDescent="0.25">
      <c r="A428" t="s">
        <v>417</v>
      </c>
      <c r="B428" t="s">
        <v>149</v>
      </c>
      <c r="C428">
        <v>2014</v>
      </c>
      <c r="D428" s="16" t="s">
        <v>416</v>
      </c>
      <c r="E428">
        <v>0</v>
      </c>
      <c r="F428" s="15">
        <v>82.277121374865743</v>
      </c>
      <c r="G428" s="15"/>
      <c r="H428" s="15"/>
      <c r="I428" s="15">
        <v>7.1965628356605809</v>
      </c>
      <c r="J428" s="15">
        <v>3.3297529538131045</v>
      </c>
      <c r="K428" s="15"/>
      <c r="L428" s="15">
        <f>IF(Table2[[#This Row],[Lipids wt%]]+Table2[[#This Row],[Protein wt%]]+Table2[[#This Row],[Carbs wt%]] =0,"",SUM(Table2[[#This Row],[Lipids wt%]],Table2[[#This Row],[Protein wt%]],Table2[[#This Row],[Carbs wt%]]))</f>
        <v>92.803437164339428</v>
      </c>
      <c r="M428" s="15">
        <v>6.7</v>
      </c>
      <c r="P428">
        <v>6.9</v>
      </c>
      <c r="Z428" s="15">
        <v>41.2</v>
      </c>
      <c r="AA428" s="15">
        <v>6.4</v>
      </c>
      <c r="AB428" s="15">
        <v>46.6</v>
      </c>
      <c r="AC428" s="15">
        <v>1.4</v>
      </c>
      <c r="AD428" s="15">
        <v>0.2</v>
      </c>
      <c r="AE428" s="15"/>
      <c r="AF428" s="15">
        <v>17.100000000000001</v>
      </c>
      <c r="AG428" s="15">
        <v>3.5000000000000003E-2</v>
      </c>
      <c r="AH428" s="15">
        <v>2</v>
      </c>
      <c r="AI428" s="15">
        <v>28</v>
      </c>
      <c r="AJ428" s="15">
        <v>6.6</v>
      </c>
      <c r="AM428" s="13">
        <v>1.54772</v>
      </c>
      <c r="AN428">
        <v>3</v>
      </c>
      <c r="AO428" s="15">
        <v>5</v>
      </c>
      <c r="AP428" s="15">
        <f>LN(25/Table2[[#This Row],[Temperature (C)]]/(1-SQRT((Table2[[#This Row],[Temperature (C)]]-5)/Table2[[#This Row],[Temperature (C)]])))/Table2[[#This Row],[b]]</f>
        <v>1.4853207570772089</v>
      </c>
      <c r="AQ428" s="15">
        <f>IF(Table2[[#This Row],[b]]&lt;&gt;"",Table2[[#This Row],[T-5]], 0)</f>
        <v>1.4853207570772089</v>
      </c>
      <c r="AR428">
        <v>8</v>
      </c>
      <c r="AT428" t="s">
        <v>503</v>
      </c>
      <c r="AU428">
        <f t="shared" si="2"/>
        <v>337.5</v>
      </c>
      <c r="AV428" s="15">
        <v>4</v>
      </c>
      <c r="AW428" s="15"/>
      <c r="AX428" s="15"/>
      <c r="AY428" s="15"/>
      <c r="AZ428" s="15"/>
      <c r="BA428" s="15"/>
      <c r="BB428" s="15" t="str">
        <f>IF(OR(Table2[[#This Row],[Gas wt%]]&lt;&gt;"",Table2[[#This Row],[Loss]]&lt;&gt;""),Table2[[#This Row],[Gas wt%]]+Table2[[#This Row],[Loss]],"")</f>
        <v/>
      </c>
      <c r="BC428" s="15">
        <v>32.200000000000003</v>
      </c>
      <c r="BD428" s="15"/>
      <c r="BE428" s="15"/>
      <c r="BF428" s="15"/>
      <c r="BG428" s="15"/>
      <c r="BH428" s="15"/>
      <c r="BI428" s="15">
        <v>71.7</v>
      </c>
      <c r="BJ428" s="15">
        <v>6.6</v>
      </c>
      <c r="BK428" s="15">
        <v>17.2</v>
      </c>
      <c r="BL428" s="15">
        <v>2.2000000000000002</v>
      </c>
      <c r="BM428" s="15"/>
      <c r="BN428" s="15">
        <v>31.1</v>
      </c>
      <c r="BO428" s="15"/>
      <c r="BP428" s="15"/>
      <c r="BQ428" s="15">
        <f>Table2[[#This Row],[H% B]]/Table2[[#This Row],[C% B]]*100</f>
        <v>9.2050209205020916</v>
      </c>
      <c r="BR428" s="15"/>
      <c r="BS428" s="15"/>
      <c r="BT428" s="15"/>
      <c r="BU428" s="15"/>
      <c r="BV428" s="15"/>
      <c r="BW428" s="15"/>
      <c r="BX428" s="15"/>
      <c r="BY428" s="15"/>
      <c r="BZ428" s="15"/>
      <c r="CA428" s="15"/>
      <c r="CB428" s="15"/>
      <c r="CC428" s="15"/>
      <c r="CD428" s="15"/>
      <c r="CE428" s="15"/>
      <c r="CF428" s="15">
        <v>60</v>
      </c>
      <c r="CG428" s="15">
        <v>4.3</v>
      </c>
      <c r="CH428" s="15">
        <v>6</v>
      </c>
      <c r="CI428" s="15">
        <v>2.6</v>
      </c>
      <c r="CJ428" s="15">
        <v>1.1000000000000001</v>
      </c>
      <c r="CK428" s="15">
        <v>25.5</v>
      </c>
      <c r="CL428" s="15"/>
      <c r="CM428" s="15"/>
      <c r="CN428" s="15"/>
      <c r="CO428" s="15"/>
      <c r="CP428" s="15"/>
      <c r="CQ428" s="15"/>
      <c r="CR428" s="15"/>
      <c r="CS428" s="15">
        <v>6121</v>
      </c>
      <c r="CT428" s="15">
        <v>272</v>
      </c>
      <c r="CU428" s="15"/>
      <c r="CV428" s="15"/>
      <c r="CW428" s="15"/>
      <c r="CX428" s="15"/>
      <c r="CY428" s="15"/>
      <c r="CZ428" s="15"/>
      <c r="DA428" s="15"/>
      <c r="DB428" s="15">
        <v>0</v>
      </c>
    </row>
    <row r="429" spans="1:106" x14ac:dyDescent="0.25">
      <c r="A429" t="s">
        <v>417</v>
      </c>
      <c r="B429" t="s">
        <v>149</v>
      </c>
      <c r="C429">
        <v>2014</v>
      </c>
      <c r="D429" s="16" t="s">
        <v>416</v>
      </c>
      <c r="E429">
        <v>0</v>
      </c>
      <c r="F429" s="15">
        <v>84.815618221258134</v>
      </c>
      <c r="G429" s="15"/>
      <c r="H429" s="15"/>
      <c r="I429" s="15">
        <v>5.0976138828633406</v>
      </c>
      <c r="J429" s="15">
        <v>3.4707158351409979</v>
      </c>
      <c r="K429" s="15"/>
      <c r="L429" s="15">
        <f>IF(Table2[[#This Row],[Lipids wt%]]+Table2[[#This Row],[Protein wt%]]+Table2[[#This Row],[Carbs wt%]] =0,"",SUM(Table2[[#This Row],[Lipids wt%]],Table2[[#This Row],[Protein wt%]],Table2[[#This Row],[Carbs wt%]]))</f>
        <v>93.38394793926247</v>
      </c>
      <c r="M429" s="15">
        <v>6.1</v>
      </c>
      <c r="P429">
        <v>7.8</v>
      </c>
      <c r="Z429" s="15">
        <v>41</v>
      </c>
      <c r="AA429" s="15">
        <v>6.4</v>
      </c>
      <c r="AB429" s="15">
        <v>46.9</v>
      </c>
      <c r="AC429" s="15">
        <v>1</v>
      </c>
      <c r="AD429" s="15">
        <v>0.1</v>
      </c>
      <c r="AE429" s="15"/>
      <c r="AF429" s="15">
        <v>17</v>
      </c>
      <c r="AG429" s="15">
        <v>3.5000000000000003E-2</v>
      </c>
      <c r="AH429" s="15">
        <v>2</v>
      </c>
      <c r="AI429" s="15">
        <v>28</v>
      </c>
      <c r="AJ429" s="15">
        <v>6.6</v>
      </c>
      <c r="AM429" s="13">
        <v>1.54772</v>
      </c>
      <c r="AN429">
        <v>3</v>
      </c>
      <c r="AO429" s="15">
        <v>5</v>
      </c>
      <c r="AP429" s="15">
        <f>LN(25/Table2[[#This Row],[Temperature (C)]]/(1-SQRT((Table2[[#This Row],[Temperature (C)]]-5)/Table2[[#This Row],[Temperature (C)]])))/Table2[[#This Row],[b]]</f>
        <v>1.4853207570772089</v>
      </c>
      <c r="AQ429" s="15">
        <f>IF(Table2[[#This Row],[b]]&lt;&gt;"",Table2[[#This Row],[T-5]], 0)</f>
        <v>1.4853207570772089</v>
      </c>
      <c r="AR429">
        <v>8</v>
      </c>
      <c r="AT429" t="s">
        <v>503</v>
      </c>
      <c r="AU429">
        <f t="shared" si="2"/>
        <v>337.5</v>
      </c>
      <c r="AV429" s="15">
        <v>3.8</v>
      </c>
      <c r="AW429" s="15"/>
      <c r="AX429" s="15"/>
      <c r="AY429" s="15"/>
      <c r="AZ429" s="15"/>
      <c r="BA429" s="15"/>
      <c r="BB429" s="15" t="str">
        <f>IF(OR(Table2[[#This Row],[Gas wt%]]&lt;&gt;"",Table2[[#This Row],[Loss]]&lt;&gt;""),Table2[[#This Row],[Gas wt%]]+Table2[[#This Row],[Loss]],"")</f>
        <v/>
      </c>
      <c r="BC429" s="15">
        <v>32.6</v>
      </c>
      <c r="BD429" s="15"/>
      <c r="BE429" s="15"/>
      <c r="BF429" s="15"/>
      <c r="BG429" s="15"/>
      <c r="BH429" s="15"/>
      <c r="BI429" s="15">
        <v>72.3</v>
      </c>
      <c r="BJ429" s="15">
        <v>7.3</v>
      </c>
      <c r="BK429" s="15">
        <v>17</v>
      </c>
      <c r="BL429" s="15">
        <v>2.1</v>
      </c>
      <c r="BM429" s="15"/>
      <c r="BN429" s="15">
        <v>32.1</v>
      </c>
      <c r="BO429" s="15"/>
      <c r="BP429" s="15"/>
      <c r="BQ429" s="15">
        <f>Table2[[#This Row],[H% B]]/Table2[[#This Row],[C% B]]*100</f>
        <v>10.096818810511756</v>
      </c>
      <c r="BR429" s="15"/>
      <c r="BS429" s="15"/>
      <c r="BT429" s="15"/>
      <c r="BU429" s="15"/>
      <c r="BV429" s="15"/>
      <c r="BW429" s="15"/>
      <c r="BX429" s="15"/>
      <c r="BY429" s="15"/>
      <c r="BZ429" s="15"/>
      <c r="CA429" s="15"/>
      <c r="CB429" s="15"/>
      <c r="CC429" s="15"/>
      <c r="CD429" s="15"/>
      <c r="CE429" s="15"/>
      <c r="CF429" s="15">
        <v>59.7</v>
      </c>
      <c r="CG429" s="15">
        <v>4.2</v>
      </c>
      <c r="CH429" s="15">
        <v>4.5999999999999996</v>
      </c>
      <c r="CI429" s="15">
        <v>2.7</v>
      </c>
      <c r="CJ429" s="15">
        <v>0.7</v>
      </c>
      <c r="CK429" s="15">
        <v>25.3</v>
      </c>
      <c r="CL429" s="15"/>
      <c r="CM429" s="15"/>
      <c r="CN429" s="15"/>
      <c r="CO429" s="15"/>
      <c r="CP429" s="15"/>
      <c r="CQ429" s="15"/>
      <c r="CR429" s="15"/>
      <c r="CS429" s="15">
        <v>5743</v>
      </c>
      <c r="CT429" s="15">
        <v>274</v>
      </c>
      <c r="CU429" s="15"/>
      <c r="CV429" s="15"/>
      <c r="CW429" s="15"/>
      <c r="CX429" s="15"/>
      <c r="CY429" s="15"/>
      <c r="CZ429" s="15"/>
      <c r="DA429" s="15"/>
      <c r="DB429" s="15">
        <v>0</v>
      </c>
    </row>
    <row r="430" spans="1:106" x14ac:dyDescent="0.25">
      <c r="A430" t="s">
        <v>426</v>
      </c>
      <c r="B430" t="s">
        <v>427</v>
      </c>
      <c r="C430">
        <v>2018</v>
      </c>
      <c r="D430" s="16" t="s">
        <v>418</v>
      </c>
      <c r="E430">
        <v>0</v>
      </c>
      <c r="F430" s="15">
        <v>19.079999999999998</v>
      </c>
      <c r="G430" s="15"/>
      <c r="H430" s="15"/>
      <c r="I430" s="15">
        <v>55.06</v>
      </c>
      <c r="J430" s="15">
        <v>20.7</v>
      </c>
      <c r="K430" s="15"/>
      <c r="L430" s="15">
        <f>IF(Table2[[#This Row],[Lipids wt%]]+Table2[[#This Row],[Protein wt%]]+Table2[[#This Row],[Carbs wt%]] =0,"",SUM(Table2[[#This Row],[Lipids wt%]],Table2[[#This Row],[Protein wt%]],Table2[[#This Row],[Carbs wt%]]))</f>
        <v>94.84</v>
      </c>
      <c r="M430" s="15">
        <v>5.16</v>
      </c>
      <c r="Q430">
        <v>20.3</v>
      </c>
      <c r="R430">
        <v>74.540000000000006</v>
      </c>
      <c r="Z430" s="15">
        <v>53.52</v>
      </c>
      <c r="AA430" s="15">
        <v>7.45</v>
      </c>
      <c r="AB430" s="15">
        <v>22.61</v>
      </c>
      <c r="AC430" s="15">
        <v>8.81</v>
      </c>
      <c r="AD430" s="15">
        <v>0.67</v>
      </c>
      <c r="AE430" s="15">
        <v>0.45</v>
      </c>
      <c r="AF430" s="15">
        <f>(33.5*Table2[[#This Row],[C%]]+142.3*Table2[[#This Row],[H%]]-15.4*Table2[[#This Row],[O%]]-14.5*Table2[[#This Row],[N%]])/100</f>
        <v>23.771160000000005</v>
      </c>
      <c r="AG430" s="15">
        <v>0.5</v>
      </c>
      <c r="AH430" s="15">
        <v>60</v>
      </c>
      <c r="AI430" s="15">
        <v>200</v>
      </c>
      <c r="AJ430" s="15">
        <f>Table2[[#This Row],[Solids (g)]]/(Table2[[#This Row],[Solids (g)]]+Table2[[#This Row],[Water mL]])*100</f>
        <v>23.076923076923077</v>
      </c>
      <c r="AK430">
        <v>16.5</v>
      </c>
      <c r="AM430" s="13">
        <v>0.10463699999999999</v>
      </c>
      <c r="AN430">
        <v>50</v>
      </c>
      <c r="AO430" s="15">
        <v>60</v>
      </c>
      <c r="AP430" s="15">
        <f>LN(25/Table2[[#This Row],[Temperature (C)]]/(1-SQRT((Table2[[#This Row],[Temperature (C)]]-5)/Table2[[#This Row],[Temperature (C)]])))/Table2[[#This Row],[b]]</f>
        <v>21.971141933395927</v>
      </c>
      <c r="AQ430" s="15">
        <f>IF(Table2[[#This Row],[b]]&lt;&gt;"",Table2[[#This Row],[T-5]], 0)</f>
        <v>21.971141933395927</v>
      </c>
      <c r="AR430">
        <f>Table2[[#This Row],[Holding Time (min)]]+Table2[[#This Row],[Time to reach temp min]]</f>
        <v>110</v>
      </c>
      <c r="AT430" t="s">
        <v>503</v>
      </c>
      <c r="AU430">
        <v>350</v>
      </c>
      <c r="AV430" s="15">
        <v>4.5999999999999996</v>
      </c>
      <c r="AW430" s="15">
        <v>46.42</v>
      </c>
      <c r="AX430" s="15">
        <v>25.25</v>
      </c>
      <c r="AY430" s="15">
        <v>19.690000000000001</v>
      </c>
      <c r="AZ430" s="15"/>
      <c r="BA430" s="15"/>
      <c r="BB430" s="15">
        <f>IF(OR(Table2[[#This Row],[Gas wt%]]&lt;&gt;"",Table2[[#This Row],[Loss]]&lt;&gt;""),Table2[[#This Row],[Gas wt%]]+Table2[[#This Row],[Loss]],"")</f>
        <v>19.690000000000001</v>
      </c>
      <c r="BC430" s="15"/>
      <c r="BD430" s="15"/>
      <c r="BE430" s="15"/>
      <c r="BF430" s="15"/>
      <c r="BG430" s="15"/>
      <c r="BH430" s="15">
        <v>3.84</v>
      </c>
      <c r="BI430" s="15"/>
      <c r="BJ430" s="15"/>
      <c r="BK430" s="15"/>
      <c r="BL430" s="15"/>
      <c r="BM430" s="15"/>
      <c r="BN430" s="15"/>
      <c r="BO430" s="15"/>
      <c r="BP430" s="15"/>
      <c r="BQ430" s="15"/>
      <c r="BR430" s="15"/>
      <c r="BS430" s="15"/>
      <c r="BT430" s="15"/>
      <c r="BU430" s="15"/>
      <c r="BV430" s="15"/>
      <c r="BW430" s="15"/>
      <c r="BX430" s="15"/>
      <c r="BY430" s="15"/>
      <c r="BZ430" s="15"/>
      <c r="CA430" s="15"/>
      <c r="CB430" s="15"/>
      <c r="CC430" s="15"/>
      <c r="CD430" s="15"/>
      <c r="CE430" s="15"/>
      <c r="CF430" s="15"/>
      <c r="CG430" s="15"/>
      <c r="CH430" s="15"/>
      <c r="CI430" s="15"/>
      <c r="CJ430" s="15"/>
      <c r="CK430" s="15"/>
      <c r="CL430" s="15"/>
      <c r="CM430" s="15"/>
      <c r="CN430" s="15"/>
      <c r="CO430" s="15"/>
      <c r="CP430" s="15"/>
      <c r="CQ430" s="15"/>
      <c r="CR430" s="15"/>
      <c r="CS430" s="15"/>
      <c r="CT430" s="15"/>
      <c r="CU430" s="15"/>
      <c r="CV430" s="15"/>
      <c r="CW430" s="15"/>
      <c r="CX430" s="15"/>
      <c r="CY430" s="15"/>
      <c r="CZ430" s="15"/>
      <c r="DA430" s="15"/>
      <c r="DB430" s="15">
        <v>0</v>
      </c>
    </row>
    <row r="431" spans="1:106" x14ac:dyDescent="0.25">
      <c r="A431" t="s">
        <v>426</v>
      </c>
      <c r="B431" t="s">
        <v>427</v>
      </c>
      <c r="C431">
        <v>2018</v>
      </c>
      <c r="D431" s="16" t="s">
        <v>419</v>
      </c>
      <c r="E431">
        <v>0</v>
      </c>
      <c r="F431" s="15">
        <v>15.28</v>
      </c>
      <c r="G431" s="15"/>
      <c r="H431" s="15"/>
      <c r="I431" s="15">
        <v>67.44</v>
      </c>
      <c r="J431" s="15">
        <v>6.2</v>
      </c>
      <c r="K431" s="15"/>
      <c r="L431" s="15">
        <f>IF(Table2[[#This Row],[Lipids wt%]]+Table2[[#This Row],[Protein wt%]]+Table2[[#This Row],[Carbs wt%]] =0,"",SUM(Table2[[#This Row],[Lipids wt%]],Table2[[#This Row],[Protein wt%]],Table2[[#This Row],[Carbs wt%]]))</f>
        <v>88.92</v>
      </c>
      <c r="M431" s="15">
        <v>11.08</v>
      </c>
      <c r="Q431">
        <v>22.29</v>
      </c>
      <c r="R431">
        <v>66.63</v>
      </c>
      <c r="Z431" s="15">
        <v>47.49</v>
      </c>
      <c r="AA431" s="15">
        <v>6.63</v>
      </c>
      <c r="AB431" s="15">
        <v>22.48</v>
      </c>
      <c r="AC431" s="15">
        <v>10.79</v>
      </c>
      <c r="AD431" s="15">
        <v>0.56000000000000005</v>
      </c>
      <c r="AE431" s="15">
        <v>2.4900000000000002</v>
      </c>
      <c r="AF431" s="15">
        <f>(33.5*Table2[[#This Row],[C%]]+142.3*Table2[[#This Row],[H%]]-15.4*Table2[[#This Row],[O%]]-14.5*Table2[[#This Row],[N%]])/100</f>
        <v>20.317170000000001</v>
      </c>
      <c r="AG431" s="15">
        <v>0.5</v>
      </c>
      <c r="AH431" s="15">
        <v>60</v>
      </c>
      <c r="AI431" s="15">
        <v>200</v>
      </c>
      <c r="AJ431" s="15">
        <f>Table2[[#This Row],[Solids (g)]]/(Table2[[#This Row],[Solids (g)]]+Table2[[#This Row],[Water mL]])*100</f>
        <v>23.076923076923077</v>
      </c>
      <c r="AK431">
        <v>16.5</v>
      </c>
      <c r="AM431" s="13">
        <v>0.10463699999999999</v>
      </c>
      <c r="AN431">
        <v>50</v>
      </c>
      <c r="AO431" s="15">
        <v>60</v>
      </c>
      <c r="AP431" s="15">
        <f>LN(25/Table2[[#This Row],[Temperature (C)]]/(1-SQRT((Table2[[#This Row],[Temperature (C)]]-5)/Table2[[#This Row],[Temperature (C)]])))/Table2[[#This Row],[b]]</f>
        <v>21.971141933395927</v>
      </c>
      <c r="AQ431" s="15">
        <f>IF(Table2[[#This Row],[b]]&lt;&gt;"",Table2[[#This Row],[T-5]], 0)</f>
        <v>21.971141933395927</v>
      </c>
      <c r="AR431">
        <f>Table2[[#This Row],[Holding Time (min)]]+Table2[[#This Row],[Time to reach temp min]]</f>
        <v>110</v>
      </c>
      <c r="AT431" t="s">
        <v>503</v>
      </c>
      <c r="AU431">
        <v>350</v>
      </c>
      <c r="AV431" s="15">
        <v>9.93</v>
      </c>
      <c r="AW431" s="15">
        <v>35.200000000000003</v>
      </c>
      <c r="AX431" s="15">
        <v>27.7</v>
      </c>
      <c r="AY431" s="15">
        <v>20.329999999999998</v>
      </c>
      <c r="AZ431" s="15"/>
      <c r="BA431" s="15"/>
      <c r="BB431" s="15">
        <f>IF(OR(Table2[[#This Row],[Gas wt%]]&lt;&gt;"",Table2[[#This Row],[Loss]]&lt;&gt;""),Table2[[#This Row],[Gas wt%]]+Table2[[#This Row],[Loss]],"")</f>
        <v>20.329999999999998</v>
      </c>
      <c r="BC431" s="15"/>
      <c r="BD431" s="15"/>
      <c r="BE431" s="15"/>
      <c r="BF431" s="15"/>
      <c r="BG431" s="15"/>
      <c r="BH431" s="15">
        <v>6.83</v>
      </c>
      <c r="BI431" s="15"/>
      <c r="BJ431" s="15"/>
      <c r="BK431" s="15"/>
      <c r="BL431" s="15"/>
      <c r="BM431" s="15"/>
      <c r="BN431" s="15"/>
      <c r="BO431" s="15"/>
      <c r="BP431" s="15"/>
      <c r="BQ431" s="15"/>
      <c r="BR431" s="15"/>
      <c r="BS431" s="15"/>
      <c r="BT431" s="15"/>
      <c r="BU431" s="15"/>
      <c r="BV431" s="15"/>
      <c r="BW431" s="15"/>
      <c r="BX431" s="15"/>
      <c r="BY431" s="15"/>
      <c r="BZ431" s="15"/>
      <c r="CA431" s="15"/>
      <c r="CB431" s="15"/>
      <c r="CC431" s="15"/>
      <c r="CD431" s="15"/>
      <c r="CE431" s="15"/>
      <c r="CF431" s="15"/>
      <c r="CG431" s="15"/>
      <c r="CH431" s="15"/>
      <c r="CI431" s="15"/>
      <c r="CJ431" s="15"/>
      <c r="CK431" s="15"/>
      <c r="CL431" s="15"/>
      <c r="CM431" s="15"/>
      <c r="CN431" s="15"/>
      <c r="CO431" s="15"/>
      <c r="CP431" s="15"/>
      <c r="CQ431" s="15"/>
      <c r="CR431" s="15"/>
      <c r="CS431" s="15"/>
      <c r="CT431" s="15"/>
      <c r="CU431" s="15"/>
      <c r="CV431" s="15"/>
      <c r="CW431" s="15"/>
      <c r="CX431" s="15"/>
      <c r="CY431" s="15"/>
      <c r="CZ431" s="15"/>
      <c r="DA431" s="15"/>
      <c r="DB431" s="15">
        <v>0</v>
      </c>
    </row>
    <row r="432" spans="1:106" x14ac:dyDescent="0.25">
      <c r="A432" t="s">
        <v>426</v>
      </c>
      <c r="B432" t="s">
        <v>427</v>
      </c>
      <c r="C432">
        <v>2018</v>
      </c>
      <c r="D432" s="16" t="s">
        <v>420</v>
      </c>
      <c r="E432">
        <v>0</v>
      </c>
      <c r="F432" s="15">
        <v>33.75</v>
      </c>
      <c r="G432" s="15"/>
      <c r="H432" s="15"/>
      <c r="I432" s="15">
        <v>15.13</v>
      </c>
      <c r="J432" s="15">
        <v>41.6</v>
      </c>
      <c r="K432" s="15"/>
      <c r="L432" s="15">
        <f>IF(Table2[[#This Row],[Lipids wt%]]+Table2[[#This Row],[Protein wt%]]+Table2[[#This Row],[Carbs wt%]] =0,"",SUM(Table2[[#This Row],[Lipids wt%]],Table2[[#This Row],[Protein wt%]],Table2[[#This Row],[Carbs wt%]]))</f>
        <v>90.48</v>
      </c>
      <c r="M432" s="15">
        <v>9.52</v>
      </c>
      <c r="Q432">
        <v>10.82</v>
      </c>
      <c r="R432">
        <v>79.66</v>
      </c>
      <c r="Z432" s="15">
        <v>61.31</v>
      </c>
      <c r="AA432" s="15">
        <v>8.65</v>
      </c>
      <c r="AB432" s="15">
        <v>16.96</v>
      </c>
      <c r="AC432" s="15">
        <v>2.42</v>
      </c>
      <c r="AD432" s="15">
        <v>0.74</v>
      </c>
      <c r="AE432" s="15">
        <v>0.18</v>
      </c>
      <c r="AF432" s="15">
        <f>(33.5*Table2[[#This Row],[C%]]+142.3*Table2[[#This Row],[H%]]-15.4*Table2[[#This Row],[O%]]-14.5*Table2[[#This Row],[N%]])/100</f>
        <v>29.885060000000003</v>
      </c>
      <c r="AG432" s="15">
        <v>0.5</v>
      </c>
      <c r="AH432" s="15">
        <v>60</v>
      </c>
      <c r="AI432" s="15">
        <v>200</v>
      </c>
      <c r="AJ432" s="15">
        <f>Table2[[#This Row],[Solids (g)]]/(Table2[[#This Row],[Solids (g)]]+Table2[[#This Row],[Water mL]])*100</f>
        <v>23.076923076923077</v>
      </c>
      <c r="AK432">
        <v>16.5</v>
      </c>
      <c r="AM432" s="13">
        <v>0.10463699999999999</v>
      </c>
      <c r="AN432">
        <v>50</v>
      </c>
      <c r="AO432" s="15">
        <v>60</v>
      </c>
      <c r="AP432" s="15">
        <f>LN(25/Table2[[#This Row],[Temperature (C)]]/(1-SQRT((Table2[[#This Row],[Temperature (C)]]-5)/Table2[[#This Row],[Temperature (C)]])))/Table2[[#This Row],[b]]</f>
        <v>21.971141933395927</v>
      </c>
      <c r="AQ432" s="15">
        <f>IF(Table2[[#This Row],[b]]&lt;&gt;"",Table2[[#This Row],[T-5]], 0)</f>
        <v>21.971141933395927</v>
      </c>
      <c r="AR432">
        <f>Table2[[#This Row],[Holding Time (min)]]+Table2[[#This Row],[Time to reach temp min]]</f>
        <v>110</v>
      </c>
      <c r="AT432" t="s">
        <v>503</v>
      </c>
      <c r="AU432">
        <v>350</v>
      </c>
      <c r="AV432" s="15">
        <v>19.38</v>
      </c>
      <c r="AW432" s="15">
        <v>52.68</v>
      </c>
      <c r="AX432" s="15">
        <v>15.47</v>
      </c>
      <c r="AY432" s="15">
        <v>9.77</v>
      </c>
      <c r="AZ432" s="15"/>
      <c r="BA432" s="15"/>
      <c r="BB432" s="15">
        <f>IF(OR(Table2[[#This Row],[Gas wt%]]&lt;&gt;"",Table2[[#This Row],[Loss]]&lt;&gt;""),Table2[[#This Row],[Gas wt%]]+Table2[[#This Row],[Loss]],"")</f>
        <v>9.77</v>
      </c>
      <c r="BC432" s="15"/>
      <c r="BD432" s="15"/>
      <c r="BE432" s="15"/>
      <c r="BF432" s="15"/>
      <c r="BG432" s="15"/>
      <c r="BH432" s="15">
        <v>2.71</v>
      </c>
      <c r="BI432" s="15"/>
      <c r="BJ432" s="15"/>
      <c r="BK432" s="15"/>
      <c r="BL432" s="15"/>
      <c r="BM432" s="15"/>
      <c r="BN432" s="15"/>
      <c r="BO432" s="15"/>
      <c r="BP432" s="15"/>
      <c r="BQ432" s="15"/>
      <c r="BR432" s="15"/>
      <c r="BS432" s="15"/>
      <c r="BT432" s="15"/>
      <c r="BU432" s="15"/>
      <c r="BV432" s="15"/>
      <c r="BW432" s="15"/>
      <c r="BX432" s="15"/>
      <c r="BY432" s="15"/>
      <c r="BZ432" s="15"/>
      <c r="CA432" s="15"/>
      <c r="CB432" s="15"/>
      <c r="CC432" s="15"/>
      <c r="CD432" s="15"/>
      <c r="CE432" s="15"/>
      <c r="CF432" s="15"/>
      <c r="CG432" s="15"/>
      <c r="CH432" s="15"/>
      <c r="CI432" s="15"/>
      <c r="CJ432" s="15"/>
      <c r="CK432" s="15"/>
      <c r="CL432" s="15"/>
      <c r="CM432" s="15"/>
      <c r="CN432" s="15"/>
      <c r="CO432" s="15"/>
      <c r="CP432" s="15"/>
      <c r="CQ432" s="15"/>
      <c r="CR432" s="15"/>
      <c r="CS432" s="15"/>
      <c r="CT432" s="15"/>
      <c r="CU432" s="15"/>
      <c r="CV432" s="15"/>
      <c r="CW432" s="15"/>
      <c r="CX432" s="15"/>
      <c r="CY432" s="15"/>
      <c r="CZ432" s="15"/>
      <c r="DA432" s="15"/>
      <c r="DB432" s="15">
        <v>0</v>
      </c>
    </row>
    <row r="433" spans="1:106" x14ac:dyDescent="0.25">
      <c r="A433" t="s">
        <v>426</v>
      </c>
      <c r="B433" t="s">
        <v>427</v>
      </c>
      <c r="C433">
        <v>2018</v>
      </c>
      <c r="D433" s="16" t="s">
        <v>421</v>
      </c>
      <c r="E433">
        <v>0</v>
      </c>
      <c r="F433" s="15">
        <v>27.65</v>
      </c>
      <c r="G433" s="15"/>
      <c r="H433" s="15"/>
      <c r="I433" s="15">
        <v>41.19</v>
      </c>
      <c r="J433" s="15">
        <v>21.3</v>
      </c>
      <c r="K433" s="15"/>
      <c r="L433" s="15">
        <f>IF(Table2[[#This Row],[Lipids wt%]]+Table2[[#This Row],[Protein wt%]]+Table2[[#This Row],[Carbs wt%]] =0,"",SUM(Table2[[#This Row],[Lipids wt%]],Table2[[#This Row],[Protein wt%]],Table2[[#This Row],[Carbs wt%]]))</f>
        <v>90.139999999999986</v>
      </c>
      <c r="M433" s="15">
        <v>9.86</v>
      </c>
      <c r="Q433">
        <v>16.18</v>
      </c>
      <c r="R433">
        <v>73.97</v>
      </c>
      <c r="Z433" s="15">
        <v>51.01</v>
      </c>
      <c r="AA433" s="15">
        <v>7.36</v>
      </c>
      <c r="AB433" s="15">
        <v>21.7</v>
      </c>
      <c r="AC433" s="15">
        <v>6.59</v>
      </c>
      <c r="AD433" s="15">
        <v>0.67</v>
      </c>
      <c r="AE433" s="15">
        <v>0.1</v>
      </c>
      <c r="AF433" s="15">
        <f>(33.5*Table2[[#This Row],[C%]]+142.3*Table2[[#This Row],[H%]]-15.4*Table2[[#This Row],[O%]]-14.5*Table2[[#This Row],[N%]])/100</f>
        <v>23.264280000000007</v>
      </c>
      <c r="AG433" s="15">
        <v>0.5</v>
      </c>
      <c r="AH433" s="15">
        <v>60</v>
      </c>
      <c r="AI433" s="15">
        <v>200</v>
      </c>
      <c r="AJ433" s="15">
        <f>Table2[[#This Row],[Solids (g)]]/(Table2[[#This Row],[Solids (g)]]+Table2[[#This Row],[Water mL]])*100</f>
        <v>23.076923076923077</v>
      </c>
      <c r="AK433">
        <v>16.5</v>
      </c>
      <c r="AM433" s="13">
        <v>0.10463699999999999</v>
      </c>
      <c r="AN433">
        <v>50</v>
      </c>
      <c r="AO433" s="15">
        <v>60</v>
      </c>
      <c r="AP433" s="15">
        <f>LN(25/Table2[[#This Row],[Temperature (C)]]/(1-SQRT((Table2[[#This Row],[Temperature (C)]]-5)/Table2[[#This Row],[Temperature (C)]])))/Table2[[#This Row],[b]]</f>
        <v>21.971141933395927</v>
      </c>
      <c r="AQ433" s="15">
        <f>IF(Table2[[#This Row],[b]]&lt;&gt;"",Table2[[#This Row],[T-5]], 0)</f>
        <v>21.971141933395927</v>
      </c>
      <c r="AR433">
        <f>Table2[[#This Row],[Holding Time (min)]]+Table2[[#This Row],[Time to reach temp min]]</f>
        <v>110</v>
      </c>
      <c r="AT433" t="s">
        <v>503</v>
      </c>
      <c r="AU433">
        <v>350</v>
      </c>
      <c r="AV433" s="15">
        <v>8.48</v>
      </c>
      <c r="AW433" s="15">
        <v>44.53</v>
      </c>
      <c r="AX433" s="15">
        <v>28.67</v>
      </c>
      <c r="AY433" s="15">
        <v>14.64</v>
      </c>
      <c r="AZ433" s="15"/>
      <c r="BA433" s="15"/>
      <c r="BB433" s="15">
        <f>IF(OR(Table2[[#This Row],[Gas wt%]]&lt;&gt;"",Table2[[#This Row],[Loss]]&lt;&gt;""),Table2[[#This Row],[Gas wt%]]+Table2[[#This Row],[Loss]],"")</f>
        <v>14.64</v>
      </c>
      <c r="BC433" s="15"/>
      <c r="BD433" s="15"/>
      <c r="BE433" s="15"/>
      <c r="BF433" s="15"/>
      <c r="BG433" s="15"/>
      <c r="BH433" s="15">
        <v>3.77</v>
      </c>
      <c r="BI433" s="15"/>
      <c r="BJ433" s="15"/>
      <c r="BK433" s="15"/>
      <c r="BL433" s="15"/>
      <c r="BM433" s="15"/>
      <c r="BN433" s="15"/>
      <c r="BO433" s="15"/>
      <c r="BP433" s="15"/>
      <c r="BQ433" s="15"/>
      <c r="BR433" s="15"/>
      <c r="BS433" s="15"/>
      <c r="BT433" s="15"/>
      <c r="BU433" s="15"/>
      <c r="BV433" s="15"/>
      <c r="BW433" s="15"/>
      <c r="BX433" s="15"/>
      <c r="BY433" s="15"/>
      <c r="BZ433" s="15"/>
      <c r="CA433" s="15"/>
      <c r="CB433" s="15"/>
      <c r="CC433" s="15"/>
      <c r="CD433" s="15"/>
      <c r="CE433" s="15"/>
      <c r="CF433" s="15"/>
      <c r="CG433" s="15"/>
      <c r="CH433" s="15"/>
      <c r="CI433" s="15"/>
      <c r="CJ433" s="15"/>
      <c r="CK433" s="15"/>
      <c r="CL433" s="15"/>
      <c r="CM433" s="15"/>
      <c r="CN433" s="15"/>
      <c r="CO433" s="15"/>
      <c r="CP433" s="15"/>
      <c r="CQ433" s="15"/>
      <c r="CR433" s="15"/>
      <c r="CS433" s="15"/>
      <c r="CT433" s="15"/>
      <c r="CU433" s="15"/>
      <c r="CV433" s="15"/>
      <c r="CW433" s="15"/>
      <c r="CX433" s="15"/>
      <c r="CY433" s="15"/>
      <c r="CZ433" s="15"/>
      <c r="DA433" s="15"/>
      <c r="DB433" s="15">
        <v>0</v>
      </c>
    </row>
    <row r="434" spans="1:106" x14ac:dyDescent="0.25">
      <c r="A434" t="s">
        <v>426</v>
      </c>
      <c r="B434" t="s">
        <v>427</v>
      </c>
      <c r="C434">
        <v>2018</v>
      </c>
      <c r="D434" s="16" t="s">
        <v>422</v>
      </c>
      <c r="E434">
        <v>0</v>
      </c>
      <c r="F434" s="15">
        <v>41.88</v>
      </c>
      <c r="G434" s="15"/>
      <c r="H434" s="15"/>
      <c r="I434" s="15">
        <v>22.69</v>
      </c>
      <c r="J434" s="15">
        <v>3.2</v>
      </c>
      <c r="K434" s="15"/>
      <c r="L434" s="15">
        <f>IF(Table2[[#This Row],[Lipids wt%]]+Table2[[#This Row],[Protein wt%]]+Table2[[#This Row],[Carbs wt%]] =0,"",SUM(Table2[[#This Row],[Lipids wt%]],Table2[[#This Row],[Protein wt%]],Table2[[#This Row],[Carbs wt%]]))</f>
        <v>67.77000000000001</v>
      </c>
      <c r="M434" s="15">
        <v>32.229999999999997</v>
      </c>
      <c r="Q434">
        <v>19.7</v>
      </c>
      <c r="R434">
        <v>48.07</v>
      </c>
      <c r="Z434" s="15">
        <v>31.04</v>
      </c>
      <c r="AA434" s="15">
        <v>4.62</v>
      </c>
      <c r="AB434" s="15">
        <v>23.55</v>
      </c>
      <c r="AC434" s="15">
        <v>3.63</v>
      </c>
      <c r="AD434" s="15">
        <v>1.5</v>
      </c>
      <c r="AE434" s="15">
        <v>0.73</v>
      </c>
      <c r="AF434" s="15">
        <f>(33.5*Table2[[#This Row],[C%]]+142.3*Table2[[#This Row],[H%]]-15.4*Table2[[#This Row],[O%]]-14.5*Table2[[#This Row],[N%]])/100</f>
        <v>12.819610000000001</v>
      </c>
      <c r="AG434" s="15">
        <v>0.5</v>
      </c>
      <c r="AH434" s="15">
        <v>60</v>
      </c>
      <c r="AI434" s="15">
        <v>200</v>
      </c>
      <c r="AJ434" s="15">
        <f>Table2[[#This Row],[Solids (g)]]/(Table2[[#This Row],[Solids (g)]]+Table2[[#This Row],[Water mL]])*100</f>
        <v>23.076923076923077</v>
      </c>
      <c r="AK434">
        <v>16.5</v>
      </c>
      <c r="AM434" s="13">
        <v>0.10463699999999999</v>
      </c>
      <c r="AN434">
        <v>50</v>
      </c>
      <c r="AO434" s="15">
        <v>60</v>
      </c>
      <c r="AP434" s="15">
        <f>LN(25/Table2[[#This Row],[Temperature (C)]]/(1-SQRT((Table2[[#This Row],[Temperature (C)]]-5)/Table2[[#This Row],[Temperature (C)]])))/Table2[[#This Row],[b]]</f>
        <v>21.971141933395927</v>
      </c>
      <c r="AQ434" s="15">
        <f>IF(Table2[[#This Row],[b]]&lt;&gt;"",Table2[[#This Row],[T-5]], 0)</f>
        <v>21.971141933395927</v>
      </c>
      <c r="AR434">
        <f>Table2[[#This Row],[Holding Time (min)]]+Table2[[#This Row],[Time to reach temp min]]</f>
        <v>110</v>
      </c>
      <c r="AT434" t="s">
        <v>503</v>
      </c>
      <c r="AU434">
        <v>350</v>
      </c>
      <c r="AV434" s="15">
        <v>24.7</v>
      </c>
      <c r="AW434" s="15">
        <v>14.86</v>
      </c>
      <c r="AX434" s="15">
        <v>25.33</v>
      </c>
      <c r="AY434" s="15">
        <v>28.17</v>
      </c>
      <c r="AZ434" s="15"/>
      <c r="BA434" s="15"/>
      <c r="BB434" s="15">
        <f>IF(OR(Table2[[#This Row],[Gas wt%]]&lt;&gt;"",Table2[[#This Row],[Loss]]&lt;&gt;""),Table2[[#This Row],[Gas wt%]]+Table2[[#This Row],[Loss]],"")</f>
        <v>28.17</v>
      </c>
      <c r="BC434" s="15"/>
      <c r="BD434" s="15"/>
      <c r="BE434" s="15"/>
      <c r="BF434" s="15"/>
      <c r="BG434" s="15"/>
      <c r="BH434" s="15">
        <v>6.94</v>
      </c>
      <c r="BI434" s="15"/>
      <c r="BJ434" s="15"/>
      <c r="BK434" s="15"/>
      <c r="BL434" s="15"/>
      <c r="BM434" s="15"/>
      <c r="BN434" s="15"/>
      <c r="BO434" s="15"/>
      <c r="BP434" s="15"/>
      <c r="BQ434" s="15"/>
      <c r="BR434" s="15"/>
      <c r="BS434" s="15"/>
      <c r="BT434" s="15"/>
      <c r="BU434" s="15"/>
      <c r="BV434" s="15"/>
      <c r="BW434" s="15"/>
      <c r="BX434" s="15"/>
      <c r="BY434" s="15"/>
      <c r="BZ434" s="15"/>
      <c r="CA434" s="15"/>
      <c r="CB434" s="15"/>
      <c r="CC434" s="15"/>
      <c r="CD434" s="15"/>
      <c r="CE434" s="15"/>
      <c r="CF434" s="15"/>
      <c r="CG434" s="15"/>
      <c r="CH434" s="15"/>
      <c r="CI434" s="15"/>
      <c r="CJ434" s="15"/>
      <c r="CK434" s="15"/>
      <c r="CL434" s="15"/>
      <c r="CM434" s="15"/>
      <c r="CN434" s="15"/>
      <c r="CO434" s="15"/>
      <c r="CP434" s="15"/>
      <c r="CQ434" s="15"/>
      <c r="CR434" s="15"/>
      <c r="CS434" s="15"/>
      <c r="CT434" s="15"/>
      <c r="CU434" s="15"/>
      <c r="CV434" s="15"/>
      <c r="CW434" s="15"/>
      <c r="CX434" s="15"/>
      <c r="CY434" s="15"/>
      <c r="CZ434" s="15"/>
      <c r="DA434" s="15"/>
      <c r="DB434" s="15">
        <v>0</v>
      </c>
    </row>
    <row r="435" spans="1:106" x14ac:dyDescent="0.25">
      <c r="A435" t="s">
        <v>426</v>
      </c>
      <c r="B435" t="s">
        <v>427</v>
      </c>
      <c r="C435">
        <v>2018</v>
      </c>
      <c r="D435" s="16" t="s">
        <v>423</v>
      </c>
      <c r="E435">
        <v>0</v>
      </c>
      <c r="F435" s="15">
        <v>34.42</v>
      </c>
      <c r="G435" s="15"/>
      <c r="H435" s="15"/>
      <c r="I435" s="15">
        <v>13.31</v>
      </c>
      <c r="J435" s="15">
        <v>2.7</v>
      </c>
      <c r="K435" s="15"/>
      <c r="L435" s="15">
        <f>IF(Table2[[#This Row],[Lipids wt%]]+Table2[[#This Row],[Protein wt%]]+Table2[[#This Row],[Carbs wt%]] =0,"",SUM(Table2[[#This Row],[Lipids wt%]],Table2[[#This Row],[Protein wt%]],Table2[[#This Row],[Carbs wt%]]))</f>
        <v>50.430000000000007</v>
      </c>
      <c r="M435" s="15">
        <v>49.57</v>
      </c>
      <c r="Q435">
        <v>11.05</v>
      </c>
      <c r="R435">
        <v>39.380000000000003</v>
      </c>
      <c r="Z435" s="15">
        <v>23.7</v>
      </c>
      <c r="AA435" s="15">
        <v>3.43</v>
      </c>
      <c r="AB435" s="15">
        <v>18.52</v>
      </c>
      <c r="AC435" s="15">
        <v>2.13</v>
      </c>
      <c r="AD435" s="15">
        <v>0.11</v>
      </c>
      <c r="AE435" s="15">
        <v>1.71</v>
      </c>
      <c r="AF435" s="15">
        <f>(33.5*Table2[[#This Row],[C%]]+142.3*Table2[[#This Row],[H%]]-15.4*Table2[[#This Row],[O%]]-14.5*Table2[[#This Row],[N%]])/100</f>
        <v>9.6594599999999993</v>
      </c>
      <c r="AG435" s="15">
        <v>0.5</v>
      </c>
      <c r="AH435" s="15">
        <v>60</v>
      </c>
      <c r="AI435" s="15">
        <v>200</v>
      </c>
      <c r="AJ435" s="15">
        <f>Table2[[#This Row],[Solids (g)]]/(Table2[[#This Row],[Solids (g)]]+Table2[[#This Row],[Water mL]])*100</f>
        <v>23.076923076923077</v>
      </c>
      <c r="AK435">
        <v>16.5</v>
      </c>
      <c r="AM435" s="13">
        <v>0.10463699999999999</v>
      </c>
      <c r="AN435">
        <v>50</v>
      </c>
      <c r="AO435" s="15">
        <v>60</v>
      </c>
      <c r="AP435" s="15">
        <f>LN(25/Table2[[#This Row],[Temperature (C)]]/(1-SQRT((Table2[[#This Row],[Temperature (C)]]-5)/Table2[[#This Row],[Temperature (C)]])))/Table2[[#This Row],[b]]</f>
        <v>21.971141933395927</v>
      </c>
      <c r="AQ435" s="15">
        <f>IF(Table2[[#This Row],[b]]&lt;&gt;"",Table2[[#This Row],[T-5]], 0)</f>
        <v>21.971141933395927</v>
      </c>
      <c r="AR435">
        <f>Table2[[#This Row],[Holding Time (min)]]+Table2[[#This Row],[Time to reach temp min]]</f>
        <v>110</v>
      </c>
      <c r="AT435" t="s">
        <v>503</v>
      </c>
      <c r="AU435">
        <v>350</v>
      </c>
      <c r="AV435" s="15">
        <v>9.83</v>
      </c>
      <c r="AW435" s="15">
        <v>9.7200000000000006</v>
      </c>
      <c r="AX435" s="15">
        <v>52.33</v>
      </c>
      <c r="AY435" s="15">
        <v>22.17</v>
      </c>
      <c r="AZ435" s="15"/>
      <c r="BA435" s="15"/>
      <c r="BB435" s="15">
        <f>IF(OR(Table2[[#This Row],[Gas wt%]]&lt;&gt;"",Table2[[#This Row],[Loss]]&lt;&gt;""),Table2[[#This Row],[Gas wt%]]+Table2[[#This Row],[Loss]],"")</f>
        <v>22.17</v>
      </c>
      <c r="BC435" s="15"/>
      <c r="BD435" s="15"/>
      <c r="BE435" s="15"/>
      <c r="BF435" s="15"/>
      <c r="BG435" s="15"/>
      <c r="BH435" s="15">
        <v>5.95</v>
      </c>
      <c r="BI435" s="15"/>
      <c r="BJ435" s="15"/>
      <c r="BK435" s="15"/>
      <c r="BL435" s="15"/>
      <c r="BM435" s="15"/>
      <c r="BN435" s="15"/>
      <c r="BO435" s="15"/>
      <c r="BP435" s="15"/>
      <c r="BQ435" s="15"/>
      <c r="BR435" s="15"/>
      <c r="BS435" s="15"/>
      <c r="BT435" s="15"/>
      <c r="BU435" s="15"/>
      <c r="BV435" s="15"/>
      <c r="BW435" s="15"/>
      <c r="BX435" s="15"/>
      <c r="BY435" s="15"/>
      <c r="BZ435" s="15"/>
      <c r="CA435" s="15"/>
      <c r="CB435" s="15"/>
      <c r="CC435" s="15"/>
      <c r="CD435" s="15"/>
      <c r="CE435" s="15"/>
      <c r="CF435" s="15"/>
      <c r="CG435" s="15"/>
      <c r="CH435" s="15"/>
      <c r="CI435" s="15"/>
      <c r="CJ435" s="15"/>
      <c r="CK435" s="15"/>
      <c r="CL435" s="15"/>
      <c r="CM435" s="15"/>
      <c r="CN435" s="15"/>
      <c r="CO435" s="15"/>
      <c r="CP435" s="15"/>
      <c r="CQ435" s="15"/>
      <c r="CR435" s="15"/>
      <c r="CS435" s="15"/>
      <c r="CT435" s="15"/>
      <c r="CU435" s="15"/>
      <c r="CV435" s="15"/>
      <c r="CW435" s="15"/>
      <c r="CX435" s="15"/>
      <c r="CY435" s="15"/>
      <c r="CZ435" s="15"/>
      <c r="DA435" s="15"/>
      <c r="DB435" s="15">
        <v>0</v>
      </c>
    </row>
    <row r="436" spans="1:106" x14ac:dyDescent="0.25">
      <c r="A436" t="s">
        <v>426</v>
      </c>
      <c r="B436" t="s">
        <v>427</v>
      </c>
      <c r="C436">
        <v>2018</v>
      </c>
      <c r="D436" s="16" t="s">
        <v>424</v>
      </c>
      <c r="E436">
        <v>0</v>
      </c>
      <c r="F436" s="15">
        <v>61.69</v>
      </c>
      <c r="G436" s="15"/>
      <c r="H436" s="15"/>
      <c r="I436" s="15">
        <v>7.75</v>
      </c>
      <c r="J436" s="15">
        <v>1.1000000000000001</v>
      </c>
      <c r="K436" s="15"/>
      <c r="L436" s="15">
        <f>IF(Table2[[#This Row],[Lipids wt%]]+Table2[[#This Row],[Protein wt%]]+Table2[[#This Row],[Carbs wt%]] =0,"",SUM(Table2[[#This Row],[Lipids wt%]],Table2[[#This Row],[Protein wt%]],Table2[[#This Row],[Carbs wt%]]))</f>
        <v>70.539999999999992</v>
      </c>
      <c r="M436" s="15">
        <v>29.46</v>
      </c>
      <c r="Q436">
        <v>20.28</v>
      </c>
      <c r="R436">
        <v>50.26</v>
      </c>
      <c r="Z436" s="15">
        <v>32.75</v>
      </c>
      <c r="AA436" s="15">
        <v>4.25</v>
      </c>
      <c r="AB436" s="15">
        <v>28.81</v>
      </c>
      <c r="AC436" s="15">
        <v>1.24</v>
      </c>
      <c r="AD436" s="15">
        <v>1.01</v>
      </c>
      <c r="AE436" s="15">
        <v>0.03</v>
      </c>
      <c r="AF436" s="15">
        <f>(33.5*Table2[[#This Row],[C%]]+142.3*Table2[[#This Row],[H%]]-15.4*Table2[[#This Row],[O%]]-14.5*Table2[[#This Row],[N%]])/100</f>
        <v>12.402460000000001</v>
      </c>
      <c r="AG436" s="15">
        <v>0.5</v>
      </c>
      <c r="AH436" s="15">
        <v>60</v>
      </c>
      <c r="AI436" s="15">
        <v>200</v>
      </c>
      <c r="AJ436" s="15">
        <f>Table2[[#This Row],[Solids (g)]]/(Table2[[#This Row],[Solids (g)]]+Table2[[#This Row],[Water mL]])*100</f>
        <v>23.076923076923077</v>
      </c>
      <c r="AK436">
        <v>16.5</v>
      </c>
      <c r="AM436" s="13">
        <v>0.10463699999999999</v>
      </c>
      <c r="AN436">
        <v>50</v>
      </c>
      <c r="AO436" s="15">
        <v>60</v>
      </c>
      <c r="AP436" s="15">
        <f>LN(25/Table2[[#This Row],[Temperature (C)]]/(1-SQRT((Table2[[#This Row],[Temperature (C)]]-5)/Table2[[#This Row],[Temperature (C)]])))/Table2[[#This Row],[b]]</f>
        <v>21.971141933395927</v>
      </c>
      <c r="AQ436" s="15">
        <f>IF(Table2[[#This Row],[b]]&lt;&gt;"",Table2[[#This Row],[T-5]], 0)</f>
        <v>21.971141933395927</v>
      </c>
      <c r="AR436">
        <f>Table2[[#This Row],[Holding Time (min)]]+Table2[[#This Row],[Time to reach temp min]]</f>
        <v>110</v>
      </c>
      <c r="AT436" t="s">
        <v>503</v>
      </c>
      <c r="AU436">
        <v>350</v>
      </c>
      <c r="AV436" s="15">
        <v>19.57</v>
      </c>
      <c r="AW436" s="15">
        <v>14.7</v>
      </c>
      <c r="AX436" s="15">
        <v>23.23</v>
      </c>
      <c r="AY436" s="15">
        <v>26.9</v>
      </c>
      <c r="AZ436" s="15"/>
      <c r="BA436" s="15"/>
      <c r="BB436" s="15">
        <f>IF(OR(Table2[[#This Row],[Gas wt%]]&lt;&gt;"",Table2[[#This Row],[Loss]]&lt;&gt;""),Table2[[#This Row],[Gas wt%]]+Table2[[#This Row],[Loss]],"")</f>
        <v>26.9</v>
      </c>
      <c r="BC436" s="15"/>
      <c r="BD436" s="15"/>
      <c r="BE436" s="15"/>
      <c r="BF436" s="15"/>
      <c r="BG436" s="15"/>
      <c r="BH436" s="15">
        <v>15.61</v>
      </c>
      <c r="BI436" s="15"/>
      <c r="BJ436" s="15"/>
      <c r="BK436" s="15"/>
      <c r="BL436" s="15"/>
      <c r="BM436" s="15"/>
      <c r="BN436" s="15"/>
      <c r="BO436" s="15"/>
      <c r="BP436" s="15"/>
      <c r="BQ436" s="15"/>
      <c r="BR436" s="15"/>
      <c r="BS436" s="15"/>
      <c r="BT436" s="15"/>
      <c r="BU436" s="15"/>
      <c r="BV436" s="15"/>
      <c r="BW436" s="15"/>
      <c r="BX436" s="15"/>
      <c r="BY436" s="15"/>
      <c r="BZ436" s="15"/>
      <c r="CA436" s="15"/>
      <c r="CB436" s="15"/>
      <c r="CC436" s="15"/>
      <c r="CD436" s="15"/>
      <c r="CE436" s="15"/>
      <c r="CF436" s="15"/>
      <c r="CG436" s="15"/>
      <c r="CH436" s="15"/>
      <c r="CI436" s="15"/>
      <c r="CJ436" s="15"/>
      <c r="CK436" s="15"/>
      <c r="CL436" s="15"/>
      <c r="CM436" s="15"/>
      <c r="CN436" s="15"/>
      <c r="CO436" s="15"/>
      <c r="CP436" s="15"/>
      <c r="CQ436" s="15"/>
      <c r="CR436" s="15"/>
      <c r="CS436" s="15"/>
      <c r="CT436" s="15"/>
      <c r="CU436" s="15"/>
      <c r="CV436" s="15"/>
      <c r="CW436" s="15"/>
      <c r="CX436" s="15"/>
      <c r="CY436" s="15"/>
      <c r="CZ436" s="15"/>
      <c r="DA436" s="15"/>
      <c r="DB436" s="15">
        <v>0</v>
      </c>
    </row>
    <row r="437" spans="1:106" x14ac:dyDescent="0.25">
      <c r="A437" t="s">
        <v>426</v>
      </c>
      <c r="B437" t="s">
        <v>427</v>
      </c>
      <c r="C437">
        <v>2018</v>
      </c>
      <c r="D437" s="16" t="s">
        <v>425</v>
      </c>
      <c r="E437">
        <v>0</v>
      </c>
      <c r="F437" s="15">
        <v>60.159999999999989</v>
      </c>
      <c r="G437" s="15"/>
      <c r="H437" s="15"/>
      <c r="I437" s="15">
        <v>15.19</v>
      </c>
      <c r="J437" s="15">
        <v>0.4</v>
      </c>
      <c r="K437" s="15"/>
      <c r="L437" s="15">
        <f>IF(Table2[[#This Row],[Lipids wt%]]+Table2[[#This Row],[Protein wt%]]+Table2[[#This Row],[Carbs wt%]] =0,"",SUM(Table2[[#This Row],[Lipids wt%]],Table2[[#This Row],[Protein wt%]],Table2[[#This Row],[Carbs wt%]]))</f>
        <v>75.749999999999986</v>
      </c>
      <c r="M437" s="15">
        <v>24.25</v>
      </c>
      <c r="Q437">
        <v>17.420000000000002</v>
      </c>
      <c r="R437">
        <v>58.33</v>
      </c>
      <c r="Z437" s="15">
        <v>31.23</v>
      </c>
      <c r="AA437" s="15">
        <v>4.62</v>
      </c>
      <c r="AB437" s="15">
        <v>33.35</v>
      </c>
      <c r="AC437" s="15">
        <v>2.4300000000000002</v>
      </c>
      <c r="AD437" s="15">
        <v>5.5</v>
      </c>
      <c r="AE437" s="15">
        <v>7.0000000000000007E-2</v>
      </c>
      <c r="AF437" s="15">
        <f>(33.5*Table2[[#This Row],[C%]]+142.3*Table2[[#This Row],[H%]]-15.4*Table2[[#This Row],[O%]]-14.5*Table2[[#This Row],[N%]])/100</f>
        <v>11.548059999999998</v>
      </c>
      <c r="AG437" s="15">
        <v>0.5</v>
      </c>
      <c r="AH437" s="15">
        <v>60</v>
      </c>
      <c r="AI437" s="15">
        <v>200</v>
      </c>
      <c r="AJ437" s="15">
        <f>Table2[[#This Row],[Solids (g)]]/(Table2[[#This Row],[Solids (g)]]+Table2[[#This Row],[Water mL]])*100</f>
        <v>23.076923076923077</v>
      </c>
      <c r="AK437">
        <v>16.5</v>
      </c>
      <c r="AM437" s="13">
        <v>0.10463699999999999</v>
      </c>
      <c r="AN437">
        <v>50</v>
      </c>
      <c r="AO437" s="15">
        <v>60</v>
      </c>
      <c r="AP437" s="15">
        <f>LN(25/Table2[[#This Row],[Temperature (C)]]/(1-SQRT((Table2[[#This Row],[Temperature (C)]]-5)/Table2[[#This Row],[Temperature (C)]])))/Table2[[#This Row],[b]]</f>
        <v>21.971141933395927</v>
      </c>
      <c r="AQ437" s="15">
        <f>IF(Table2[[#This Row],[b]]&lt;&gt;"",Table2[[#This Row],[T-5]], 0)</f>
        <v>21.971141933395927</v>
      </c>
      <c r="AR437">
        <f>Table2[[#This Row],[Holding Time (min)]]+Table2[[#This Row],[Time to reach temp min]]</f>
        <v>110</v>
      </c>
      <c r="AT437" t="s">
        <v>503</v>
      </c>
      <c r="AU437">
        <v>350</v>
      </c>
      <c r="AV437" s="15">
        <v>25.97</v>
      </c>
      <c r="AW437" s="15">
        <v>1.95</v>
      </c>
      <c r="AX437" s="15">
        <v>27.15</v>
      </c>
      <c r="AY437" s="15">
        <v>37.81</v>
      </c>
      <c r="AZ437" s="15"/>
      <c r="BA437" s="15"/>
      <c r="BB437" s="15">
        <f>IF(OR(Table2[[#This Row],[Gas wt%]]&lt;&gt;"",Table2[[#This Row],[Loss]]&lt;&gt;""),Table2[[#This Row],[Gas wt%]]+Table2[[#This Row],[Loss]],"")</f>
        <v>37.81</v>
      </c>
      <c r="BC437" s="15"/>
      <c r="BD437" s="15"/>
      <c r="BE437" s="15"/>
      <c r="BF437" s="15"/>
      <c r="BG437" s="15"/>
      <c r="BH437" s="15">
        <v>7.12</v>
      </c>
      <c r="BI437" s="15"/>
      <c r="BJ437" s="15"/>
      <c r="BK437" s="15"/>
      <c r="BL437" s="15"/>
      <c r="BM437" s="15"/>
      <c r="BN437" s="15"/>
      <c r="BO437" s="15"/>
      <c r="BP437" s="15"/>
      <c r="BQ437" s="15"/>
      <c r="BR437" s="15"/>
      <c r="BS437" s="15"/>
      <c r="BT437" s="15"/>
      <c r="BU437" s="15"/>
      <c r="BV437" s="15"/>
      <c r="BW437" s="15"/>
      <c r="BX437" s="15"/>
      <c r="BY437" s="15"/>
      <c r="BZ437" s="15"/>
      <c r="CA437" s="15"/>
      <c r="CB437" s="15"/>
      <c r="CC437" s="15"/>
      <c r="CD437" s="15"/>
      <c r="CE437" s="15"/>
      <c r="CF437" s="15"/>
      <c r="CG437" s="15"/>
      <c r="CH437" s="15"/>
      <c r="CI437" s="15"/>
      <c r="CJ437" s="15"/>
      <c r="CK437" s="15"/>
      <c r="CL437" s="15"/>
      <c r="CM437" s="15"/>
      <c r="CN437" s="15"/>
      <c r="CO437" s="15"/>
      <c r="CP437" s="15"/>
      <c r="CQ437" s="15"/>
      <c r="CR437" s="15"/>
      <c r="CS437" s="15"/>
      <c r="CT437" s="15"/>
      <c r="CU437" s="15"/>
      <c r="CV437" s="15"/>
      <c r="CW437" s="15"/>
      <c r="CX437" s="15"/>
      <c r="CY437" s="15"/>
      <c r="CZ437" s="15"/>
      <c r="DA437" s="15"/>
      <c r="DB437" s="15">
        <v>0</v>
      </c>
    </row>
    <row r="438" spans="1:106" x14ac:dyDescent="0.25">
      <c r="A438" t="s">
        <v>428</v>
      </c>
      <c r="B438" t="s">
        <v>429</v>
      </c>
      <c r="C438">
        <v>2011</v>
      </c>
      <c r="D438" s="16" t="s">
        <v>430</v>
      </c>
      <c r="E438">
        <v>0</v>
      </c>
      <c r="F438" s="15">
        <v>30.691862237122823</v>
      </c>
      <c r="G438" s="15"/>
      <c r="H438" s="15"/>
      <c r="I438" s="15">
        <v>49.131362389515388</v>
      </c>
      <c r="J438" s="15">
        <v>13.512140607538351</v>
      </c>
      <c r="K438" s="15"/>
      <c r="L438" s="15">
        <f>IF(Table2[[#This Row],[Lipids wt%]]+Table2[[#This Row],[Protein wt%]]+Table2[[#This Row],[Carbs wt%]] =0,"",SUM(Table2[[#This Row],[Lipids wt%]],Table2[[#This Row],[Protein wt%]],Table2[[#This Row],[Carbs wt%]]))</f>
        <v>93.335365234176564</v>
      </c>
      <c r="M438" s="15">
        <v>6.56</v>
      </c>
      <c r="P438">
        <v>4.54</v>
      </c>
      <c r="Q438">
        <v>15.24</v>
      </c>
      <c r="R438">
        <v>79.14</v>
      </c>
      <c r="Z438" s="15">
        <v>51.78</v>
      </c>
      <c r="AA438" s="15">
        <v>5.07</v>
      </c>
      <c r="AB438" s="15">
        <f>100-(Table2[[#This Row],[C%]]+Table2[[#This Row],[H%]]+Table2[[#This Row],[N%]]+Table2[[#This Row],[S%]])</f>
        <v>11.5</v>
      </c>
      <c r="AC438" s="15">
        <v>20.13</v>
      </c>
      <c r="AD438" s="15">
        <v>11.52</v>
      </c>
      <c r="AE438" s="15"/>
      <c r="AF438" s="15">
        <v>20.52</v>
      </c>
      <c r="AG438" s="15">
        <v>1.8</v>
      </c>
      <c r="AH438" s="15">
        <v>150</v>
      </c>
      <c r="AI438" s="15">
        <v>600</v>
      </c>
      <c r="AJ438" s="15">
        <v>20</v>
      </c>
      <c r="AL438">
        <v>3.3</v>
      </c>
      <c r="AM438" s="13">
        <v>4.3099999999999999E-2</v>
      </c>
      <c r="AO438" s="15">
        <v>60</v>
      </c>
      <c r="AP438" s="15">
        <f>LN(25/Table2[[#This Row],[Temperature (C)]]/(1-SQRT((Table2[[#This Row],[Temperature (C)]]-5)/Table2[[#This Row],[Temperature (C)]])))/Table2[[#This Row],[b]]</f>
        <v>53.340936855794645</v>
      </c>
      <c r="AQ438" s="15">
        <f>IF(Table2[[#This Row],[b]]&lt;&gt;"",Table2[[#This Row],[T-5]], 0)</f>
        <v>53.340936855794645</v>
      </c>
      <c r="AR438">
        <f>Table2[[#This Row],[Temperature (C)]]/Table2[[#This Row],[Heating rate C/min]]+Table2[[#This Row],[Holding Time (min)]]</f>
        <v>166.06060606060606</v>
      </c>
      <c r="AT438" t="s">
        <v>503</v>
      </c>
      <c r="AU438">
        <v>350</v>
      </c>
      <c r="AV438" s="15">
        <v>6.6108247422680497</v>
      </c>
      <c r="AW438" s="15">
        <v>40.708762886597903</v>
      </c>
      <c r="AX438" s="15">
        <v>31.9523195876288</v>
      </c>
      <c r="AY438" s="15">
        <v>21.5141752577319</v>
      </c>
      <c r="AZ438" s="15"/>
      <c r="BA438" s="15"/>
      <c r="BB438" s="15">
        <f>IF(OR(Table2[[#This Row],[Gas wt%]]&lt;&gt;"",Table2[[#This Row],[Loss]]&lt;&gt;""),Table2[[#This Row],[Gas wt%]]+Table2[[#This Row],[Loss]],"")</f>
        <v>21.5141752577319</v>
      </c>
      <c r="BC438" s="15"/>
      <c r="BD438" s="15"/>
      <c r="BE438" s="15"/>
      <c r="BF438" s="15"/>
      <c r="BG438" s="15"/>
      <c r="BH438" s="15"/>
      <c r="BI438" s="15">
        <v>73.73</v>
      </c>
      <c r="BJ438" s="15">
        <v>8.9</v>
      </c>
      <c r="BK438" s="15">
        <v>10.17</v>
      </c>
      <c r="BL438" s="15">
        <v>6.3</v>
      </c>
      <c r="BM438" s="15">
        <v>0.9</v>
      </c>
      <c r="BN438" s="15">
        <v>34.21</v>
      </c>
      <c r="BO438" s="15">
        <v>67.900000000000006</v>
      </c>
      <c r="BP438" s="15"/>
      <c r="BQ438" s="15">
        <f>Table2[[#This Row],[H% B]]/Table2[[#This Row],[C% B]]*100</f>
        <v>12.071070120710701</v>
      </c>
      <c r="BR438" s="15"/>
      <c r="BS438" s="15"/>
      <c r="BT438" s="15"/>
      <c r="BU438" s="15"/>
      <c r="BV438" s="15"/>
      <c r="BW438" s="15"/>
      <c r="BX438" s="15"/>
      <c r="BY438" s="15"/>
      <c r="BZ438" s="15"/>
      <c r="CA438" s="15"/>
      <c r="CB438" s="15"/>
      <c r="CC438" s="15"/>
      <c r="CD438" s="15"/>
      <c r="CE438" s="15"/>
      <c r="CF438" s="15"/>
      <c r="CG438" s="15"/>
      <c r="CH438" s="15"/>
      <c r="CI438" s="15"/>
      <c r="CJ438" s="15"/>
      <c r="CK438" s="15"/>
      <c r="CL438" s="15"/>
      <c r="CM438" s="15"/>
      <c r="CN438" s="15"/>
      <c r="CO438" s="15"/>
      <c r="CP438" s="15"/>
      <c r="CQ438" s="15"/>
      <c r="CR438" s="15"/>
      <c r="CS438" s="15"/>
      <c r="CT438" s="15"/>
      <c r="CU438" s="15"/>
      <c r="CV438" s="15"/>
      <c r="CW438" s="15"/>
      <c r="CX438" s="15"/>
      <c r="CY438" s="15"/>
      <c r="CZ438" s="15"/>
      <c r="DA438" s="15"/>
      <c r="DB438" s="15">
        <v>0</v>
      </c>
    </row>
    <row r="439" spans="1:106" x14ac:dyDescent="0.25">
      <c r="A439" t="s">
        <v>431</v>
      </c>
      <c r="B439" t="s">
        <v>161</v>
      </c>
      <c r="C439">
        <v>2018</v>
      </c>
      <c r="D439" s="16" t="s">
        <v>432</v>
      </c>
      <c r="E439">
        <v>0</v>
      </c>
      <c r="F439" s="15">
        <v>19.693877551020407</v>
      </c>
      <c r="G439" s="15"/>
      <c r="H439" s="15"/>
      <c r="I439" s="15">
        <v>66.734693877551024</v>
      </c>
      <c r="J439" s="15">
        <v>7.5510204081632653</v>
      </c>
      <c r="K439" s="15"/>
      <c r="L439" s="15">
        <f>IF(Table2[[#This Row],[Lipids wt%]]+Table2[[#This Row],[Protein wt%]]+Table2[[#This Row],[Carbs wt%]] =0,"",SUM(Table2[[#This Row],[Lipids wt%]],Table2[[#This Row],[Protein wt%]],Table2[[#This Row],[Carbs wt%]]))</f>
        <v>93.979591836734699</v>
      </c>
      <c r="M439" s="15">
        <v>5.9</v>
      </c>
      <c r="Z439" s="15">
        <v>44.95</v>
      </c>
      <c r="AA439" s="15">
        <v>7.03</v>
      </c>
      <c r="AB439" s="15">
        <v>38.11</v>
      </c>
      <c r="AC439" s="15">
        <v>9.91</v>
      </c>
      <c r="AD439" s="15"/>
      <c r="AE439" s="15"/>
      <c r="AF439" s="15">
        <f>(33.5*Table2[[#This Row],[C%]]+142.3*Table2[[#This Row],[H%]]-15.4*Table2[[#This Row],[O%]]-14.5*Table2[[#This Row],[N%]])/100</f>
        <v>17.756050000000005</v>
      </c>
      <c r="AG439" s="15">
        <v>0.03</v>
      </c>
      <c r="AH439" s="15"/>
      <c r="AI439" s="15"/>
      <c r="AJ439" s="15">
        <v>11</v>
      </c>
      <c r="AM439" s="13"/>
      <c r="AO439" s="15">
        <v>10</v>
      </c>
      <c r="AP439" s="15" t="e">
        <f>LN(25/Table2[[#This Row],[Temperature (C)]]/(1-SQRT((Table2[[#This Row],[Temperature (C)]]-5)/Table2[[#This Row],[Temperature (C)]])))/Table2[[#This Row],[b]]</f>
        <v>#DIV/0!</v>
      </c>
      <c r="AQ439" s="15">
        <f>IF(Table2[[#This Row],[b]]&lt;&gt;"",Table2[[#This Row],[T-5]], 0)</f>
        <v>0</v>
      </c>
      <c r="AT439" t="s">
        <v>503</v>
      </c>
      <c r="AU439">
        <v>150</v>
      </c>
      <c r="AV439" s="15"/>
      <c r="AW439" s="15">
        <v>35.2019002375296</v>
      </c>
      <c r="AX439" s="15"/>
      <c r="AY439" s="15"/>
      <c r="AZ439" s="15"/>
      <c r="BA439" s="15"/>
      <c r="BB439" s="15" t="str">
        <f>IF(OR(Table2[[#This Row],[Gas wt%]]&lt;&gt;"",Table2[[#This Row],[Loss]]&lt;&gt;""),Table2[[#This Row],[Gas wt%]]+Table2[[#This Row],[Loss]],"")</f>
        <v/>
      </c>
      <c r="BC439" s="15"/>
      <c r="BD439" s="15"/>
      <c r="BE439" s="15"/>
      <c r="BF439" s="15"/>
      <c r="BG439" s="15"/>
      <c r="BH439" s="15"/>
      <c r="BI439" s="15">
        <v>47.55</v>
      </c>
      <c r="BJ439" s="15">
        <v>7.25</v>
      </c>
      <c r="BK439" s="15">
        <v>34.79</v>
      </c>
      <c r="BL439" s="15">
        <v>10.41</v>
      </c>
      <c r="BM439" s="15"/>
      <c r="BN439" s="15">
        <f>(33.5*Table2[[#This Row],[C% B]]+142.3*Table2[[#This Row],[H% B]]-15.4*Table2[[#This Row],[O% B]]-14.5*Table2[[#This Row],[N% B]])/100</f>
        <v>19.378890000000002</v>
      </c>
      <c r="BO439" s="15"/>
      <c r="BP439" s="15"/>
      <c r="BQ439" s="15">
        <f>Table2[[#This Row],[H% B]]/Table2[[#This Row],[C% B]]*100</f>
        <v>15.247108307045215</v>
      </c>
      <c r="BR439" s="15"/>
      <c r="BS439" s="15"/>
      <c r="BT439" s="15"/>
      <c r="BU439" s="15"/>
      <c r="BV439" s="15"/>
      <c r="BW439" s="15"/>
      <c r="BX439" s="15"/>
      <c r="BY439" s="15"/>
      <c r="BZ439" s="15"/>
      <c r="CA439" s="15"/>
      <c r="CB439" s="15"/>
      <c r="CC439" s="15"/>
      <c r="CD439" s="15"/>
      <c r="CE439" s="15"/>
      <c r="CF439" s="15"/>
      <c r="CG439" s="15"/>
      <c r="CH439" s="15"/>
      <c r="CI439" s="15"/>
      <c r="CJ439" s="15"/>
      <c r="CK439" s="15"/>
      <c r="CL439" s="15"/>
      <c r="CM439" s="15"/>
      <c r="CN439" s="15"/>
      <c r="CO439" s="15"/>
      <c r="CP439" s="15"/>
      <c r="CQ439" s="15"/>
      <c r="CR439" s="15"/>
      <c r="CS439" s="15"/>
      <c r="CT439" s="15"/>
      <c r="CU439" s="15"/>
      <c r="CV439" s="15"/>
      <c r="CW439" s="15"/>
      <c r="CX439" s="15"/>
      <c r="CY439" s="15"/>
      <c r="CZ439" s="15"/>
      <c r="DA439" s="15"/>
      <c r="DB439" s="15">
        <v>0</v>
      </c>
    </row>
    <row r="440" spans="1:106" x14ac:dyDescent="0.25">
      <c r="A440" t="s">
        <v>431</v>
      </c>
      <c r="B440" t="s">
        <v>161</v>
      </c>
      <c r="C440">
        <v>2018</v>
      </c>
      <c r="D440" s="16" t="s">
        <v>432</v>
      </c>
      <c r="E440">
        <v>0</v>
      </c>
      <c r="F440" s="15">
        <v>19.693877551020407</v>
      </c>
      <c r="G440" s="15"/>
      <c r="H440" s="15"/>
      <c r="I440" s="15">
        <v>66.734693877551024</v>
      </c>
      <c r="J440" s="15">
        <v>7.5510204081632653</v>
      </c>
      <c r="K440" s="15"/>
      <c r="L440" s="15">
        <f>IF(Table2[[#This Row],[Lipids wt%]]+Table2[[#This Row],[Protein wt%]]+Table2[[#This Row],[Carbs wt%]] =0,"",SUM(Table2[[#This Row],[Lipids wt%]],Table2[[#This Row],[Protein wt%]],Table2[[#This Row],[Carbs wt%]]))</f>
        <v>93.979591836734699</v>
      </c>
      <c r="M440" s="15">
        <v>5.9</v>
      </c>
      <c r="Z440" s="15">
        <v>44.95</v>
      </c>
      <c r="AA440" s="15">
        <v>7.03</v>
      </c>
      <c r="AB440" s="15">
        <v>38.11</v>
      </c>
      <c r="AC440" s="15">
        <v>9.91</v>
      </c>
      <c r="AD440" s="15"/>
      <c r="AE440" s="15"/>
      <c r="AF440" s="15">
        <f>(33.5*Table2[[#This Row],[C%]]+142.3*Table2[[#This Row],[H%]]-15.4*Table2[[#This Row],[O%]]-14.5*Table2[[#This Row],[N%]])/100</f>
        <v>17.756050000000005</v>
      </c>
      <c r="AG440" s="15">
        <v>0.03</v>
      </c>
      <c r="AH440" s="15"/>
      <c r="AI440" s="15"/>
      <c r="AJ440" s="15">
        <v>11</v>
      </c>
      <c r="AM440" s="13"/>
      <c r="AO440" s="15">
        <v>20</v>
      </c>
      <c r="AP440" s="15" t="e">
        <f>LN(25/Table2[[#This Row],[Temperature (C)]]/(1-SQRT((Table2[[#This Row],[Temperature (C)]]-5)/Table2[[#This Row],[Temperature (C)]])))/Table2[[#This Row],[b]]</f>
        <v>#DIV/0!</v>
      </c>
      <c r="AQ440" s="15">
        <f>IF(Table2[[#This Row],[b]]&lt;&gt;"",Table2[[#This Row],[T-5]], 0)</f>
        <v>0</v>
      </c>
      <c r="AT440" t="s">
        <v>503</v>
      </c>
      <c r="AU440">
        <v>150</v>
      </c>
      <c r="AV440" s="15"/>
      <c r="AW440" s="15">
        <v>37.719714964370503</v>
      </c>
      <c r="AX440" s="15"/>
      <c r="AY440" s="15"/>
      <c r="AZ440" s="15"/>
      <c r="BA440" s="15"/>
      <c r="BB440" s="15" t="str">
        <f>IF(OR(Table2[[#This Row],[Gas wt%]]&lt;&gt;"",Table2[[#This Row],[Loss]]&lt;&gt;""),Table2[[#This Row],[Gas wt%]]+Table2[[#This Row],[Loss]],"")</f>
        <v/>
      </c>
      <c r="BC440" s="15"/>
      <c r="BD440" s="15"/>
      <c r="BE440" s="15"/>
      <c r="BF440" s="15"/>
      <c r="BG440" s="15"/>
      <c r="BH440" s="15"/>
      <c r="BI440" s="15">
        <v>47.46</v>
      </c>
      <c r="BJ440" s="15">
        <v>7.29</v>
      </c>
      <c r="BK440" s="15">
        <v>34.880000000000003</v>
      </c>
      <c r="BL440" s="15">
        <v>10.37</v>
      </c>
      <c r="BM440" s="15"/>
      <c r="BN440" s="15">
        <f>(33.5*Table2[[#This Row],[C% B]]+142.3*Table2[[#This Row],[H% B]]-15.4*Table2[[#This Row],[O% B]]-14.5*Table2[[#This Row],[N% B]])/100</f>
        <v>19.397600000000001</v>
      </c>
      <c r="BO440" s="15"/>
      <c r="BP440" s="15"/>
      <c r="BQ440" s="15">
        <f>Table2[[#This Row],[H% B]]/Table2[[#This Row],[C% B]]*100</f>
        <v>15.360303413400759</v>
      </c>
      <c r="BR440" s="15"/>
      <c r="BS440" s="15"/>
      <c r="BT440" s="15"/>
      <c r="BU440" s="15"/>
      <c r="BV440" s="15"/>
      <c r="BW440" s="15"/>
      <c r="BX440" s="15"/>
      <c r="BY440" s="15"/>
      <c r="BZ440" s="15"/>
      <c r="CA440" s="15"/>
      <c r="CB440" s="15"/>
      <c r="CC440" s="15"/>
      <c r="CD440" s="15"/>
      <c r="CE440" s="15"/>
      <c r="CF440" s="15"/>
      <c r="CG440" s="15"/>
      <c r="CH440" s="15"/>
      <c r="CI440" s="15"/>
      <c r="CJ440" s="15"/>
      <c r="CK440" s="15"/>
      <c r="CL440" s="15"/>
      <c r="CM440" s="15"/>
      <c r="CN440" s="15"/>
      <c r="CO440" s="15"/>
      <c r="CP440" s="15"/>
      <c r="CQ440" s="15"/>
      <c r="CR440" s="15"/>
      <c r="CS440" s="15"/>
      <c r="CT440" s="15"/>
      <c r="CU440" s="15"/>
      <c r="CV440" s="15"/>
      <c r="CW440" s="15"/>
      <c r="CX440" s="15"/>
      <c r="CY440" s="15"/>
      <c r="CZ440" s="15"/>
      <c r="DA440" s="15"/>
      <c r="DB440" s="15">
        <v>0</v>
      </c>
    </row>
    <row r="441" spans="1:106" x14ac:dyDescent="0.25">
      <c r="A441" t="s">
        <v>431</v>
      </c>
      <c r="B441" t="s">
        <v>161</v>
      </c>
      <c r="C441">
        <v>2018</v>
      </c>
      <c r="D441" s="16" t="s">
        <v>432</v>
      </c>
      <c r="E441">
        <v>0</v>
      </c>
      <c r="F441" s="15">
        <v>19.693877551020407</v>
      </c>
      <c r="G441" s="15"/>
      <c r="H441" s="15"/>
      <c r="I441" s="15">
        <v>66.734693877551024</v>
      </c>
      <c r="J441" s="15">
        <v>7.5510204081632653</v>
      </c>
      <c r="K441" s="15"/>
      <c r="L441" s="15">
        <f>IF(Table2[[#This Row],[Lipids wt%]]+Table2[[#This Row],[Protein wt%]]+Table2[[#This Row],[Carbs wt%]] =0,"",SUM(Table2[[#This Row],[Lipids wt%]],Table2[[#This Row],[Protein wt%]],Table2[[#This Row],[Carbs wt%]]))</f>
        <v>93.979591836734699</v>
      </c>
      <c r="M441" s="15">
        <v>5.9</v>
      </c>
      <c r="Z441" s="15">
        <v>44.95</v>
      </c>
      <c r="AA441" s="15">
        <v>7.03</v>
      </c>
      <c r="AB441" s="15">
        <v>38.11</v>
      </c>
      <c r="AC441" s="15">
        <v>9.91</v>
      </c>
      <c r="AD441" s="15"/>
      <c r="AE441" s="15"/>
      <c r="AF441" s="15">
        <f>(33.5*Table2[[#This Row],[C%]]+142.3*Table2[[#This Row],[H%]]-15.4*Table2[[#This Row],[O%]]-14.5*Table2[[#This Row],[N%]])/100</f>
        <v>17.756050000000005</v>
      </c>
      <c r="AG441" s="15">
        <v>0.03</v>
      </c>
      <c r="AH441" s="15"/>
      <c r="AI441" s="15"/>
      <c r="AJ441" s="15">
        <v>11</v>
      </c>
      <c r="AM441" s="13"/>
      <c r="AO441" s="15">
        <v>30</v>
      </c>
      <c r="AP441" s="15" t="e">
        <f>LN(25/Table2[[#This Row],[Temperature (C)]]/(1-SQRT((Table2[[#This Row],[Temperature (C)]]-5)/Table2[[#This Row],[Temperature (C)]])))/Table2[[#This Row],[b]]</f>
        <v>#DIV/0!</v>
      </c>
      <c r="AQ441" s="15">
        <f>IF(Table2[[#This Row],[b]]&lt;&gt;"",Table2[[#This Row],[T-5]], 0)</f>
        <v>0</v>
      </c>
      <c r="AT441" t="s">
        <v>503</v>
      </c>
      <c r="AU441">
        <v>150</v>
      </c>
      <c r="AV441" s="15"/>
      <c r="AW441" s="15">
        <v>39.144893111638901</v>
      </c>
      <c r="AX441" s="15"/>
      <c r="AY441" s="15"/>
      <c r="AZ441" s="15"/>
      <c r="BA441" s="15"/>
      <c r="BB441" s="15" t="str">
        <f>IF(OR(Table2[[#This Row],[Gas wt%]]&lt;&gt;"",Table2[[#This Row],[Loss]]&lt;&gt;""),Table2[[#This Row],[Gas wt%]]+Table2[[#This Row],[Loss]],"")</f>
        <v/>
      </c>
      <c r="BC441" s="15"/>
      <c r="BD441" s="15"/>
      <c r="BE441" s="15"/>
      <c r="BF441" s="15"/>
      <c r="BG441" s="15"/>
      <c r="BH441" s="15"/>
      <c r="BI441" s="15">
        <v>48.4</v>
      </c>
      <c r="BJ441" s="15">
        <v>7.49</v>
      </c>
      <c r="BK441" s="15">
        <v>33.840000000000003</v>
      </c>
      <c r="BL441" s="15">
        <v>10.27</v>
      </c>
      <c r="BM441" s="15"/>
      <c r="BN441" s="15">
        <f>(33.5*Table2[[#This Row],[C% B]]+142.3*Table2[[#This Row],[H% B]]-15.4*Table2[[#This Row],[O% B]]-14.5*Table2[[#This Row],[N% B]])/100</f>
        <v>20.171759999999999</v>
      </c>
      <c r="BO441" s="15"/>
      <c r="BP441" s="15"/>
      <c r="BQ441" s="15">
        <f>Table2[[#This Row],[H% B]]/Table2[[#This Row],[C% B]]*100</f>
        <v>15.47520661157025</v>
      </c>
      <c r="BR441" s="15"/>
      <c r="BS441" s="15"/>
      <c r="BT441" s="15"/>
      <c r="BU441" s="15"/>
      <c r="BV441" s="15"/>
      <c r="BW441" s="15"/>
      <c r="BX441" s="15"/>
      <c r="BY441" s="15"/>
      <c r="BZ441" s="15"/>
      <c r="CA441" s="15"/>
      <c r="CB441" s="15"/>
      <c r="CC441" s="15"/>
      <c r="CD441" s="15"/>
      <c r="CE441" s="15"/>
      <c r="CF441" s="15"/>
      <c r="CG441" s="15"/>
      <c r="CH441" s="15"/>
      <c r="CI441" s="15"/>
      <c r="CJ441" s="15"/>
      <c r="CK441" s="15"/>
      <c r="CL441" s="15"/>
      <c r="CM441" s="15"/>
      <c r="CN441" s="15"/>
      <c r="CO441" s="15"/>
      <c r="CP441" s="15"/>
      <c r="CQ441" s="15"/>
      <c r="CR441" s="15"/>
      <c r="CS441" s="15"/>
      <c r="CT441" s="15"/>
      <c r="CU441" s="15"/>
      <c r="CV441" s="15"/>
      <c r="CW441" s="15"/>
      <c r="CX441" s="15"/>
      <c r="CY441" s="15"/>
      <c r="CZ441" s="15"/>
      <c r="DA441" s="15"/>
      <c r="DB441" s="15">
        <v>0</v>
      </c>
    </row>
    <row r="442" spans="1:106" x14ac:dyDescent="0.25">
      <c r="A442" t="s">
        <v>431</v>
      </c>
      <c r="B442" t="s">
        <v>161</v>
      </c>
      <c r="C442">
        <v>2018</v>
      </c>
      <c r="D442" s="16" t="s">
        <v>432</v>
      </c>
      <c r="E442">
        <v>0</v>
      </c>
      <c r="F442" s="15">
        <v>19.693877551020407</v>
      </c>
      <c r="G442" s="15"/>
      <c r="H442" s="15"/>
      <c r="I442" s="15">
        <v>66.734693877551024</v>
      </c>
      <c r="J442" s="15">
        <v>7.5510204081632653</v>
      </c>
      <c r="K442" s="15"/>
      <c r="L442" s="15">
        <f>IF(Table2[[#This Row],[Lipids wt%]]+Table2[[#This Row],[Protein wt%]]+Table2[[#This Row],[Carbs wt%]] =0,"",SUM(Table2[[#This Row],[Lipids wt%]],Table2[[#This Row],[Protein wt%]],Table2[[#This Row],[Carbs wt%]]))</f>
        <v>93.979591836734699</v>
      </c>
      <c r="M442" s="15">
        <v>5.9</v>
      </c>
      <c r="Z442" s="15">
        <v>44.95</v>
      </c>
      <c r="AA442" s="15">
        <v>7.03</v>
      </c>
      <c r="AB442" s="15">
        <v>38.11</v>
      </c>
      <c r="AC442" s="15">
        <v>9.91</v>
      </c>
      <c r="AD442" s="15"/>
      <c r="AE442" s="15"/>
      <c r="AF442" s="15">
        <f>(33.5*Table2[[#This Row],[C%]]+142.3*Table2[[#This Row],[H%]]-15.4*Table2[[#This Row],[O%]]-14.5*Table2[[#This Row],[N%]])/100</f>
        <v>17.756050000000005</v>
      </c>
      <c r="AG442" s="15">
        <v>0.03</v>
      </c>
      <c r="AH442" s="15"/>
      <c r="AI442" s="15"/>
      <c r="AJ442" s="15">
        <v>11</v>
      </c>
      <c r="AM442" s="13"/>
      <c r="AO442" s="15">
        <v>40</v>
      </c>
      <c r="AP442" s="15" t="e">
        <f>LN(25/Table2[[#This Row],[Temperature (C)]]/(1-SQRT((Table2[[#This Row],[Temperature (C)]]-5)/Table2[[#This Row],[Temperature (C)]])))/Table2[[#This Row],[b]]</f>
        <v>#DIV/0!</v>
      </c>
      <c r="AQ442" s="15">
        <f>IF(Table2[[#This Row],[b]]&lt;&gt;"",Table2[[#This Row],[T-5]], 0)</f>
        <v>0</v>
      </c>
      <c r="AT442" t="s">
        <v>503</v>
      </c>
      <c r="AU442">
        <v>150</v>
      </c>
      <c r="AV442" s="15"/>
      <c r="AW442" s="15">
        <v>33.444180522565297</v>
      </c>
      <c r="AX442" s="15"/>
      <c r="AY442" s="15"/>
      <c r="AZ442" s="15"/>
      <c r="BA442" s="15"/>
      <c r="BB442" s="15" t="str">
        <f>IF(OR(Table2[[#This Row],[Gas wt%]]&lt;&gt;"",Table2[[#This Row],[Loss]]&lt;&gt;""),Table2[[#This Row],[Gas wt%]]+Table2[[#This Row],[Loss]],"")</f>
        <v/>
      </c>
      <c r="BC442" s="15"/>
      <c r="BD442" s="15"/>
      <c r="BE442" s="15"/>
      <c r="BF442" s="15"/>
      <c r="BG442" s="15"/>
      <c r="BH442" s="15"/>
      <c r="BI442" s="15">
        <v>48.01</v>
      </c>
      <c r="BJ442" s="15">
        <v>7.72</v>
      </c>
      <c r="BK442" s="15">
        <v>33.99</v>
      </c>
      <c r="BL442" s="15">
        <v>10.28</v>
      </c>
      <c r="BM442" s="15"/>
      <c r="BN442" s="15">
        <f>(33.5*Table2[[#This Row],[C% B]]+142.3*Table2[[#This Row],[H% B]]-15.4*Table2[[#This Row],[O% B]]-14.5*Table2[[#This Row],[N% B]])/100</f>
        <v>20.343850000000003</v>
      </c>
      <c r="BO442" s="15"/>
      <c r="BP442" s="15"/>
      <c r="BQ442" s="15">
        <f>Table2[[#This Row],[H% B]]/Table2[[#This Row],[C% B]]*100</f>
        <v>16.079983336804833</v>
      </c>
      <c r="BR442" s="15"/>
      <c r="BS442" s="15"/>
      <c r="BT442" s="15"/>
      <c r="BU442" s="15"/>
      <c r="BV442" s="15"/>
      <c r="BW442" s="15"/>
      <c r="BX442" s="15"/>
      <c r="BY442" s="15"/>
      <c r="BZ442" s="15"/>
      <c r="CA442" s="15"/>
      <c r="CB442" s="15"/>
      <c r="CC442" s="15"/>
      <c r="CD442" s="15"/>
      <c r="CE442" s="15"/>
      <c r="CF442" s="15"/>
      <c r="CG442" s="15"/>
      <c r="CH442" s="15"/>
      <c r="CI442" s="15"/>
      <c r="CJ442" s="15"/>
      <c r="CK442" s="15"/>
      <c r="CL442" s="15"/>
      <c r="CM442" s="15"/>
      <c r="CN442" s="15"/>
      <c r="CO442" s="15"/>
      <c r="CP442" s="15"/>
      <c r="CQ442" s="15"/>
      <c r="CR442" s="15"/>
      <c r="CS442" s="15"/>
      <c r="CT442" s="15"/>
      <c r="CU442" s="15"/>
      <c r="CV442" s="15"/>
      <c r="CW442" s="15"/>
      <c r="CX442" s="15"/>
      <c r="CY442" s="15"/>
      <c r="CZ442" s="15"/>
      <c r="DA442" s="15"/>
      <c r="DB442" s="15">
        <v>0</v>
      </c>
    </row>
    <row r="443" spans="1:106" x14ac:dyDescent="0.25">
      <c r="A443" t="s">
        <v>431</v>
      </c>
      <c r="B443" t="s">
        <v>161</v>
      </c>
      <c r="C443">
        <v>2018</v>
      </c>
      <c r="D443" s="16" t="s">
        <v>432</v>
      </c>
      <c r="E443">
        <v>0</v>
      </c>
      <c r="F443" s="15">
        <v>19.693877551020407</v>
      </c>
      <c r="G443" s="15"/>
      <c r="H443" s="15"/>
      <c r="I443" s="15">
        <v>66.734693877551024</v>
      </c>
      <c r="J443" s="15">
        <v>7.5510204081632653</v>
      </c>
      <c r="K443" s="15"/>
      <c r="L443" s="15">
        <f>IF(Table2[[#This Row],[Lipids wt%]]+Table2[[#This Row],[Protein wt%]]+Table2[[#This Row],[Carbs wt%]] =0,"",SUM(Table2[[#This Row],[Lipids wt%]],Table2[[#This Row],[Protein wt%]],Table2[[#This Row],[Carbs wt%]]))</f>
        <v>93.979591836734699</v>
      </c>
      <c r="M443" s="15">
        <v>5.9</v>
      </c>
      <c r="Z443" s="15">
        <v>44.95</v>
      </c>
      <c r="AA443" s="15">
        <v>7.03</v>
      </c>
      <c r="AB443" s="15">
        <v>38.11</v>
      </c>
      <c r="AC443" s="15">
        <v>9.91</v>
      </c>
      <c r="AD443" s="15"/>
      <c r="AE443" s="15"/>
      <c r="AF443" s="15">
        <f>(33.5*Table2[[#This Row],[C%]]+142.3*Table2[[#This Row],[H%]]-15.4*Table2[[#This Row],[O%]]-14.5*Table2[[#This Row],[N%]])/100</f>
        <v>17.756050000000005</v>
      </c>
      <c r="AG443" s="15">
        <v>0.03</v>
      </c>
      <c r="AH443" s="15"/>
      <c r="AI443" s="15"/>
      <c r="AJ443" s="15">
        <v>11</v>
      </c>
      <c r="AM443" s="13"/>
      <c r="AO443" s="15">
        <v>50</v>
      </c>
      <c r="AP443" s="15" t="e">
        <f>LN(25/Table2[[#This Row],[Temperature (C)]]/(1-SQRT((Table2[[#This Row],[Temperature (C)]]-5)/Table2[[#This Row],[Temperature (C)]])))/Table2[[#This Row],[b]]</f>
        <v>#DIV/0!</v>
      </c>
      <c r="AQ443" s="15">
        <f>IF(Table2[[#This Row],[b]]&lt;&gt;"",Table2[[#This Row],[T-5]], 0)</f>
        <v>0</v>
      </c>
      <c r="AT443" t="s">
        <v>503</v>
      </c>
      <c r="AU443">
        <v>150</v>
      </c>
      <c r="AV443" s="15"/>
      <c r="AW443" s="15">
        <v>30.451306413301602</v>
      </c>
      <c r="AX443" s="15"/>
      <c r="AY443" s="15"/>
      <c r="AZ443" s="15"/>
      <c r="BA443" s="15"/>
      <c r="BB443" s="15" t="str">
        <f>IF(OR(Table2[[#This Row],[Gas wt%]]&lt;&gt;"",Table2[[#This Row],[Loss]]&lt;&gt;""),Table2[[#This Row],[Gas wt%]]+Table2[[#This Row],[Loss]],"")</f>
        <v/>
      </c>
      <c r="BC443" s="15"/>
      <c r="BD443" s="15"/>
      <c r="BE443" s="15"/>
      <c r="BF443" s="15"/>
      <c r="BG443" s="15"/>
      <c r="BH443" s="15"/>
      <c r="BI443" s="15">
        <v>47.53</v>
      </c>
      <c r="BJ443" s="15">
        <v>7.31</v>
      </c>
      <c r="BK443" s="15">
        <v>34.86</v>
      </c>
      <c r="BL443" s="15">
        <v>10.3</v>
      </c>
      <c r="BM443" s="15"/>
      <c r="BN443" s="15">
        <f>(33.5*Table2[[#This Row],[C% B]]+142.3*Table2[[#This Row],[H% B]]-15.4*Table2[[#This Row],[O% B]]-14.5*Table2[[#This Row],[N% B]])/100</f>
        <v>19.46274</v>
      </c>
      <c r="BO443" s="15"/>
      <c r="BP443" s="15"/>
      <c r="BQ443" s="15">
        <f>Table2[[#This Row],[H% B]]/Table2[[#This Row],[C% B]]*100</f>
        <v>15.379760151483273</v>
      </c>
      <c r="BR443" s="15"/>
      <c r="BS443" s="15"/>
      <c r="BT443" s="15"/>
      <c r="BU443" s="15"/>
      <c r="BV443" s="15"/>
      <c r="BW443" s="15"/>
      <c r="BX443" s="15"/>
      <c r="BY443" s="15"/>
      <c r="BZ443" s="15"/>
      <c r="CA443" s="15"/>
      <c r="CB443" s="15"/>
      <c r="CC443" s="15"/>
      <c r="CD443" s="15"/>
      <c r="CE443" s="15"/>
      <c r="CF443" s="15"/>
      <c r="CG443" s="15"/>
      <c r="CH443" s="15"/>
      <c r="CI443" s="15"/>
      <c r="CJ443" s="15"/>
      <c r="CK443" s="15"/>
      <c r="CL443" s="15"/>
      <c r="CM443" s="15"/>
      <c r="CN443" s="15"/>
      <c r="CO443" s="15"/>
      <c r="CP443" s="15"/>
      <c r="CQ443" s="15"/>
      <c r="CR443" s="15"/>
      <c r="CS443" s="15"/>
      <c r="CT443" s="15"/>
      <c r="CU443" s="15"/>
      <c r="CV443" s="15"/>
      <c r="CW443" s="15"/>
      <c r="CX443" s="15"/>
      <c r="CY443" s="15"/>
      <c r="CZ443" s="15"/>
      <c r="DA443" s="15"/>
      <c r="DB443" s="15">
        <v>0</v>
      </c>
    </row>
    <row r="444" spans="1:106" x14ac:dyDescent="0.25">
      <c r="A444" t="s">
        <v>431</v>
      </c>
      <c r="B444" t="s">
        <v>161</v>
      </c>
      <c r="C444">
        <v>2018</v>
      </c>
      <c r="D444" s="16" t="s">
        <v>432</v>
      </c>
      <c r="E444">
        <v>0</v>
      </c>
      <c r="F444" s="15">
        <v>19.693877551020407</v>
      </c>
      <c r="G444" s="15"/>
      <c r="H444" s="15"/>
      <c r="I444" s="15">
        <v>66.734693877551024</v>
      </c>
      <c r="J444" s="15">
        <v>7.5510204081632653</v>
      </c>
      <c r="K444" s="15"/>
      <c r="L444" s="15">
        <f>IF(Table2[[#This Row],[Lipids wt%]]+Table2[[#This Row],[Protein wt%]]+Table2[[#This Row],[Carbs wt%]] =0,"",SUM(Table2[[#This Row],[Lipids wt%]],Table2[[#This Row],[Protein wt%]],Table2[[#This Row],[Carbs wt%]]))</f>
        <v>93.979591836734699</v>
      </c>
      <c r="M444" s="15">
        <v>5.9</v>
      </c>
      <c r="Z444" s="15">
        <v>44.95</v>
      </c>
      <c r="AA444" s="15">
        <v>7.03</v>
      </c>
      <c r="AB444" s="15">
        <v>38.11</v>
      </c>
      <c r="AC444" s="15">
        <v>9.91</v>
      </c>
      <c r="AD444" s="15"/>
      <c r="AE444" s="15"/>
      <c r="AF444" s="15">
        <f>(33.5*Table2[[#This Row],[C%]]+142.3*Table2[[#This Row],[H%]]-15.4*Table2[[#This Row],[O%]]-14.5*Table2[[#This Row],[N%]])/100</f>
        <v>17.756050000000005</v>
      </c>
      <c r="AG444" s="15">
        <v>0.03</v>
      </c>
      <c r="AH444" s="15"/>
      <c r="AI444" s="15"/>
      <c r="AJ444" s="15">
        <v>11</v>
      </c>
      <c r="AM444" s="13"/>
      <c r="AO444" s="15">
        <v>10</v>
      </c>
      <c r="AP444" s="15" t="e">
        <f>LN(25/Table2[[#This Row],[Temperature (C)]]/(1-SQRT((Table2[[#This Row],[Temperature (C)]]-5)/Table2[[#This Row],[Temperature (C)]])))/Table2[[#This Row],[b]]</f>
        <v>#DIV/0!</v>
      </c>
      <c r="AQ444" s="15">
        <f>IF(Table2[[#This Row],[b]]&lt;&gt;"",Table2[[#This Row],[T-5]], 0)</f>
        <v>0</v>
      </c>
      <c r="AT444" t="s">
        <v>503</v>
      </c>
      <c r="AU444">
        <v>175</v>
      </c>
      <c r="AV444" s="15"/>
      <c r="AW444" s="15">
        <v>34.631828978622302</v>
      </c>
      <c r="AX444" s="15"/>
      <c r="AY444" s="15"/>
      <c r="AZ444" s="15"/>
      <c r="BA444" s="15"/>
      <c r="BB444" s="15" t="str">
        <f>IF(OR(Table2[[#This Row],[Gas wt%]]&lt;&gt;"",Table2[[#This Row],[Loss]]&lt;&gt;""),Table2[[#This Row],[Gas wt%]]+Table2[[#This Row],[Loss]],"")</f>
        <v/>
      </c>
      <c r="BC444" s="15"/>
      <c r="BD444" s="15"/>
      <c r="BE444" s="15"/>
      <c r="BF444" s="15"/>
      <c r="BG444" s="15"/>
      <c r="BH444" s="15"/>
      <c r="BI444" s="15">
        <v>47.27</v>
      </c>
      <c r="BJ444" s="15">
        <v>7.51</v>
      </c>
      <c r="BK444" s="15">
        <v>34.99</v>
      </c>
      <c r="BL444" s="15">
        <v>10.23</v>
      </c>
      <c r="BM444" s="15"/>
      <c r="BN444" s="15">
        <f>(33.5*Table2[[#This Row],[C% B]]+142.3*Table2[[#This Row],[H% B]]-15.4*Table2[[#This Row],[O% B]]-14.5*Table2[[#This Row],[N% B]])/100</f>
        <v>19.650369999999999</v>
      </c>
      <c r="BO444" s="15"/>
      <c r="BP444" s="15"/>
      <c r="BQ444" s="15">
        <f>Table2[[#This Row],[H% B]]/Table2[[#This Row],[C% B]]*100</f>
        <v>15.887455045483392</v>
      </c>
      <c r="BR444" s="15"/>
      <c r="BS444" s="15"/>
      <c r="BT444" s="15"/>
      <c r="BU444" s="15"/>
      <c r="BV444" s="15"/>
      <c r="BW444" s="15"/>
      <c r="BX444" s="15"/>
      <c r="BY444" s="15"/>
      <c r="BZ444" s="15"/>
      <c r="CA444" s="15"/>
      <c r="CB444" s="15"/>
      <c r="CC444" s="15"/>
      <c r="CD444" s="15"/>
      <c r="CE444" s="15"/>
      <c r="CF444" s="15"/>
      <c r="CG444" s="15"/>
      <c r="CH444" s="15"/>
      <c r="CI444" s="15"/>
      <c r="CJ444" s="15"/>
      <c r="CK444" s="15"/>
      <c r="CL444" s="15"/>
      <c r="CM444" s="15"/>
      <c r="CN444" s="15"/>
      <c r="CO444" s="15"/>
      <c r="CP444" s="15"/>
      <c r="CQ444" s="15"/>
      <c r="CR444" s="15"/>
      <c r="CS444" s="15"/>
      <c r="CT444" s="15"/>
      <c r="CU444" s="15"/>
      <c r="CV444" s="15"/>
      <c r="CW444" s="15"/>
      <c r="CX444" s="15"/>
      <c r="CY444" s="15"/>
      <c r="CZ444" s="15"/>
      <c r="DA444" s="15"/>
      <c r="DB444" s="15">
        <v>0</v>
      </c>
    </row>
    <row r="445" spans="1:106" x14ac:dyDescent="0.25">
      <c r="A445" t="s">
        <v>431</v>
      </c>
      <c r="B445" t="s">
        <v>161</v>
      </c>
      <c r="C445">
        <v>2018</v>
      </c>
      <c r="D445" s="16" t="s">
        <v>432</v>
      </c>
      <c r="E445">
        <v>0</v>
      </c>
      <c r="F445" s="15">
        <v>19.693877551020407</v>
      </c>
      <c r="G445" s="15"/>
      <c r="H445" s="15"/>
      <c r="I445" s="15">
        <v>66.734693877551024</v>
      </c>
      <c r="J445" s="15">
        <v>7.5510204081632653</v>
      </c>
      <c r="K445" s="15"/>
      <c r="L445" s="15">
        <f>IF(Table2[[#This Row],[Lipids wt%]]+Table2[[#This Row],[Protein wt%]]+Table2[[#This Row],[Carbs wt%]] =0,"",SUM(Table2[[#This Row],[Lipids wt%]],Table2[[#This Row],[Protein wt%]],Table2[[#This Row],[Carbs wt%]]))</f>
        <v>93.979591836734699</v>
      </c>
      <c r="M445" s="15">
        <v>5.9</v>
      </c>
      <c r="Z445" s="15">
        <v>44.95</v>
      </c>
      <c r="AA445" s="15">
        <v>7.03</v>
      </c>
      <c r="AB445" s="15">
        <v>38.11</v>
      </c>
      <c r="AC445" s="15">
        <v>9.91</v>
      </c>
      <c r="AD445" s="15"/>
      <c r="AE445" s="15"/>
      <c r="AF445" s="15">
        <f>(33.5*Table2[[#This Row],[C%]]+142.3*Table2[[#This Row],[H%]]-15.4*Table2[[#This Row],[O%]]-14.5*Table2[[#This Row],[N%]])/100</f>
        <v>17.756050000000005</v>
      </c>
      <c r="AG445" s="15">
        <v>0.03</v>
      </c>
      <c r="AH445" s="15"/>
      <c r="AI445" s="15"/>
      <c r="AJ445" s="15">
        <v>11</v>
      </c>
      <c r="AM445" s="13"/>
      <c r="AO445" s="15">
        <v>20</v>
      </c>
      <c r="AP445" s="15" t="e">
        <f>LN(25/Table2[[#This Row],[Temperature (C)]]/(1-SQRT((Table2[[#This Row],[Temperature (C)]]-5)/Table2[[#This Row],[Temperature (C)]])))/Table2[[#This Row],[b]]</f>
        <v>#DIV/0!</v>
      </c>
      <c r="AQ445" s="15">
        <f>IF(Table2[[#This Row],[b]]&lt;&gt;"",Table2[[#This Row],[T-5]], 0)</f>
        <v>0</v>
      </c>
      <c r="AT445" t="s">
        <v>503</v>
      </c>
      <c r="AU445">
        <v>175</v>
      </c>
      <c r="AV445" s="15"/>
      <c r="AW445" s="15">
        <v>33.776722090261202</v>
      </c>
      <c r="AX445" s="15"/>
      <c r="AY445" s="15"/>
      <c r="AZ445" s="15"/>
      <c r="BA445" s="15"/>
      <c r="BB445" s="15" t="str">
        <f>IF(OR(Table2[[#This Row],[Gas wt%]]&lt;&gt;"",Table2[[#This Row],[Loss]]&lt;&gt;""),Table2[[#This Row],[Gas wt%]]+Table2[[#This Row],[Loss]],"")</f>
        <v/>
      </c>
      <c r="BC445" s="15"/>
      <c r="BD445" s="15"/>
      <c r="BE445" s="15"/>
      <c r="BF445" s="15"/>
      <c r="BG445" s="15"/>
      <c r="BH445" s="15"/>
      <c r="BI445" s="15">
        <v>47.34</v>
      </c>
      <c r="BJ445" s="15">
        <v>7.58</v>
      </c>
      <c r="BK445" s="15">
        <v>34.86</v>
      </c>
      <c r="BL445" s="15">
        <v>10.220000000000001</v>
      </c>
      <c r="BM445" s="15"/>
      <c r="BN445" s="15">
        <f>(33.5*Table2[[#This Row],[C% B]]+142.3*Table2[[#This Row],[H% B]]-15.4*Table2[[#This Row],[O% B]]-14.5*Table2[[#This Row],[N% B]])/100</f>
        <v>19.794900000000002</v>
      </c>
      <c r="BO445" s="15"/>
      <c r="BP445" s="15"/>
      <c r="BQ445" s="15">
        <f>Table2[[#This Row],[H% B]]/Table2[[#This Row],[C% B]]*100</f>
        <v>16.011829319814112</v>
      </c>
      <c r="BR445" s="15"/>
      <c r="BS445" s="15"/>
      <c r="BT445" s="15"/>
      <c r="BU445" s="15"/>
      <c r="BV445" s="15"/>
      <c r="BW445" s="15"/>
      <c r="BX445" s="15"/>
      <c r="BY445" s="15"/>
      <c r="BZ445" s="15"/>
      <c r="CA445" s="15"/>
      <c r="CB445" s="15"/>
      <c r="CC445" s="15"/>
      <c r="CD445" s="15"/>
      <c r="CE445" s="15"/>
      <c r="CF445" s="15"/>
      <c r="CG445" s="15"/>
      <c r="CH445" s="15"/>
      <c r="CI445" s="15"/>
      <c r="CJ445" s="15"/>
      <c r="CK445" s="15"/>
      <c r="CL445" s="15"/>
      <c r="CM445" s="15"/>
      <c r="CN445" s="15"/>
      <c r="CO445" s="15"/>
      <c r="CP445" s="15"/>
      <c r="CQ445" s="15"/>
      <c r="CR445" s="15"/>
      <c r="CS445" s="15"/>
      <c r="CT445" s="15"/>
      <c r="CU445" s="15"/>
      <c r="CV445" s="15"/>
      <c r="CW445" s="15"/>
      <c r="CX445" s="15"/>
      <c r="CY445" s="15"/>
      <c r="CZ445" s="15"/>
      <c r="DA445" s="15"/>
      <c r="DB445" s="15">
        <v>0</v>
      </c>
    </row>
    <row r="446" spans="1:106" ht="15.75" customHeight="1" x14ac:dyDescent="0.25">
      <c r="A446" t="s">
        <v>431</v>
      </c>
      <c r="B446" t="s">
        <v>161</v>
      </c>
      <c r="C446">
        <v>2018</v>
      </c>
      <c r="D446" s="16" t="s">
        <v>432</v>
      </c>
      <c r="E446">
        <v>0</v>
      </c>
      <c r="F446" s="15">
        <v>19.693877551020407</v>
      </c>
      <c r="G446" s="15"/>
      <c r="H446" s="15"/>
      <c r="I446" s="15">
        <v>66.734693877551024</v>
      </c>
      <c r="J446" s="15">
        <v>7.5510204081632653</v>
      </c>
      <c r="K446" s="15"/>
      <c r="L446" s="15">
        <f>IF(Table2[[#This Row],[Lipids wt%]]+Table2[[#This Row],[Protein wt%]]+Table2[[#This Row],[Carbs wt%]] =0,"",SUM(Table2[[#This Row],[Lipids wt%]],Table2[[#This Row],[Protein wt%]],Table2[[#This Row],[Carbs wt%]]))</f>
        <v>93.979591836734699</v>
      </c>
      <c r="M446" s="15">
        <v>5.9</v>
      </c>
      <c r="Z446" s="15">
        <v>44.95</v>
      </c>
      <c r="AA446" s="15">
        <v>7.03</v>
      </c>
      <c r="AB446" s="15">
        <v>38.11</v>
      </c>
      <c r="AC446" s="15">
        <v>9.91</v>
      </c>
      <c r="AD446" s="15"/>
      <c r="AE446" s="15"/>
      <c r="AF446" s="15">
        <f>(33.5*Table2[[#This Row],[C%]]+142.3*Table2[[#This Row],[H%]]-15.4*Table2[[#This Row],[O%]]-14.5*Table2[[#This Row],[N%]])/100</f>
        <v>17.756050000000005</v>
      </c>
      <c r="AG446" s="15">
        <v>0.03</v>
      </c>
      <c r="AH446" s="15"/>
      <c r="AI446" s="15"/>
      <c r="AJ446" s="15">
        <v>11</v>
      </c>
      <c r="AM446" s="13"/>
      <c r="AO446" s="15">
        <v>30</v>
      </c>
      <c r="AP446" s="15" t="e">
        <f>LN(25/Table2[[#This Row],[Temperature (C)]]/(1-SQRT((Table2[[#This Row],[Temperature (C)]]-5)/Table2[[#This Row],[Temperature (C)]])))/Table2[[#This Row],[b]]</f>
        <v>#DIV/0!</v>
      </c>
      <c r="AQ446" s="15">
        <f>IF(Table2[[#This Row],[b]]&lt;&gt;"",Table2[[#This Row],[T-5]], 0)</f>
        <v>0</v>
      </c>
      <c r="AT446" t="s">
        <v>503</v>
      </c>
      <c r="AU446">
        <v>175</v>
      </c>
      <c r="AV446" s="15"/>
      <c r="AW446" s="15">
        <v>30.166270783847899</v>
      </c>
      <c r="AX446" s="15"/>
      <c r="AY446" s="15"/>
      <c r="AZ446" s="15"/>
      <c r="BA446" s="15"/>
      <c r="BB446" s="15" t="str">
        <f>IF(OR(Table2[[#This Row],[Gas wt%]]&lt;&gt;"",Table2[[#This Row],[Loss]]&lt;&gt;""),Table2[[#This Row],[Gas wt%]]+Table2[[#This Row],[Loss]],"")</f>
        <v/>
      </c>
      <c r="BC446" s="15"/>
      <c r="BD446" s="15"/>
      <c r="BE446" s="15"/>
      <c r="BF446" s="15"/>
      <c r="BG446" s="15"/>
      <c r="BH446" s="15"/>
      <c r="BI446" s="15">
        <v>47.79</v>
      </c>
      <c r="BJ446" s="15">
        <v>7.35</v>
      </c>
      <c r="BK446" s="15">
        <v>34.67</v>
      </c>
      <c r="BL446" s="15">
        <v>10.19</v>
      </c>
      <c r="BM446" s="15"/>
      <c r="BN446" s="15">
        <f>(33.5*Table2[[#This Row],[C% B]]+142.3*Table2[[#This Row],[H% B]]-15.4*Table2[[#This Row],[O% B]]-14.5*Table2[[#This Row],[N% B]])/100</f>
        <v>19.651969999999995</v>
      </c>
      <c r="BO446" s="15"/>
      <c r="BP446" s="15"/>
      <c r="BQ446" s="15">
        <f>Table2[[#This Row],[H% B]]/Table2[[#This Row],[C% B]]*100</f>
        <v>15.379786566227244</v>
      </c>
      <c r="BR446" s="15"/>
      <c r="BS446" s="15"/>
      <c r="BT446" s="15"/>
      <c r="BU446" s="15"/>
      <c r="BV446" s="15"/>
      <c r="BW446" s="15"/>
      <c r="BX446" s="15"/>
      <c r="BY446" s="15"/>
      <c r="BZ446" s="15"/>
      <c r="CA446" s="15"/>
      <c r="CB446" s="15"/>
      <c r="CC446" s="15"/>
      <c r="CD446" s="15"/>
      <c r="CE446" s="15"/>
      <c r="CF446" s="15"/>
      <c r="CG446" s="15"/>
      <c r="CH446" s="15"/>
      <c r="CI446" s="15"/>
      <c r="CJ446" s="15"/>
      <c r="CK446" s="15"/>
      <c r="CL446" s="15"/>
      <c r="CM446" s="15"/>
      <c r="CN446" s="15"/>
      <c r="CO446" s="15"/>
      <c r="CP446" s="15"/>
      <c r="CQ446" s="15"/>
      <c r="CR446" s="15"/>
      <c r="CS446" s="15"/>
      <c r="CT446" s="15"/>
      <c r="CU446" s="15"/>
      <c r="CV446" s="15"/>
      <c r="CW446" s="15"/>
      <c r="CX446" s="15"/>
      <c r="CY446" s="15"/>
      <c r="CZ446" s="15"/>
      <c r="DA446" s="15"/>
      <c r="DB446" s="15">
        <v>0</v>
      </c>
    </row>
    <row r="447" spans="1:106" ht="15.75" customHeight="1" x14ac:dyDescent="0.25">
      <c r="A447" t="s">
        <v>431</v>
      </c>
      <c r="B447" t="s">
        <v>161</v>
      </c>
      <c r="C447">
        <v>2018</v>
      </c>
      <c r="D447" s="16" t="s">
        <v>432</v>
      </c>
      <c r="E447">
        <v>0</v>
      </c>
      <c r="F447" s="15">
        <v>19.693877551020407</v>
      </c>
      <c r="G447" s="15"/>
      <c r="H447" s="15"/>
      <c r="I447" s="15">
        <v>66.734693877551024</v>
      </c>
      <c r="J447" s="15">
        <v>7.5510204081632653</v>
      </c>
      <c r="K447" s="15"/>
      <c r="L447" s="15">
        <f>IF(Table2[[#This Row],[Lipids wt%]]+Table2[[#This Row],[Protein wt%]]+Table2[[#This Row],[Carbs wt%]] =0,"",SUM(Table2[[#This Row],[Lipids wt%]],Table2[[#This Row],[Protein wt%]],Table2[[#This Row],[Carbs wt%]]))</f>
        <v>93.979591836734699</v>
      </c>
      <c r="M447" s="15">
        <v>5.9</v>
      </c>
      <c r="Z447" s="15">
        <v>44.95</v>
      </c>
      <c r="AA447" s="15">
        <v>7.03</v>
      </c>
      <c r="AB447" s="15">
        <v>38.11</v>
      </c>
      <c r="AC447" s="15">
        <v>9.91</v>
      </c>
      <c r="AD447" s="15"/>
      <c r="AE447" s="15"/>
      <c r="AF447" s="15">
        <f>(33.5*Table2[[#This Row],[C%]]+142.3*Table2[[#This Row],[H%]]-15.4*Table2[[#This Row],[O%]]-14.5*Table2[[#This Row],[N%]])/100</f>
        <v>17.756050000000005</v>
      </c>
      <c r="AG447" s="15">
        <v>0.03</v>
      </c>
      <c r="AH447" s="15"/>
      <c r="AI447" s="15"/>
      <c r="AJ447" s="15">
        <v>11</v>
      </c>
      <c r="AM447" s="13"/>
      <c r="AO447" s="15">
        <v>40</v>
      </c>
      <c r="AP447" s="15" t="e">
        <f>LN(25/Table2[[#This Row],[Temperature (C)]]/(1-SQRT((Table2[[#This Row],[Temperature (C)]]-5)/Table2[[#This Row],[Temperature (C)]])))/Table2[[#This Row],[b]]</f>
        <v>#DIV/0!</v>
      </c>
      <c r="AQ447" s="15">
        <f>IF(Table2[[#This Row],[b]]&lt;&gt;"",Table2[[#This Row],[T-5]], 0)</f>
        <v>0</v>
      </c>
      <c r="AT447" t="s">
        <v>503</v>
      </c>
      <c r="AU447">
        <v>175</v>
      </c>
      <c r="AV447" s="15"/>
      <c r="AW447" s="15">
        <v>28.883610451306399</v>
      </c>
      <c r="AX447" s="15"/>
      <c r="AY447" s="15"/>
      <c r="AZ447" s="15"/>
      <c r="BA447" s="15"/>
      <c r="BB447" s="15" t="str">
        <f>IF(OR(Table2[[#This Row],[Gas wt%]]&lt;&gt;"",Table2[[#This Row],[Loss]]&lt;&gt;""),Table2[[#This Row],[Gas wt%]]+Table2[[#This Row],[Loss]],"")</f>
        <v/>
      </c>
      <c r="BC447" s="15"/>
      <c r="BD447" s="15"/>
      <c r="BE447" s="15"/>
      <c r="BF447" s="15"/>
      <c r="BG447" s="15"/>
      <c r="BH447" s="15"/>
      <c r="BI447" s="15">
        <v>47.7</v>
      </c>
      <c r="BJ447" s="15">
        <v>7.64</v>
      </c>
      <c r="BK447" s="15">
        <v>34.36</v>
      </c>
      <c r="BL447" s="15">
        <v>10.3</v>
      </c>
      <c r="BM447" s="15"/>
      <c r="BN447" s="15">
        <f>(33.5*Table2[[#This Row],[C% B]]+142.3*Table2[[#This Row],[H% B]]-15.4*Table2[[#This Row],[O% B]]-14.5*Table2[[#This Row],[N% B]])/100</f>
        <v>20.066280000000003</v>
      </c>
      <c r="BO447" s="15"/>
      <c r="BP447" s="15"/>
      <c r="BQ447" s="15">
        <f>Table2[[#This Row],[H% B]]/Table2[[#This Row],[C% B]]*100</f>
        <v>16.016771488469601</v>
      </c>
      <c r="BR447" s="15"/>
      <c r="BS447" s="15"/>
      <c r="BT447" s="15"/>
      <c r="BU447" s="15"/>
      <c r="BV447" s="15"/>
      <c r="BW447" s="15"/>
      <c r="BX447" s="15"/>
      <c r="BY447" s="15"/>
      <c r="BZ447" s="15"/>
      <c r="CA447" s="15"/>
      <c r="CB447" s="15"/>
      <c r="CC447" s="15"/>
      <c r="CD447" s="15"/>
      <c r="CE447" s="15"/>
      <c r="CF447" s="15"/>
      <c r="CG447" s="15"/>
      <c r="CH447" s="15"/>
      <c r="CI447" s="15"/>
      <c r="CJ447" s="15"/>
      <c r="CK447" s="15"/>
      <c r="CL447" s="15"/>
      <c r="CM447" s="15"/>
      <c r="CN447" s="15"/>
      <c r="CO447" s="15"/>
      <c r="CP447" s="15"/>
      <c r="CQ447" s="15"/>
      <c r="CR447" s="15"/>
      <c r="CS447" s="15"/>
      <c r="CT447" s="15"/>
      <c r="CU447" s="15"/>
      <c r="CV447" s="15"/>
      <c r="CW447" s="15"/>
      <c r="CX447" s="15"/>
      <c r="CY447" s="15"/>
      <c r="CZ447" s="15"/>
      <c r="DA447" s="15"/>
      <c r="DB447" s="15">
        <v>0</v>
      </c>
    </row>
    <row r="448" spans="1:106" x14ac:dyDescent="0.25">
      <c r="A448" t="s">
        <v>431</v>
      </c>
      <c r="B448" t="s">
        <v>161</v>
      </c>
      <c r="C448">
        <v>2018</v>
      </c>
      <c r="D448" s="16" t="s">
        <v>432</v>
      </c>
      <c r="E448">
        <v>0</v>
      </c>
      <c r="F448" s="15">
        <v>19.693877551020407</v>
      </c>
      <c r="G448" s="15"/>
      <c r="H448" s="15"/>
      <c r="I448" s="15">
        <v>66.734693877551024</v>
      </c>
      <c r="J448" s="15">
        <v>7.5510204081632653</v>
      </c>
      <c r="K448" s="15"/>
      <c r="L448" s="15">
        <f>IF(Table2[[#This Row],[Lipids wt%]]+Table2[[#This Row],[Protein wt%]]+Table2[[#This Row],[Carbs wt%]] =0,"",SUM(Table2[[#This Row],[Lipids wt%]],Table2[[#This Row],[Protein wt%]],Table2[[#This Row],[Carbs wt%]]))</f>
        <v>93.979591836734699</v>
      </c>
      <c r="M448" s="15">
        <v>5.9</v>
      </c>
      <c r="Z448" s="15">
        <v>44.95</v>
      </c>
      <c r="AA448" s="15">
        <v>7.03</v>
      </c>
      <c r="AB448" s="15">
        <v>38.11</v>
      </c>
      <c r="AC448" s="15">
        <v>9.91</v>
      </c>
      <c r="AD448" s="15"/>
      <c r="AE448" s="15"/>
      <c r="AF448" s="15">
        <f>(33.5*Table2[[#This Row],[C%]]+142.3*Table2[[#This Row],[H%]]-15.4*Table2[[#This Row],[O%]]-14.5*Table2[[#This Row],[N%]])/100</f>
        <v>17.756050000000005</v>
      </c>
      <c r="AG448" s="15">
        <v>0.03</v>
      </c>
      <c r="AH448" s="15"/>
      <c r="AI448" s="15"/>
      <c r="AJ448" s="15">
        <v>11</v>
      </c>
      <c r="AM448" s="13"/>
      <c r="AO448" s="15">
        <v>50</v>
      </c>
      <c r="AP448" s="15" t="e">
        <f>LN(25/Table2[[#This Row],[Temperature (C)]]/(1-SQRT((Table2[[#This Row],[Temperature (C)]]-5)/Table2[[#This Row],[Temperature (C)]])))/Table2[[#This Row],[b]]</f>
        <v>#DIV/0!</v>
      </c>
      <c r="AQ448" s="15">
        <f>IF(Table2[[#This Row],[b]]&lt;&gt;"",Table2[[#This Row],[T-5]], 0)</f>
        <v>0</v>
      </c>
      <c r="AT448" t="s">
        <v>503</v>
      </c>
      <c r="AU448">
        <v>175</v>
      </c>
      <c r="AV448" s="15"/>
      <c r="AW448" s="15">
        <v>31.068883610451302</v>
      </c>
      <c r="AX448" s="15"/>
      <c r="AY448" s="15"/>
      <c r="AZ448" s="15"/>
      <c r="BA448" s="15"/>
      <c r="BB448" s="15" t="str">
        <f>IF(OR(Table2[[#This Row],[Gas wt%]]&lt;&gt;"",Table2[[#This Row],[Loss]]&lt;&gt;""),Table2[[#This Row],[Gas wt%]]+Table2[[#This Row],[Loss]],"")</f>
        <v/>
      </c>
      <c r="BC448" s="15"/>
      <c r="BD448" s="15"/>
      <c r="BE448" s="15"/>
      <c r="BF448" s="15"/>
      <c r="BG448" s="15"/>
      <c r="BH448" s="15"/>
      <c r="BI448" s="15">
        <v>47.74</v>
      </c>
      <c r="BJ448" s="15">
        <v>7.39</v>
      </c>
      <c r="BK448" s="15">
        <v>34.479999999999997</v>
      </c>
      <c r="BL448" s="15">
        <v>10.39</v>
      </c>
      <c r="BM448" s="15"/>
      <c r="BN448" s="15">
        <f>(33.5*Table2[[#This Row],[C% B]]+142.3*Table2[[#This Row],[H% B]]-15.4*Table2[[#This Row],[O% B]]-14.5*Table2[[#This Row],[N% B]])/100</f>
        <v>19.692399999999996</v>
      </c>
      <c r="BO448" s="15"/>
      <c r="BP448" s="15"/>
      <c r="BQ448" s="15">
        <f>Table2[[#This Row],[H% B]]/Table2[[#This Row],[C% B]]*100</f>
        <v>15.479681608713866</v>
      </c>
      <c r="BR448" s="15"/>
      <c r="BS448" s="15"/>
      <c r="BT448" s="15"/>
      <c r="BU448" s="15"/>
      <c r="BV448" s="15"/>
      <c r="BW448" s="15"/>
      <c r="BX448" s="15"/>
      <c r="BY448" s="15"/>
      <c r="BZ448" s="15"/>
      <c r="CA448" s="15"/>
      <c r="CB448" s="15"/>
      <c r="CC448" s="15"/>
      <c r="CD448" s="15"/>
      <c r="CE448" s="15"/>
      <c r="CF448" s="15"/>
      <c r="CG448" s="15"/>
      <c r="CH448" s="15"/>
      <c r="CI448" s="15"/>
      <c r="CJ448" s="15"/>
      <c r="CK448" s="15"/>
      <c r="CL448" s="15"/>
      <c r="CM448" s="15"/>
      <c r="CN448" s="15"/>
      <c r="CO448" s="15"/>
      <c r="CP448" s="15"/>
      <c r="CQ448" s="15"/>
      <c r="CR448" s="15"/>
      <c r="CS448" s="15"/>
      <c r="CT448" s="15"/>
      <c r="CU448" s="15"/>
      <c r="CV448" s="15"/>
      <c r="CW448" s="15"/>
      <c r="CX448" s="15"/>
      <c r="CY448" s="15"/>
      <c r="CZ448" s="15"/>
      <c r="DA448" s="15"/>
      <c r="DB448" s="15">
        <v>0</v>
      </c>
    </row>
    <row r="449" spans="1:106" x14ac:dyDescent="0.25">
      <c r="A449" t="s">
        <v>431</v>
      </c>
      <c r="B449" t="s">
        <v>161</v>
      </c>
      <c r="C449">
        <v>2018</v>
      </c>
      <c r="D449" s="16" t="s">
        <v>432</v>
      </c>
      <c r="E449">
        <v>0</v>
      </c>
      <c r="F449" s="15">
        <v>19.693877551020407</v>
      </c>
      <c r="G449" s="15"/>
      <c r="H449" s="15"/>
      <c r="I449" s="15">
        <v>66.734693877551024</v>
      </c>
      <c r="J449" s="15">
        <v>7.5510204081632653</v>
      </c>
      <c r="K449" s="15"/>
      <c r="L449" s="15">
        <f>IF(Table2[[#This Row],[Lipids wt%]]+Table2[[#This Row],[Protein wt%]]+Table2[[#This Row],[Carbs wt%]] =0,"",SUM(Table2[[#This Row],[Lipids wt%]],Table2[[#This Row],[Protein wt%]],Table2[[#This Row],[Carbs wt%]]))</f>
        <v>93.979591836734699</v>
      </c>
      <c r="M449" s="15">
        <v>5.9</v>
      </c>
      <c r="Z449" s="15">
        <v>44.95</v>
      </c>
      <c r="AA449" s="15">
        <v>7.03</v>
      </c>
      <c r="AB449" s="15">
        <v>38.11</v>
      </c>
      <c r="AC449" s="15">
        <v>9.91</v>
      </c>
      <c r="AD449" s="15"/>
      <c r="AE449" s="15"/>
      <c r="AF449" s="15">
        <f>(33.5*Table2[[#This Row],[C%]]+142.3*Table2[[#This Row],[H%]]-15.4*Table2[[#This Row],[O%]]-14.5*Table2[[#This Row],[N%]])/100</f>
        <v>17.756050000000005</v>
      </c>
      <c r="AG449" s="15">
        <v>0.03</v>
      </c>
      <c r="AH449" s="15"/>
      <c r="AI449" s="15"/>
      <c r="AJ449" s="15">
        <v>11</v>
      </c>
      <c r="AM449" s="13"/>
      <c r="AO449" s="15">
        <v>10</v>
      </c>
      <c r="AP449" s="15" t="e">
        <f>LN(25/Table2[[#This Row],[Temperature (C)]]/(1-SQRT((Table2[[#This Row],[Temperature (C)]]-5)/Table2[[#This Row],[Temperature (C)]])))/Table2[[#This Row],[b]]</f>
        <v>#DIV/0!</v>
      </c>
      <c r="AQ449" s="15">
        <f>IF(Table2[[#This Row],[b]]&lt;&gt;"",Table2[[#This Row],[T-5]], 0)</f>
        <v>0</v>
      </c>
      <c r="AT449" t="s">
        <v>503</v>
      </c>
      <c r="AU449">
        <v>200</v>
      </c>
      <c r="AV449" s="15"/>
      <c r="AW449" s="15">
        <v>37.29216152019</v>
      </c>
      <c r="AX449" s="15"/>
      <c r="AY449" s="15"/>
      <c r="AZ449" s="15"/>
      <c r="BA449" s="15"/>
      <c r="BB449" s="15" t="str">
        <f>IF(OR(Table2[[#This Row],[Gas wt%]]&lt;&gt;"",Table2[[#This Row],[Loss]]&lt;&gt;""),Table2[[#This Row],[Gas wt%]]+Table2[[#This Row],[Loss]],"")</f>
        <v/>
      </c>
      <c r="BC449" s="15"/>
      <c r="BD449" s="15"/>
      <c r="BE449" s="15"/>
      <c r="BF449" s="15"/>
      <c r="BG449" s="15"/>
      <c r="BH449" s="15"/>
      <c r="BI449" s="15">
        <v>48.03</v>
      </c>
      <c r="BJ449" s="15">
        <v>7.4</v>
      </c>
      <c r="BK449" s="15">
        <v>34.1</v>
      </c>
      <c r="BL449" s="15">
        <v>10.47</v>
      </c>
      <c r="BM449" s="15"/>
      <c r="BN449" s="15">
        <f>(33.5*Table2[[#This Row],[C% B]]+142.3*Table2[[#This Row],[H% B]]-15.4*Table2[[#This Row],[O% B]]-14.5*Table2[[#This Row],[N% B]])/100</f>
        <v>19.850700000000007</v>
      </c>
      <c r="BO449" s="15"/>
      <c r="BP449" s="15"/>
      <c r="BQ449" s="15">
        <f>Table2[[#This Row],[H% B]]/Table2[[#This Row],[C% B]]*100</f>
        <v>15.407037268373932</v>
      </c>
      <c r="BR449" s="15"/>
      <c r="BS449" s="15"/>
      <c r="BT449" s="15"/>
      <c r="BU449" s="15"/>
      <c r="BV449" s="15"/>
      <c r="BW449" s="15"/>
      <c r="BX449" s="15"/>
      <c r="BY449" s="15"/>
      <c r="BZ449" s="15"/>
      <c r="CA449" s="15"/>
      <c r="CB449" s="15"/>
      <c r="CC449" s="15"/>
      <c r="CD449" s="15"/>
      <c r="CE449" s="15"/>
      <c r="CF449" s="15"/>
      <c r="CG449" s="15"/>
      <c r="CH449" s="15"/>
      <c r="CI449" s="15"/>
      <c r="CJ449" s="15"/>
      <c r="CK449" s="15"/>
      <c r="CL449" s="15"/>
      <c r="CM449" s="15"/>
      <c r="CN449" s="15"/>
      <c r="CO449" s="15"/>
      <c r="CP449" s="15"/>
      <c r="CQ449" s="15"/>
      <c r="CR449" s="15"/>
      <c r="CS449" s="15"/>
      <c r="CT449" s="15"/>
      <c r="CU449" s="15"/>
      <c r="CV449" s="15"/>
      <c r="CW449" s="15"/>
      <c r="CX449" s="15"/>
      <c r="CY449" s="15"/>
      <c r="CZ449" s="15"/>
      <c r="DA449" s="15"/>
      <c r="DB449" s="15">
        <v>0</v>
      </c>
    </row>
    <row r="450" spans="1:106" x14ac:dyDescent="0.25">
      <c r="A450" t="s">
        <v>431</v>
      </c>
      <c r="B450" t="s">
        <v>161</v>
      </c>
      <c r="C450">
        <v>2018</v>
      </c>
      <c r="D450" s="16" t="s">
        <v>432</v>
      </c>
      <c r="E450">
        <v>0</v>
      </c>
      <c r="F450" s="15">
        <v>19.693877551020407</v>
      </c>
      <c r="G450" s="15"/>
      <c r="H450" s="15"/>
      <c r="I450" s="15">
        <v>66.734693877551024</v>
      </c>
      <c r="J450" s="15">
        <v>7.5510204081632653</v>
      </c>
      <c r="K450" s="15"/>
      <c r="L450" s="15">
        <f>IF(Table2[[#This Row],[Lipids wt%]]+Table2[[#This Row],[Protein wt%]]+Table2[[#This Row],[Carbs wt%]] =0,"",SUM(Table2[[#This Row],[Lipids wt%]],Table2[[#This Row],[Protein wt%]],Table2[[#This Row],[Carbs wt%]]))</f>
        <v>93.979591836734699</v>
      </c>
      <c r="M450" s="15">
        <v>5.9</v>
      </c>
      <c r="Z450" s="15">
        <v>44.95</v>
      </c>
      <c r="AA450" s="15">
        <v>7.03</v>
      </c>
      <c r="AB450" s="15">
        <v>38.11</v>
      </c>
      <c r="AC450" s="15">
        <v>9.91</v>
      </c>
      <c r="AD450" s="15"/>
      <c r="AE450" s="15"/>
      <c r="AF450" s="15">
        <f>(33.5*Table2[[#This Row],[C%]]+142.3*Table2[[#This Row],[H%]]-15.4*Table2[[#This Row],[O%]]-14.5*Table2[[#This Row],[N%]])/100</f>
        <v>17.756050000000005</v>
      </c>
      <c r="AG450" s="15">
        <v>0.03</v>
      </c>
      <c r="AH450" s="15"/>
      <c r="AI450" s="15"/>
      <c r="AJ450" s="15">
        <v>11</v>
      </c>
      <c r="AM450" s="13"/>
      <c r="AO450" s="15">
        <v>20</v>
      </c>
      <c r="AP450" s="15" t="e">
        <f>LN(25/Table2[[#This Row],[Temperature (C)]]/(1-SQRT((Table2[[#This Row],[Temperature (C)]]-5)/Table2[[#This Row],[Temperature (C)]])))/Table2[[#This Row],[b]]</f>
        <v>#DIV/0!</v>
      </c>
      <c r="AQ450" s="15">
        <f>IF(Table2[[#This Row],[b]]&lt;&gt;"",Table2[[#This Row],[T-5]], 0)</f>
        <v>0</v>
      </c>
      <c r="AT450" t="s">
        <v>503</v>
      </c>
      <c r="AU450">
        <v>200</v>
      </c>
      <c r="AV450" s="15"/>
      <c r="AW450" s="15">
        <v>34.394299287410902</v>
      </c>
      <c r="AX450" s="15"/>
      <c r="AY450" s="15"/>
      <c r="AZ450" s="15"/>
      <c r="BA450" s="15"/>
      <c r="BB450" s="15" t="str">
        <f>IF(OR(Table2[[#This Row],[Gas wt%]]&lt;&gt;"",Table2[[#This Row],[Loss]]&lt;&gt;""),Table2[[#This Row],[Gas wt%]]+Table2[[#This Row],[Loss]],"")</f>
        <v/>
      </c>
      <c r="BC450" s="15"/>
      <c r="BD450" s="15"/>
      <c r="BE450" s="15"/>
      <c r="BF450" s="15"/>
      <c r="BG450" s="15"/>
      <c r="BH450" s="15"/>
      <c r="BI450" s="15">
        <v>48.55</v>
      </c>
      <c r="BJ450" s="15">
        <v>7.4</v>
      </c>
      <c r="BK450" s="15">
        <v>33.78</v>
      </c>
      <c r="BL450" s="15">
        <v>10.27</v>
      </c>
      <c r="BM450" s="15"/>
      <c r="BN450" s="15">
        <f>(33.5*Table2[[#This Row],[C% B]]+142.3*Table2[[#This Row],[H% B]]-15.4*Table2[[#This Row],[O% B]]-14.5*Table2[[#This Row],[N% B]])/100</f>
        <v>20.103180000000002</v>
      </c>
      <c r="BO450" s="15"/>
      <c r="BP450" s="15"/>
      <c r="BQ450" s="15">
        <f>Table2[[#This Row],[H% B]]/Table2[[#This Row],[C% B]]*100</f>
        <v>15.242018537590116</v>
      </c>
      <c r="BR450" s="15"/>
      <c r="BS450" s="15"/>
      <c r="BT450" s="15"/>
      <c r="BU450" s="15"/>
      <c r="BV450" s="15"/>
      <c r="BW450" s="15"/>
      <c r="BX450" s="15"/>
      <c r="BY450" s="15"/>
      <c r="BZ450" s="15"/>
      <c r="CA450" s="15"/>
      <c r="CB450" s="15"/>
      <c r="CC450" s="15"/>
      <c r="CD450" s="15"/>
      <c r="CE450" s="15"/>
      <c r="CF450" s="15"/>
      <c r="CG450" s="15"/>
      <c r="CH450" s="15"/>
      <c r="CI450" s="15"/>
      <c r="CJ450" s="15"/>
      <c r="CK450" s="15"/>
      <c r="CL450" s="15"/>
      <c r="CM450" s="15"/>
      <c r="CN450" s="15"/>
      <c r="CO450" s="15"/>
      <c r="CP450" s="15"/>
      <c r="CQ450" s="15"/>
      <c r="CR450" s="15"/>
      <c r="CS450" s="15"/>
      <c r="CT450" s="15"/>
      <c r="CU450" s="15"/>
      <c r="CV450" s="15"/>
      <c r="CW450" s="15"/>
      <c r="CX450" s="15"/>
      <c r="CY450" s="15"/>
      <c r="CZ450" s="15"/>
      <c r="DA450" s="15"/>
      <c r="DB450" s="15">
        <v>0</v>
      </c>
    </row>
    <row r="451" spans="1:106" x14ac:dyDescent="0.25">
      <c r="A451" t="s">
        <v>431</v>
      </c>
      <c r="B451" t="s">
        <v>161</v>
      </c>
      <c r="C451">
        <v>2018</v>
      </c>
      <c r="D451" s="16" t="s">
        <v>432</v>
      </c>
      <c r="E451">
        <v>0</v>
      </c>
      <c r="F451" s="15">
        <v>19.693877551020407</v>
      </c>
      <c r="G451" s="15"/>
      <c r="H451" s="15"/>
      <c r="I451" s="15">
        <v>66.734693877551024</v>
      </c>
      <c r="J451" s="15">
        <v>7.5510204081632653</v>
      </c>
      <c r="K451" s="15"/>
      <c r="L451" s="15">
        <f>IF(Table2[[#This Row],[Lipids wt%]]+Table2[[#This Row],[Protein wt%]]+Table2[[#This Row],[Carbs wt%]] =0,"",SUM(Table2[[#This Row],[Lipids wt%]],Table2[[#This Row],[Protein wt%]],Table2[[#This Row],[Carbs wt%]]))</f>
        <v>93.979591836734699</v>
      </c>
      <c r="M451" s="15">
        <v>5.9</v>
      </c>
      <c r="Z451" s="15">
        <v>44.95</v>
      </c>
      <c r="AA451" s="15">
        <v>7.03</v>
      </c>
      <c r="AB451" s="15">
        <v>38.11</v>
      </c>
      <c r="AC451" s="15">
        <v>9.91</v>
      </c>
      <c r="AD451" s="15"/>
      <c r="AE451" s="15"/>
      <c r="AF451" s="15">
        <f>(33.5*Table2[[#This Row],[C%]]+142.3*Table2[[#This Row],[H%]]-15.4*Table2[[#This Row],[O%]]-14.5*Table2[[#This Row],[N%]])/100</f>
        <v>17.756050000000005</v>
      </c>
      <c r="AG451" s="15">
        <v>0.03</v>
      </c>
      <c r="AH451" s="15"/>
      <c r="AI451" s="15"/>
      <c r="AJ451" s="15">
        <v>11</v>
      </c>
      <c r="AM451" s="13"/>
      <c r="AO451" s="15">
        <v>30</v>
      </c>
      <c r="AP451" s="15" t="e">
        <f>LN(25/Table2[[#This Row],[Temperature (C)]]/(1-SQRT((Table2[[#This Row],[Temperature (C)]]-5)/Table2[[#This Row],[Temperature (C)]])))/Table2[[#This Row],[b]]</f>
        <v>#DIV/0!</v>
      </c>
      <c r="AQ451" s="15">
        <f>IF(Table2[[#This Row],[b]]&lt;&gt;"",Table2[[#This Row],[T-5]], 0)</f>
        <v>0</v>
      </c>
      <c r="AT451" t="s">
        <v>503</v>
      </c>
      <c r="AU451">
        <v>200</v>
      </c>
      <c r="AV451" s="15"/>
      <c r="AW451" s="15">
        <v>28.551068883610402</v>
      </c>
      <c r="AX451" s="15"/>
      <c r="AY451" s="15"/>
      <c r="AZ451" s="15"/>
      <c r="BA451" s="15"/>
      <c r="BB451" s="15" t="str">
        <f>IF(OR(Table2[[#This Row],[Gas wt%]]&lt;&gt;"",Table2[[#This Row],[Loss]]&lt;&gt;""),Table2[[#This Row],[Gas wt%]]+Table2[[#This Row],[Loss]],"")</f>
        <v/>
      </c>
      <c r="BC451" s="15"/>
      <c r="BD451" s="15"/>
      <c r="BE451" s="15"/>
      <c r="BF451" s="15"/>
      <c r="BG451" s="15"/>
      <c r="BH451" s="15"/>
      <c r="BI451" s="15">
        <v>47.5</v>
      </c>
      <c r="BJ451" s="15">
        <v>7.76</v>
      </c>
      <c r="BK451" s="15">
        <v>34.869999999999997</v>
      </c>
      <c r="BL451" s="15">
        <v>9.8699999999999992</v>
      </c>
      <c r="BM451" s="15"/>
      <c r="BN451" s="15">
        <f>(33.5*Table2[[#This Row],[C% B]]+142.3*Table2[[#This Row],[H% B]]-15.4*Table2[[#This Row],[O% B]]-14.5*Table2[[#This Row],[N% B]])/100</f>
        <v>20.153849999999998</v>
      </c>
      <c r="BO451" s="15"/>
      <c r="BP451" s="15"/>
      <c r="BQ451" s="15">
        <f>Table2[[#This Row],[H% B]]/Table2[[#This Row],[C% B]]*100</f>
        <v>16.336842105263159</v>
      </c>
      <c r="BR451" s="15"/>
      <c r="BS451" s="15"/>
      <c r="BT451" s="15"/>
      <c r="BU451" s="15"/>
      <c r="BV451" s="15"/>
      <c r="BW451" s="15"/>
      <c r="BX451" s="15"/>
      <c r="BY451" s="15"/>
      <c r="BZ451" s="15"/>
      <c r="CA451" s="15"/>
      <c r="CB451" s="15"/>
      <c r="CC451" s="15"/>
      <c r="CD451" s="15"/>
      <c r="CE451" s="15"/>
      <c r="CF451" s="15"/>
      <c r="CG451" s="15"/>
      <c r="CH451" s="15"/>
      <c r="CI451" s="15"/>
      <c r="CJ451" s="15"/>
      <c r="CK451" s="15"/>
      <c r="CL451" s="15"/>
      <c r="CM451" s="15"/>
      <c r="CN451" s="15"/>
      <c r="CO451" s="15"/>
      <c r="CP451" s="15"/>
      <c r="CQ451" s="15"/>
      <c r="CR451" s="15"/>
      <c r="CS451" s="15"/>
      <c r="CT451" s="15"/>
      <c r="CU451" s="15"/>
      <c r="CV451" s="15"/>
      <c r="CW451" s="15"/>
      <c r="CX451" s="15"/>
      <c r="CY451" s="15"/>
      <c r="CZ451" s="15"/>
      <c r="DA451" s="15"/>
      <c r="DB451" s="15">
        <v>0</v>
      </c>
    </row>
    <row r="452" spans="1:106" x14ac:dyDescent="0.25">
      <c r="A452" t="s">
        <v>431</v>
      </c>
      <c r="B452" t="s">
        <v>161</v>
      </c>
      <c r="C452">
        <v>2018</v>
      </c>
      <c r="D452" s="16" t="s">
        <v>432</v>
      </c>
      <c r="E452">
        <v>0</v>
      </c>
      <c r="F452" s="15">
        <v>19.693877551020407</v>
      </c>
      <c r="G452" s="15"/>
      <c r="H452" s="15"/>
      <c r="I452" s="15">
        <v>66.734693877551024</v>
      </c>
      <c r="J452" s="15">
        <v>7.5510204081632653</v>
      </c>
      <c r="K452" s="15"/>
      <c r="L452" s="15">
        <f>IF(Table2[[#This Row],[Lipids wt%]]+Table2[[#This Row],[Protein wt%]]+Table2[[#This Row],[Carbs wt%]] =0,"",SUM(Table2[[#This Row],[Lipids wt%]],Table2[[#This Row],[Protein wt%]],Table2[[#This Row],[Carbs wt%]]))</f>
        <v>93.979591836734699</v>
      </c>
      <c r="M452" s="15">
        <v>5.9</v>
      </c>
      <c r="Z452" s="15">
        <v>44.95</v>
      </c>
      <c r="AA452" s="15">
        <v>7.03</v>
      </c>
      <c r="AB452" s="15">
        <v>38.11</v>
      </c>
      <c r="AC452" s="15">
        <v>9.91</v>
      </c>
      <c r="AD452" s="15"/>
      <c r="AE452" s="15"/>
      <c r="AF452" s="15">
        <f>(33.5*Table2[[#This Row],[C%]]+142.3*Table2[[#This Row],[H%]]-15.4*Table2[[#This Row],[O%]]-14.5*Table2[[#This Row],[N%]])/100</f>
        <v>17.756050000000005</v>
      </c>
      <c r="AG452" s="15">
        <v>0.03</v>
      </c>
      <c r="AH452" s="15"/>
      <c r="AI452" s="15"/>
      <c r="AJ452" s="15">
        <v>11</v>
      </c>
      <c r="AM452" s="13"/>
      <c r="AO452" s="15">
        <v>40</v>
      </c>
      <c r="AP452" s="15" t="e">
        <f>LN(25/Table2[[#This Row],[Temperature (C)]]/(1-SQRT((Table2[[#This Row],[Temperature (C)]]-5)/Table2[[#This Row],[Temperature (C)]])))/Table2[[#This Row],[b]]</f>
        <v>#DIV/0!</v>
      </c>
      <c r="AQ452" s="15">
        <f>IF(Table2[[#This Row],[b]]&lt;&gt;"",Table2[[#This Row],[T-5]], 0)</f>
        <v>0</v>
      </c>
      <c r="AT452" t="s">
        <v>503</v>
      </c>
      <c r="AU452">
        <v>200</v>
      </c>
      <c r="AV452" s="15"/>
      <c r="AW452" s="15">
        <v>28.8361045130641</v>
      </c>
      <c r="AX452" s="15"/>
      <c r="AY452" s="15"/>
      <c r="AZ452" s="15"/>
      <c r="BA452" s="15"/>
      <c r="BB452" s="15" t="str">
        <f>IF(OR(Table2[[#This Row],[Gas wt%]]&lt;&gt;"",Table2[[#This Row],[Loss]]&lt;&gt;""),Table2[[#This Row],[Gas wt%]]+Table2[[#This Row],[Loss]],"")</f>
        <v/>
      </c>
      <c r="BC452" s="15"/>
      <c r="BD452" s="15"/>
      <c r="BE452" s="15"/>
      <c r="BF452" s="15"/>
      <c r="BG452" s="15"/>
      <c r="BH452" s="15"/>
      <c r="BI452" s="15">
        <v>49.09</v>
      </c>
      <c r="BJ452" s="15">
        <v>7.52</v>
      </c>
      <c r="BK452" s="15">
        <v>33.61</v>
      </c>
      <c r="BL452" s="15">
        <v>9.7799999999999994</v>
      </c>
      <c r="BM452" s="15"/>
      <c r="BN452" s="15">
        <f>(33.5*Table2[[#This Row],[C% B]]+142.3*Table2[[#This Row],[H% B]]-15.4*Table2[[#This Row],[O% B]]-14.5*Table2[[#This Row],[N% B]])/100</f>
        <v>20.552070000000001</v>
      </c>
      <c r="BO452" s="15"/>
      <c r="BP452" s="15"/>
      <c r="BQ452" s="15">
        <f>Table2[[#This Row],[H% B]]/Table2[[#This Row],[C% B]]*100</f>
        <v>15.318802200040741</v>
      </c>
      <c r="BR452" s="15"/>
      <c r="BS452" s="15"/>
      <c r="BT452" s="15"/>
      <c r="BU452" s="15"/>
      <c r="BV452" s="15"/>
      <c r="BW452" s="15"/>
      <c r="BX452" s="15"/>
      <c r="BY452" s="15"/>
      <c r="BZ452" s="15"/>
      <c r="CA452" s="15"/>
      <c r="CB452" s="15"/>
      <c r="CC452" s="15"/>
      <c r="CD452" s="15"/>
      <c r="CE452" s="15"/>
      <c r="CF452" s="15"/>
      <c r="CG452" s="15"/>
      <c r="CH452" s="15"/>
      <c r="CI452" s="15"/>
      <c r="CJ452" s="15"/>
      <c r="CK452" s="15"/>
      <c r="CL452" s="15"/>
      <c r="CM452" s="15"/>
      <c r="CN452" s="15"/>
      <c r="CO452" s="15"/>
      <c r="CP452" s="15"/>
      <c r="CQ452" s="15"/>
      <c r="CR452" s="15"/>
      <c r="CS452" s="15"/>
      <c r="CT452" s="15"/>
      <c r="CU452" s="15"/>
      <c r="CV452" s="15"/>
      <c r="CW452" s="15"/>
      <c r="CX452" s="15"/>
      <c r="CY452" s="15"/>
      <c r="CZ452" s="15"/>
      <c r="DA452" s="15"/>
      <c r="DB452" s="15">
        <v>0</v>
      </c>
    </row>
    <row r="453" spans="1:106" x14ac:dyDescent="0.25">
      <c r="A453" t="s">
        <v>431</v>
      </c>
      <c r="B453" t="s">
        <v>161</v>
      </c>
      <c r="C453">
        <v>2018</v>
      </c>
      <c r="D453" s="16" t="s">
        <v>432</v>
      </c>
      <c r="E453">
        <v>0</v>
      </c>
      <c r="F453" s="15">
        <v>19.693877551020407</v>
      </c>
      <c r="G453" s="15"/>
      <c r="H453" s="15"/>
      <c r="I453" s="15">
        <v>66.734693877551024</v>
      </c>
      <c r="J453" s="15">
        <v>7.5510204081632653</v>
      </c>
      <c r="K453" s="15"/>
      <c r="L453" s="15">
        <f>IF(Table2[[#This Row],[Lipids wt%]]+Table2[[#This Row],[Protein wt%]]+Table2[[#This Row],[Carbs wt%]] =0,"",SUM(Table2[[#This Row],[Lipids wt%]],Table2[[#This Row],[Protein wt%]],Table2[[#This Row],[Carbs wt%]]))</f>
        <v>93.979591836734699</v>
      </c>
      <c r="M453" s="15">
        <v>5.9</v>
      </c>
      <c r="Z453" s="15">
        <v>44.95</v>
      </c>
      <c r="AA453" s="15">
        <v>7.03</v>
      </c>
      <c r="AB453" s="15">
        <v>38.11</v>
      </c>
      <c r="AC453" s="15">
        <v>9.91</v>
      </c>
      <c r="AD453" s="15"/>
      <c r="AE453" s="15"/>
      <c r="AF453" s="15">
        <f>(33.5*Table2[[#This Row],[C%]]+142.3*Table2[[#This Row],[H%]]-15.4*Table2[[#This Row],[O%]]-14.5*Table2[[#This Row],[N%]])/100</f>
        <v>17.756050000000005</v>
      </c>
      <c r="AG453" s="15">
        <v>0.03</v>
      </c>
      <c r="AH453" s="15"/>
      <c r="AI453" s="15"/>
      <c r="AJ453" s="15">
        <v>11</v>
      </c>
      <c r="AM453" s="13"/>
      <c r="AO453" s="15">
        <v>50</v>
      </c>
      <c r="AP453" s="15" t="e">
        <f>LN(25/Table2[[#This Row],[Temperature (C)]]/(1-SQRT((Table2[[#This Row],[Temperature (C)]]-5)/Table2[[#This Row],[Temperature (C)]])))/Table2[[#This Row],[b]]</f>
        <v>#DIV/0!</v>
      </c>
      <c r="AQ453" s="15">
        <f>IF(Table2[[#This Row],[b]]&lt;&gt;"",Table2[[#This Row],[T-5]], 0)</f>
        <v>0</v>
      </c>
      <c r="AT453" t="s">
        <v>503</v>
      </c>
      <c r="AU453">
        <v>200</v>
      </c>
      <c r="AV453" s="15"/>
      <c r="AW453" s="15">
        <v>26.603325415676899</v>
      </c>
      <c r="AX453" s="15"/>
      <c r="AY453" s="15"/>
      <c r="AZ453" s="15"/>
      <c r="BA453" s="15"/>
      <c r="BB453" s="15" t="str">
        <f>IF(OR(Table2[[#This Row],[Gas wt%]]&lt;&gt;"",Table2[[#This Row],[Loss]]&lt;&gt;""),Table2[[#This Row],[Gas wt%]]+Table2[[#This Row],[Loss]],"")</f>
        <v/>
      </c>
      <c r="BC453" s="15"/>
      <c r="BD453" s="15"/>
      <c r="BE453" s="15"/>
      <c r="BF453" s="15"/>
      <c r="BG453" s="15"/>
      <c r="BH453" s="15"/>
      <c r="BI453" s="15">
        <v>48.06</v>
      </c>
      <c r="BJ453" s="15">
        <v>7.21</v>
      </c>
      <c r="BK453" s="15">
        <v>35.42</v>
      </c>
      <c r="BL453" s="15">
        <v>9.31</v>
      </c>
      <c r="BM453" s="15"/>
      <c r="BN453" s="15">
        <f>(33.5*Table2[[#This Row],[C% B]]+142.3*Table2[[#This Row],[H% B]]-15.4*Table2[[#This Row],[O% B]]-14.5*Table2[[#This Row],[N% B]])/100</f>
        <v>19.555300000000006</v>
      </c>
      <c r="BO453" s="15"/>
      <c r="BP453" s="15"/>
      <c r="BQ453" s="15">
        <f>Table2[[#This Row],[H% B]]/Table2[[#This Row],[C% B]]*100</f>
        <v>15.002080732417811</v>
      </c>
      <c r="BR453" s="15"/>
      <c r="BS453" s="15"/>
      <c r="BT453" s="15"/>
      <c r="BU453" s="15"/>
      <c r="BV453" s="15"/>
      <c r="BW453" s="15"/>
      <c r="BX453" s="15"/>
      <c r="BY453" s="15"/>
      <c r="BZ453" s="15"/>
      <c r="CA453" s="15"/>
      <c r="CB453" s="15"/>
      <c r="CC453" s="15"/>
      <c r="CD453" s="15"/>
      <c r="CE453" s="15"/>
      <c r="CF453" s="15"/>
      <c r="CG453" s="15"/>
      <c r="CH453" s="15"/>
      <c r="CI453" s="15"/>
      <c r="CJ453" s="15"/>
      <c r="CK453" s="15"/>
      <c r="CL453" s="15"/>
      <c r="CM453" s="15"/>
      <c r="CN453" s="15"/>
      <c r="CO453" s="15"/>
      <c r="CP453" s="15"/>
      <c r="CQ453" s="15"/>
      <c r="CR453" s="15"/>
      <c r="CS453" s="15"/>
      <c r="CT453" s="15"/>
      <c r="CU453" s="15"/>
      <c r="CV453" s="15"/>
      <c r="CW453" s="15"/>
      <c r="CX453" s="15"/>
      <c r="CY453" s="15"/>
      <c r="CZ453" s="15"/>
      <c r="DA453" s="15"/>
      <c r="DB453" s="15">
        <v>0</v>
      </c>
    </row>
    <row r="454" spans="1:106" x14ac:dyDescent="0.25">
      <c r="A454" t="s">
        <v>431</v>
      </c>
      <c r="B454" t="s">
        <v>161</v>
      </c>
      <c r="C454">
        <v>2018</v>
      </c>
      <c r="D454" s="16" t="s">
        <v>432</v>
      </c>
      <c r="E454">
        <v>0</v>
      </c>
      <c r="F454" s="15">
        <v>19.693877551020407</v>
      </c>
      <c r="G454" s="15"/>
      <c r="H454" s="15"/>
      <c r="I454" s="15">
        <v>66.734693877551024</v>
      </c>
      <c r="J454" s="15">
        <v>7.5510204081632653</v>
      </c>
      <c r="K454" s="15"/>
      <c r="L454" s="15">
        <f>IF(Table2[[#This Row],[Lipids wt%]]+Table2[[#This Row],[Protein wt%]]+Table2[[#This Row],[Carbs wt%]] =0,"",SUM(Table2[[#This Row],[Lipids wt%]],Table2[[#This Row],[Protein wt%]],Table2[[#This Row],[Carbs wt%]]))</f>
        <v>93.979591836734699</v>
      </c>
      <c r="M454" s="15">
        <v>5.9</v>
      </c>
      <c r="Z454" s="15">
        <v>44.95</v>
      </c>
      <c r="AA454" s="15">
        <v>7.03</v>
      </c>
      <c r="AB454" s="15">
        <v>38.11</v>
      </c>
      <c r="AC454" s="15">
        <v>9.91</v>
      </c>
      <c r="AD454" s="15"/>
      <c r="AE454" s="15"/>
      <c r="AF454" s="15">
        <f>(33.5*Table2[[#This Row],[C%]]+142.3*Table2[[#This Row],[H%]]-15.4*Table2[[#This Row],[O%]]-14.5*Table2[[#This Row],[N%]])/100</f>
        <v>17.756050000000005</v>
      </c>
      <c r="AG454" s="15">
        <v>0.03</v>
      </c>
      <c r="AH454" s="15"/>
      <c r="AI454" s="15"/>
      <c r="AJ454" s="15">
        <v>11</v>
      </c>
      <c r="AM454" s="13"/>
      <c r="AO454" s="15">
        <v>10</v>
      </c>
      <c r="AP454" s="15" t="e">
        <f>LN(25/Table2[[#This Row],[Temperature (C)]]/(1-SQRT((Table2[[#This Row],[Temperature (C)]]-5)/Table2[[#This Row],[Temperature (C)]])))/Table2[[#This Row],[b]]</f>
        <v>#DIV/0!</v>
      </c>
      <c r="AQ454" s="15">
        <f>IF(Table2[[#This Row],[b]]&lt;&gt;"",Table2[[#This Row],[T-5]], 0)</f>
        <v>0</v>
      </c>
      <c r="AT454" t="s">
        <v>503</v>
      </c>
      <c r="AU454">
        <v>225</v>
      </c>
      <c r="AV454" s="15"/>
      <c r="AW454" s="15">
        <v>34.204275534441798</v>
      </c>
      <c r="AX454" s="15"/>
      <c r="AY454" s="15"/>
      <c r="AZ454" s="15"/>
      <c r="BA454" s="15"/>
      <c r="BB454" s="15" t="str">
        <f>IF(OR(Table2[[#This Row],[Gas wt%]]&lt;&gt;"",Table2[[#This Row],[Loss]]&lt;&gt;""),Table2[[#This Row],[Gas wt%]]+Table2[[#This Row],[Loss]],"")</f>
        <v/>
      </c>
      <c r="BC454" s="15"/>
      <c r="BD454" s="15"/>
      <c r="BE454" s="15"/>
      <c r="BF454" s="15"/>
      <c r="BG454" s="15"/>
      <c r="BH454" s="15"/>
      <c r="BI454" s="15">
        <v>47.13</v>
      </c>
      <c r="BJ454" s="15">
        <v>7.19</v>
      </c>
      <c r="BK454" s="15">
        <v>35.76</v>
      </c>
      <c r="BL454" s="15">
        <v>9.92</v>
      </c>
      <c r="BM454" s="15"/>
      <c r="BN454" s="15">
        <f>(33.5*Table2[[#This Row],[C% B]]+142.3*Table2[[#This Row],[H% B]]-15.4*Table2[[#This Row],[O% B]]-14.5*Table2[[#This Row],[N% B]])/100</f>
        <v>19.074480000000005</v>
      </c>
      <c r="BO454" s="15"/>
      <c r="BP454" s="15"/>
      <c r="BQ454" s="15">
        <f>Table2[[#This Row],[H% B]]/Table2[[#This Row],[C% B]]*100</f>
        <v>15.255675790367071</v>
      </c>
      <c r="BR454" s="15"/>
      <c r="BS454" s="15"/>
      <c r="BT454" s="15"/>
      <c r="BU454" s="15"/>
      <c r="BV454" s="15"/>
      <c r="BW454" s="15"/>
      <c r="BX454" s="15"/>
      <c r="BY454" s="15"/>
      <c r="BZ454" s="15"/>
      <c r="CA454" s="15"/>
      <c r="CB454" s="15"/>
      <c r="CC454" s="15"/>
      <c r="CD454" s="15"/>
      <c r="CE454" s="15"/>
      <c r="CF454" s="15"/>
      <c r="CG454" s="15"/>
      <c r="CH454" s="15"/>
      <c r="CI454" s="15"/>
      <c r="CJ454" s="15"/>
      <c r="CK454" s="15"/>
      <c r="CL454" s="15"/>
      <c r="CM454" s="15"/>
      <c r="CN454" s="15"/>
      <c r="CO454" s="15"/>
      <c r="CP454" s="15"/>
      <c r="CQ454" s="15"/>
      <c r="CR454" s="15"/>
      <c r="CS454" s="15"/>
      <c r="CT454" s="15"/>
      <c r="CU454" s="15"/>
      <c r="CV454" s="15"/>
      <c r="CW454" s="15"/>
      <c r="CX454" s="15"/>
      <c r="CY454" s="15"/>
      <c r="CZ454" s="15"/>
      <c r="DA454" s="15"/>
      <c r="DB454" s="15">
        <v>0</v>
      </c>
    </row>
    <row r="455" spans="1:106" x14ac:dyDescent="0.25">
      <c r="A455" t="s">
        <v>431</v>
      </c>
      <c r="B455" t="s">
        <v>161</v>
      </c>
      <c r="C455">
        <v>2018</v>
      </c>
      <c r="D455" s="16" t="s">
        <v>432</v>
      </c>
      <c r="E455">
        <v>0</v>
      </c>
      <c r="F455" s="15">
        <v>19.693877551020407</v>
      </c>
      <c r="G455" s="15"/>
      <c r="H455" s="15"/>
      <c r="I455" s="15">
        <v>66.734693877551024</v>
      </c>
      <c r="J455" s="15">
        <v>7.5510204081632653</v>
      </c>
      <c r="K455" s="15"/>
      <c r="L455" s="15">
        <f>IF(Table2[[#This Row],[Lipids wt%]]+Table2[[#This Row],[Protein wt%]]+Table2[[#This Row],[Carbs wt%]] =0,"",SUM(Table2[[#This Row],[Lipids wt%]],Table2[[#This Row],[Protein wt%]],Table2[[#This Row],[Carbs wt%]]))</f>
        <v>93.979591836734699</v>
      </c>
      <c r="M455" s="15">
        <v>5.9</v>
      </c>
      <c r="Z455" s="15">
        <v>44.95</v>
      </c>
      <c r="AA455" s="15">
        <v>7.03</v>
      </c>
      <c r="AB455" s="15">
        <v>38.11</v>
      </c>
      <c r="AC455" s="15">
        <v>9.91</v>
      </c>
      <c r="AD455" s="15"/>
      <c r="AE455" s="15"/>
      <c r="AF455" s="15">
        <f>(33.5*Table2[[#This Row],[C%]]+142.3*Table2[[#This Row],[H%]]-15.4*Table2[[#This Row],[O%]]-14.5*Table2[[#This Row],[N%]])/100</f>
        <v>17.756050000000005</v>
      </c>
      <c r="AG455" s="15">
        <v>0.03</v>
      </c>
      <c r="AH455" s="15"/>
      <c r="AI455" s="15"/>
      <c r="AJ455" s="15">
        <v>11</v>
      </c>
      <c r="AM455" s="13"/>
      <c r="AO455" s="15">
        <v>20</v>
      </c>
      <c r="AP455" s="15" t="e">
        <f>LN(25/Table2[[#This Row],[Temperature (C)]]/(1-SQRT((Table2[[#This Row],[Temperature (C)]]-5)/Table2[[#This Row],[Temperature (C)]])))/Table2[[#This Row],[b]]</f>
        <v>#DIV/0!</v>
      </c>
      <c r="AQ455" s="15">
        <f>IF(Table2[[#This Row],[b]]&lt;&gt;"",Table2[[#This Row],[T-5]], 0)</f>
        <v>0</v>
      </c>
      <c r="AT455" t="s">
        <v>503</v>
      </c>
      <c r="AU455">
        <v>225</v>
      </c>
      <c r="AV455" s="15"/>
      <c r="AW455" s="15">
        <v>31.353919239904901</v>
      </c>
      <c r="AX455" s="15"/>
      <c r="AY455" s="15"/>
      <c r="AZ455" s="15"/>
      <c r="BA455" s="15"/>
      <c r="BB455" s="15" t="str">
        <f>IF(OR(Table2[[#This Row],[Gas wt%]]&lt;&gt;"",Table2[[#This Row],[Loss]]&lt;&gt;""),Table2[[#This Row],[Gas wt%]]+Table2[[#This Row],[Loss]],"")</f>
        <v/>
      </c>
      <c r="BC455" s="15"/>
      <c r="BD455" s="15"/>
      <c r="BE455" s="15"/>
      <c r="BF455" s="15"/>
      <c r="BG455" s="15"/>
      <c r="BH455" s="15"/>
      <c r="BI455" s="15">
        <v>48.37</v>
      </c>
      <c r="BJ455" s="15">
        <v>7.51</v>
      </c>
      <c r="BK455" s="15">
        <v>34.29</v>
      </c>
      <c r="BL455" s="15">
        <v>9.83</v>
      </c>
      <c r="BM455" s="15"/>
      <c r="BN455" s="15">
        <f>(33.5*Table2[[#This Row],[C% B]]+142.3*Table2[[#This Row],[H% B]]-15.4*Table2[[#This Row],[O% B]]-14.5*Table2[[#This Row],[N% B]])/100</f>
        <v>20.184670000000004</v>
      </c>
      <c r="BO455" s="15"/>
      <c r="BP455" s="15"/>
      <c r="BQ455" s="15">
        <f>Table2[[#This Row],[H% B]]/Table2[[#This Row],[C% B]]*100</f>
        <v>15.526152573909449</v>
      </c>
      <c r="BR455" s="15"/>
      <c r="BS455" s="15"/>
      <c r="BT455" s="15"/>
      <c r="BU455" s="15"/>
      <c r="BV455" s="15"/>
      <c r="BW455" s="15"/>
      <c r="BX455" s="15"/>
      <c r="BY455" s="15"/>
      <c r="BZ455" s="15"/>
      <c r="CA455" s="15"/>
      <c r="CB455" s="15"/>
      <c r="CC455" s="15"/>
      <c r="CD455" s="15"/>
      <c r="CE455" s="15"/>
      <c r="CF455" s="15"/>
      <c r="CG455" s="15"/>
      <c r="CH455" s="15"/>
      <c r="CI455" s="15"/>
      <c r="CJ455" s="15"/>
      <c r="CK455" s="15"/>
      <c r="CL455" s="15"/>
      <c r="CM455" s="15"/>
      <c r="CN455" s="15"/>
      <c r="CO455" s="15"/>
      <c r="CP455" s="15"/>
      <c r="CQ455" s="15"/>
      <c r="CR455" s="15"/>
      <c r="CS455" s="15"/>
      <c r="CT455" s="15"/>
      <c r="CU455" s="15"/>
      <c r="CV455" s="15"/>
      <c r="CW455" s="15"/>
      <c r="CX455" s="15"/>
      <c r="CY455" s="15"/>
      <c r="CZ455" s="15"/>
      <c r="DA455" s="15"/>
      <c r="DB455" s="15">
        <v>0</v>
      </c>
    </row>
    <row r="456" spans="1:106" x14ac:dyDescent="0.25">
      <c r="A456" t="s">
        <v>431</v>
      </c>
      <c r="B456" t="s">
        <v>161</v>
      </c>
      <c r="C456">
        <v>2018</v>
      </c>
      <c r="D456" s="16" t="s">
        <v>432</v>
      </c>
      <c r="E456">
        <v>0</v>
      </c>
      <c r="F456" s="15">
        <v>19.693877551020407</v>
      </c>
      <c r="G456" s="15"/>
      <c r="H456" s="15"/>
      <c r="I456" s="15">
        <v>66.734693877551024</v>
      </c>
      <c r="J456" s="15">
        <v>7.5510204081632653</v>
      </c>
      <c r="K456" s="15"/>
      <c r="L456" s="15">
        <f>IF(Table2[[#This Row],[Lipids wt%]]+Table2[[#This Row],[Protein wt%]]+Table2[[#This Row],[Carbs wt%]] =0,"",SUM(Table2[[#This Row],[Lipids wt%]],Table2[[#This Row],[Protein wt%]],Table2[[#This Row],[Carbs wt%]]))</f>
        <v>93.979591836734699</v>
      </c>
      <c r="M456" s="15">
        <v>5.9</v>
      </c>
      <c r="Z456" s="15">
        <v>44.95</v>
      </c>
      <c r="AA456" s="15">
        <v>7.03</v>
      </c>
      <c r="AB456" s="15">
        <v>38.11</v>
      </c>
      <c r="AC456" s="15">
        <v>9.91</v>
      </c>
      <c r="AD456" s="15"/>
      <c r="AE456" s="15"/>
      <c r="AF456" s="15">
        <f>(33.5*Table2[[#This Row],[C%]]+142.3*Table2[[#This Row],[H%]]-15.4*Table2[[#This Row],[O%]]-14.5*Table2[[#This Row],[N%]])/100</f>
        <v>17.756050000000005</v>
      </c>
      <c r="AG456" s="15">
        <v>0.03</v>
      </c>
      <c r="AH456" s="15"/>
      <c r="AI456" s="15"/>
      <c r="AJ456" s="15">
        <v>11</v>
      </c>
      <c r="AM456" s="13"/>
      <c r="AO456" s="15">
        <v>30</v>
      </c>
      <c r="AP456" s="15" t="e">
        <f>LN(25/Table2[[#This Row],[Temperature (C)]]/(1-SQRT((Table2[[#This Row],[Temperature (C)]]-5)/Table2[[#This Row],[Temperature (C)]])))/Table2[[#This Row],[b]]</f>
        <v>#DIV/0!</v>
      </c>
      <c r="AQ456" s="15">
        <f>IF(Table2[[#This Row],[b]]&lt;&gt;"",Table2[[#This Row],[T-5]], 0)</f>
        <v>0</v>
      </c>
      <c r="AT456" t="s">
        <v>503</v>
      </c>
      <c r="AU456">
        <v>225</v>
      </c>
      <c r="AV456" s="15"/>
      <c r="AW456" s="15">
        <v>29.358669833729198</v>
      </c>
      <c r="AX456" s="15"/>
      <c r="AY456" s="15"/>
      <c r="AZ456" s="15"/>
      <c r="BA456" s="15"/>
      <c r="BB456" s="15" t="str">
        <f>IF(OR(Table2[[#This Row],[Gas wt%]]&lt;&gt;"",Table2[[#This Row],[Loss]]&lt;&gt;""),Table2[[#This Row],[Gas wt%]]+Table2[[#This Row],[Loss]],"")</f>
        <v/>
      </c>
      <c r="BC456" s="15"/>
      <c r="BD456" s="15"/>
      <c r="BE456" s="15"/>
      <c r="BF456" s="15"/>
      <c r="BG456" s="15"/>
      <c r="BH456" s="15"/>
      <c r="BI456" s="15">
        <v>50.98</v>
      </c>
      <c r="BJ456" s="15">
        <v>7.48</v>
      </c>
      <c r="BK456" s="15">
        <v>31.97</v>
      </c>
      <c r="BL456" s="15">
        <v>9.57</v>
      </c>
      <c r="BM456" s="15"/>
      <c r="BN456" s="15">
        <f>(33.5*Table2[[#This Row],[C% B]]+142.3*Table2[[#This Row],[H% B]]-15.4*Table2[[#This Row],[O% B]]-14.5*Table2[[#This Row],[N% B]])/100</f>
        <v>21.411310000000007</v>
      </c>
      <c r="BO456" s="15"/>
      <c r="BP456" s="15"/>
      <c r="BQ456" s="15">
        <f>Table2[[#This Row],[H% B]]/Table2[[#This Row],[C% B]]*100</f>
        <v>14.672420557081209</v>
      </c>
      <c r="BR456" s="15"/>
      <c r="BS456" s="15"/>
      <c r="BT456" s="15"/>
      <c r="BU456" s="15"/>
      <c r="BV456" s="15"/>
      <c r="BW456" s="15"/>
      <c r="BX456" s="15"/>
      <c r="BY456" s="15"/>
      <c r="BZ456" s="15"/>
      <c r="CA456" s="15"/>
      <c r="CB456" s="15"/>
      <c r="CC456" s="15"/>
      <c r="CD456" s="15"/>
      <c r="CE456" s="15"/>
      <c r="CF456" s="15"/>
      <c r="CG456" s="15"/>
      <c r="CH456" s="15"/>
      <c r="CI456" s="15"/>
      <c r="CJ456" s="15"/>
      <c r="CK456" s="15"/>
      <c r="CL456" s="15"/>
      <c r="CM456" s="15"/>
      <c r="CN456" s="15"/>
      <c r="CO456" s="15"/>
      <c r="CP456" s="15"/>
      <c r="CQ456" s="15"/>
      <c r="CR456" s="15"/>
      <c r="CS456" s="15"/>
      <c r="CT456" s="15"/>
      <c r="CU456" s="15"/>
      <c r="CV456" s="15"/>
      <c r="CW456" s="15"/>
      <c r="CX456" s="15"/>
      <c r="CY456" s="15"/>
      <c r="CZ456" s="15"/>
      <c r="DA456" s="15"/>
      <c r="DB456" s="15">
        <v>0</v>
      </c>
    </row>
    <row r="457" spans="1:106" x14ac:dyDescent="0.25">
      <c r="A457" t="s">
        <v>431</v>
      </c>
      <c r="B457" t="s">
        <v>161</v>
      </c>
      <c r="C457">
        <v>2018</v>
      </c>
      <c r="D457" s="16" t="s">
        <v>432</v>
      </c>
      <c r="E457">
        <v>0</v>
      </c>
      <c r="F457" s="15">
        <v>19.693877551020407</v>
      </c>
      <c r="G457" s="15"/>
      <c r="H457" s="15"/>
      <c r="I457" s="15">
        <v>66.734693877551024</v>
      </c>
      <c r="J457" s="15">
        <v>7.5510204081632653</v>
      </c>
      <c r="K457" s="15"/>
      <c r="L457" s="15">
        <f>IF(Table2[[#This Row],[Lipids wt%]]+Table2[[#This Row],[Protein wt%]]+Table2[[#This Row],[Carbs wt%]] =0,"",SUM(Table2[[#This Row],[Lipids wt%]],Table2[[#This Row],[Protein wt%]],Table2[[#This Row],[Carbs wt%]]))</f>
        <v>93.979591836734699</v>
      </c>
      <c r="M457" s="15">
        <v>5.9</v>
      </c>
      <c r="Z457" s="15">
        <v>44.95</v>
      </c>
      <c r="AA457" s="15">
        <v>7.03</v>
      </c>
      <c r="AB457" s="15">
        <v>38.11</v>
      </c>
      <c r="AC457" s="15">
        <v>9.91</v>
      </c>
      <c r="AD457" s="15"/>
      <c r="AE457" s="15"/>
      <c r="AF457" s="15">
        <f>(33.5*Table2[[#This Row],[C%]]+142.3*Table2[[#This Row],[H%]]-15.4*Table2[[#This Row],[O%]]-14.5*Table2[[#This Row],[N%]])/100</f>
        <v>17.756050000000005</v>
      </c>
      <c r="AG457" s="15">
        <v>0.03</v>
      </c>
      <c r="AH457" s="15"/>
      <c r="AI457" s="15"/>
      <c r="AJ457" s="15">
        <v>11</v>
      </c>
      <c r="AM457" s="13"/>
      <c r="AO457" s="15">
        <v>40</v>
      </c>
      <c r="AP457" s="15" t="e">
        <f>LN(25/Table2[[#This Row],[Temperature (C)]]/(1-SQRT((Table2[[#This Row],[Temperature (C)]]-5)/Table2[[#This Row],[Temperature (C)]])))/Table2[[#This Row],[b]]</f>
        <v>#DIV/0!</v>
      </c>
      <c r="AQ457" s="15">
        <f>IF(Table2[[#This Row],[b]]&lt;&gt;"",Table2[[#This Row],[T-5]], 0)</f>
        <v>0</v>
      </c>
      <c r="AT457" t="s">
        <v>503</v>
      </c>
      <c r="AU457">
        <v>225</v>
      </c>
      <c r="AV457" s="15"/>
      <c r="AW457" s="15">
        <v>28.0285035629453</v>
      </c>
      <c r="AX457" s="15"/>
      <c r="AY457" s="15"/>
      <c r="AZ457" s="15"/>
      <c r="BA457" s="15"/>
      <c r="BB457" s="15" t="str">
        <f>IF(OR(Table2[[#This Row],[Gas wt%]]&lt;&gt;"",Table2[[#This Row],[Loss]]&lt;&gt;""),Table2[[#This Row],[Gas wt%]]+Table2[[#This Row],[Loss]],"")</f>
        <v/>
      </c>
      <c r="BC457" s="15"/>
      <c r="BD457" s="15"/>
      <c r="BE457" s="15"/>
      <c r="BF457" s="15"/>
      <c r="BG457" s="15"/>
      <c r="BH457" s="15"/>
      <c r="BI457" s="15">
        <v>52.78</v>
      </c>
      <c r="BJ457" s="15">
        <v>7.66</v>
      </c>
      <c r="BK457" s="15">
        <v>30.37</v>
      </c>
      <c r="BL457" s="15">
        <v>9.19</v>
      </c>
      <c r="BM457" s="15"/>
      <c r="BN457" s="15">
        <f>(33.5*Table2[[#This Row],[C% B]]+142.3*Table2[[#This Row],[H% B]]-15.4*Table2[[#This Row],[O% B]]-14.5*Table2[[#This Row],[N% B]])/100</f>
        <v>22.571950000000001</v>
      </c>
      <c r="BO457" s="15"/>
      <c r="BP457" s="15"/>
      <c r="BQ457" s="15">
        <f>Table2[[#This Row],[H% B]]/Table2[[#This Row],[C% B]]*100</f>
        <v>14.513073133762788</v>
      </c>
      <c r="BR457" s="15"/>
      <c r="BS457" s="15"/>
      <c r="BT457" s="15"/>
      <c r="BU457" s="15"/>
      <c r="BV457" s="15"/>
      <c r="BW457" s="15"/>
      <c r="BX457" s="15"/>
      <c r="BY457" s="15"/>
      <c r="BZ457" s="15"/>
      <c r="CA457" s="15"/>
      <c r="CB457" s="15"/>
      <c r="CC457" s="15"/>
      <c r="CD457" s="15"/>
      <c r="CE457" s="15"/>
      <c r="CF457" s="15"/>
      <c r="CG457" s="15"/>
      <c r="CH457" s="15"/>
      <c r="CI457" s="15"/>
      <c r="CJ457" s="15"/>
      <c r="CK457" s="15"/>
      <c r="CL457" s="15"/>
      <c r="CM457" s="15"/>
      <c r="CN457" s="15"/>
      <c r="CO457" s="15"/>
      <c r="CP457" s="15"/>
      <c r="CQ457" s="15"/>
      <c r="CR457" s="15"/>
      <c r="CS457" s="15"/>
      <c r="CT457" s="15"/>
      <c r="CU457" s="15"/>
      <c r="CV457" s="15"/>
      <c r="CW457" s="15"/>
      <c r="CX457" s="15"/>
      <c r="CY457" s="15"/>
      <c r="CZ457" s="15"/>
      <c r="DA457" s="15"/>
      <c r="DB457" s="15">
        <v>0</v>
      </c>
    </row>
    <row r="458" spans="1:106" x14ac:dyDescent="0.25">
      <c r="A458" t="s">
        <v>431</v>
      </c>
      <c r="B458" t="s">
        <v>161</v>
      </c>
      <c r="C458">
        <v>2018</v>
      </c>
      <c r="D458" s="16" t="s">
        <v>432</v>
      </c>
      <c r="E458">
        <v>0</v>
      </c>
      <c r="F458" s="15">
        <v>19.693877551020407</v>
      </c>
      <c r="G458" s="15"/>
      <c r="H458" s="15"/>
      <c r="I458" s="15">
        <v>66.734693877551024</v>
      </c>
      <c r="J458" s="15">
        <v>7.5510204081632653</v>
      </c>
      <c r="K458" s="15"/>
      <c r="L458" s="15">
        <f>IF(Table2[[#This Row],[Lipids wt%]]+Table2[[#This Row],[Protein wt%]]+Table2[[#This Row],[Carbs wt%]] =0,"",SUM(Table2[[#This Row],[Lipids wt%]],Table2[[#This Row],[Protein wt%]],Table2[[#This Row],[Carbs wt%]]))</f>
        <v>93.979591836734699</v>
      </c>
      <c r="M458" s="15">
        <v>5.9</v>
      </c>
      <c r="Z458" s="15">
        <v>44.95</v>
      </c>
      <c r="AA458" s="15">
        <v>7.03</v>
      </c>
      <c r="AB458" s="15">
        <v>38.11</v>
      </c>
      <c r="AC458" s="15">
        <v>9.91</v>
      </c>
      <c r="AD458" s="15"/>
      <c r="AE458" s="15"/>
      <c r="AF458" s="15">
        <f>(33.5*Table2[[#This Row],[C%]]+142.3*Table2[[#This Row],[H%]]-15.4*Table2[[#This Row],[O%]]-14.5*Table2[[#This Row],[N%]])/100</f>
        <v>17.756050000000005</v>
      </c>
      <c r="AG458" s="15">
        <v>0.03</v>
      </c>
      <c r="AH458" s="15"/>
      <c r="AI458" s="15"/>
      <c r="AJ458" s="15">
        <v>11</v>
      </c>
      <c r="AM458" s="13"/>
      <c r="AO458" s="15">
        <v>50</v>
      </c>
      <c r="AP458" s="15" t="e">
        <f>LN(25/Table2[[#This Row],[Temperature (C)]]/(1-SQRT((Table2[[#This Row],[Temperature (C)]]-5)/Table2[[#This Row],[Temperature (C)]])))/Table2[[#This Row],[b]]</f>
        <v>#DIV/0!</v>
      </c>
      <c r="AQ458" s="15">
        <f>IF(Table2[[#This Row],[b]]&lt;&gt;"",Table2[[#This Row],[T-5]], 0)</f>
        <v>0</v>
      </c>
      <c r="AT458" t="s">
        <v>503</v>
      </c>
      <c r="AU458">
        <v>225</v>
      </c>
      <c r="AV458" s="15"/>
      <c r="AW458" s="15">
        <v>26.603325415676899</v>
      </c>
      <c r="AX458" s="15"/>
      <c r="AY458" s="15"/>
      <c r="AZ458" s="15"/>
      <c r="BA458" s="15"/>
      <c r="BB458" s="15" t="str">
        <f>IF(OR(Table2[[#This Row],[Gas wt%]]&lt;&gt;"",Table2[[#This Row],[Loss]]&lt;&gt;""),Table2[[#This Row],[Gas wt%]]+Table2[[#This Row],[Loss]],"")</f>
        <v/>
      </c>
      <c r="BC458" s="15"/>
      <c r="BD458" s="15"/>
      <c r="BE458" s="15"/>
      <c r="BF458" s="15"/>
      <c r="BG458" s="15"/>
      <c r="BH458" s="15"/>
      <c r="BI458" s="15">
        <v>54.05</v>
      </c>
      <c r="BJ458" s="15">
        <v>7.94</v>
      </c>
      <c r="BK458" s="15">
        <v>29.3</v>
      </c>
      <c r="BL458" s="15">
        <v>8.7100000000000009</v>
      </c>
      <c r="BM458" s="15"/>
      <c r="BN458" s="15">
        <f>(33.5*Table2[[#This Row],[C% B]]+142.3*Table2[[#This Row],[H% B]]-15.4*Table2[[#This Row],[O% B]]-14.5*Table2[[#This Row],[N% B]])/100</f>
        <v>23.630219999999998</v>
      </c>
      <c r="BO458" s="15"/>
      <c r="BP458" s="15"/>
      <c r="BQ458" s="15">
        <f>Table2[[#This Row],[H% B]]/Table2[[#This Row],[C% B]]*100</f>
        <v>14.690101757631824</v>
      </c>
      <c r="BR458" s="15"/>
      <c r="BS458" s="15"/>
      <c r="BT458" s="15"/>
      <c r="BU458" s="15"/>
      <c r="BV458" s="15"/>
      <c r="BW458" s="15"/>
      <c r="BX458" s="15"/>
      <c r="BY458" s="15"/>
      <c r="BZ458" s="15"/>
      <c r="CA458" s="15"/>
      <c r="CB458" s="15"/>
      <c r="CC458" s="15"/>
      <c r="CD458" s="15"/>
      <c r="CE458" s="15"/>
      <c r="CF458" s="15"/>
      <c r="CG458" s="15"/>
      <c r="CH458" s="15"/>
      <c r="CI458" s="15"/>
      <c r="CJ458" s="15"/>
      <c r="CK458" s="15"/>
      <c r="CL458" s="15"/>
      <c r="CM458" s="15"/>
      <c r="CN458" s="15"/>
      <c r="CO458" s="15"/>
      <c r="CP458" s="15"/>
      <c r="CQ458" s="15"/>
      <c r="CR458" s="15"/>
      <c r="CS458" s="15"/>
      <c r="CT458" s="15"/>
      <c r="CU458" s="15"/>
      <c r="CV458" s="15"/>
      <c r="CW458" s="15"/>
      <c r="CX458" s="15"/>
      <c r="CY458" s="15"/>
      <c r="CZ458" s="15"/>
      <c r="DA458" s="15"/>
      <c r="DB458" s="15">
        <v>0</v>
      </c>
    </row>
    <row r="459" spans="1:106" x14ac:dyDescent="0.25">
      <c r="A459" t="s">
        <v>433</v>
      </c>
      <c r="B459" t="s">
        <v>434</v>
      </c>
      <c r="C459">
        <v>2015</v>
      </c>
      <c r="D459" s="16" t="s">
        <v>435</v>
      </c>
      <c r="E459">
        <v>0</v>
      </c>
      <c r="F459" s="15">
        <v>24.409763905562222</v>
      </c>
      <c r="G459" s="15"/>
      <c r="H459" s="15"/>
      <c r="I459" s="15">
        <v>36.31452581032412</v>
      </c>
      <c r="J459" s="15">
        <v>30.21208483393357</v>
      </c>
      <c r="K459" s="15"/>
      <c r="L459" s="15">
        <f>IF(Table2[[#This Row],[Lipids wt%]]+Table2[[#This Row],[Protein wt%]]+Table2[[#This Row],[Carbs wt%]] =0,"",SUM(Table2[[#This Row],[Lipids wt%]],Table2[[#This Row],[Protein wt%]],Table2[[#This Row],[Carbs wt%]]))</f>
        <v>90.936374549819902</v>
      </c>
      <c r="M459" s="15">
        <v>9.06</v>
      </c>
      <c r="Z459" s="15">
        <v>52.4</v>
      </c>
      <c r="AA459" s="15">
        <v>7.88</v>
      </c>
      <c r="AB459" s="15">
        <v>25</v>
      </c>
      <c r="AC459" s="15">
        <v>5.81</v>
      </c>
      <c r="AD459" s="15">
        <v>0.81399999999999995</v>
      </c>
      <c r="AE459" s="15"/>
      <c r="AF459" s="15">
        <v>25.3</v>
      </c>
      <c r="AG459" s="15">
        <v>4.2000000000000003E-2</v>
      </c>
      <c r="AH459" s="15">
        <v>5</v>
      </c>
      <c r="AI459" s="15">
        <v>15</v>
      </c>
      <c r="AJ459" s="15">
        <v>25</v>
      </c>
      <c r="AL459">
        <v>3.3</v>
      </c>
      <c r="AM459" s="13">
        <f t="shared" ref="AM459:AM466" si="3">0.0431</f>
        <v>4.3099999999999999E-2</v>
      </c>
      <c r="AO459" s="15">
        <v>60</v>
      </c>
      <c r="AP459" s="15">
        <f>LN(25/Table2[[#This Row],[Temperature (C)]]/(1-SQRT((Table2[[#This Row],[Temperature (C)]]-5)/Table2[[#This Row],[Temperature (C)]])))/Table2[[#This Row],[b]]</f>
        <v>53.277857815441095</v>
      </c>
      <c r="AQ459" s="15">
        <f>IF(Table2[[#This Row],[b]]&lt;&gt;"",Table2[[#This Row],[T-5]], 0)</f>
        <v>53.277857815441095</v>
      </c>
      <c r="AR459">
        <f>Table2[[#This Row],[Temperature (C)]]/Table2[[#This Row],[Heating rate C/min]]+Table2[[#This Row],[Holding Time (min)]]</f>
        <v>120.60606060606061</v>
      </c>
      <c r="AT459" t="s">
        <v>503</v>
      </c>
      <c r="AU459">
        <v>200</v>
      </c>
      <c r="AV459" s="15">
        <v>12.5568181818181</v>
      </c>
      <c r="AW459" s="15">
        <v>32.102272727272798</v>
      </c>
      <c r="AX459" s="15"/>
      <c r="AY459" s="15"/>
      <c r="AZ459" s="15"/>
      <c r="BA459" s="15"/>
      <c r="BB459" s="15" t="str">
        <f>IF(OR(Table2[[#This Row],[Gas wt%]]&lt;&gt;"",Table2[[#This Row],[Loss]]&lt;&gt;""),Table2[[#This Row],[Gas wt%]]+Table2[[#This Row],[Loss]],"")</f>
        <v/>
      </c>
      <c r="BC459" s="15"/>
      <c r="BD459" s="15"/>
      <c r="BE459" s="15"/>
      <c r="BF459" s="15"/>
      <c r="BG459" s="15"/>
      <c r="BH459" s="15"/>
      <c r="BI459" s="15">
        <v>75.8</v>
      </c>
      <c r="BJ459" s="15">
        <v>11.2</v>
      </c>
      <c r="BK459" s="15">
        <v>11.1</v>
      </c>
      <c r="BL459" s="15">
        <v>4.5199999999999996</v>
      </c>
      <c r="BM459" s="15">
        <v>0.13100000000000001</v>
      </c>
      <c r="BN459" s="15">
        <v>38.700000000000003</v>
      </c>
      <c r="BO459" s="15"/>
      <c r="BP459" s="15"/>
      <c r="BQ459" s="15">
        <f>Table2[[#This Row],[H% B]]/Table2[[#This Row],[C% B]]*100</f>
        <v>14.775725593667547</v>
      </c>
      <c r="BR459" s="15"/>
      <c r="BS459" s="15"/>
      <c r="BT459" s="15"/>
      <c r="BU459" s="15"/>
      <c r="BV459" s="15"/>
      <c r="BW459" s="15"/>
      <c r="BX459" s="15"/>
      <c r="BY459" s="15"/>
      <c r="BZ459" s="15"/>
      <c r="CA459" s="15"/>
      <c r="CB459" s="15"/>
      <c r="CC459" s="15"/>
      <c r="CD459" s="15"/>
      <c r="CE459" s="15"/>
      <c r="CF459" s="15"/>
      <c r="CG459" s="15"/>
      <c r="CH459" s="15"/>
      <c r="CI459" s="15"/>
      <c r="CJ459" s="15"/>
      <c r="CK459" s="15"/>
      <c r="CL459" s="15"/>
      <c r="CM459" s="15"/>
      <c r="CN459" s="15"/>
      <c r="CO459" s="15"/>
      <c r="CP459" s="15"/>
      <c r="CQ459" s="15"/>
      <c r="CR459" s="15"/>
      <c r="CS459" s="15"/>
      <c r="CT459" s="15"/>
      <c r="CU459" s="15"/>
      <c r="CV459" s="15"/>
      <c r="CW459" s="15"/>
      <c r="CX459" s="15"/>
      <c r="CY459" s="15"/>
      <c r="CZ459" s="15"/>
      <c r="DA459" s="15"/>
      <c r="DB459" s="15">
        <v>0</v>
      </c>
    </row>
    <row r="460" spans="1:106" x14ac:dyDescent="0.25">
      <c r="A460" t="s">
        <v>433</v>
      </c>
      <c r="B460" t="s">
        <v>434</v>
      </c>
      <c r="C460">
        <v>2015</v>
      </c>
      <c r="D460" s="16" t="s">
        <v>435</v>
      </c>
      <c r="E460">
        <v>0</v>
      </c>
      <c r="F460" s="15">
        <v>24.409763905562222</v>
      </c>
      <c r="G460" s="15"/>
      <c r="H460" s="15"/>
      <c r="I460" s="15">
        <v>36.31452581032412</v>
      </c>
      <c r="J460" s="15">
        <v>30.21208483393357</v>
      </c>
      <c r="K460" s="15"/>
      <c r="L460" s="15">
        <f>IF(Table2[[#This Row],[Lipids wt%]]+Table2[[#This Row],[Protein wt%]]+Table2[[#This Row],[Carbs wt%]] =0,"",SUM(Table2[[#This Row],[Lipids wt%]],Table2[[#This Row],[Protein wt%]],Table2[[#This Row],[Carbs wt%]]))</f>
        <v>90.936374549819902</v>
      </c>
      <c r="M460" s="15">
        <v>9.06</v>
      </c>
      <c r="Z460" s="15">
        <v>52.4</v>
      </c>
      <c r="AA460" s="15">
        <v>7.88</v>
      </c>
      <c r="AB460" s="15">
        <v>25</v>
      </c>
      <c r="AC460" s="15">
        <v>5.81</v>
      </c>
      <c r="AD460" s="15">
        <v>0.81399999999999995</v>
      </c>
      <c r="AE460" s="15"/>
      <c r="AF460" s="15">
        <v>25.3</v>
      </c>
      <c r="AG460" s="15">
        <v>4.2000000000000003E-2</v>
      </c>
      <c r="AH460" s="15">
        <v>5</v>
      </c>
      <c r="AI460" s="15">
        <v>15</v>
      </c>
      <c r="AJ460" s="15">
        <v>25</v>
      </c>
      <c r="AL460">
        <v>3.3</v>
      </c>
      <c r="AM460" s="13">
        <f t="shared" si="3"/>
        <v>4.3099999999999999E-2</v>
      </c>
      <c r="AO460" s="15">
        <v>60</v>
      </c>
      <c r="AP460" s="15">
        <f>LN(25/Table2[[#This Row],[Temperature (C)]]/(1-SQRT((Table2[[#This Row],[Temperature (C)]]-5)/Table2[[#This Row],[Temperature (C)]])))/Table2[[#This Row],[b]]</f>
        <v>53.307358950780994</v>
      </c>
      <c r="AQ460" s="15">
        <f>IF(Table2[[#This Row],[b]]&lt;&gt;"",Table2[[#This Row],[T-5]], 0)</f>
        <v>53.307358950780994</v>
      </c>
      <c r="AR460">
        <f>Table2[[#This Row],[Temperature (C)]]/Table2[[#This Row],[Heating rate C/min]]+Table2[[#This Row],[Holding Time (min)]]</f>
        <v>135.75757575757575</v>
      </c>
      <c r="AT460" t="s">
        <v>503</v>
      </c>
      <c r="AU460">
        <v>250</v>
      </c>
      <c r="AV460" s="15">
        <v>6.5340909090909101</v>
      </c>
      <c r="AW460" s="15">
        <v>38.465909090908994</v>
      </c>
      <c r="AX460" s="15"/>
      <c r="AY460" s="15"/>
      <c r="AZ460" s="15"/>
      <c r="BA460" s="15"/>
      <c r="BB460" s="15" t="str">
        <f>IF(OR(Table2[[#This Row],[Gas wt%]]&lt;&gt;"",Table2[[#This Row],[Loss]]&lt;&gt;""),Table2[[#This Row],[Gas wt%]]+Table2[[#This Row],[Loss]],"")</f>
        <v/>
      </c>
      <c r="BC460" s="15"/>
      <c r="BD460" s="15"/>
      <c r="BE460" s="15"/>
      <c r="BF460" s="15"/>
      <c r="BG460" s="15"/>
      <c r="BH460" s="15"/>
      <c r="BI460" s="15">
        <v>75.5</v>
      </c>
      <c r="BJ460" s="15">
        <v>10.8</v>
      </c>
      <c r="BK460" s="15">
        <v>8.99</v>
      </c>
      <c r="BL460" s="15">
        <v>6.11</v>
      </c>
      <c r="BM460" s="15">
        <v>0.28199999999999997</v>
      </c>
      <c r="BN460" s="15">
        <v>38.5</v>
      </c>
      <c r="BO460" s="15"/>
      <c r="BP460" s="15"/>
      <c r="BQ460" s="15">
        <f>Table2[[#This Row],[H% B]]/Table2[[#This Row],[C% B]]*100</f>
        <v>14.304635761589404</v>
      </c>
      <c r="BR460" s="15"/>
      <c r="BS460" s="15"/>
      <c r="BT460" s="15"/>
      <c r="BU460" s="15"/>
      <c r="BV460" s="15"/>
      <c r="BW460" s="15"/>
      <c r="BX460" s="15"/>
      <c r="BY460" s="15"/>
      <c r="BZ460" s="15"/>
      <c r="CA460" s="15"/>
      <c r="CB460" s="15"/>
      <c r="CC460" s="15"/>
      <c r="CD460" s="15"/>
      <c r="CE460" s="15"/>
      <c r="CF460" s="15"/>
      <c r="CG460" s="15"/>
      <c r="CH460" s="15"/>
      <c r="CI460" s="15"/>
      <c r="CJ460" s="15"/>
      <c r="CK460" s="15"/>
      <c r="CL460" s="15"/>
      <c r="CM460" s="15"/>
      <c r="CN460" s="15"/>
      <c r="CO460" s="15"/>
      <c r="CP460" s="15"/>
      <c r="CQ460" s="15"/>
      <c r="CR460" s="15"/>
      <c r="CS460" s="15"/>
      <c r="CT460" s="15"/>
      <c r="CU460" s="15"/>
      <c r="CV460" s="15"/>
      <c r="CW460" s="15"/>
      <c r="CX460" s="15"/>
      <c r="CY460" s="15"/>
      <c r="CZ460" s="15"/>
      <c r="DA460" s="15"/>
      <c r="DB460" s="15">
        <v>0</v>
      </c>
    </row>
    <row r="461" spans="1:106" x14ac:dyDescent="0.25">
      <c r="A461" t="s">
        <v>433</v>
      </c>
      <c r="B461" t="s">
        <v>434</v>
      </c>
      <c r="C461">
        <v>2015</v>
      </c>
      <c r="D461" s="16" t="s">
        <v>435</v>
      </c>
      <c r="E461">
        <v>0</v>
      </c>
      <c r="F461" s="15">
        <v>24.409763905562222</v>
      </c>
      <c r="G461" s="15"/>
      <c r="H461" s="15"/>
      <c r="I461" s="15">
        <v>36.31452581032412</v>
      </c>
      <c r="J461" s="15">
        <v>30.21208483393357</v>
      </c>
      <c r="K461" s="15"/>
      <c r="L461" s="15">
        <f>IF(Table2[[#This Row],[Lipids wt%]]+Table2[[#This Row],[Protein wt%]]+Table2[[#This Row],[Carbs wt%]] =0,"",SUM(Table2[[#This Row],[Lipids wt%]],Table2[[#This Row],[Protein wt%]],Table2[[#This Row],[Carbs wt%]]))</f>
        <v>90.936374549819902</v>
      </c>
      <c r="M461" s="15">
        <v>9.06</v>
      </c>
      <c r="Z461" s="15">
        <v>52.4</v>
      </c>
      <c r="AA461" s="15">
        <v>7.88</v>
      </c>
      <c r="AB461" s="15">
        <v>25</v>
      </c>
      <c r="AC461" s="15">
        <v>5.81</v>
      </c>
      <c r="AD461" s="15">
        <v>0.81399999999999995</v>
      </c>
      <c r="AE461" s="15"/>
      <c r="AF461" s="15">
        <v>25.3</v>
      </c>
      <c r="AG461" s="15">
        <v>4.2000000000000003E-2</v>
      </c>
      <c r="AH461" s="15">
        <v>5</v>
      </c>
      <c r="AI461" s="15">
        <v>15</v>
      </c>
      <c r="AJ461" s="15">
        <v>25</v>
      </c>
      <c r="AL461">
        <v>3.3</v>
      </c>
      <c r="AM461" s="13">
        <f t="shared" si="3"/>
        <v>4.3099999999999999E-2</v>
      </c>
      <c r="AO461" s="15">
        <v>60</v>
      </c>
      <c r="AP461" s="15">
        <f>LN(25/Table2[[#This Row],[Temperature (C)]]/(1-SQRT((Table2[[#This Row],[Temperature (C)]]-5)/Table2[[#This Row],[Temperature (C)]])))/Table2[[#This Row],[b]]</f>
        <v>53.326963825168953</v>
      </c>
      <c r="AQ461" s="15">
        <f>IF(Table2[[#This Row],[b]]&lt;&gt;"",Table2[[#This Row],[T-5]], 0)</f>
        <v>53.326963825168953</v>
      </c>
      <c r="AR461">
        <f>Table2[[#This Row],[Temperature (C)]]/Table2[[#This Row],[Heating rate C/min]]+Table2[[#This Row],[Holding Time (min)]]</f>
        <v>150.90909090909093</v>
      </c>
      <c r="AT461" t="s">
        <v>503</v>
      </c>
      <c r="AU461">
        <v>300</v>
      </c>
      <c r="AV461" s="15">
        <v>3.5795454545454501</v>
      </c>
      <c r="AW461" s="15">
        <v>40.738636363636346</v>
      </c>
      <c r="AX461" s="15"/>
      <c r="AY461" s="15"/>
      <c r="AZ461" s="15"/>
      <c r="BA461" s="15"/>
      <c r="BB461" s="15" t="str">
        <f>IF(OR(Table2[[#This Row],[Gas wt%]]&lt;&gt;"",Table2[[#This Row],[Loss]]&lt;&gt;""),Table2[[#This Row],[Gas wt%]]+Table2[[#This Row],[Loss]],"")</f>
        <v/>
      </c>
      <c r="BC461" s="15"/>
      <c r="BD461" s="15"/>
      <c r="BE461" s="15"/>
      <c r="BF461" s="15"/>
      <c r="BG461" s="15"/>
      <c r="BH461" s="15"/>
      <c r="BI461" s="15">
        <v>77.400000000000006</v>
      </c>
      <c r="BJ461" s="15">
        <v>11</v>
      </c>
      <c r="BK461" s="15">
        <v>7.44</v>
      </c>
      <c r="BL461" s="15">
        <v>6.59</v>
      </c>
      <c r="BM461" s="15">
        <v>0.25700000000000001</v>
      </c>
      <c r="BN461" s="15">
        <v>39.6</v>
      </c>
      <c r="BO461" s="15"/>
      <c r="BP461" s="15"/>
      <c r="BQ461" s="15">
        <f>Table2[[#This Row],[H% B]]/Table2[[#This Row],[C% B]]*100</f>
        <v>14.211886304909561</v>
      </c>
      <c r="BR461" s="15"/>
      <c r="BS461" s="15"/>
      <c r="BT461" s="15"/>
      <c r="BU461" s="15"/>
      <c r="BV461" s="15"/>
      <c r="BW461" s="15"/>
      <c r="BX461" s="15"/>
      <c r="BY461" s="15"/>
      <c r="BZ461" s="15"/>
      <c r="CA461" s="15"/>
      <c r="CB461" s="15"/>
      <c r="CC461" s="15"/>
      <c r="CD461" s="15"/>
      <c r="CE461" s="15"/>
      <c r="CF461" s="15"/>
      <c r="CG461" s="15"/>
      <c r="CH461" s="15"/>
      <c r="CI461" s="15"/>
      <c r="CJ461" s="15"/>
      <c r="CK461" s="15"/>
      <c r="CL461" s="15"/>
      <c r="CM461" s="15"/>
      <c r="CN461" s="15"/>
      <c r="CO461" s="15"/>
      <c r="CP461" s="15"/>
      <c r="CQ461" s="15"/>
      <c r="CR461" s="15"/>
      <c r="CS461" s="15"/>
      <c r="CT461" s="15"/>
      <c r="CU461" s="15"/>
      <c r="CV461" s="15"/>
      <c r="CW461" s="15"/>
      <c r="CX461" s="15"/>
      <c r="CY461" s="15"/>
      <c r="CZ461" s="15"/>
      <c r="DA461" s="15"/>
      <c r="DB461" s="15">
        <v>0</v>
      </c>
    </row>
    <row r="462" spans="1:106" x14ac:dyDescent="0.25">
      <c r="A462" t="s">
        <v>433</v>
      </c>
      <c r="B462" t="s">
        <v>434</v>
      </c>
      <c r="C462">
        <v>2015</v>
      </c>
      <c r="D462" s="16" t="s">
        <v>435</v>
      </c>
      <c r="E462">
        <v>0</v>
      </c>
      <c r="F462" s="15">
        <v>24.409763905562222</v>
      </c>
      <c r="G462" s="15"/>
      <c r="H462" s="15"/>
      <c r="I462" s="15">
        <v>36.31452581032412</v>
      </c>
      <c r="J462" s="15">
        <v>30.21208483393357</v>
      </c>
      <c r="K462" s="15"/>
      <c r="L462" s="15">
        <f>IF(Table2[[#This Row],[Lipids wt%]]+Table2[[#This Row],[Protein wt%]]+Table2[[#This Row],[Carbs wt%]] =0,"",SUM(Table2[[#This Row],[Lipids wt%]],Table2[[#This Row],[Protein wt%]],Table2[[#This Row],[Carbs wt%]]))</f>
        <v>90.936374549819902</v>
      </c>
      <c r="M462" s="15">
        <v>9.06</v>
      </c>
      <c r="Z462" s="15">
        <v>52.4</v>
      </c>
      <c r="AA462" s="15">
        <v>7.88</v>
      </c>
      <c r="AB462" s="15">
        <v>25</v>
      </c>
      <c r="AC462" s="15">
        <v>5.81</v>
      </c>
      <c r="AD462" s="15">
        <v>0.81399999999999995</v>
      </c>
      <c r="AE462" s="15"/>
      <c r="AF462" s="15">
        <v>25.3</v>
      </c>
      <c r="AG462" s="15">
        <v>4.2000000000000003E-2</v>
      </c>
      <c r="AH462" s="15">
        <v>5</v>
      </c>
      <c r="AI462" s="15">
        <v>15</v>
      </c>
      <c r="AJ462" s="15">
        <v>25</v>
      </c>
      <c r="AL462">
        <v>3.3</v>
      </c>
      <c r="AM462" s="13">
        <f t="shared" si="3"/>
        <v>4.3099999999999999E-2</v>
      </c>
      <c r="AO462" s="15">
        <v>60</v>
      </c>
      <c r="AP462" s="15">
        <f>LN(25/Table2[[#This Row],[Temperature (C)]]/(1-SQRT((Table2[[#This Row],[Temperature (C)]]-5)/Table2[[#This Row],[Temperature (C)]])))/Table2[[#This Row],[b]]</f>
        <v>53.340936855794645</v>
      </c>
      <c r="AQ462" s="15">
        <f>IF(Table2[[#This Row],[b]]&lt;&gt;"",Table2[[#This Row],[T-5]], 0)</f>
        <v>53.340936855794645</v>
      </c>
      <c r="AR462">
        <f>Table2[[#This Row],[Temperature (C)]]/Table2[[#This Row],[Heating rate C/min]]+Table2[[#This Row],[Holding Time (min)]]</f>
        <v>166.06060606060606</v>
      </c>
      <c r="AT462" t="s">
        <v>503</v>
      </c>
      <c r="AU462">
        <v>350</v>
      </c>
      <c r="AV462" s="15">
        <v>2.7840909090909101</v>
      </c>
      <c r="AW462" s="15">
        <v>40.284090909090892</v>
      </c>
      <c r="AX462" s="15"/>
      <c r="AY462" s="15"/>
      <c r="AZ462" s="15"/>
      <c r="BA462" s="15"/>
      <c r="BB462" s="15" t="str">
        <f>IF(OR(Table2[[#This Row],[Gas wt%]]&lt;&gt;"",Table2[[#This Row],[Loss]]&lt;&gt;""),Table2[[#This Row],[Gas wt%]]+Table2[[#This Row],[Loss]],"")</f>
        <v/>
      </c>
      <c r="BC462" s="15"/>
      <c r="BD462" s="15"/>
      <c r="BE462" s="15"/>
      <c r="BF462" s="15"/>
      <c r="BG462" s="15"/>
      <c r="BH462" s="15"/>
      <c r="BI462" s="15">
        <v>77.400000000000006</v>
      </c>
      <c r="BJ462" s="15">
        <v>10.7</v>
      </c>
      <c r="BK462" s="15">
        <v>7.32</v>
      </c>
      <c r="BL462" s="15">
        <v>6.98</v>
      </c>
      <c r="BM462" s="15">
        <v>0.22700000000000001</v>
      </c>
      <c r="BN462" s="15">
        <v>39.299999999999997</v>
      </c>
      <c r="BO462" s="15"/>
      <c r="BP462" s="15"/>
      <c r="BQ462" s="15">
        <f>Table2[[#This Row],[H% B]]/Table2[[#This Row],[C% B]]*100</f>
        <v>13.824289405684754</v>
      </c>
      <c r="BR462" s="15"/>
      <c r="BS462" s="15"/>
      <c r="BT462" s="15"/>
      <c r="BU462" s="15"/>
      <c r="BV462" s="15"/>
      <c r="BW462" s="15"/>
      <c r="BX462" s="15"/>
      <c r="BY462" s="15"/>
      <c r="BZ462" s="15"/>
      <c r="CA462" s="15"/>
      <c r="CB462" s="15"/>
      <c r="CC462" s="15"/>
      <c r="CD462" s="15"/>
      <c r="CE462" s="15"/>
      <c r="CF462" s="15"/>
      <c r="CG462" s="15"/>
      <c r="CH462" s="15"/>
      <c r="CI462" s="15"/>
      <c r="CJ462" s="15"/>
      <c r="CK462" s="15"/>
      <c r="CL462" s="15"/>
      <c r="CM462" s="15"/>
      <c r="CN462" s="15"/>
      <c r="CO462" s="15"/>
      <c r="CP462" s="15"/>
      <c r="CQ462" s="15"/>
      <c r="CR462" s="15"/>
      <c r="CS462" s="15"/>
      <c r="CT462" s="15"/>
      <c r="CU462" s="15"/>
      <c r="CV462" s="15"/>
      <c r="CW462" s="15"/>
      <c r="CX462" s="15"/>
      <c r="CY462" s="15"/>
      <c r="CZ462" s="15"/>
      <c r="DA462" s="15"/>
      <c r="DB462" s="15">
        <v>0</v>
      </c>
    </row>
    <row r="463" spans="1:106" x14ac:dyDescent="0.25">
      <c r="A463" t="s">
        <v>433</v>
      </c>
      <c r="B463" t="s">
        <v>434</v>
      </c>
      <c r="C463">
        <v>2015</v>
      </c>
      <c r="D463" s="16" t="s">
        <v>436</v>
      </c>
      <c r="E463">
        <v>0</v>
      </c>
      <c r="F463" s="15">
        <v>26.699999999999996</v>
      </c>
      <c r="G463" s="15"/>
      <c r="H463" s="15"/>
      <c r="I463" s="15">
        <v>45.099999999999994</v>
      </c>
      <c r="J463" s="15">
        <v>17.299999999999997</v>
      </c>
      <c r="K463" s="15"/>
      <c r="L463" s="15">
        <f>IF(Table2[[#This Row],[Lipids wt%]]+Table2[[#This Row],[Protein wt%]]+Table2[[#This Row],[Carbs wt%]] =0,"",SUM(Table2[[#This Row],[Lipids wt%]],Table2[[#This Row],[Protein wt%]],Table2[[#This Row],[Carbs wt%]]))</f>
        <v>89.1</v>
      </c>
      <c r="M463" s="15">
        <v>10.9</v>
      </c>
      <c r="Z463" s="15">
        <v>46.6</v>
      </c>
      <c r="AA463" s="15">
        <v>7.01</v>
      </c>
      <c r="AB463" s="15">
        <v>28.9</v>
      </c>
      <c r="AC463" s="15">
        <v>7.21</v>
      </c>
      <c r="AD463" s="15">
        <v>0.47099999999999997</v>
      </c>
      <c r="AE463" s="15"/>
      <c r="AF463" s="15">
        <v>21.8</v>
      </c>
      <c r="AG463" s="15">
        <v>4.2000000000000003E-2</v>
      </c>
      <c r="AH463" s="15">
        <v>5</v>
      </c>
      <c r="AI463" s="15">
        <v>15</v>
      </c>
      <c r="AJ463" s="15">
        <v>25</v>
      </c>
      <c r="AL463">
        <v>3.3</v>
      </c>
      <c r="AM463" s="13">
        <f t="shared" si="3"/>
        <v>4.3099999999999999E-2</v>
      </c>
      <c r="AO463" s="15">
        <v>60</v>
      </c>
      <c r="AP463" s="15">
        <f>LN(25/Table2[[#This Row],[Temperature (C)]]/(1-SQRT((Table2[[#This Row],[Temperature (C)]]-5)/Table2[[#This Row],[Temperature (C)]])))/Table2[[#This Row],[b]]</f>
        <v>53.277857815441095</v>
      </c>
      <c r="AQ463" s="15">
        <f>IF(Table2[[#This Row],[b]]&lt;&gt;"",Table2[[#This Row],[T-5]], 0)</f>
        <v>53.277857815441095</v>
      </c>
      <c r="AR463">
        <f>Table2[[#This Row],[Temperature (C)]]/Table2[[#This Row],[Heating rate C/min]]+Table2[[#This Row],[Holding Time (min)]]</f>
        <v>120.60606060606061</v>
      </c>
      <c r="AT463" t="s">
        <v>503</v>
      </c>
      <c r="AU463">
        <v>200</v>
      </c>
      <c r="AV463" s="15">
        <v>28.068181818181799</v>
      </c>
      <c r="AW463" s="15">
        <v>12.670454545454504</v>
      </c>
      <c r="AX463" s="15"/>
      <c r="AY463" s="15"/>
      <c r="AZ463" s="15"/>
      <c r="BA463" s="15"/>
      <c r="BB463" s="15" t="str">
        <f>IF(OR(Table2[[#This Row],[Gas wt%]]&lt;&gt;"",Table2[[#This Row],[Loss]]&lt;&gt;""),Table2[[#This Row],[Gas wt%]]+Table2[[#This Row],[Loss]],"")</f>
        <v/>
      </c>
      <c r="BC463" s="15"/>
      <c r="BD463" s="15"/>
      <c r="BE463" s="15"/>
      <c r="BF463" s="15"/>
      <c r="BG463" s="15"/>
      <c r="BH463" s="15"/>
      <c r="BI463" s="15">
        <v>73.2</v>
      </c>
      <c r="BJ463" s="15">
        <v>9.57</v>
      </c>
      <c r="BK463" s="15">
        <v>13.4</v>
      </c>
      <c r="BL463" s="15">
        <v>3.17</v>
      </c>
      <c r="BM463" s="15">
        <v>0.17599999999999999</v>
      </c>
      <c r="BN463" s="15">
        <v>35.6</v>
      </c>
      <c r="BO463" s="15"/>
      <c r="BP463" s="15"/>
      <c r="BQ463" s="15">
        <f>Table2[[#This Row],[H% B]]/Table2[[#This Row],[C% B]]*100</f>
        <v>13.07377049180328</v>
      </c>
      <c r="BR463" s="15"/>
      <c r="BS463" s="15"/>
      <c r="BT463" s="15"/>
      <c r="BU463" s="15"/>
      <c r="BV463" s="15"/>
      <c r="BW463" s="15"/>
      <c r="BX463" s="15"/>
      <c r="BY463" s="15"/>
      <c r="BZ463" s="15"/>
      <c r="CA463" s="15"/>
      <c r="CB463" s="15"/>
      <c r="CC463" s="15"/>
      <c r="CD463" s="15"/>
      <c r="CE463" s="15"/>
      <c r="CF463" s="15"/>
      <c r="CG463" s="15"/>
      <c r="CH463" s="15"/>
      <c r="CI463" s="15"/>
      <c r="CJ463" s="15"/>
      <c r="CK463" s="15"/>
      <c r="CL463" s="15"/>
      <c r="CM463" s="15"/>
      <c r="CN463" s="15"/>
      <c r="CO463" s="15"/>
      <c r="CP463" s="15"/>
      <c r="CQ463" s="15"/>
      <c r="CR463" s="15"/>
      <c r="CS463" s="15"/>
      <c r="CT463" s="15"/>
      <c r="CU463" s="15"/>
      <c r="CV463" s="15"/>
      <c r="CW463" s="15"/>
      <c r="CX463" s="15"/>
      <c r="CY463" s="15"/>
      <c r="CZ463" s="15"/>
      <c r="DA463" s="15"/>
      <c r="DB463" s="15">
        <v>0</v>
      </c>
    </row>
    <row r="464" spans="1:106" x14ac:dyDescent="0.25">
      <c r="A464" t="s">
        <v>433</v>
      </c>
      <c r="B464" t="s">
        <v>434</v>
      </c>
      <c r="C464">
        <v>2015</v>
      </c>
      <c r="D464" s="16" t="s">
        <v>436</v>
      </c>
      <c r="E464">
        <v>0</v>
      </c>
      <c r="F464" s="15">
        <v>26.699999999999996</v>
      </c>
      <c r="G464" s="15"/>
      <c r="H464" s="15"/>
      <c r="I464" s="15">
        <v>45.099999999999994</v>
      </c>
      <c r="J464" s="15">
        <v>17.299999999999997</v>
      </c>
      <c r="K464" s="15"/>
      <c r="L464" s="15">
        <f>IF(Table2[[#This Row],[Lipids wt%]]+Table2[[#This Row],[Protein wt%]]+Table2[[#This Row],[Carbs wt%]] =0,"",SUM(Table2[[#This Row],[Lipids wt%]],Table2[[#This Row],[Protein wt%]],Table2[[#This Row],[Carbs wt%]]))</f>
        <v>89.1</v>
      </c>
      <c r="M464" s="15">
        <v>10.9</v>
      </c>
      <c r="Z464" s="15">
        <v>46.6</v>
      </c>
      <c r="AA464" s="15">
        <v>7.01</v>
      </c>
      <c r="AB464" s="15">
        <v>28.9</v>
      </c>
      <c r="AC464" s="15">
        <v>7.21</v>
      </c>
      <c r="AD464" s="15">
        <v>0.47099999999999997</v>
      </c>
      <c r="AE464" s="15"/>
      <c r="AF464" s="15">
        <v>21.8</v>
      </c>
      <c r="AG464" s="15">
        <v>4.2000000000000003E-2</v>
      </c>
      <c r="AH464" s="15">
        <v>5</v>
      </c>
      <c r="AI464" s="15">
        <v>15</v>
      </c>
      <c r="AJ464" s="15">
        <v>25</v>
      </c>
      <c r="AL464">
        <v>3.3</v>
      </c>
      <c r="AM464" s="13">
        <f t="shared" si="3"/>
        <v>4.3099999999999999E-2</v>
      </c>
      <c r="AO464" s="15">
        <v>60</v>
      </c>
      <c r="AP464" s="15">
        <f>LN(25/Table2[[#This Row],[Temperature (C)]]/(1-SQRT((Table2[[#This Row],[Temperature (C)]]-5)/Table2[[#This Row],[Temperature (C)]])))/Table2[[#This Row],[b]]</f>
        <v>53.307358950780994</v>
      </c>
      <c r="AQ464" s="15">
        <f>IF(Table2[[#This Row],[b]]&lt;&gt;"",Table2[[#This Row],[T-5]], 0)</f>
        <v>53.307358950780994</v>
      </c>
      <c r="AR464">
        <f>Table2[[#This Row],[Temperature (C)]]/Table2[[#This Row],[Heating rate C/min]]+Table2[[#This Row],[Holding Time (min)]]</f>
        <v>135.75757575757575</v>
      </c>
      <c r="AT464" t="s">
        <v>503</v>
      </c>
      <c r="AU464">
        <v>250</v>
      </c>
      <c r="AV464" s="15">
        <v>18.465909090909001</v>
      </c>
      <c r="AW464" s="15">
        <v>22.272727272727302</v>
      </c>
      <c r="AX464" s="15"/>
      <c r="AY464" s="15"/>
      <c r="AZ464" s="15"/>
      <c r="BA464" s="15"/>
      <c r="BB464" s="15" t="str">
        <f>IF(OR(Table2[[#This Row],[Gas wt%]]&lt;&gt;"",Table2[[#This Row],[Loss]]&lt;&gt;""),Table2[[#This Row],[Gas wt%]]+Table2[[#This Row],[Loss]],"")</f>
        <v/>
      </c>
      <c r="BC464" s="15"/>
      <c r="BD464" s="15"/>
      <c r="BE464" s="15"/>
      <c r="BF464" s="15"/>
      <c r="BG464" s="15"/>
      <c r="BH464" s="15"/>
      <c r="BI464" s="15">
        <v>73.7</v>
      </c>
      <c r="BJ464" s="15">
        <v>9.06</v>
      </c>
      <c r="BK464" s="15">
        <v>8.76</v>
      </c>
      <c r="BL464" s="15">
        <v>6.29</v>
      </c>
      <c r="BM464" s="15">
        <v>0.34599999999999997</v>
      </c>
      <c r="BN464" s="15">
        <v>35.9</v>
      </c>
      <c r="BO464" s="15"/>
      <c r="BP464" s="15"/>
      <c r="BQ464" s="15">
        <f>Table2[[#This Row],[H% B]]/Table2[[#This Row],[C% B]]*100</f>
        <v>12.293080054274084</v>
      </c>
      <c r="BR464" s="15"/>
      <c r="BS464" s="15"/>
      <c r="BT464" s="15"/>
      <c r="BU464" s="15"/>
      <c r="BV464" s="15"/>
      <c r="BW464" s="15"/>
      <c r="BX464" s="15"/>
      <c r="BY464" s="15"/>
      <c r="BZ464" s="15"/>
      <c r="CA464" s="15"/>
      <c r="CB464" s="15"/>
      <c r="CC464" s="15"/>
      <c r="CD464" s="15"/>
      <c r="CE464" s="15"/>
      <c r="CF464" s="15"/>
      <c r="CG464" s="15"/>
      <c r="CH464" s="15"/>
      <c r="CI464" s="15"/>
      <c r="CJ464" s="15"/>
      <c r="CK464" s="15"/>
      <c r="CL464" s="15"/>
      <c r="CM464" s="15"/>
      <c r="CN464" s="15"/>
      <c r="CO464" s="15"/>
      <c r="CP464" s="15"/>
      <c r="CQ464" s="15"/>
      <c r="CR464" s="15"/>
      <c r="CS464" s="15"/>
      <c r="CT464" s="15"/>
      <c r="CU464" s="15"/>
      <c r="CV464" s="15"/>
      <c r="CW464" s="15"/>
      <c r="CX464" s="15"/>
      <c r="CY464" s="15"/>
      <c r="CZ464" s="15"/>
      <c r="DA464" s="15"/>
      <c r="DB464" s="15">
        <v>0</v>
      </c>
    </row>
    <row r="465" spans="1:106" x14ac:dyDescent="0.25">
      <c r="A465" t="s">
        <v>433</v>
      </c>
      <c r="B465" t="s">
        <v>434</v>
      </c>
      <c r="C465">
        <v>2015</v>
      </c>
      <c r="D465" s="16" t="s">
        <v>436</v>
      </c>
      <c r="E465">
        <v>0</v>
      </c>
      <c r="F465" s="15">
        <v>26.699999999999996</v>
      </c>
      <c r="G465" s="15"/>
      <c r="H465" s="15"/>
      <c r="I465" s="15">
        <v>45.099999999999994</v>
      </c>
      <c r="J465" s="15">
        <v>17.299999999999997</v>
      </c>
      <c r="K465" s="15"/>
      <c r="L465" s="15">
        <f>IF(Table2[[#This Row],[Lipids wt%]]+Table2[[#This Row],[Protein wt%]]+Table2[[#This Row],[Carbs wt%]] =0,"",SUM(Table2[[#This Row],[Lipids wt%]],Table2[[#This Row],[Protein wt%]],Table2[[#This Row],[Carbs wt%]]))</f>
        <v>89.1</v>
      </c>
      <c r="M465" s="15">
        <v>10.9</v>
      </c>
      <c r="Z465" s="15">
        <v>46.6</v>
      </c>
      <c r="AA465" s="15">
        <v>7.01</v>
      </c>
      <c r="AB465" s="15">
        <v>28.9</v>
      </c>
      <c r="AC465" s="15">
        <v>7.21</v>
      </c>
      <c r="AD465" s="15">
        <v>0.47099999999999997</v>
      </c>
      <c r="AE465" s="15"/>
      <c r="AF465" s="15">
        <v>21.8</v>
      </c>
      <c r="AG465" s="15">
        <v>4.2000000000000003E-2</v>
      </c>
      <c r="AH465" s="15">
        <v>5</v>
      </c>
      <c r="AI465" s="15">
        <v>15</v>
      </c>
      <c r="AJ465" s="15">
        <v>25</v>
      </c>
      <c r="AL465">
        <v>3.3</v>
      </c>
      <c r="AM465" s="13">
        <f t="shared" si="3"/>
        <v>4.3099999999999999E-2</v>
      </c>
      <c r="AO465" s="15">
        <v>60</v>
      </c>
      <c r="AP465" s="15">
        <f>LN(25/Table2[[#This Row],[Temperature (C)]]/(1-SQRT((Table2[[#This Row],[Temperature (C)]]-5)/Table2[[#This Row],[Temperature (C)]])))/Table2[[#This Row],[b]]</f>
        <v>53.326963825168953</v>
      </c>
      <c r="AQ465" s="15">
        <f>IF(Table2[[#This Row],[b]]&lt;&gt;"",Table2[[#This Row],[T-5]], 0)</f>
        <v>53.326963825168953</v>
      </c>
      <c r="AR465">
        <f>Table2[[#This Row],[Temperature (C)]]/Table2[[#This Row],[Heating rate C/min]]+Table2[[#This Row],[Holding Time (min)]]</f>
        <v>150.90909090909093</v>
      </c>
      <c r="AT465" t="s">
        <v>503</v>
      </c>
      <c r="AU465">
        <v>300</v>
      </c>
      <c r="AV465" s="15">
        <v>9.2045454545454497</v>
      </c>
      <c r="AW465" s="15">
        <v>31.363636363636349</v>
      </c>
      <c r="AX465" s="15"/>
      <c r="AY465" s="15"/>
      <c r="AZ465" s="15"/>
      <c r="BA465" s="15"/>
      <c r="BB465" s="15" t="str">
        <f>IF(OR(Table2[[#This Row],[Gas wt%]]&lt;&gt;"",Table2[[#This Row],[Loss]]&lt;&gt;""),Table2[[#This Row],[Gas wt%]]+Table2[[#This Row],[Loss]],"")</f>
        <v/>
      </c>
      <c r="BC465" s="15"/>
      <c r="BD465" s="15"/>
      <c r="BE465" s="15"/>
      <c r="BF465" s="15"/>
      <c r="BG465" s="15"/>
      <c r="BH465" s="15"/>
      <c r="BI465" s="15">
        <v>76</v>
      </c>
      <c r="BJ465" s="15">
        <v>9.02</v>
      </c>
      <c r="BK465" s="15">
        <v>6.11</v>
      </c>
      <c r="BL465" s="15">
        <v>6.56</v>
      </c>
      <c r="BM465" s="15">
        <v>0.27400000000000002</v>
      </c>
      <c r="BN465" s="15">
        <v>37</v>
      </c>
      <c r="BO465" s="15"/>
      <c r="BP465" s="15"/>
      <c r="BQ465" s="15">
        <f>Table2[[#This Row],[H% B]]/Table2[[#This Row],[C% B]]*100</f>
        <v>11.868421052631579</v>
      </c>
      <c r="BR465" s="15"/>
      <c r="BS465" s="15"/>
      <c r="BT465" s="15"/>
      <c r="BU465" s="15"/>
      <c r="BV465" s="15"/>
      <c r="BW465" s="15"/>
      <c r="BX465" s="15"/>
      <c r="BY465" s="15"/>
      <c r="BZ465" s="15"/>
      <c r="CA465" s="15"/>
      <c r="CB465" s="15"/>
      <c r="CC465" s="15"/>
      <c r="CD465" s="15"/>
      <c r="CE465" s="15"/>
      <c r="CF465" s="15"/>
      <c r="CG465" s="15"/>
      <c r="CH465" s="15"/>
      <c r="CI465" s="15"/>
      <c r="CJ465" s="15"/>
      <c r="CK465" s="15"/>
      <c r="CL465" s="15"/>
      <c r="CM465" s="15"/>
      <c r="CN465" s="15"/>
      <c r="CO465" s="15"/>
      <c r="CP465" s="15"/>
      <c r="CQ465" s="15"/>
      <c r="CR465" s="15"/>
      <c r="CS465" s="15"/>
      <c r="CT465" s="15"/>
      <c r="CU465" s="15"/>
      <c r="CV465" s="15"/>
      <c r="CW465" s="15"/>
      <c r="CX465" s="15"/>
      <c r="CY465" s="15"/>
      <c r="CZ465" s="15"/>
      <c r="DA465" s="15"/>
      <c r="DB465" s="15">
        <v>0</v>
      </c>
    </row>
    <row r="466" spans="1:106" x14ac:dyDescent="0.25">
      <c r="A466" t="s">
        <v>433</v>
      </c>
      <c r="B466" t="s">
        <v>434</v>
      </c>
      <c r="C466">
        <v>2015</v>
      </c>
      <c r="D466" s="16" t="s">
        <v>436</v>
      </c>
      <c r="E466">
        <v>0</v>
      </c>
      <c r="F466" s="15">
        <v>26.699999999999996</v>
      </c>
      <c r="G466" s="15"/>
      <c r="H466" s="15"/>
      <c r="I466" s="15">
        <v>45.099999999999994</v>
      </c>
      <c r="J466" s="15">
        <v>17.299999999999997</v>
      </c>
      <c r="K466" s="15"/>
      <c r="L466" s="15">
        <f>IF(Table2[[#This Row],[Lipids wt%]]+Table2[[#This Row],[Protein wt%]]+Table2[[#This Row],[Carbs wt%]] =0,"",SUM(Table2[[#This Row],[Lipids wt%]],Table2[[#This Row],[Protein wt%]],Table2[[#This Row],[Carbs wt%]]))</f>
        <v>89.1</v>
      </c>
      <c r="M466" s="15">
        <v>10.9</v>
      </c>
      <c r="Z466" s="15">
        <v>46.6</v>
      </c>
      <c r="AA466" s="15">
        <v>7.01</v>
      </c>
      <c r="AB466" s="15">
        <v>28.9</v>
      </c>
      <c r="AC466" s="15">
        <v>7.21</v>
      </c>
      <c r="AD466" s="15">
        <v>0.47099999999999997</v>
      </c>
      <c r="AE466" s="15"/>
      <c r="AF466" s="15">
        <v>21.8</v>
      </c>
      <c r="AG466" s="15">
        <v>4.2000000000000003E-2</v>
      </c>
      <c r="AH466" s="15">
        <v>5</v>
      </c>
      <c r="AI466" s="15">
        <v>15</v>
      </c>
      <c r="AJ466" s="15">
        <v>25</v>
      </c>
      <c r="AL466">
        <v>3.3</v>
      </c>
      <c r="AM466" s="13">
        <f t="shared" si="3"/>
        <v>4.3099999999999999E-2</v>
      </c>
      <c r="AO466" s="15">
        <v>60</v>
      </c>
      <c r="AP466" s="15">
        <f>LN(25/Table2[[#This Row],[Temperature (C)]]/(1-SQRT((Table2[[#This Row],[Temperature (C)]]-5)/Table2[[#This Row],[Temperature (C)]])))/Table2[[#This Row],[b]]</f>
        <v>53.340936855794645</v>
      </c>
      <c r="AQ466" s="15">
        <f>IF(Table2[[#This Row],[b]]&lt;&gt;"",Table2[[#This Row],[T-5]], 0)</f>
        <v>53.340936855794645</v>
      </c>
      <c r="AR466">
        <f>Table2[[#This Row],[Temperature (C)]]/Table2[[#This Row],[Heating rate C/min]]+Table2[[#This Row],[Holding Time (min)]]</f>
        <v>166.06060606060606</v>
      </c>
      <c r="AT466" t="s">
        <v>503</v>
      </c>
      <c r="AU466">
        <v>350</v>
      </c>
      <c r="AV466" s="15">
        <v>8.125</v>
      </c>
      <c r="AW466" s="15">
        <v>29.659090909090899</v>
      </c>
      <c r="AX466" s="15"/>
      <c r="AY466" s="15"/>
      <c r="AZ466" s="15"/>
      <c r="BA466" s="15"/>
      <c r="BB466" s="15" t="str">
        <f>IF(OR(Table2[[#This Row],[Gas wt%]]&lt;&gt;"",Table2[[#This Row],[Loss]]&lt;&gt;""),Table2[[#This Row],[Gas wt%]]+Table2[[#This Row],[Loss]],"")</f>
        <v/>
      </c>
      <c r="BC466" s="15"/>
      <c r="BD466" s="15"/>
      <c r="BE466" s="15"/>
      <c r="BF466" s="15"/>
      <c r="BG466" s="15"/>
      <c r="BH466" s="15"/>
      <c r="BI466" s="15">
        <v>76.599999999999994</v>
      </c>
      <c r="BJ466" s="15">
        <v>8.9700000000000006</v>
      </c>
      <c r="BK466" s="15">
        <v>5.86</v>
      </c>
      <c r="BL466" s="15">
        <v>6.59</v>
      </c>
      <c r="BM466" s="15">
        <v>0.16</v>
      </c>
      <c r="BN466" s="15">
        <v>37.1</v>
      </c>
      <c r="BO466" s="15"/>
      <c r="BP466" s="15"/>
      <c r="BQ466" s="15">
        <f>Table2[[#This Row],[H% B]]/Table2[[#This Row],[C% B]]*100</f>
        <v>11.710182767624023</v>
      </c>
      <c r="BR466" s="15"/>
      <c r="BS466" s="15"/>
      <c r="BT466" s="15"/>
      <c r="BU466" s="15"/>
      <c r="BV466" s="15"/>
      <c r="BW466" s="15"/>
      <c r="BX466" s="15"/>
      <c r="BY466" s="15"/>
      <c r="BZ466" s="15"/>
      <c r="CA466" s="15"/>
      <c r="CB466" s="15"/>
      <c r="CC466" s="15"/>
      <c r="CD466" s="15"/>
      <c r="CE466" s="15"/>
      <c r="CF466" s="15"/>
      <c r="CG466" s="15"/>
      <c r="CH466" s="15"/>
      <c r="CI466" s="15"/>
      <c r="CJ466" s="15"/>
      <c r="CK466" s="15"/>
      <c r="CL466" s="15"/>
      <c r="CM466" s="15"/>
      <c r="CN466" s="15"/>
      <c r="CO466" s="15"/>
      <c r="CP466" s="15"/>
      <c r="CQ466" s="15"/>
      <c r="CR466" s="15"/>
      <c r="CS466" s="15"/>
      <c r="CT466" s="15"/>
      <c r="CU466" s="15"/>
      <c r="CV466" s="15"/>
      <c r="CW466" s="15"/>
      <c r="CX466" s="15"/>
      <c r="CY466" s="15"/>
      <c r="CZ466" s="15"/>
      <c r="DA466" s="15"/>
      <c r="DB466" s="15">
        <v>0</v>
      </c>
    </row>
    <row r="467" spans="1:106" x14ac:dyDescent="0.25">
      <c r="A467" t="s">
        <v>444</v>
      </c>
      <c r="B467" t="s">
        <v>445</v>
      </c>
      <c r="C467">
        <v>2020</v>
      </c>
      <c r="D467" s="16" t="s">
        <v>446</v>
      </c>
      <c r="E467">
        <v>0</v>
      </c>
      <c r="F467" s="15">
        <v>26.679649464459587</v>
      </c>
      <c r="G467" s="15"/>
      <c r="H467" s="15"/>
      <c r="I467" s="15">
        <v>38.656280428432325</v>
      </c>
      <c r="J467" s="15">
        <v>28.101265822784807</v>
      </c>
      <c r="K467" s="15"/>
      <c r="L467" s="15">
        <f>IF(Table2[[#This Row],[Lipids wt%]]+Table2[[#This Row],[Protein wt%]]+Table2[[#This Row],[Carbs wt%]] =0,"",SUM(Table2[[#This Row],[Lipids wt%]],Table2[[#This Row],[Protein wt%]],Table2[[#This Row],[Carbs wt%]]))</f>
        <v>93.437195715676722</v>
      </c>
      <c r="M467" s="15">
        <v>6.74</v>
      </c>
      <c r="P467">
        <v>4</v>
      </c>
      <c r="Q467">
        <v>15.26</v>
      </c>
      <c r="R467">
        <v>74</v>
      </c>
      <c r="Z467" s="15">
        <v>47.91</v>
      </c>
      <c r="AA467" s="15">
        <v>7.81</v>
      </c>
      <c r="AB467" s="15">
        <v>30.55</v>
      </c>
      <c r="AC467" s="15">
        <v>6.8</v>
      </c>
      <c r="AD467" s="15">
        <v>0.17</v>
      </c>
      <c r="AE467" s="15"/>
      <c r="AF467" s="15">
        <v>21.38</v>
      </c>
      <c r="AG467" s="15">
        <v>0.1</v>
      </c>
      <c r="AH467" s="15"/>
      <c r="AI467" s="15"/>
      <c r="AJ467" s="15">
        <v>10</v>
      </c>
      <c r="AK467">
        <v>6</v>
      </c>
      <c r="AL467">
        <v>5</v>
      </c>
      <c r="AM467" s="13">
        <v>6.5100000000000005E-2</v>
      </c>
      <c r="AO467" s="15">
        <f>Table2[[#This Row],[Temperature (C)]]/Table2[[#This Row],[Heating rate C/min]]-Table2[[#This Row],[Total time (min)]]</f>
        <v>25</v>
      </c>
      <c r="AP467" s="15">
        <f>LN(25/Table2[[#This Row],[Temperature (C)]]/(1-SQRT((Table2[[#This Row],[Temperature (C)]]-5)/Table2[[#This Row],[Temperature (C)]])))/Table2[[#This Row],[b]]</f>
        <v>35.299667125659106</v>
      </c>
      <c r="AQ467" s="15">
        <f>IF(Table2[[#This Row],[b]]&lt;&gt;"",Table2[[#This Row],[T-5]], 0)</f>
        <v>35.299667125659106</v>
      </c>
      <c r="AR467">
        <v>30</v>
      </c>
      <c r="AT467" t="s">
        <v>503</v>
      </c>
      <c r="AU467">
        <v>275</v>
      </c>
      <c r="AV467" s="15">
        <v>14.1939252336448</v>
      </c>
      <c r="AW467" s="15">
        <v>12.3014018691588</v>
      </c>
      <c r="AX467" s="15">
        <v>60.140186915887803</v>
      </c>
      <c r="AY467" s="15">
        <f>100-SUM(Table2[[#This Row],[Solids wt%]:[Aquous wt%]])</f>
        <v>13.364485981308604</v>
      </c>
      <c r="AZ467" s="15"/>
      <c r="BA467" s="15"/>
      <c r="BB467" s="15">
        <f>IF(OR(Table2[[#This Row],[Gas wt%]]&lt;&gt;"",Table2[[#This Row],[Loss]]&lt;&gt;""),Table2[[#This Row],[Gas wt%]]+Table2[[#This Row],[Loss]],"")</f>
        <v>13.364485981308604</v>
      </c>
      <c r="BC467" s="15"/>
      <c r="BD467" s="15"/>
      <c r="BE467" s="15"/>
      <c r="BF467" s="15"/>
      <c r="BG467" s="15"/>
      <c r="BH467" s="15"/>
      <c r="BI467" s="15"/>
      <c r="BJ467" s="15"/>
      <c r="BK467" s="15"/>
      <c r="BL467" s="15"/>
      <c r="BM467" s="15"/>
      <c r="BN467" s="15"/>
      <c r="BO467" s="15"/>
      <c r="BP467" s="15"/>
      <c r="BQ467" s="15"/>
      <c r="BR467" s="15"/>
      <c r="BS467" s="15"/>
      <c r="BT467" s="15"/>
      <c r="BU467" s="15"/>
      <c r="BV467" s="15"/>
      <c r="BW467" s="15"/>
      <c r="BX467" s="15"/>
      <c r="BY467" s="15"/>
      <c r="BZ467" s="15"/>
      <c r="CA467" s="15"/>
      <c r="CB467" s="15"/>
      <c r="CC467" s="15"/>
      <c r="CD467" s="15"/>
      <c r="CE467" s="15"/>
      <c r="CF467" s="15"/>
      <c r="CG467" s="15"/>
      <c r="CH467" s="15"/>
      <c r="CI467" s="15"/>
      <c r="CJ467" s="15"/>
      <c r="CK467" s="15"/>
      <c r="CL467" s="15"/>
      <c r="CM467" s="15"/>
      <c r="CN467" s="15"/>
      <c r="CO467" s="15"/>
      <c r="CP467" s="15"/>
      <c r="CQ467" s="15"/>
      <c r="CR467" s="15"/>
      <c r="CS467" s="15"/>
      <c r="CT467" s="15"/>
      <c r="CU467" s="15"/>
      <c r="CV467" s="15"/>
      <c r="CW467" s="15"/>
      <c r="CX467" s="15"/>
      <c r="CY467" s="15"/>
      <c r="CZ467" s="15"/>
      <c r="DA467" s="15"/>
      <c r="DB467" s="15">
        <v>0</v>
      </c>
    </row>
    <row r="468" spans="1:106" x14ac:dyDescent="0.25">
      <c r="A468" t="s">
        <v>444</v>
      </c>
      <c r="B468" t="s">
        <v>445</v>
      </c>
      <c r="C468">
        <v>2020</v>
      </c>
      <c r="D468" s="16" t="s">
        <v>446</v>
      </c>
      <c r="E468">
        <v>0</v>
      </c>
      <c r="F468" s="15">
        <v>26.679649464459587</v>
      </c>
      <c r="G468" s="15"/>
      <c r="H468" s="15"/>
      <c r="I468" s="15">
        <v>38.656280428432325</v>
      </c>
      <c r="J468" s="15">
        <v>28.101265822784807</v>
      </c>
      <c r="K468" s="15"/>
      <c r="L468" s="15">
        <f>IF(Table2[[#This Row],[Lipids wt%]]+Table2[[#This Row],[Protein wt%]]+Table2[[#This Row],[Carbs wt%]] =0,"",SUM(Table2[[#This Row],[Lipids wt%]],Table2[[#This Row],[Protein wt%]],Table2[[#This Row],[Carbs wt%]]))</f>
        <v>93.437195715676722</v>
      </c>
      <c r="M468" s="15">
        <v>6.74</v>
      </c>
      <c r="P468">
        <v>4</v>
      </c>
      <c r="Q468">
        <v>15.26</v>
      </c>
      <c r="R468">
        <v>74</v>
      </c>
      <c r="Z468" s="15">
        <v>47.91</v>
      </c>
      <c r="AA468" s="15">
        <v>7.81</v>
      </c>
      <c r="AB468" s="15">
        <v>30.55</v>
      </c>
      <c r="AC468" s="15">
        <v>6.8</v>
      </c>
      <c r="AD468" s="15">
        <v>0.17</v>
      </c>
      <c r="AE468" s="15"/>
      <c r="AF468" s="15">
        <v>21.38</v>
      </c>
      <c r="AG468" s="15">
        <v>0.1</v>
      </c>
      <c r="AH468" s="15"/>
      <c r="AI468" s="15"/>
      <c r="AJ468" s="15">
        <v>10</v>
      </c>
      <c r="AK468">
        <v>8.5</v>
      </c>
      <c r="AL468">
        <v>5</v>
      </c>
      <c r="AM468" s="13">
        <v>6.5100000000000005E-2</v>
      </c>
      <c r="AO468" s="15">
        <f>Table2[[#This Row],[Temperature (C)]]/Table2[[#This Row],[Heating rate C/min]]-Table2[[#This Row],[Total time (min)]]</f>
        <v>30</v>
      </c>
      <c r="AP468" s="15">
        <f>LN(25/Table2[[#This Row],[Temperature (C)]]/(1-SQRT((Table2[[#This Row],[Temperature (C)]]-5)/Table2[[#This Row],[Temperature (C)]])))/Table2[[#This Row],[b]]</f>
        <v>35.305562839704784</v>
      </c>
      <c r="AQ468" s="15">
        <f>IF(Table2[[#This Row],[b]]&lt;&gt;"",Table2[[#This Row],[T-5]], 0)</f>
        <v>35.305562839704784</v>
      </c>
      <c r="AR468">
        <v>30</v>
      </c>
      <c r="AT468" t="s">
        <v>503</v>
      </c>
      <c r="AU468">
        <v>300</v>
      </c>
      <c r="AV468" s="15">
        <v>11.880841121495299</v>
      </c>
      <c r="AW468" s="15">
        <v>25.128504672897101</v>
      </c>
      <c r="AX468" s="15">
        <v>50.257009345794302</v>
      </c>
      <c r="AY468" s="15">
        <f>100-SUM(Table2[[#This Row],[Solids wt%]:[Aquous wt%]])</f>
        <v>12.733644859813296</v>
      </c>
      <c r="AZ468" s="15"/>
      <c r="BA468" s="15"/>
      <c r="BB468" s="15">
        <f>IF(OR(Table2[[#This Row],[Gas wt%]]&lt;&gt;"",Table2[[#This Row],[Loss]]&lt;&gt;""),Table2[[#This Row],[Gas wt%]]+Table2[[#This Row],[Loss]],"")</f>
        <v>12.733644859813296</v>
      </c>
      <c r="BC468" s="15"/>
      <c r="BD468" s="15"/>
      <c r="BE468" s="15"/>
      <c r="BF468" s="15"/>
      <c r="BG468" s="15"/>
      <c r="BH468" s="15"/>
      <c r="BI468" s="15"/>
      <c r="BJ468" s="15"/>
      <c r="BK468" s="15"/>
      <c r="BL468" s="15"/>
      <c r="BM468" s="15"/>
      <c r="BN468" s="15"/>
      <c r="BO468" s="15"/>
      <c r="BP468" s="15"/>
      <c r="BQ468" s="15"/>
      <c r="BR468" s="15"/>
      <c r="BS468" s="15"/>
      <c r="BT468" s="15"/>
      <c r="BU468" s="15"/>
      <c r="BV468" s="15"/>
      <c r="BW468" s="15"/>
      <c r="BX468" s="15"/>
      <c r="BY468" s="15"/>
      <c r="BZ468" s="15"/>
      <c r="CA468" s="15"/>
      <c r="CB468" s="15"/>
      <c r="CC468" s="15"/>
      <c r="CD468" s="15"/>
      <c r="CE468" s="15"/>
      <c r="CF468" s="15"/>
      <c r="CG468" s="15"/>
      <c r="CH468" s="15"/>
      <c r="CI468" s="15"/>
      <c r="CJ468" s="15"/>
      <c r="CK468" s="15"/>
      <c r="CL468" s="15"/>
      <c r="CM468" s="15"/>
      <c r="CN468" s="15"/>
      <c r="CO468" s="15"/>
      <c r="CP468" s="15"/>
      <c r="CQ468" s="15"/>
      <c r="CR468" s="15"/>
      <c r="CS468" s="15"/>
      <c r="CT468" s="15"/>
      <c r="CU468" s="15"/>
      <c r="CV468" s="15"/>
      <c r="CW468" s="15"/>
      <c r="CX468" s="15"/>
      <c r="CY468" s="15"/>
      <c r="CZ468" s="15"/>
      <c r="DA468" s="15"/>
      <c r="DB468" s="15">
        <v>0</v>
      </c>
    </row>
    <row r="469" spans="1:106" x14ac:dyDescent="0.25">
      <c r="A469" t="s">
        <v>444</v>
      </c>
      <c r="B469" t="s">
        <v>445</v>
      </c>
      <c r="C469">
        <v>2020</v>
      </c>
      <c r="D469" s="16" t="s">
        <v>446</v>
      </c>
      <c r="E469">
        <v>0</v>
      </c>
      <c r="F469" s="15">
        <v>26.679649464459587</v>
      </c>
      <c r="G469" s="15"/>
      <c r="H469" s="15"/>
      <c r="I469" s="15">
        <v>38.656280428432325</v>
      </c>
      <c r="J469" s="15">
        <v>28.101265822784807</v>
      </c>
      <c r="K469" s="15"/>
      <c r="L469" s="15">
        <f>IF(Table2[[#This Row],[Lipids wt%]]+Table2[[#This Row],[Protein wt%]]+Table2[[#This Row],[Carbs wt%]] =0,"",SUM(Table2[[#This Row],[Lipids wt%]],Table2[[#This Row],[Protein wt%]],Table2[[#This Row],[Carbs wt%]]))</f>
        <v>93.437195715676722</v>
      </c>
      <c r="M469" s="15">
        <v>6.74</v>
      </c>
      <c r="P469">
        <v>4</v>
      </c>
      <c r="Q469">
        <v>15.26</v>
      </c>
      <c r="R469">
        <v>74</v>
      </c>
      <c r="Z469" s="15">
        <v>47.91</v>
      </c>
      <c r="AA469" s="15">
        <v>7.81</v>
      </c>
      <c r="AB469" s="15">
        <v>30.55</v>
      </c>
      <c r="AC469" s="15">
        <v>6.8</v>
      </c>
      <c r="AD469" s="15">
        <v>0.17</v>
      </c>
      <c r="AE469" s="15"/>
      <c r="AF469" s="15">
        <v>21.38</v>
      </c>
      <c r="AG469" s="15">
        <v>0.1</v>
      </c>
      <c r="AH469" s="15"/>
      <c r="AI469" s="15"/>
      <c r="AJ469" s="15">
        <v>10</v>
      </c>
      <c r="AK469">
        <v>12</v>
      </c>
      <c r="AL469">
        <v>5</v>
      </c>
      <c r="AM469" s="13">
        <v>6.5100000000000005E-2</v>
      </c>
      <c r="AO469" s="15">
        <f>Table2[[#This Row],[Temperature (C)]]/Table2[[#This Row],[Heating rate C/min]]-Table2[[#This Row],[Total time (min)]]</f>
        <v>35</v>
      </c>
      <c r="AP469" s="15">
        <f>LN(25/Table2[[#This Row],[Temperature (C)]]/(1-SQRT((Table2[[#This Row],[Temperature (C)]]-5)/Table2[[#This Row],[Temperature (C)]])))/Table2[[#This Row],[b]]</f>
        <v>35.310546209062927</v>
      </c>
      <c r="AQ469" s="15">
        <f>IF(Table2[[#This Row],[b]]&lt;&gt;"",Table2[[#This Row],[T-5]], 0)</f>
        <v>35.310546209062927</v>
      </c>
      <c r="AR469">
        <v>30</v>
      </c>
      <c r="AT469" t="s">
        <v>503</v>
      </c>
      <c r="AU469">
        <v>325</v>
      </c>
      <c r="AV469" s="15">
        <v>7.9906542056074699</v>
      </c>
      <c r="AW469" s="15">
        <v>33.119158878504599</v>
      </c>
      <c r="AX469" s="15">
        <v>45.105140186915797</v>
      </c>
      <c r="AY469" s="15">
        <f>100-SUM(Table2[[#This Row],[Solids wt%]:[Aquous wt%]])</f>
        <v>13.785046728972134</v>
      </c>
      <c r="AZ469" s="15"/>
      <c r="BA469" s="15"/>
      <c r="BB469" s="15">
        <f>IF(OR(Table2[[#This Row],[Gas wt%]]&lt;&gt;"",Table2[[#This Row],[Loss]]&lt;&gt;""),Table2[[#This Row],[Gas wt%]]+Table2[[#This Row],[Loss]],"")</f>
        <v>13.785046728972134</v>
      </c>
      <c r="BC469" s="15"/>
      <c r="BD469" s="15"/>
      <c r="BE469" s="15"/>
      <c r="BF469" s="15"/>
      <c r="BG469" s="15"/>
      <c r="BH469" s="15"/>
      <c r="BI469" s="15">
        <v>73.819999999999993</v>
      </c>
      <c r="BJ469" s="15">
        <v>9.01</v>
      </c>
      <c r="BK469" s="15">
        <v>10.94</v>
      </c>
      <c r="BL469" s="15">
        <v>5.8</v>
      </c>
      <c r="BM469" s="15">
        <v>0.43</v>
      </c>
      <c r="BN469" s="15">
        <v>35.840000000000003</v>
      </c>
      <c r="BO469" s="15">
        <v>57.6</v>
      </c>
      <c r="BP469" s="15"/>
      <c r="BQ469" s="15">
        <f>Table2[[#This Row],[H% B]]/Table2[[#This Row],[C% B]]*100</f>
        <v>12.205364399891629</v>
      </c>
      <c r="BR469" s="15"/>
      <c r="BS469" s="15"/>
      <c r="BT469" s="15"/>
      <c r="BU469" s="15"/>
      <c r="BV469" s="15"/>
      <c r="BW469" s="15"/>
      <c r="BX469" s="15"/>
      <c r="BY469" s="15"/>
      <c r="BZ469" s="15"/>
      <c r="CA469" s="15"/>
      <c r="CB469" s="15"/>
      <c r="CC469" s="15"/>
      <c r="CD469" s="15"/>
      <c r="CE469" s="15"/>
      <c r="CF469" s="15"/>
      <c r="CG469" s="15"/>
      <c r="CH469" s="15"/>
      <c r="CI469" s="15"/>
      <c r="CJ469" s="15"/>
      <c r="CK469" s="15"/>
      <c r="CL469" s="15"/>
      <c r="CM469" s="15"/>
      <c r="CN469" s="15"/>
      <c r="CO469" s="15"/>
      <c r="CP469" s="15"/>
      <c r="CQ469" s="15"/>
      <c r="CR469" s="15"/>
      <c r="CS469" s="15"/>
      <c r="CT469" s="15"/>
      <c r="CU469" s="15"/>
      <c r="CV469" s="15"/>
      <c r="CW469" s="15"/>
      <c r="CX469" s="15"/>
      <c r="CY469" s="15"/>
      <c r="CZ469" s="15"/>
      <c r="DA469" s="15"/>
      <c r="DB469" s="15">
        <v>0</v>
      </c>
    </row>
    <row r="470" spans="1:106" x14ac:dyDescent="0.25">
      <c r="A470" t="s">
        <v>444</v>
      </c>
      <c r="B470" t="s">
        <v>445</v>
      </c>
      <c r="C470">
        <v>2020</v>
      </c>
      <c r="D470" s="16" t="s">
        <v>446</v>
      </c>
      <c r="E470">
        <v>0</v>
      </c>
      <c r="F470" s="15">
        <v>26.679649464459587</v>
      </c>
      <c r="G470" s="15"/>
      <c r="H470" s="15"/>
      <c r="I470" s="15">
        <v>38.656280428432325</v>
      </c>
      <c r="J470" s="15">
        <v>28.101265822784807</v>
      </c>
      <c r="K470" s="15"/>
      <c r="L470" s="15">
        <f>IF(Table2[[#This Row],[Lipids wt%]]+Table2[[#This Row],[Protein wt%]]+Table2[[#This Row],[Carbs wt%]] =0,"",SUM(Table2[[#This Row],[Lipids wt%]],Table2[[#This Row],[Protein wt%]],Table2[[#This Row],[Carbs wt%]]))</f>
        <v>93.437195715676722</v>
      </c>
      <c r="M470" s="15">
        <v>6.74</v>
      </c>
      <c r="P470">
        <v>4</v>
      </c>
      <c r="Q470">
        <v>15.26</v>
      </c>
      <c r="R470">
        <v>74</v>
      </c>
      <c r="Z470" s="15">
        <v>47.91</v>
      </c>
      <c r="AA470" s="15">
        <v>7.81</v>
      </c>
      <c r="AB470" s="15">
        <v>30.55</v>
      </c>
      <c r="AC470" s="15">
        <v>6.8</v>
      </c>
      <c r="AD470" s="15">
        <v>0.17</v>
      </c>
      <c r="AE470" s="15"/>
      <c r="AF470" s="15">
        <v>21.38</v>
      </c>
      <c r="AG470" s="15">
        <v>0.1</v>
      </c>
      <c r="AH470" s="15"/>
      <c r="AI470" s="15"/>
      <c r="AJ470" s="15">
        <v>10</v>
      </c>
      <c r="AK470">
        <v>16.5</v>
      </c>
      <c r="AL470">
        <v>5</v>
      </c>
      <c r="AM470" s="13">
        <v>6.5100000000000005E-2</v>
      </c>
      <c r="AO470" s="15">
        <f>Table2[[#This Row],[Temperature (C)]]/Table2[[#This Row],[Heating rate C/min]]-Table2[[#This Row],[Total time (min)]]</f>
        <v>40</v>
      </c>
      <c r="AP470" s="15">
        <f>LN(25/Table2[[#This Row],[Temperature (C)]]/(1-SQRT((Table2[[#This Row],[Temperature (C)]]-5)/Table2[[#This Row],[Temperature (C)]])))/Table2[[#This Row],[b]]</f>
        <v>35.314813801609048</v>
      </c>
      <c r="AQ470" s="15">
        <f>IF(Table2[[#This Row],[b]]&lt;&gt;"",Table2[[#This Row],[T-5]], 0)</f>
        <v>35.314813801609048</v>
      </c>
      <c r="AR470">
        <v>30</v>
      </c>
      <c r="AT470" t="s">
        <v>503</v>
      </c>
      <c r="AU470">
        <v>350</v>
      </c>
      <c r="AV470" s="15">
        <v>8.5163551401868993</v>
      </c>
      <c r="AW470" s="15">
        <v>32.278037383177498</v>
      </c>
      <c r="AX470" s="15">
        <v>43.528037383177498</v>
      </c>
      <c r="AY470" s="15">
        <f>100-SUM(Table2[[#This Row],[Solids wt%]:[Aquous wt%]])</f>
        <v>15.677570093458115</v>
      </c>
      <c r="AZ470" s="15"/>
      <c r="BA470" s="15"/>
      <c r="BB470" s="15">
        <f>IF(OR(Table2[[#This Row],[Gas wt%]]&lt;&gt;"",Table2[[#This Row],[Loss]]&lt;&gt;""),Table2[[#This Row],[Gas wt%]]+Table2[[#This Row],[Loss]],"")</f>
        <v>15.677570093458115</v>
      </c>
      <c r="BC470" s="15"/>
      <c r="BD470" s="15"/>
      <c r="BE470" s="15"/>
      <c r="BF470" s="15"/>
      <c r="BG470" s="15"/>
      <c r="BH470" s="15"/>
      <c r="BI470" s="15"/>
      <c r="BJ470" s="15"/>
      <c r="BK470" s="15"/>
      <c r="BL470" s="15"/>
      <c r="BM470" s="15"/>
      <c r="BN470" s="15"/>
      <c r="BO470" s="15"/>
      <c r="BP470" s="15"/>
      <c r="BQ470" s="15"/>
      <c r="BR470" s="15"/>
      <c r="BS470" s="15"/>
      <c r="BT470" s="15"/>
      <c r="BU470" s="15"/>
      <c r="BV470" s="15"/>
      <c r="BW470" s="15"/>
      <c r="BX470" s="15"/>
      <c r="BY470" s="15"/>
      <c r="BZ470" s="15"/>
      <c r="CA470" s="15"/>
      <c r="CB470" s="15"/>
      <c r="CC470" s="15"/>
      <c r="CD470" s="15"/>
      <c r="CE470" s="15"/>
      <c r="CF470" s="15"/>
      <c r="CG470" s="15"/>
      <c r="CH470" s="15"/>
      <c r="CI470" s="15"/>
      <c r="CJ470" s="15"/>
      <c r="CK470" s="15"/>
      <c r="CL470" s="15"/>
      <c r="CM470" s="15"/>
      <c r="CN470" s="15"/>
      <c r="CO470" s="15"/>
      <c r="CP470" s="15"/>
      <c r="CQ470" s="15"/>
      <c r="CR470" s="15"/>
      <c r="CS470" s="15"/>
      <c r="CT470" s="15"/>
      <c r="CU470" s="15"/>
      <c r="CV470" s="15"/>
      <c r="CW470" s="15"/>
      <c r="CX470" s="15"/>
      <c r="CY470" s="15"/>
      <c r="CZ470" s="15"/>
      <c r="DA470" s="15"/>
      <c r="DB470" s="15">
        <v>0</v>
      </c>
    </row>
    <row r="471" spans="1:106" x14ac:dyDescent="0.25">
      <c r="A471" t="s">
        <v>447</v>
      </c>
      <c r="B471" t="s">
        <v>448</v>
      </c>
      <c r="C471">
        <v>2018</v>
      </c>
      <c r="D471" s="16" t="s">
        <v>449</v>
      </c>
      <c r="E471">
        <v>0</v>
      </c>
      <c r="F471" s="15">
        <v>8.2654249126891717</v>
      </c>
      <c r="G471" s="15"/>
      <c r="H471" s="15"/>
      <c r="I471" s="15">
        <v>70.663562281722932</v>
      </c>
      <c r="J471" s="15">
        <v>14.086146682188591</v>
      </c>
      <c r="K471" s="15"/>
      <c r="L471" s="15">
        <f>IF(Table2[[#This Row],[Lipids wt%]]+Table2[[#This Row],[Protein wt%]]+Table2[[#This Row],[Carbs wt%]] =0,"",SUM(Table2[[#This Row],[Lipids wt%]],Table2[[#This Row],[Protein wt%]],Table2[[#This Row],[Carbs wt%]]))</f>
        <v>93.0151338766007</v>
      </c>
      <c r="M471" s="15">
        <v>6</v>
      </c>
      <c r="Z471" s="15">
        <v>49.86</v>
      </c>
      <c r="AA471" s="15">
        <v>7.29</v>
      </c>
      <c r="AB471" s="15">
        <v>27.56</v>
      </c>
      <c r="AC471" s="15">
        <v>11.3</v>
      </c>
      <c r="AD471" s="15">
        <v>3.99</v>
      </c>
      <c r="AE471" s="15"/>
      <c r="AF471" s="15">
        <f>(33.5*Table2[[#This Row],[C%]]+142.3*Table2[[#This Row],[H%]]-15.4*Table2[[#This Row],[O%]]-14.5*Table2[[#This Row],[N%]])/100</f>
        <v>21.194030000000001</v>
      </c>
      <c r="AG471" s="15"/>
      <c r="AH471" s="15">
        <v>30</v>
      </c>
      <c r="AI471" s="15">
        <v>150</v>
      </c>
      <c r="AJ471" s="15">
        <f>Table2[[#This Row],[Solids (g)]]/(Table2[[#This Row],[Solids (g)]]+Table2[[#This Row],[Water mL]])*100</f>
        <v>16.666666666666664</v>
      </c>
      <c r="AK471">
        <v>36.1</v>
      </c>
      <c r="AM471" s="13"/>
      <c r="AN471">
        <v>120</v>
      </c>
      <c r="AO471" s="15">
        <v>60</v>
      </c>
      <c r="AP471" s="15" t="e">
        <f>LN(25/Table2[[#This Row],[Temperature (C)]]/(1-SQRT((Table2[[#This Row],[Temperature (C)]]-5)/Table2[[#This Row],[Temperature (C)]])))/Table2[[#This Row],[b]]</f>
        <v>#DIV/0!</v>
      </c>
      <c r="AQ471" s="15">
        <f>IF(Table2[[#This Row],[b]]&lt;&gt;"",Table2[[#This Row],[T-5]], 0)</f>
        <v>0</v>
      </c>
      <c r="AR471">
        <f>Table2[[#This Row],[Time to reach temp min]]+Table2[[#This Row],[Holding Time (min)]]</f>
        <v>180</v>
      </c>
      <c r="AT471" t="s">
        <v>503</v>
      </c>
      <c r="AU471">
        <v>240</v>
      </c>
      <c r="AV471" s="15"/>
      <c r="AW471" s="15">
        <v>12.4</v>
      </c>
      <c r="AX471" s="15"/>
      <c r="AY471" s="15"/>
      <c r="AZ471" s="15"/>
      <c r="BA471" s="15"/>
      <c r="BB471" s="15" t="str">
        <f>IF(OR(Table2[[#This Row],[Gas wt%]]&lt;&gt;"",Table2[[#This Row],[Loss]]&lt;&gt;""),Table2[[#This Row],[Gas wt%]]+Table2[[#This Row],[Loss]],"")</f>
        <v/>
      </c>
      <c r="BC471" s="15"/>
      <c r="BD471" s="15"/>
      <c r="BE471" s="15"/>
      <c r="BF471" s="15"/>
      <c r="BG471" s="15"/>
      <c r="BH471" s="15"/>
      <c r="BI471" s="15">
        <v>65.5</v>
      </c>
      <c r="BJ471" s="15">
        <v>6.1</v>
      </c>
      <c r="BK471" s="15">
        <v>22.3</v>
      </c>
      <c r="BL471" s="15">
        <v>3.5</v>
      </c>
      <c r="BM471" s="15">
        <v>2.6</v>
      </c>
      <c r="BN471" s="15">
        <f>(33.5*Table2[[#This Row],[C% B]]+142.3*Table2[[#This Row],[H% B]]-15.4*Table2[[#This Row],[O% B]]-14.5*Table2[[#This Row],[N% B]])/100</f>
        <v>26.681099999999997</v>
      </c>
      <c r="BO471" s="15"/>
      <c r="BP471" s="15"/>
      <c r="BQ471" s="15">
        <f>Table2[[#This Row],[H% B]]/Table2[[#This Row],[C% B]]*100</f>
        <v>9.3129770992366403</v>
      </c>
      <c r="BR471" s="15"/>
      <c r="BS471" s="15"/>
      <c r="BT471" s="15"/>
      <c r="BU471" s="15"/>
      <c r="BV471" s="15"/>
      <c r="BW471" s="15"/>
      <c r="BX471" s="15"/>
      <c r="BY471" s="15"/>
      <c r="BZ471" s="15"/>
      <c r="CA471" s="15"/>
      <c r="CB471" s="15"/>
      <c r="CC471" s="15"/>
      <c r="CD471" s="15"/>
      <c r="CE471" s="15"/>
      <c r="CF471" s="15"/>
      <c r="CG471" s="15"/>
      <c r="CH471" s="15"/>
      <c r="CI471" s="15"/>
      <c r="CJ471" s="15"/>
      <c r="CK471" s="15"/>
      <c r="CL471" s="15"/>
      <c r="CM471" s="15"/>
      <c r="CN471" s="15"/>
      <c r="CO471" s="15"/>
      <c r="CP471" s="15"/>
      <c r="CQ471" s="15"/>
      <c r="CR471" s="15"/>
      <c r="CS471" s="15"/>
      <c r="CT471" s="15"/>
      <c r="CU471" s="15"/>
      <c r="CV471" s="15"/>
      <c r="CW471" s="15"/>
      <c r="CX471" s="15"/>
      <c r="CY471" s="15"/>
      <c r="CZ471" s="15"/>
      <c r="DA471" s="15"/>
      <c r="DB471" s="15">
        <v>0</v>
      </c>
    </row>
    <row r="472" spans="1:106" x14ac:dyDescent="0.25">
      <c r="A472" t="s">
        <v>447</v>
      </c>
      <c r="B472" t="s">
        <v>448</v>
      </c>
      <c r="C472">
        <v>2018</v>
      </c>
      <c r="D472" s="16" t="s">
        <v>449</v>
      </c>
      <c r="E472">
        <v>0</v>
      </c>
      <c r="F472" s="15">
        <v>8.2654249126891717</v>
      </c>
      <c r="G472" s="15"/>
      <c r="H472" s="15"/>
      <c r="I472" s="15">
        <v>70.663562281722932</v>
      </c>
      <c r="J472" s="15">
        <v>14.086146682188591</v>
      </c>
      <c r="K472" s="15"/>
      <c r="L472" s="15">
        <f>IF(Table2[[#This Row],[Lipids wt%]]+Table2[[#This Row],[Protein wt%]]+Table2[[#This Row],[Carbs wt%]] =0,"",SUM(Table2[[#This Row],[Lipids wt%]],Table2[[#This Row],[Protein wt%]],Table2[[#This Row],[Carbs wt%]]))</f>
        <v>93.0151338766007</v>
      </c>
      <c r="M472" s="15">
        <v>6</v>
      </c>
      <c r="Z472" s="15">
        <v>49.86</v>
      </c>
      <c r="AA472" s="15">
        <v>7.29</v>
      </c>
      <c r="AB472" s="15">
        <v>27.56</v>
      </c>
      <c r="AC472" s="15">
        <v>11.3</v>
      </c>
      <c r="AD472" s="15">
        <v>3.99</v>
      </c>
      <c r="AE472" s="15"/>
      <c r="AF472" s="15">
        <f>(33.5*Table2[[#This Row],[C%]]+142.3*Table2[[#This Row],[H%]]-15.4*Table2[[#This Row],[O%]]-14.5*Table2[[#This Row],[N%]])/100</f>
        <v>21.194030000000001</v>
      </c>
      <c r="AG472" s="15"/>
      <c r="AH472" s="15">
        <v>30</v>
      </c>
      <c r="AI472" s="15">
        <v>150</v>
      </c>
      <c r="AJ472" s="15">
        <f>Table2[[#This Row],[Solids (g)]]/(Table2[[#This Row],[Solids (g)]]+Table2[[#This Row],[Water mL]])*100</f>
        <v>16.666666666666664</v>
      </c>
      <c r="AK472">
        <v>75</v>
      </c>
      <c r="AM472" s="13"/>
      <c r="AN472">
        <v>120</v>
      </c>
      <c r="AO472" s="15">
        <v>60</v>
      </c>
      <c r="AP472" s="15" t="e">
        <f>LN(25/Table2[[#This Row],[Temperature (C)]]/(1-SQRT((Table2[[#This Row],[Temperature (C)]]-5)/Table2[[#This Row],[Temperature (C)]])))/Table2[[#This Row],[b]]</f>
        <v>#DIV/0!</v>
      </c>
      <c r="AQ472" s="15">
        <f>IF(Table2[[#This Row],[b]]&lt;&gt;"",Table2[[#This Row],[T-5]], 0)</f>
        <v>0</v>
      </c>
      <c r="AR472">
        <f>Table2[[#This Row],[Time to reach temp min]]+Table2[[#This Row],[Holding Time (min)]]</f>
        <v>180</v>
      </c>
      <c r="AT472" t="s">
        <v>503</v>
      </c>
      <c r="AU472">
        <v>280</v>
      </c>
      <c r="AV472" s="15"/>
      <c r="AW472" s="15">
        <v>26.5</v>
      </c>
      <c r="AX472" s="15"/>
      <c r="AY472" s="15"/>
      <c r="AZ472" s="15"/>
      <c r="BA472" s="15"/>
      <c r="BB472" s="15" t="str">
        <f>IF(OR(Table2[[#This Row],[Gas wt%]]&lt;&gt;"",Table2[[#This Row],[Loss]]&lt;&gt;""),Table2[[#This Row],[Gas wt%]]+Table2[[#This Row],[Loss]],"")</f>
        <v/>
      </c>
      <c r="BC472" s="15"/>
      <c r="BD472" s="15"/>
      <c r="BE472" s="15"/>
      <c r="BF472" s="15"/>
      <c r="BG472" s="15"/>
      <c r="BH472" s="15"/>
      <c r="BI472" s="15">
        <v>69.099999999999994</v>
      </c>
      <c r="BJ472" s="15">
        <v>6</v>
      </c>
      <c r="BK472" s="15">
        <v>18</v>
      </c>
      <c r="BL472" s="15">
        <v>4.0999999999999996</v>
      </c>
      <c r="BM472" s="15">
        <v>2.8</v>
      </c>
      <c r="BN472" s="15">
        <f>(33.5*Table2[[#This Row],[C% B]]+142.3*Table2[[#This Row],[H% B]]-15.4*Table2[[#This Row],[O% B]]-14.5*Table2[[#This Row],[N% B]])/100</f>
        <v>28.320000000000004</v>
      </c>
      <c r="BO472" s="15"/>
      <c r="BP472" s="15"/>
      <c r="BQ472" s="15">
        <f>Table2[[#This Row],[H% B]]/Table2[[#This Row],[C% B]]*100</f>
        <v>8.6830680173661374</v>
      </c>
      <c r="BR472" s="15"/>
      <c r="BS472" s="15"/>
      <c r="BT472" s="15"/>
      <c r="BU472" s="15"/>
      <c r="BV472" s="15"/>
      <c r="BW472" s="15"/>
      <c r="BX472" s="15"/>
      <c r="BY472" s="15"/>
      <c r="BZ472" s="15"/>
      <c r="CA472" s="15"/>
      <c r="CB472" s="15"/>
      <c r="CC472" s="15"/>
      <c r="CD472" s="15"/>
      <c r="CE472" s="15"/>
      <c r="CF472" s="15"/>
      <c r="CG472" s="15"/>
      <c r="CH472" s="15"/>
      <c r="CI472" s="15"/>
      <c r="CJ472" s="15"/>
      <c r="CK472" s="15"/>
      <c r="CL472" s="15"/>
      <c r="CM472" s="15"/>
      <c r="CN472" s="15"/>
      <c r="CO472" s="15"/>
      <c r="CP472" s="15"/>
      <c r="CQ472" s="15"/>
      <c r="CR472" s="15"/>
      <c r="CS472" s="15"/>
      <c r="CT472" s="15"/>
      <c r="CU472" s="15"/>
      <c r="CV472" s="15"/>
      <c r="CW472" s="15"/>
      <c r="CX472" s="15"/>
      <c r="CY472" s="15"/>
      <c r="CZ472" s="15"/>
      <c r="DA472" s="15"/>
      <c r="DB472" s="15">
        <v>0</v>
      </c>
    </row>
    <row r="473" spans="1:106" x14ac:dyDescent="0.25">
      <c r="A473" t="s">
        <v>447</v>
      </c>
      <c r="B473" t="s">
        <v>448</v>
      </c>
      <c r="C473">
        <v>2018</v>
      </c>
      <c r="D473" s="16" t="s">
        <v>449</v>
      </c>
      <c r="E473">
        <v>0</v>
      </c>
      <c r="F473" s="15">
        <v>8.2654249126891717</v>
      </c>
      <c r="G473" s="15"/>
      <c r="H473" s="15"/>
      <c r="I473" s="15">
        <v>70.663562281722932</v>
      </c>
      <c r="J473" s="15">
        <v>14.086146682188591</v>
      </c>
      <c r="K473" s="15"/>
      <c r="L473" s="15">
        <f>IF(Table2[[#This Row],[Lipids wt%]]+Table2[[#This Row],[Protein wt%]]+Table2[[#This Row],[Carbs wt%]] =0,"",SUM(Table2[[#This Row],[Lipids wt%]],Table2[[#This Row],[Protein wt%]],Table2[[#This Row],[Carbs wt%]]))</f>
        <v>93.0151338766007</v>
      </c>
      <c r="M473" s="15">
        <v>6</v>
      </c>
      <c r="Z473" s="15">
        <v>49.86</v>
      </c>
      <c r="AA473" s="15">
        <v>7.29</v>
      </c>
      <c r="AB473" s="15">
        <v>27.56</v>
      </c>
      <c r="AC473" s="15">
        <v>11.3</v>
      </c>
      <c r="AD473" s="15">
        <v>3.99</v>
      </c>
      <c r="AE473" s="15"/>
      <c r="AF473" s="15">
        <f>(33.5*Table2[[#This Row],[C%]]+142.3*Table2[[#This Row],[H%]]-15.4*Table2[[#This Row],[O%]]-14.5*Table2[[#This Row],[N%]])/100</f>
        <v>21.194030000000001</v>
      </c>
      <c r="AG473" s="15"/>
      <c r="AH473" s="15">
        <v>30</v>
      </c>
      <c r="AI473" s="15">
        <v>150</v>
      </c>
      <c r="AJ473" s="15">
        <f>Table2[[#This Row],[Solids (g)]]/(Table2[[#This Row],[Solids (g)]]+Table2[[#This Row],[Water mL]])*100</f>
        <v>16.666666666666664</v>
      </c>
      <c r="AK473">
        <v>135.30000000000001</v>
      </c>
      <c r="AM473" s="13"/>
      <c r="AN473">
        <v>120</v>
      </c>
      <c r="AO473" s="15">
        <v>60</v>
      </c>
      <c r="AP473" s="15" t="e">
        <f>LN(25/Table2[[#This Row],[Temperature (C)]]/(1-SQRT((Table2[[#This Row],[Temperature (C)]]-5)/Table2[[#This Row],[Temperature (C)]])))/Table2[[#This Row],[b]]</f>
        <v>#DIV/0!</v>
      </c>
      <c r="AQ473" s="15">
        <f>IF(Table2[[#This Row],[b]]&lt;&gt;"",Table2[[#This Row],[T-5]], 0)</f>
        <v>0</v>
      </c>
      <c r="AR473">
        <f>Table2[[#This Row],[Time to reach temp min]]+Table2[[#This Row],[Holding Time (min)]]</f>
        <v>180</v>
      </c>
      <c r="AT473" t="s">
        <v>503</v>
      </c>
      <c r="AU473">
        <v>330</v>
      </c>
      <c r="AV473" s="15"/>
      <c r="AW473" s="15">
        <v>37.200000000000003</v>
      </c>
      <c r="AX473" s="15"/>
      <c r="AY473" s="15"/>
      <c r="AZ473" s="15"/>
      <c r="BA473" s="15"/>
      <c r="BB473" s="15" t="str">
        <f>IF(OR(Table2[[#This Row],[Gas wt%]]&lt;&gt;"",Table2[[#This Row],[Loss]]&lt;&gt;""),Table2[[#This Row],[Gas wt%]]+Table2[[#This Row],[Loss]],"")</f>
        <v/>
      </c>
      <c r="BC473" s="15"/>
      <c r="BD473" s="15"/>
      <c r="BE473" s="15"/>
      <c r="BF473" s="15"/>
      <c r="BG473" s="15"/>
      <c r="BH473" s="15"/>
      <c r="BI473" s="15">
        <v>73.7</v>
      </c>
      <c r="BJ473" s="15">
        <v>6</v>
      </c>
      <c r="BK473" s="15">
        <v>11.1</v>
      </c>
      <c r="BL473" s="15">
        <v>6.2</v>
      </c>
      <c r="BM473" s="15">
        <v>3</v>
      </c>
      <c r="BN473" s="15">
        <f>(33.5*Table2[[#This Row],[C% B]]+142.3*Table2[[#This Row],[H% B]]-15.4*Table2[[#This Row],[O% B]]-14.5*Table2[[#This Row],[N% B]])/100</f>
        <v>30.619100000000003</v>
      </c>
      <c r="BO473" s="15"/>
      <c r="BP473" s="15"/>
      <c r="BQ473" s="15">
        <f>Table2[[#This Row],[H% B]]/Table2[[#This Row],[C% B]]*100</f>
        <v>8.1411126187245575</v>
      </c>
      <c r="BR473" s="15"/>
      <c r="BS473" s="15"/>
      <c r="BT473" s="15"/>
      <c r="BU473" s="15"/>
      <c r="BV473" s="15"/>
      <c r="BW473" s="15"/>
      <c r="BX473" s="15"/>
      <c r="BY473" s="15"/>
      <c r="BZ473" s="15"/>
      <c r="CA473" s="15"/>
      <c r="CB473" s="15"/>
      <c r="CC473" s="15"/>
      <c r="CD473" s="15"/>
      <c r="CE473" s="15"/>
      <c r="CF473" s="15"/>
      <c r="CG473" s="15"/>
      <c r="CH473" s="15"/>
      <c r="CI473" s="15"/>
      <c r="CJ473" s="15"/>
      <c r="CK473" s="15"/>
      <c r="CL473" s="15"/>
      <c r="CM473" s="15"/>
      <c r="CN473" s="15"/>
      <c r="CO473" s="15"/>
      <c r="CP473" s="15"/>
      <c r="CQ473" s="15"/>
      <c r="CR473" s="15"/>
      <c r="CS473" s="15"/>
      <c r="CT473" s="15"/>
      <c r="CU473" s="15"/>
      <c r="CV473" s="15"/>
      <c r="CW473" s="15"/>
      <c r="CX473" s="15"/>
      <c r="CY473" s="15"/>
      <c r="CZ473" s="15"/>
      <c r="DA473" s="15"/>
      <c r="DB473" s="15">
        <v>0</v>
      </c>
    </row>
    <row r="474" spans="1:106" x14ac:dyDescent="0.25">
      <c r="A474" t="s">
        <v>450</v>
      </c>
      <c r="B474" t="s">
        <v>451</v>
      </c>
      <c r="C474">
        <v>2019</v>
      </c>
      <c r="D474" s="16" t="s">
        <v>452</v>
      </c>
      <c r="E474">
        <v>0</v>
      </c>
      <c r="F474" s="15">
        <v>31.240702171972561</v>
      </c>
      <c r="G474" s="15"/>
      <c r="H474" s="15"/>
      <c r="I474" s="15">
        <v>27.67033620946146</v>
      </c>
      <c r="J474" s="15">
        <v>8.9259149062779155</v>
      </c>
      <c r="K474" s="15"/>
      <c r="L474" s="15">
        <f>IF(Table2[[#This Row],[Lipids wt%]]+Table2[[#This Row],[Protein wt%]]+Table2[[#This Row],[Carbs wt%]] =0,"",SUM(Table2[[#This Row],[Lipids wt%]],Table2[[#This Row],[Protein wt%]],Table2[[#This Row],[Carbs wt%]]))</f>
        <v>67.836953287711935</v>
      </c>
      <c r="M474" s="15">
        <v>30.069541029207301</v>
      </c>
      <c r="Z474" s="15">
        <v>32.33</v>
      </c>
      <c r="AA474" s="15">
        <v>5.67</v>
      </c>
      <c r="AB474" s="15">
        <v>28.79</v>
      </c>
      <c r="AC474" s="15">
        <v>3.41</v>
      </c>
      <c r="AD474" s="15"/>
      <c r="AE474" s="15"/>
      <c r="AF474" s="15">
        <v>13.87</v>
      </c>
      <c r="AG474" s="15">
        <v>0.5</v>
      </c>
      <c r="AH474" s="15">
        <v>45</v>
      </c>
      <c r="AI474" s="15">
        <v>255</v>
      </c>
      <c r="AJ474" s="15">
        <f>Table2[[#This Row],[Solids (g)]]/(Table2[[#This Row],[Solids (g)]]+Table2[[#This Row],[Water mL]])*100</f>
        <v>15</v>
      </c>
      <c r="AL474">
        <v>14</v>
      </c>
      <c r="AM474" s="13">
        <v>0.17899999999999999</v>
      </c>
      <c r="AO474" s="15"/>
      <c r="AP474" s="15">
        <f>LN(25/Table2[[#This Row],[Temperature (C)]]/(1-SQRT((Table2[[#This Row],[Temperature (C)]]-5)/Table2[[#This Row],[Temperature (C)]])))/Table2[[#This Row],[b]]</f>
        <v>12.841991945307244</v>
      </c>
      <c r="AQ474" s="15">
        <f>IF(Table2[[#This Row],[b]]&lt;&gt;"",Table2[[#This Row],[T-5]], 0)</f>
        <v>12.841991945307244</v>
      </c>
      <c r="AR474">
        <v>30</v>
      </c>
      <c r="AT474" t="s">
        <v>503</v>
      </c>
      <c r="AU474">
        <v>325</v>
      </c>
      <c r="AV474" s="15">
        <v>18.03</v>
      </c>
      <c r="AW474" s="15">
        <v>34.799999999999997</v>
      </c>
      <c r="AX474" s="15"/>
      <c r="AY474" s="15"/>
      <c r="AZ474" s="15"/>
      <c r="BA474" s="15"/>
      <c r="BB474" s="15" t="str">
        <f>IF(OR(Table2[[#This Row],[Gas wt%]]&lt;&gt;"",Table2[[#This Row],[Loss]]&lt;&gt;""),Table2[[#This Row],[Gas wt%]]+Table2[[#This Row],[Loss]],"")</f>
        <v/>
      </c>
      <c r="BC474" s="15"/>
      <c r="BD474" s="15"/>
      <c r="BE474" s="15"/>
      <c r="BF474" s="15"/>
      <c r="BG474" s="15"/>
      <c r="BH474" s="15"/>
      <c r="BI474" s="15">
        <v>72.400000000000006</v>
      </c>
      <c r="BJ474" s="15">
        <v>7.74</v>
      </c>
      <c r="BK474" s="15">
        <v>15.51</v>
      </c>
      <c r="BL474" s="15">
        <v>4.05</v>
      </c>
      <c r="BM474" s="15"/>
      <c r="BN474" s="15">
        <f>(33.5*Table2[[#This Row],[C% B]]+142.3*Table2[[#This Row],[H% B]]-15.4*Table2[[#This Row],[O% B]]-14.5*Table2[[#This Row],[N% B]])/100</f>
        <v>32.292230000000004</v>
      </c>
      <c r="BO474" s="15">
        <v>32.799999999999997</v>
      </c>
      <c r="BP474" s="15">
        <v>0.11</v>
      </c>
      <c r="BQ474" s="15">
        <f>Table2[[#This Row],[H% B]]/Table2[[#This Row],[C% B]]*100</f>
        <v>10.690607734806628</v>
      </c>
      <c r="BR474" s="15"/>
      <c r="BS474" s="15"/>
      <c r="BT474" s="15"/>
      <c r="BU474" s="15"/>
      <c r="BV474" s="15"/>
      <c r="BW474" s="15"/>
      <c r="BX474" s="15"/>
      <c r="BY474" s="15"/>
      <c r="BZ474" s="15"/>
      <c r="CA474" s="15"/>
      <c r="CB474" s="15"/>
      <c r="CC474" s="15"/>
      <c r="CD474" s="15"/>
      <c r="CE474" s="15"/>
      <c r="CF474" s="15"/>
      <c r="CG474" s="15"/>
      <c r="CH474" s="15"/>
      <c r="CI474" s="15"/>
      <c r="CJ474" s="15"/>
      <c r="CK474" s="15"/>
      <c r="CL474" s="15"/>
      <c r="CM474" s="15"/>
      <c r="CN474" s="15"/>
      <c r="CO474" s="15"/>
      <c r="CP474" s="15"/>
      <c r="CQ474" s="15"/>
      <c r="CR474" s="15"/>
      <c r="CS474" s="15">
        <v>12406</v>
      </c>
      <c r="CT474" s="15">
        <v>2520</v>
      </c>
      <c r="CU474" s="15">
        <v>692</v>
      </c>
      <c r="CV474" s="15"/>
      <c r="CW474" s="15"/>
      <c r="CX474" s="15"/>
      <c r="CY474" s="15"/>
      <c r="CZ474" s="15"/>
      <c r="DA474" s="15"/>
      <c r="DB474" s="15">
        <v>0</v>
      </c>
    </row>
    <row r="475" spans="1:106" x14ac:dyDescent="0.25">
      <c r="A475" t="s">
        <v>450</v>
      </c>
      <c r="B475" t="s">
        <v>451</v>
      </c>
      <c r="C475">
        <v>2019</v>
      </c>
      <c r="D475" s="16" t="s">
        <v>453</v>
      </c>
      <c r="E475">
        <v>0</v>
      </c>
      <c r="F475" s="15">
        <v>31.932264892651919</v>
      </c>
      <c r="G475" s="15"/>
      <c r="H475" s="15"/>
      <c r="I475" s="15">
        <v>31.025098276383488</v>
      </c>
      <c r="J475" s="15">
        <v>18.86906561838515</v>
      </c>
      <c r="K475" s="15"/>
      <c r="L475" s="15">
        <f>IF(Table2[[#This Row],[Lipids wt%]]+Table2[[#This Row],[Protein wt%]]+Table2[[#This Row],[Carbs wt%]] =0,"",SUM(Table2[[#This Row],[Lipids wt%]],Table2[[#This Row],[Protein wt%]],Table2[[#This Row],[Carbs wt%]]))</f>
        <v>81.826428787420554</v>
      </c>
      <c r="M475" s="15">
        <v>16.717663421418706</v>
      </c>
      <c r="Z475" s="15">
        <v>44.02</v>
      </c>
      <c r="AA475" s="15">
        <v>5.63</v>
      </c>
      <c r="AB475" s="15">
        <v>30.87</v>
      </c>
      <c r="AC475" s="15">
        <v>2.9</v>
      </c>
      <c r="AD475" s="15"/>
      <c r="AE475" s="15"/>
      <c r="AF475" s="15">
        <v>17.41</v>
      </c>
      <c r="AG475" s="15">
        <v>0.5</v>
      </c>
      <c r="AH475" s="15">
        <v>45</v>
      </c>
      <c r="AI475" s="15">
        <v>255</v>
      </c>
      <c r="AJ475" s="15">
        <f>Table2[[#This Row],[Solids (g)]]/(Table2[[#This Row],[Solids (g)]]+Table2[[#This Row],[Water mL]])*100</f>
        <v>15</v>
      </c>
      <c r="AL475">
        <v>14</v>
      </c>
      <c r="AM475" s="13">
        <v>0.17899999999999999</v>
      </c>
      <c r="AO475" s="15"/>
      <c r="AP475" s="15">
        <f>LN(25/Table2[[#This Row],[Temperature (C)]]/(1-SQRT((Table2[[#This Row],[Temperature (C)]]-5)/Table2[[#This Row],[Temperature (C)]])))/Table2[[#This Row],[b]]</f>
        <v>12.841991945307244</v>
      </c>
      <c r="AQ475" s="15">
        <f>IF(Table2[[#This Row],[b]]&lt;&gt;"",Table2[[#This Row],[T-5]], 0)</f>
        <v>12.841991945307244</v>
      </c>
      <c r="AR475">
        <v>30</v>
      </c>
      <c r="AT475" t="s">
        <v>503</v>
      </c>
      <c r="AU475">
        <v>325</v>
      </c>
      <c r="AV475" s="15">
        <v>12.15</v>
      </c>
      <c r="AW475" s="15">
        <v>39.6</v>
      </c>
      <c r="AX475" s="15"/>
      <c r="AY475" s="15"/>
      <c r="AZ475" s="15"/>
      <c r="BA475" s="15"/>
      <c r="BB475" s="15" t="str">
        <f>IF(OR(Table2[[#This Row],[Gas wt%]]&lt;&gt;"",Table2[[#This Row],[Loss]]&lt;&gt;""),Table2[[#This Row],[Gas wt%]]+Table2[[#This Row],[Loss]],"")</f>
        <v/>
      </c>
      <c r="BC475" s="15"/>
      <c r="BD475" s="15"/>
      <c r="BE475" s="15"/>
      <c r="BF475" s="15"/>
      <c r="BG475" s="15"/>
      <c r="BH475" s="15"/>
      <c r="BI475" s="15">
        <v>73.599999999999994</v>
      </c>
      <c r="BJ475" s="15">
        <v>7.69</v>
      </c>
      <c r="BK475" s="15">
        <v>14.02</v>
      </c>
      <c r="BL475" s="15">
        <v>4.41</v>
      </c>
      <c r="BM475" s="15"/>
      <c r="BN475" s="15">
        <f>(33.5*Table2[[#This Row],[C% B]]+142.3*Table2[[#This Row],[H% B]]-15.4*Table2[[#This Row],[O% B]]-14.5*Table2[[#This Row],[N% B]])/100</f>
        <v>32.800339999999998</v>
      </c>
      <c r="BO475" s="15">
        <v>33.4</v>
      </c>
      <c r="BP475" s="15">
        <v>0.18</v>
      </c>
      <c r="BQ475" s="15">
        <f>Table2[[#This Row],[H% B]]/Table2[[#This Row],[C% B]]*100</f>
        <v>10.448369565217392</v>
      </c>
      <c r="BR475" s="15"/>
      <c r="BS475" s="15"/>
      <c r="BT475" s="15"/>
      <c r="BU475" s="15"/>
      <c r="BV475" s="15"/>
      <c r="BW475" s="15"/>
      <c r="BX475" s="15"/>
      <c r="BY475" s="15"/>
      <c r="BZ475" s="15"/>
      <c r="CA475" s="15"/>
      <c r="CB475" s="15"/>
      <c r="CC475" s="15"/>
      <c r="CD475" s="15"/>
      <c r="CE475" s="15"/>
      <c r="CF475" s="15"/>
      <c r="CG475" s="15"/>
      <c r="CH475" s="15"/>
      <c r="CI475" s="15"/>
      <c r="CJ475" s="15"/>
      <c r="CK475" s="15"/>
      <c r="CL475" s="15"/>
      <c r="CM475" s="15"/>
      <c r="CN475" s="15"/>
      <c r="CO475" s="15"/>
      <c r="CP475" s="15"/>
      <c r="CQ475" s="15"/>
      <c r="CR475" s="15"/>
      <c r="CS475" s="15">
        <v>13914</v>
      </c>
      <c r="CT475" s="15">
        <v>3841</v>
      </c>
      <c r="CU475" s="15">
        <v>743</v>
      </c>
      <c r="CV475" s="15"/>
      <c r="CW475" s="15"/>
      <c r="CX475" s="15"/>
      <c r="CY475" s="15"/>
      <c r="CZ475" s="15"/>
      <c r="DA475" s="15"/>
      <c r="DB475" s="15">
        <v>0</v>
      </c>
    </row>
    <row r="476" spans="1:106" x14ac:dyDescent="0.25">
      <c r="A476" t="s">
        <v>461</v>
      </c>
      <c r="B476" t="s">
        <v>152</v>
      </c>
      <c r="C476">
        <v>2015</v>
      </c>
      <c r="D476" s="16" t="s">
        <v>462</v>
      </c>
      <c r="E476">
        <v>0</v>
      </c>
      <c r="F476" s="15">
        <v>33.579335793357927</v>
      </c>
      <c r="G476" s="15"/>
      <c r="H476" s="15"/>
      <c r="I476" s="15">
        <v>42.250922509225092</v>
      </c>
      <c r="J476" s="15">
        <v>13.376383763837637</v>
      </c>
      <c r="K476" s="15"/>
      <c r="L476" s="15">
        <f>IF(Table2[[#This Row],[Lipids wt%]]+Table2[[#This Row],[Protein wt%]]+Table2[[#This Row],[Carbs wt%]] =0,"",SUM(Table2[[#This Row],[Lipids wt%]],Table2[[#This Row],[Protein wt%]],Table2[[#This Row],[Carbs wt%]]))</f>
        <v>89.206642066420656</v>
      </c>
      <c r="M476" s="15">
        <v>11.7</v>
      </c>
      <c r="P476">
        <v>4.4000000000000004</v>
      </c>
      <c r="Z476" s="15">
        <v>56.2</v>
      </c>
      <c r="AA476" s="15">
        <v>6.9</v>
      </c>
      <c r="AB476" s="15">
        <v>28.7</v>
      </c>
      <c r="AC476" s="15">
        <v>7.7</v>
      </c>
      <c r="AD476" s="15">
        <v>0.6</v>
      </c>
      <c r="AE476" s="15"/>
      <c r="AF476" s="15">
        <v>19.899999999999999</v>
      </c>
      <c r="AG476" s="15">
        <v>9.8000000000000004E-2</v>
      </c>
      <c r="AH476" s="15"/>
      <c r="AI476" s="15"/>
      <c r="AJ476" s="15">
        <v>10</v>
      </c>
      <c r="AM476" s="13"/>
      <c r="AN476">
        <v>1.4</v>
      </c>
      <c r="AO476" s="15"/>
      <c r="AP476" s="15" t="e">
        <f>LN(25/Table2[[#This Row],[Temperature (C)]]/(1-SQRT((Table2[[#This Row],[Temperature (C)]]-5)/Table2[[#This Row],[Temperature (C)]])))/Table2[[#This Row],[b]]</f>
        <v>#DIV/0!</v>
      </c>
      <c r="AQ476" s="15">
        <f>IF(Table2[[#This Row],[b]]&lt;&gt;"",Table2[[#This Row],[T-5]], 0)</f>
        <v>0</v>
      </c>
      <c r="AR476">
        <v>5.8</v>
      </c>
      <c r="AS476">
        <v>10</v>
      </c>
      <c r="AT476" t="s">
        <v>503</v>
      </c>
      <c r="AU476">
        <v>350</v>
      </c>
      <c r="AV476" s="15"/>
      <c r="AW476" s="15"/>
      <c r="AX476" s="15"/>
      <c r="AY476" s="15"/>
      <c r="AZ476" s="15"/>
      <c r="BA476" s="15"/>
      <c r="BB476" s="15" t="str">
        <f>IF(OR(Table2[[#This Row],[Gas wt%]]&lt;&gt;"",Table2[[#This Row],[Loss]]&lt;&gt;""),Table2[[#This Row],[Gas wt%]]+Table2[[#This Row],[Loss]],"")</f>
        <v/>
      </c>
      <c r="BC476" s="15">
        <v>39.700000000000003</v>
      </c>
      <c r="BD476" s="15"/>
      <c r="BE476" s="15"/>
      <c r="BF476" s="15"/>
      <c r="BG476" s="15"/>
      <c r="BH476" s="15"/>
      <c r="BI476" s="15">
        <v>72.8</v>
      </c>
      <c r="BJ476" s="15">
        <v>9.4</v>
      </c>
      <c r="BK476" s="15">
        <v>11.1</v>
      </c>
      <c r="BL476" s="15">
        <v>6</v>
      </c>
      <c r="BM476" s="15">
        <v>0.8</v>
      </c>
      <c r="BN476" s="15">
        <v>36.1</v>
      </c>
      <c r="BO476" s="15">
        <v>55.8</v>
      </c>
      <c r="BP476" s="15"/>
      <c r="BQ476" s="15">
        <f>Table2[[#This Row],[H% B]]/Table2[[#This Row],[C% B]]*100</f>
        <v>12.912087912087914</v>
      </c>
      <c r="BR476" s="15"/>
      <c r="BS476" s="15"/>
      <c r="BT476" s="15"/>
      <c r="BU476" s="15"/>
      <c r="BV476" s="15"/>
      <c r="BW476" s="15"/>
      <c r="BX476" s="15"/>
      <c r="BY476" s="15"/>
      <c r="BZ476" s="15"/>
      <c r="CA476" s="15"/>
      <c r="CB476" s="15"/>
      <c r="CC476" s="15"/>
      <c r="CD476" s="15"/>
      <c r="CE476" s="15"/>
      <c r="CF476" s="15"/>
      <c r="CG476" s="15"/>
      <c r="CH476" s="15"/>
      <c r="CI476" s="15"/>
      <c r="CJ476" s="15"/>
      <c r="CK476" s="15"/>
      <c r="CL476" s="15"/>
      <c r="CM476" s="15"/>
      <c r="CN476" s="15"/>
      <c r="CO476" s="15"/>
      <c r="CP476" s="15"/>
      <c r="CQ476" s="15"/>
      <c r="CR476" s="15"/>
      <c r="CS476" s="15"/>
      <c r="CT476" s="15"/>
      <c r="CU476" s="15"/>
      <c r="CV476" s="15"/>
      <c r="CW476" s="15"/>
      <c r="CX476" s="15"/>
      <c r="CY476" s="15"/>
      <c r="CZ476" s="15"/>
      <c r="DA476" s="15"/>
      <c r="DB476" s="15">
        <v>0</v>
      </c>
    </row>
    <row r="477" spans="1:106" x14ac:dyDescent="0.25">
      <c r="A477" t="s">
        <v>461</v>
      </c>
      <c r="B477" t="s">
        <v>152</v>
      </c>
      <c r="C477">
        <v>2015</v>
      </c>
      <c r="D477" s="16" t="s">
        <v>462</v>
      </c>
      <c r="E477">
        <v>0</v>
      </c>
      <c r="F477" s="15">
        <v>33.579335793357927</v>
      </c>
      <c r="G477" s="15"/>
      <c r="H477" s="15"/>
      <c r="I477" s="15">
        <v>42.250922509225092</v>
      </c>
      <c r="J477" s="15">
        <v>13.376383763837637</v>
      </c>
      <c r="K477" s="15"/>
      <c r="L477" s="15">
        <f>IF(Table2[[#This Row],[Lipids wt%]]+Table2[[#This Row],[Protein wt%]]+Table2[[#This Row],[Carbs wt%]] =0,"",SUM(Table2[[#This Row],[Lipids wt%]],Table2[[#This Row],[Protein wt%]],Table2[[#This Row],[Carbs wt%]]))</f>
        <v>89.206642066420656</v>
      </c>
      <c r="M477" s="15">
        <v>11.7</v>
      </c>
      <c r="P477">
        <v>4.4000000000000004</v>
      </c>
      <c r="Z477" s="15">
        <v>56.2</v>
      </c>
      <c r="AA477" s="15">
        <v>6.9</v>
      </c>
      <c r="AB477" s="15">
        <v>28.7</v>
      </c>
      <c r="AC477" s="15">
        <v>7.7</v>
      </c>
      <c r="AD477" s="15">
        <v>0.6</v>
      </c>
      <c r="AE477" s="15"/>
      <c r="AF477" s="15">
        <v>19.899999999999999</v>
      </c>
      <c r="AG477" s="15">
        <v>9.8000000000000004E-2</v>
      </c>
      <c r="AH477" s="15"/>
      <c r="AI477" s="15"/>
      <c r="AJ477" s="15">
        <v>10</v>
      </c>
      <c r="AM477" s="13"/>
      <c r="AN477">
        <v>0.35</v>
      </c>
      <c r="AO477" s="15"/>
      <c r="AP477" s="15" t="e">
        <f>LN(25/Table2[[#This Row],[Temperature (C)]]/(1-SQRT((Table2[[#This Row],[Temperature (C)]]-5)/Table2[[#This Row],[Temperature (C)]])))/Table2[[#This Row],[b]]</f>
        <v>#DIV/0!</v>
      </c>
      <c r="AQ477" s="15">
        <f>IF(Table2[[#This Row],[b]]&lt;&gt;"",Table2[[#This Row],[T-5]], 0)</f>
        <v>0</v>
      </c>
      <c r="AR477">
        <v>1.4</v>
      </c>
      <c r="AS477">
        <v>40</v>
      </c>
      <c r="AT477" t="s">
        <v>503</v>
      </c>
      <c r="AU477">
        <v>350</v>
      </c>
      <c r="AV477" s="15"/>
      <c r="AW477" s="15"/>
      <c r="AX477" s="15"/>
      <c r="AY477" s="15"/>
      <c r="AZ477" s="15"/>
      <c r="BA477" s="15"/>
      <c r="BB477" s="15" t="str">
        <f>IF(OR(Table2[[#This Row],[Gas wt%]]&lt;&gt;"",Table2[[#This Row],[Loss]]&lt;&gt;""),Table2[[#This Row],[Gas wt%]]+Table2[[#This Row],[Loss]],"")</f>
        <v/>
      </c>
      <c r="BC477" s="15">
        <v>36.799999999999997</v>
      </c>
      <c r="BD477" s="15"/>
      <c r="BE477" s="15"/>
      <c r="BF477" s="15"/>
      <c r="BG477" s="15"/>
      <c r="BH477" s="15"/>
      <c r="BI477" s="15">
        <v>68</v>
      </c>
      <c r="BJ477" s="15">
        <v>8.9</v>
      </c>
      <c r="BK477" s="15">
        <v>16.2</v>
      </c>
      <c r="BL477" s="15">
        <v>6.1</v>
      </c>
      <c r="BM477" s="15">
        <v>0.8</v>
      </c>
      <c r="BN477" s="15">
        <v>32.9</v>
      </c>
      <c r="BO477" s="15">
        <v>54.9</v>
      </c>
      <c r="BP477" s="15"/>
      <c r="BQ477" s="15">
        <f>Table2[[#This Row],[H% B]]/Table2[[#This Row],[C% B]]*100</f>
        <v>13.088235294117649</v>
      </c>
      <c r="BR477" s="15"/>
      <c r="BS477" s="15"/>
      <c r="BT477" s="15"/>
      <c r="BU477" s="15"/>
      <c r="BV477" s="15"/>
      <c r="BW477" s="15"/>
      <c r="BX477" s="15"/>
      <c r="BY477" s="15"/>
      <c r="BZ477" s="15"/>
      <c r="CA477" s="15"/>
      <c r="CB477" s="15"/>
      <c r="CC477" s="15"/>
      <c r="CD477" s="15"/>
      <c r="CE477" s="15"/>
      <c r="CF477" s="15"/>
      <c r="CG477" s="15"/>
      <c r="CH477" s="15"/>
      <c r="CI477" s="15"/>
      <c r="CJ477" s="15"/>
      <c r="CK477" s="15"/>
      <c r="CL477" s="15"/>
      <c r="CM477" s="15"/>
      <c r="CN477" s="15"/>
      <c r="CO477" s="15"/>
      <c r="CP477" s="15"/>
      <c r="CQ477" s="15"/>
      <c r="CR477" s="15"/>
      <c r="CS477" s="15"/>
      <c r="CT477" s="15"/>
      <c r="CU477" s="15"/>
      <c r="CV477" s="15"/>
      <c r="CW477" s="15"/>
      <c r="CX477" s="15"/>
      <c r="CY477" s="15"/>
      <c r="CZ477" s="15"/>
      <c r="DA477" s="15"/>
      <c r="DB477" s="15">
        <v>0</v>
      </c>
    </row>
    <row r="478" spans="1:106" x14ac:dyDescent="0.25">
      <c r="A478" t="s">
        <v>463</v>
      </c>
      <c r="B478" t="s">
        <v>306</v>
      </c>
      <c r="C478">
        <v>2019</v>
      </c>
      <c r="D478" s="16" t="s">
        <v>464</v>
      </c>
      <c r="E478">
        <v>0</v>
      </c>
      <c r="F478" s="15">
        <v>36.052846635794062</v>
      </c>
      <c r="G478" s="15"/>
      <c r="H478" s="15"/>
      <c r="I478" s="15">
        <v>38.286570416780165</v>
      </c>
      <c r="J478" s="15">
        <v>17.188776900027239</v>
      </c>
      <c r="K478" s="15"/>
      <c r="L478" s="15">
        <f>IF(Table2[[#This Row],[Lipids wt%]]+Table2[[#This Row],[Protein wt%]]+Table2[[#This Row],[Carbs wt%]] =0,"",SUM(Table2[[#This Row],[Lipids wt%]],Table2[[#This Row],[Protein wt%]],Table2[[#This Row],[Carbs wt%]]))</f>
        <v>91.52819395260147</v>
      </c>
      <c r="M478" s="15">
        <v>6.22</v>
      </c>
      <c r="P478">
        <v>70.209999999999994</v>
      </c>
      <c r="Z478" s="15">
        <v>51.54</v>
      </c>
      <c r="AA478" s="15">
        <v>5.96</v>
      </c>
      <c r="AB478" s="15">
        <v>35.5</v>
      </c>
      <c r="AC478" s="15">
        <v>5.88</v>
      </c>
      <c r="AD478" s="15">
        <v>1.1100000000000001</v>
      </c>
      <c r="AE478" s="15"/>
      <c r="AF478" s="15">
        <v>19.73</v>
      </c>
      <c r="AG478" s="15">
        <v>0.1</v>
      </c>
      <c r="AH478" s="15"/>
      <c r="AI478" s="15"/>
      <c r="AJ478" s="15">
        <v>10</v>
      </c>
      <c r="AK478">
        <v>9</v>
      </c>
      <c r="AM478" s="13"/>
      <c r="AO478" s="15"/>
      <c r="AP478" s="15" t="e">
        <f>LN(25/Table2[[#This Row],[Temperature (C)]]/(1-SQRT((Table2[[#This Row],[Temperature (C)]]-5)/Table2[[#This Row],[Temperature (C)]])))/Table2[[#This Row],[b]]</f>
        <v>#DIV/0!</v>
      </c>
      <c r="AQ478" s="15">
        <f>IF(Table2[[#This Row],[b]]&lt;&gt;"",Table2[[#This Row],[T-5]], 0)</f>
        <v>0</v>
      </c>
      <c r="AR478">
        <v>30</v>
      </c>
      <c r="AT478" t="s">
        <v>503</v>
      </c>
      <c r="AU478">
        <v>200</v>
      </c>
      <c r="AV478" s="15">
        <v>38.181818181818201</v>
      </c>
      <c r="AW478" s="15">
        <v>35.874125874125795</v>
      </c>
      <c r="AX478" s="15">
        <v>19.090909090909108</v>
      </c>
      <c r="AY478" s="15"/>
      <c r="AZ478" s="15"/>
      <c r="BA478" s="15"/>
      <c r="BB478" s="15" t="str">
        <f>IF(OR(Table2[[#This Row],[Gas wt%]]&lt;&gt;"",Table2[[#This Row],[Loss]]&lt;&gt;""),Table2[[#This Row],[Gas wt%]]+Table2[[#This Row],[Loss]],"")</f>
        <v/>
      </c>
      <c r="BC478" s="15"/>
      <c r="BD478" s="15"/>
      <c r="BE478" s="15"/>
      <c r="BF478" s="15"/>
      <c r="BG478" s="15"/>
      <c r="BH478" s="15">
        <v>28.321678321678291</v>
      </c>
      <c r="BI478" s="15"/>
      <c r="BJ478" s="15"/>
      <c r="BK478" s="15"/>
      <c r="BL478" s="15"/>
      <c r="BM478" s="15"/>
      <c r="BN478" s="15"/>
      <c r="BO478" s="15"/>
      <c r="BP478" s="15"/>
      <c r="BQ478" s="15"/>
      <c r="BR478" s="15"/>
      <c r="BS478" s="15"/>
      <c r="BT478" s="15"/>
      <c r="BU478" s="15"/>
      <c r="BV478" s="15"/>
      <c r="BW478" s="15"/>
      <c r="BX478" s="15"/>
      <c r="BY478" s="15"/>
      <c r="BZ478" s="15"/>
      <c r="CA478" s="15"/>
      <c r="CB478" s="15"/>
      <c r="CC478" s="15"/>
      <c r="CD478" s="15"/>
      <c r="CE478" s="15"/>
      <c r="CF478" s="15"/>
      <c r="CG478" s="15"/>
      <c r="CH478" s="15"/>
      <c r="CI478" s="15"/>
      <c r="CJ478" s="15"/>
      <c r="CK478" s="15"/>
      <c r="CL478" s="15"/>
      <c r="CM478" s="15"/>
      <c r="CN478" s="15"/>
      <c r="CO478" s="15"/>
      <c r="CP478" s="15"/>
      <c r="CQ478" s="15"/>
      <c r="CR478" s="15"/>
      <c r="CS478" s="15"/>
      <c r="CT478" s="15"/>
      <c r="CU478" s="15"/>
      <c r="CV478" s="15"/>
      <c r="CW478" s="15"/>
      <c r="CX478" s="15"/>
      <c r="CY478" s="15"/>
      <c r="CZ478" s="15"/>
      <c r="DA478" s="15"/>
      <c r="DB478" s="15">
        <v>0</v>
      </c>
    </row>
    <row r="479" spans="1:106" x14ac:dyDescent="0.25">
      <c r="A479" t="s">
        <v>463</v>
      </c>
      <c r="B479" t="s">
        <v>306</v>
      </c>
      <c r="C479">
        <v>2019</v>
      </c>
      <c r="D479" s="16" t="s">
        <v>464</v>
      </c>
      <c r="E479">
        <v>0</v>
      </c>
      <c r="F479" s="15">
        <v>36.052846635794062</v>
      </c>
      <c r="G479" s="15"/>
      <c r="H479" s="15"/>
      <c r="I479" s="15">
        <v>38.286570416780165</v>
      </c>
      <c r="J479" s="15">
        <v>17.188776900027239</v>
      </c>
      <c r="K479" s="15"/>
      <c r="L479" s="15">
        <f>IF(Table2[[#This Row],[Lipids wt%]]+Table2[[#This Row],[Protein wt%]]+Table2[[#This Row],[Carbs wt%]] =0,"",SUM(Table2[[#This Row],[Lipids wt%]],Table2[[#This Row],[Protein wt%]],Table2[[#This Row],[Carbs wt%]]))</f>
        <v>91.52819395260147</v>
      </c>
      <c r="M479" s="15">
        <v>6.22</v>
      </c>
      <c r="P479">
        <v>70.209999999999994</v>
      </c>
      <c r="Z479" s="15">
        <v>51.54</v>
      </c>
      <c r="AA479" s="15">
        <v>5.96</v>
      </c>
      <c r="AB479" s="15">
        <v>35.5</v>
      </c>
      <c r="AC479" s="15">
        <v>5.88</v>
      </c>
      <c r="AD479" s="15">
        <v>1.1100000000000001</v>
      </c>
      <c r="AE479" s="15"/>
      <c r="AF479" s="15">
        <v>19.73</v>
      </c>
      <c r="AG479" s="15">
        <v>0.1</v>
      </c>
      <c r="AH479" s="15"/>
      <c r="AI479" s="15"/>
      <c r="AJ479" s="15">
        <v>10</v>
      </c>
      <c r="AK479">
        <v>9</v>
      </c>
      <c r="AM479" s="13"/>
      <c r="AO479" s="15"/>
      <c r="AP479" s="15" t="e">
        <f>LN(25/Table2[[#This Row],[Temperature (C)]]/(1-SQRT((Table2[[#This Row],[Temperature (C)]]-5)/Table2[[#This Row],[Temperature (C)]])))/Table2[[#This Row],[b]]</f>
        <v>#DIV/0!</v>
      </c>
      <c r="AQ479" s="15">
        <f>IF(Table2[[#This Row],[b]]&lt;&gt;"",Table2[[#This Row],[T-5]], 0)</f>
        <v>0</v>
      </c>
      <c r="AR479">
        <v>30</v>
      </c>
      <c r="AT479" t="s">
        <v>503</v>
      </c>
      <c r="AU479">
        <v>250</v>
      </c>
      <c r="AV479" s="15">
        <v>25.174825174825202</v>
      </c>
      <c r="AW479" s="15">
        <v>39.860139860139896</v>
      </c>
      <c r="AX479" s="15">
        <v>13.846153846153904</v>
      </c>
      <c r="AY479" s="15"/>
      <c r="AZ479" s="15"/>
      <c r="BA479" s="15"/>
      <c r="BB479" s="15" t="str">
        <f>IF(OR(Table2[[#This Row],[Gas wt%]]&lt;&gt;"",Table2[[#This Row],[Loss]]&lt;&gt;""),Table2[[#This Row],[Gas wt%]]+Table2[[#This Row],[Loss]],"")</f>
        <v/>
      </c>
      <c r="BC479" s="15"/>
      <c r="BD479" s="15"/>
      <c r="BE479" s="15"/>
      <c r="BF479" s="15"/>
      <c r="BG479" s="15"/>
      <c r="BH479" s="15">
        <v>23.706293706293692</v>
      </c>
      <c r="BI479" s="15"/>
      <c r="BJ479" s="15"/>
      <c r="BK479" s="15"/>
      <c r="BL479" s="15"/>
      <c r="BM479" s="15"/>
      <c r="BN479" s="15"/>
      <c r="BO479" s="15"/>
      <c r="BP479" s="15"/>
      <c r="BQ479" s="15"/>
      <c r="BR479" s="15"/>
      <c r="BS479" s="15"/>
      <c r="BT479" s="15"/>
      <c r="BU479" s="15"/>
      <c r="BV479" s="15"/>
      <c r="BW479" s="15"/>
      <c r="BX479" s="15"/>
      <c r="BY479" s="15"/>
      <c r="BZ479" s="15"/>
      <c r="CA479" s="15"/>
      <c r="CB479" s="15"/>
      <c r="CC479" s="15"/>
      <c r="CD479" s="15"/>
      <c r="CE479" s="15"/>
      <c r="CF479" s="15"/>
      <c r="CG479" s="15"/>
      <c r="CH479" s="15"/>
      <c r="CI479" s="15"/>
      <c r="CJ479" s="15"/>
      <c r="CK479" s="15"/>
      <c r="CL479" s="15"/>
      <c r="CM479" s="15"/>
      <c r="CN479" s="15"/>
      <c r="CO479" s="15"/>
      <c r="CP479" s="15"/>
      <c r="CQ479" s="15"/>
      <c r="CR479" s="15"/>
      <c r="CS479" s="15"/>
      <c r="CT479" s="15"/>
      <c r="CU479" s="15"/>
      <c r="CV479" s="15"/>
      <c r="CW479" s="15"/>
      <c r="CX479" s="15"/>
      <c r="CY479" s="15"/>
      <c r="CZ479" s="15"/>
      <c r="DA479" s="15"/>
      <c r="DB479" s="15">
        <v>0</v>
      </c>
    </row>
    <row r="480" spans="1:106" x14ac:dyDescent="0.25">
      <c r="A480" t="s">
        <v>463</v>
      </c>
      <c r="B480" t="s">
        <v>306</v>
      </c>
      <c r="C480">
        <v>2019</v>
      </c>
      <c r="D480" s="16" t="s">
        <v>464</v>
      </c>
      <c r="E480">
        <v>0</v>
      </c>
      <c r="F480" s="15">
        <v>36.052846635794062</v>
      </c>
      <c r="G480" s="15"/>
      <c r="H480" s="15"/>
      <c r="I480" s="15">
        <v>38.286570416780165</v>
      </c>
      <c r="J480" s="15">
        <v>17.188776900027239</v>
      </c>
      <c r="K480" s="15"/>
      <c r="L480" s="15">
        <f>IF(Table2[[#This Row],[Lipids wt%]]+Table2[[#This Row],[Protein wt%]]+Table2[[#This Row],[Carbs wt%]] =0,"",SUM(Table2[[#This Row],[Lipids wt%]],Table2[[#This Row],[Protein wt%]],Table2[[#This Row],[Carbs wt%]]))</f>
        <v>91.52819395260147</v>
      </c>
      <c r="M480" s="15">
        <v>6.22</v>
      </c>
      <c r="P480">
        <v>70.209999999999994</v>
      </c>
      <c r="Z480" s="15">
        <v>51.54</v>
      </c>
      <c r="AA480" s="15">
        <v>5.96</v>
      </c>
      <c r="AB480" s="15">
        <v>35.5</v>
      </c>
      <c r="AC480" s="15">
        <v>5.88</v>
      </c>
      <c r="AD480" s="15">
        <v>1.1100000000000001</v>
      </c>
      <c r="AE480" s="15"/>
      <c r="AF480" s="15">
        <v>19.73</v>
      </c>
      <c r="AG480" s="15">
        <v>0.1</v>
      </c>
      <c r="AH480" s="15"/>
      <c r="AI480" s="15"/>
      <c r="AJ480" s="15">
        <v>10</v>
      </c>
      <c r="AK480">
        <v>9</v>
      </c>
      <c r="AM480" s="13"/>
      <c r="AO480" s="15"/>
      <c r="AP480" s="15" t="e">
        <f>LN(25/Table2[[#This Row],[Temperature (C)]]/(1-SQRT((Table2[[#This Row],[Temperature (C)]]-5)/Table2[[#This Row],[Temperature (C)]])))/Table2[[#This Row],[b]]</f>
        <v>#DIV/0!</v>
      </c>
      <c r="AQ480" s="15">
        <f>IF(Table2[[#This Row],[b]]&lt;&gt;"",Table2[[#This Row],[T-5]], 0)</f>
        <v>0</v>
      </c>
      <c r="AR480">
        <v>30</v>
      </c>
      <c r="AT480" t="s">
        <v>503</v>
      </c>
      <c r="AU480">
        <v>300</v>
      </c>
      <c r="AV480" s="15">
        <v>12.3776223776223</v>
      </c>
      <c r="AW480" s="15">
        <v>48.67132867132856</v>
      </c>
      <c r="AX480" s="15">
        <v>28.321678321678306</v>
      </c>
      <c r="AY480" s="15"/>
      <c r="AZ480" s="15"/>
      <c r="BA480" s="15"/>
      <c r="BB480" s="15" t="str">
        <f>IF(OR(Table2[[#This Row],[Gas wt%]]&lt;&gt;"",Table2[[#This Row],[Loss]]&lt;&gt;""),Table2[[#This Row],[Gas wt%]]+Table2[[#This Row],[Loss]],"")</f>
        <v/>
      </c>
      <c r="BC480" s="15"/>
      <c r="BD480" s="15"/>
      <c r="BE480" s="15"/>
      <c r="BF480" s="15"/>
      <c r="BG480" s="15"/>
      <c r="BH480" s="15">
        <v>38.601398601398593</v>
      </c>
      <c r="BI480" s="15">
        <v>76.63</v>
      </c>
      <c r="BJ480" s="15">
        <v>8.9499999999999993</v>
      </c>
      <c r="BK480" s="15">
        <v>7.94</v>
      </c>
      <c r="BL480" s="15">
        <v>5.22</v>
      </c>
      <c r="BM480" s="15">
        <v>1.25</v>
      </c>
      <c r="BN480" s="15">
        <v>37.520000000000003</v>
      </c>
      <c r="BO480" s="15"/>
      <c r="BP480" s="15"/>
      <c r="BQ480" s="15">
        <f>Table2[[#This Row],[H% B]]/Table2[[#This Row],[C% B]]*100</f>
        <v>11.679498890773848</v>
      </c>
      <c r="BR480" s="15"/>
      <c r="BS480" s="15"/>
      <c r="BT480" s="15"/>
      <c r="BU480" s="15"/>
      <c r="BV480" s="15"/>
      <c r="BW480" s="15"/>
      <c r="BX480" s="15"/>
      <c r="BY480" s="15"/>
      <c r="BZ480" s="15"/>
      <c r="CA480" s="15"/>
      <c r="CB480" s="15"/>
      <c r="CC480" s="15"/>
      <c r="CD480" s="15"/>
      <c r="CE480" s="15"/>
      <c r="CF480" s="15">
        <v>66.010000000000005</v>
      </c>
      <c r="CG480" s="15">
        <v>3.91</v>
      </c>
      <c r="CH480" s="15">
        <v>25.24</v>
      </c>
      <c r="CI480" s="15">
        <v>4.18</v>
      </c>
      <c r="CJ480" s="15">
        <v>0.65</v>
      </c>
      <c r="CK480" s="15"/>
      <c r="CL480" s="15"/>
      <c r="CM480" s="15"/>
      <c r="CN480" s="15"/>
      <c r="CO480" s="15"/>
      <c r="CP480" s="15"/>
      <c r="CQ480" s="15"/>
      <c r="CR480" s="15"/>
      <c r="CS480" s="15">
        <v>20666</v>
      </c>
      <c r="CT480" s="15">
        <v>11130</v>
      </c>
      <c r="CU480" s="15"/>
      <c r="CV480" s="15"/>
      <c r="CW480" s="15"/>
      <c r="CX480" s="15"/>
      <c r="CY480" s="15"/>
      <c r="CZ480" s="15"/>
      <c r="DA480" s="15"/>
      <c r="DB480" s="15">
        <v>0</v>
      </c>
    </row>
    <row r="481" spans="1:106" x14ac:dyDescent="0.25">
      <c r="A481" t="s">
        <v>463</v>
      </c>
      <c r="B481" t="s">
        <v>306</v>
      </c>
      <c r="C481">
        <v>2019</v>
      </c>
      <c r="D481" s="16" t="s">
        <v>464</v>
      </c>
      <c r="E481">
        <v>0</v>
      </c>
      <c r="F481" s="15">
        <v>36.052846635794062</v>
      </c>
      <c r="G481" s="15"/>
      <c r="H481" s="15"/>
      <c r="I481" s="15">
        <v>38.286570416780165</v>
      </c>
      <c r="J481" s="15">
        <v>17.188776900027239</v>
      </c>
      <c r="K481" s="15"/>
      <c r="L481" s="15">
        <f>IF(Table2[[#This Row],[Lipids wt%]]+Table2[[#This Row],[Protein wt%]]+Table2[[#This Row],[Carbs wt%]] =0,"",SUM(Table2[[#This Row],[Lipids wt%]],Table2[[#This Row],[Protein wt%]],Table2[[#This Row],[Carbs wt%]]))</f>
        <v>91.52819395260147</v>
      </c>
      <c r="M481" s="15">
        <v>6.22</v>
      </c>
      <c r="P481">
        <v>70.209999999999994</v>
      </c>
      <c r="Z481" s="15">
        <v>51.54</v>
      </c>
      <c r="AA481" s="15">
        <v>5.96</v>
      </c>
      <c r="AB481" s="15">
        <v>35.5</v>
      </c>
      <c r="AC481" s="15">
        <v>5.88</v>
      </c>
      <c r="AD481" s="15">
        <v>1.1100000000000001</v>
      </c>
      <c r="AE481" s="15"/>
      <c r="AF481" s="15">
        <v>19.73</v>
      </c>
      <c r="AG481" s="15">
        <v>0.1</v>
      </c>
      <c r="AH481" s="15"/>
      <c r="AI481" s="15"/>
      <c r="AJ481" s="15">
        <v>10</v>
      </c>
      <c r="AK481">
        <v>9</v>
      </c>
      <c r="AM481" s="13"/>
      <c r="AO481" s="15"/>
      <c r="AP481" s="15" t="e">
        <f>LN(25/Table2[[#This Row],[Temperature (C)]]/(1-SQRT((Table2[[#This Row],[Temperature (C)]]-5)/Table2[[#This Row],[Temperature (C)]])))/Table2[[#This Row],[b]]</f>
        <v>#DIV/0!</v>
      </c>
      <c r="AQ481" s="15">
        <f>IF(Table2[[#This Row],[b]]&lt;&gt;"",Table2[[#This Row],[T-5]], 0)</f>
        <v>0</v>
      </c>
      <c r="AR481">
        <v>30</v>
      </c>
      <c r="AT481" t="s">
        <v>503</v>
      </c>
      <c r="AU481">
        <v>325</v>
      </c>
      <c r="AV481" s="15">
        <v>9.2307692307692406</v>
      </c>
      <c r="AW481" s="15">
        <v>39.650349650349597</v>
      </c>
      <c r="AX481" s="15">
        <v>17.622377622377606</v>
      </c>
      <c r="AY481" s="15"/>
      <c r="AZ481" s="15"/>
      <c r="BA481" s="15"/>
      <c r="BB481" s="15" t="str">
        <f>IF(OR(Table2[[#This Row],[Gas wt%]]&lt;&gt;"",Table2[[#This Row],[Loss]]&lt;&gt;""),Table2[[#This Row],[Gas wt%]]+Table2[[#This Row],[Loss]],"")</f>
        <v/>
      </c>
      <c r="BC481" s="15"/>
      <c r="BD481" s="15"/>
      <c r="BE481" s="15"/>
      <c r="BF481" s="15"/>
      <c r="BG481" s="15"/>
      <c r="BH481" s="15">
        <v>40.279720279720294</v>
      </c>
      <c r="BI481" s="15"/>
      <c r="BJ481" s="15"/>
      <c r="BK481" s="15"/>
      <c r="BL481" s="15"/>
      <c r="BM481" s="15"/>
      <c r="BN481" s="15"/>
      <c r="BO481" s="15"/>
      <c r="BP481" s="15"/>
      <c r="BQ481" s="15"/>
      <c r="BR481" s="15"/>
      <c r="BS481" s="15"/>
      <c r="BT481" s="15"/>
      <c r="BU481" s="15"/>
      <c r="BV481" s="15"/>
      <c r="BW481" s="15"/>
      <c r="BX481" s="15"/>
      <c r="BY481" s="15"/>
      <c r="BZ481" s="15"/>
      <c r="CA481" s="15"/>
      <c r="CB481" s="15"/>
      <c r="CC481" s="15"/>
      <c r="CD481" s="15"/>
      <c r="CE481" s="15"/>
      <c r="CF481" s="15"/>
      <c r="CG481" s="15"/>
      <c r="CH481" s="15"/>
      <c r="CI481" s="15"/>
      <c r="CJ481" s="15"/>
      <c r="CK481" s="15"/>
      <c r="CL481" s="15"/>
      <c r="CM481" s="15"/>
      <c r="CN481" s="15"/>
      <c r="CO481" s="15"/>
      <c r="CP481" s="15"/>
      <c r="CQ481" s="15"/>
      <c r="CR481" s="15"/>
      <c r="CS481" s="15"/>
      <c r="CT481" s="15"/>
      <c r="CU481" s="15"/>
      <c r="CV481" s="15"/>
      <c r="CW481" s="15"/>
      <c r="CX481" s="15"/>
      <c r="CY481" s="15"/>
      <c r="CZ481" s="15"/>
      <c r="DA481" s="15"/>
      <c r="DB481" s="15">
        <v>0</v>
      </c>
    </row>
    <row r="482" spans="1:106" x14ac:dyDescent="0.25">
      <c r="A482" t="s">
        <v>463</v>
      </c>
      <c r="B482" t="s">
        <v>306</v>
      </c>
      <c r="C482">
        <v>2019</v>
      </c>
      <c r="D482" s="16" t="s">
        <v>464</v>
      </c>
      <c r="E482">
        <v>0</v>
      </c>
      <c r="F482" s="15">
        <v>36.052846635794062</v>
      </c>
      <c r="G482" s="15"/>
      <c r="H482" s="15"/>
      <c r="I482" s="15">
        <v>38.286570416780165</v>
      </c>
      <c r="J482" s="15">
        <v>17.188776900027239</v>
      </c>
      <c r="K482" s="15"/>
      <c r="L482" s="15">
        <f>IF(Table2[[#This Row],[Lipids wt%]]+Table2[[#This Row],[Protein wt%]]+Table2[[#This Row],[Carbs wt%]] =0,"",SUM(Table2[[#This Row],[Lipids wt%]],Table2[[#This Row],[Protein wt%]],Table2[[#This Row],[Carbs wt%]]))</f>
        <v>91.52819395260147</v>
      </c>
      <c r="M482" s="15">
        <v>6.22</v>
      </c>
      <c r="P482">
        <v>70.209999999999994</v>
      </c>
      <c r="Z482" s="15">
        <v>51.54</v>
      </c>
      <c r="AA482" s="15">
        <v>5.96</v>
      </c>
      <c r="AB482" s="15">
        <v>35.5</v>
      </c>
      <c r="AC482" s="15">
        <v>5.88</v>
      </c>
      <c r="AD482" s="15">
        <v>1.1100000000000001</v>
      </c>
      <c r="AE482" s="15"/>
      <c r="AF482" s="15">
        <v>19.73</v>
      </c>
      <c r="AG482" s="15">
        <v>0.1</v>
      </c>
      <c r="AH482" s="15"/>
      <c r="AI482" s="15"/>
      <c r="AJ482" s="15">
        <v>10</v>
      </c>
      <c r="AK482">
        <v>9</v>
      </c>
      <c r="AM482" s="13"/>
      <c r="AO482" s="15"/>
      <c r="AP482" s="15" t="e">
        <f>LN(25/Table2[[#This Row],[Temperature (C)]]/(1-SQRT((Table2[[#This Row],[Temperature (C)]]-5)/Table2[[#This Row],[Temperature (C)]])))/Table2[[#This Row],[b]]</f>
        <v>#DIV/0!</v>
      </c>
      <c r="AQ482" s="15">
        <f>IF(Table2[[#This Row],[b]]&lt;&gt;"",Table2[[#This Row],[T-5]], 0)</f>
        <v>0</v>
      </c>
      <c r="AR482">
        <v>30</v>
      </c>
      <c r="AT482" t="s">
        <v>503</v>
      </c>
      <c r="AU482">
        <v>350</v>
      </c>
      <c r="AV482" s="15">
        <v>8.3916083916084006</v>
      </c>
      <c r="AW482" s="15">
        <v>33.986013986013937</v>
      </c>
      <c r="AX482" s="15">
        <v>15.944055944055904</v>
      </c>
      <c r="AY482" s="15"/>
      <c r="AZ482" s="15"/>
      <c r="BA482" s="15"/>
      <c r="BB482" s="15" t="str">
        <f>IF(OR(Table2[[#This Row],[Gas wt%]]&lt;&gt;"",Table2[[#This Row],[Loss]]&lt;&gt;""),Table2[[#This Row],[Gas wt%]]+Table2[[#This Row],[Loss]],"")</f>
        <v/>
      </c>
      <c r="BC482" s="15"/>
      <c r="BD482" s="15"/>
      <c r="BE482" s="15"/>
      <c r="BF482" s="15"/>
      <c r="BG482" s="15"/>
      <c r="BH482" s="15">
        <v>51.608391608391592</v>
      </c>
      <c r="BI482" s="15"/>
      <c r="BJ482" s="15"/>
      <c r="BK482" s="15"/>
      <c r="BL482" s="15"/>
      <c r="BM482" s="15"/>
      <c r="BN482" s="15"/>
      <c r="BO482" s="15"/>
      <c r="BP482" s="15"/>
      <c r="BQ482" s="15"/>
      <c r="BR482" s="15"/>
      <c r="BS482" s="15"/>
      <c r="BT482" s="15"/>
      <c r="BU482" s="15"/>
      <c r="BV482" s="15"/>
      <c r="BW482" s="15"/>
      <c r="BX482" s="15"/>
      <c r="BY482" s="15"/>
      <c r="BZ482" s="15"/>
      <c r="CA482" s="15"/>
      <c r="CB482" s="15"/>
      <c r="CC482" s="15"/>
      <c r="CD482" s="15"/>
      <c r="CE482" s="15"/>
      <c r="CF482" s="15"/>
      <c r="CG482" s="15"/>
      <c r="CH482" s="15"/>
      <c r="CI482" s="15"/>
      <c r="CJ482" s="15"/>
      <c r="CK482" s="15"/>
      <c r="CL482" s="15"/>
      <c r="CM482" s="15"/>
      <c r="CN482" s="15"/>
      <c r="CO482" s="15"/>
      <c r="CP482" s="15"/>
      <c r="CQ482" s="15"/>
      <c r="CR482" s="15"/>
      <c r="CS482" s="15"/>
      <c r="CT482" s="15"/>
      <c r="CU482" s="15"/>
      <c r="CV482" s="15"/>
      <c r="CW482" s="15"/>
      <c r="CX482" s="15"/>
      <c r="CY482" s="15"/>
      <c r="CZ482" s="15"/>
      <c r="DA482" s="15"/>
      <c r="DB482" s="15">
        <v>0</v>
      </c>
    </row>
    <row r="483" spans="1:106" x14ac:dyDescent="0.25">
      <c r="A483" t="s">
        <v>463</v>
      </c>
      <c r="B483" t="s">
        <v>306</v>
      </c>
      <c r="C483">
        <v>2019</v>
      </c>
      <c r="D483" s="16" t="s">
        <v>464</v>
      </c>
      <c r="E483">
        <v>0</v>
      </c>
      <c r="F483" s="15">
        <v>36.052846635794062</v>
      </c>
      <c r="G483" s="15"/>
      <c r="H483" s="15"/>
      <c r="I483" s="15">
        <v>38.286570416780165</v>
      </c>
      <c r="J483" s="15">
        <v>17.188776900027239</v>
      </c>
      <c r="K483" s="15"/>
      <c r="L483" s="15">
        <f>IF(Table2[[#This Row],[Lipids wt%]]+Table2[[#This Row],[Protein wt%]]+Table2[[#This Row],[Carbs wt%]] =0,"",SUM(Table2[[#This Row],[Lipids wt%]],Table2[[#This Row],[Protein wt%]],Table2[[#This Row],[Carbs wt%]]))</f>
        <v>91.52819395260147</v>
      </c>
      <c r="M483" s="15">
        <v>6.22</v>
      </c>
      <c r="P483">
        <v>70.209999999999994</v>
      </c>
      <c r="Z483" s="15">
        <v>51.54</v>
      </c>
      <c r="AA483" s="15">
        <v>5.96</v>
      </c>
      <c r="AB483" s="15">
        <v>35.5</v>
      </c>
      <c r="AC483" s="15">
        <v>5.88</v>
      </c>
      <c r="AD483" s="15">
        <v>1.1100000000000001</v>
      </c>
      <c r="AE483" s="15"/>
      <c r="AF483" s="15">
        <v>19.73</v>
      </c>
      <c r="AG483" s="15">
        <v>0.1</v>
      </c>
      <c r="AH483" s="15"/>
      <c r="AI483" s="15"/>
      <c r="AJ483" s="15">
        <v>10</v>
      </c>
      <c r="AK483">
        <v>9</v>
      </c>
      <c r="AM483" s="13"/>
      <c r="AO483" s="15"/>
      <c r="AP483" s="15" t="e">
        <f>LN(25/Table2[[#This Row],[Temperature (C)]]/(1-SQRT((Table2[[#This Row],[Temperature (C)]]-5)/Table2[[#This Row],[Temperature (C)]])))/Table2[[#This Row],[b]]</f>
        <v>#DIV/0!</v>
      </c>
      <c r="AQ483" s="15">
        <f>IF(Table2[[#This Row],[b]]&lt;&gt;"",Table2[[#This Row],[T-5]], 0)</f>
        <v>0</v>
      </c>
      <c r="AR483">
        <v>30</v>
      </c>
      <c r="AT483" t="s">
        <v>503</v>
      </c>
      <c r="AU483">
        <v>375</v>
      </c>
      <c r="AV483" s="15">
        <v>9.86013986013986</v>
      </c>
      <c r="AW483" s="15">
        <v>33.986013986013937</v>
      </c>
      <c r="AX483" s="15">
        <v>4.6153846153846061</v>
      </c>
      <c r="AY483" s="15"/>
      <c r="AZ483" s="15"/>
      <c r="BA483" s="15"/>
      <c r="BB483" s="15" t="str">
        <f>IF(OR(Table2[[#This Row],[Gas wt%]]&lt;&gt;"",Table2[[#This Row],[Loss]]&lt;&gt;""),Table2[[#This Row],[Gas wt%]]+Table2[[#This Row],[Loss]],"")</f>
        <v/>
      </c>
      <c r="BC483" s="15"/>
      <c r="BD483" s="15"/>
      <c r="BE483" s="15"/>
      <c r="BF483" s="15"/>
      <c r="BG483" s="15"/>
      <c r="BH483" s="15">
        <v>51.538461538461597</v>
      </c>
      <c r="BI483" s="15"/>
      <c r="BJ483" s="15"/>
      <c r="BK483" s="15"/>
      <c r="BL483" s="15"/>
      <c r="BM483" s="15"/>
      <c r="BN483" s="15"/>
      <c r="BO483" s="15"/>
      <c r="BP483" s="15"/>
      <c r="BQ483" s="15"/>
      <c r="BR483" s="15"/>
      <c r="BS483" s="15"/>
      <c r="BT483" s="15"/>
      <c r="BU483" s="15"/>
      <c r="BV483" s="15"/>
      <c r="BW483" s="15"/>
      <c r="BX483" s="15"/>
      <c r="BY483" s="15"/>
      <c r="BZ483" s="15"/>
      <c r="CA483" s="15"/>
      <c r="CB483" s="15"/>
      <c r="CC483" s="15"/>
      <c r="CD483" s="15"/>
      <c r="CE483" s="15"/>
      <c r="CF483" s="15"/>
      <c r="CG483" s="15"/>
      <c r="CH483" s="15"/>
      <c r="CI483" s="15"/>
      <c r="CJ483" s="15"/>
      <c r="CK483" s="15"/>
      <c r="CL483" s="15"/>
      <c r="CM483" s="15"/>
      <c r="CN483" s="15"/>
      <c r="CO483" s="15"/>
      <c r="CP483" s="15"/>
      <c r="CQ483" s="15"/>
      <c r="CR483" s="15"/>
      <c r="CS483" s="15"/>
      <c r="CT483" s="15"/>
      <c r="CU483" s="15"/>
      <c r="CV483" s="15"/>
      <c r="CW483" s="15"/>
      <c r="CX483" s="15"/>
      <c r="CY483" s="15"/>
      <c r="CZ483" s="15"/>
      <c r="DA483" s="15"/>
      <c r="DB483" s="15">
        <v>0</v>
      </c>
    </row>
    <row r="484" spans="1:106" x14ac:dyDescent="0.25">
      <c r="A484" t="s">
        <v>465</v>
      </c>
      <c r="B484" t="s">
        <v>466</v>
      </c>
      <c r="C484">
        <v>2019</v>
      </c>
      <c r="D484" s="16" t="s">
        <v>189</v>
      </c>
      <c r="E484">
        <v>0</v>
      </c>
      <c r="F484" s="15">
        <v>38.893210356706298</v>
      </c>
      <c r="G484" s="15"/>
      <c r="H484" s="15"/>
      <c r="I484" s="15">
        <v>26.669629958884318</v>
      </c>
      <c r="J484" s="15">
        <v>16.6685187243027</v>
      </c>
      <c r="K484" s="15"/>
      <c r="L484" s="15">
        <f>IF(Table2[[#This Row],[Lipids wt%]]+Table2[[#This Row],[Protein wt%]]+Table2[[#This Row],[Carbs wt%]] =0,"",SUM(Table2[[#This Row],[Lipids wt%]],Table2[[#This Row],[Protein wt%]],Table2[[#This Row],[Carbs wt%]]))</f>
        <v>82.231359039893306</v>
      </c>
      <c r="M484" s="15">
        <v>15.99</v>
      </c>
      <c r="P484">
        <v>7.31</v>
      </c>
      <c r="Q484">
        <v>6.32</v>
      </c>
      <c r="R484">
        <v>77.69</v>
      </c>
      <c r="Z484" s="15">
        <v>37.06</v>
      </c>
      <c r="AA484" s="15">
        <v>5.66</v>
      </c>
      <c r="AB484" s="15">
        <v>34.549999999999997</v>
      </c>
      <c r="AC484" s="15">
        <v>4</v>
      </c>
      <c r="AD484" s="15"/>
      <c r="AE484" s="15"/>
      <c r="AF484" s="15">
        <v>15.33</v>
      </c>
      <c r="AG484" s="15">
        <v>1.2</v>
      </c>
      <c r="AH484" s="15">
        <v>30</v>
      </c>
      <c r="AI484" s="15">
        <v>270</v>
      </c>
      <c r="AJ484" s="15">
        <v>10</v>
      </c>
      <c r="AM484" s="13"/>
      <c r="AN484">
        <v>1.25</v>
      </c>
      <c r="AO484" s="15">
        <v>30</v>
      </c>
      <c r="AP484" s="15" t="e">
        <f>LN(25/Table2[[#This Row],[Temperature (C)]]/(1-SQRT((Table2[[#This Row],[Temperature (C)]]-5)/Table2[[#This Row],[Temperature (C)]])))/Table2[[#This Row],[b]]</f>
        <v>#DIV/0!</v>
      </c>
      <c r="AQ484" s="15">
        <f>IF(Table2[[#This Row],[b]]&lt;&gt;"",Table2[[#This Row],[T-5]], 0)</f>
        <v>0</v>
      </c>
      <c r="AR484">
        <f>Table2[[#This Row],[Holding Time (min)]]+Table2[[#This Row],[Time to reach temp min]]</f>
        <v>31.25</v>
      </c>
      <c r="AT484" t="s">
        <v>503</v>
      </c>
      <c r="AU484">
        <v>275</v>
      </c>
      <c r="AV484" s="15">
        <v>19.8</v>
      </c>
      <c r="AW484" s="15">
        <v>26.3</v>
      </c>
      <c r="AX484" s="15">
        <v>32.1</v>
      </c>
      <c r="AY484" s="15">
        <v>2.8</v>
      </c>
      <c r="AZ484" s="15"/>
      <c r="BA484" s="15"/>
      <c r="BB484" s="15">
        <f>IF(OR(Table2[[#This Row],[Gas wt%]]&lt;&gt;"",Table2[[#This Row],[Loss]]&lt;&gt;""),Table2[[#This Row],[Gas wt%]]+Table2[[#This Row],[Loss]],"")</f>
        <v>2.8</v>
      </c>
      <c r="BC484" s="15">
        <v>31.9</v>
      </c>
      <c r="BD484" s="15"/>
      <c r="BE484" s="15"/>
      <c r="BF484" s="15"/>
      <c r="BG484" s="15"/>
      <c r="BH484" s="15"/>
      <c r="BI484" s="15">
        <v>66</v>
      </c>
      <c r="BJ484" s="15">
        <v>7.5</v>
      </c>
      <c r="BK484" s="15">
        <v>11.2</v>
      </c>
      <c r="BL484" s="15">
        <v>5.2</v>
      </c>
      <c r="BM484" s="15"/>
      <c r="BN484" s="15">
        <v>29.5</v>
      </c>
      <c r="BO484" s="15">
        <v>50.6</v>
      </c>
      <c r="BP484" s="15">
        <v>13.1</v>
      </c>
      <c r="BQ484" s="15">
        <f>Table2[[#This Row],[H% B]]/Table2[[#This Row],[C% B]]*100</f>
        <v>11.363636363636363</v>
      </c>
      <c r="BR484" s="15"/>
      <c r="BS484" s="15"/>
      <c r="BT484" s="15"/>
      <c r="BU484" s="15"/>
      <c r="BV484" s="15"/>
      <c r="BW484" s="15"/>
      <c r="BX484" s="15"/>
      <c r="BY484" s="15"/>
      <c r="BZ484" s="15"/>
      <c r="CA484" s="15"/>
      <c r="CB484" s="15"/>
      <c r="CC484" s="15"/>
      <c r="CD484" s="15"/>
      <c r="CE484" s="15"/>
      <c r="CF484" s="15">
        <v>26.7</v>
      </c>
      <c r="CG484" s="15">
        <v>3.6</v>
      </c>
      <c r="CH484" s="15">
        <v>24.3</v>
      </c>
      <c r="CI484" s="15">
        <v>1.5</v>
      </c>
      <c r="CJ484" s="15"/>
      <c r="CK484" s="15">
        <v>8.4</v>
      </c>
      <c r="CL484" s="15">
        <v>46.3</v>
      </c>
      <c r="CM484" s="15"/>
      <c r="CN484" s="15"/>
      <c r="CO484" s="15"/>
      <c r="CP484" s="15"/>
      <c r="CQ484" s="15"/>
      <c r="CR484" s="15"/>
      <c r="CS484" s="15">
        <v>11.2</v>
      </c>
      <c r="CT484" s="15">
        <v>2.6</v>
      </c>
      <c r="CU484" s="15"/>
      <c r="CV484" s="15"/>
      <c r="CW484" s="15"/>
      <c r="CX484" s="15"/>
      <c r="CY484" s="15"/>
      <c r="CZ484" s="15"/>
      <c r="DA484" s="15"/>
      <c r="DB484" s="15">
        <v>0</v>
      </c>
    </row>
    <row r="485" spans="1:106" x14ac:dyDescent="0.25">
      <c r="A485" t="s">
        <v>465</v>
      </c>
      <c r="B485" t="s">
        <v>466</v>
      </c>
      <c r="C485">
        <v>2019</v>
      </c>
      <c r="D485" s="16" t="s">
        <v>189</v>
      </c>
      <c r="E485">
        <v>0</v>
      </c>
      <c r="F485" s="15">
        <v>38.893210356706298</v>
      </c>
      <c r="G485" s="15"/>
      <c r="H485" s="15"/>
      <c r="I485" s="15">
        <v>26.669629958884318</v>
      </c>
      <c r="J485" s="15">
        <v>16.6685187243027</v>
      </c>
      <c r="K485" s="15"/>
      <c r="L485" s="15">
        <f>IF(Table2[[#This Row],[Lipids wt%]]+Table2[[#This Row],[Protein wt%]]+Table2[[#This Row],[Carbs wt%]] =0,"",SUM(Table2[[#This Row],[Lipids wt%]],Table2[[#This Row],[Protein wt%]],Table2[[#This Row],[Carbs wt%]]))</f>
        <v>82.231359039893306</v>
      </c>
      <c r="M485" s="15">
        <v>15.99</v>
      </c>
      <c r="P485">
        <v>7.31</v>
      </c>
      <c r="Q485">
        <v>6.32</v>
      </c>
      <c r="R485">
        <v>77.69</v>
      </c>
      <c r="Z485" s="15">
        <v>37.06</v>
      </c>
      <c r="AA485" s="15">
        <v>5.66</v>
      </c>
      <c r="AB485" s="15">
        <v>34.549999999999997</v>
      </c>
      <c r="AC485" s="15">
        <v>4</v>
      </c>
      <c r="AD485" s="15"/>
      <c r="AE485" s="15"/>
      <c r="AF485" s="15">
        <v>15.33</v>
      </c>
      <c r="AG485" s="15">
        <v>1.2</v>
      </c>
      <c r="AH485" s="15">
        <v>30</v>
      </c>
      <c r="AI485" s="15">
        <v>270</v>
      </c>
      <c r="AJ485" s="15">
        <v>10</v>
      </c>
      <c r="AK485">
        <v>9</v>
      </c>
      <c r="AM485" s="13"/>
      <c r="AN485">
        <v>1.5</v>
      </c>
      <c r="AO485" s="15">
        <v>30</v>
      </c>
      <c r="AP485" s="15" t="e">
        <f>LN(25/Table2[[#This Row],[Temperature (C)]]/(1-SQRT((Table2[[#This Row],[Temperature (C)]]-5)/Table2[[#This Row],[Temperature (C)]])))/Table2[[#This Row],[b]]</f>
        <v>#DIV/0!</v>
      </c>
      <c r="AQ485" s="15">
        <f>IF(Table2[[#This Row],[b]]&lt;&gt;"",Table2[[#This Row],[T-5]], 0)</f>
        <v>0</v>
      </c>
      <c r="AR485">
        <f>Table2[[#This Row],[Holding Time (min)]]+Table2[[#This Row],[Time to reach temp min]]</f>
        <v>31.5</v>
      </c>
      <c r="AT485" t="s">
        <v>503</v>
      </c>
      <c r="AU485">
        <v>300</v>
      </c>
      <c r="AV485" s="15">
        <v>20.7</v>
      </c>
      <c r="AW485" s="15">
        <v>27.4</v>
      </c>
      <c r="AX485" s="15">
        <v>28.4</v>
      </c>
      <c r="AY485" s="15">
        <v>3.2</v>
      </c>
      <c r="AZ485" s="15"/>
      <c r="BA485" s="15"/>
      <c r="BB485" s="15">
        <f>IF(OR(Table2[[#This Row],[Gas wt%]]&lt;&gt;"",Table2[[#This Row],[Loss]]&lt;&gt;""),Table2[[#This Row],[Gas wt%]]+Table2[[#This Row],[Loss]],"")</f>
        <v>3.2</v>
      </c>
      <c r="BC485" s="15">
        <v>33.5</v>
      </c>
      <c r="BD485" s="15"/>
      <c r="BE485" s="15"/>
      <c r="BF485" s="15"/>
      <c r="BG485" s="15"/>
      <c r="BH485" s="15"/>
      <c r="BI485" s="15">
        <v>67.099999999999994</v>
      </c>
      <c r="BJ485" s="15">
        <v>7.5</v>
      </c>
      <c r="BK485" s="15">
        <v>12.8</v>
      </c>
      <c r="BL485" s="15">
        <v>5.6</v>
      </c>
      <c r="BM485" s="15"/>
      <c r="BN485" s="15">
        <v>31.1</v>
      </c>
      <c r="BO485" s="15">
        <v>55.5</v>
      </c>
      <c r="BP485" s="15">
        <v>5.6</v>
      </c>
      <c r="BQ485" s="15">
        <f>Table2[[#This Row],[H% B]]/Table2[[#This Row],[C% B]]*100</f>
        <v>11.177347242921014</v>
      </c>
      <c r="BR485" s="15"/>
      <c r="BS485" s="15"/>
      <c r="BT485" s="15"/>
      <c r="BU485" s="15"/>
      <c r="BV485" s="15"/>
      <c r="BW485" s="15"/>
      <c r="BX485" s="15"/>
      <c r="BY485" s="15"/>
      <c r="BZ485" s="15"/>
      <c r="CA485" s="15"/>
      <c r="CB485" s="15"/>
      <c r="CC485" s="15"/>
      <c r="CD485" s="15"/>
      <c r="CE485" s="15"/>
      <c r="CF485" s="15">
        <v>25.8</v>
      </c>
      <c r="CG485" s="15">
        <v>3.1</v>
      </c>
      <c r="CH485" s="15">
        <v>23.3</v>
      </c>
      <c r="CI485" s="15">
        <v>1.1000000000000001</v>
      </c>
      <c r="CJ485" s="15"/>
      <c r="CK485" s="15">
        <v>8.1</v>
      </c>
      <c r="CL485" s="15">
        <v>47.8</v>
      </c>
      <c r="CM485" s="15"/>
      <c r="CN485" s="15"/>
      <c r="CO485" s="15"/>
      <c r="CP485" s="15"/>
      <c r="CQ485" s="15"/>
      <c r="CR485" s="15"/>
      <c r="CS485" s="15">
        <v>9</v>
      </c>
      <c r="CT485" s="15">
        <v>2.6</v>
      </c>
      <c r="CU485" s="15"/>
      <c r="CV485" s="15"/>
      <c r="CW485" s="15"/>
      <c r="CX485" s="15"/>
      <c r="CY485" s="15"/>
      <c r="CZ485" s="15"/>
      <c r="DA485" s="15"/>
      <c r="DB485" s="15">
        <v>0</v>
      </c>
    </row>
    <row r="486" spans="1:106" x14ac:dyDescent="0.25">
      <c r="A486" t="s">
        <v>465</v>
      </c>
      <c r="B486" t="s">
        <v>466</v>
      </c>
      <c r="C486">
        <v>2019</v>
      </c>
      <c r="D486" s="16" t="s">
        <v>189</v>
      </c>
      <c r="E486">
        <v>0</v>
      </c>
      <c r="F486" s="15">
        <v>38.893210356706298</v>
      </c>
      <c r="G486" s="15"/>
      <c r="H486" s="15"/>
      <c r="I486" s="15">
        <v>26.669629958884318</v>
      </c>
      <c r="J486" s="15">
        <v>16.6685187243027</v>
      </c>
      <c r="K486" s="15"/>
      <c r="L486" s="15">
        <f>IF(Table2[[#This Row],[Lipids wt%]]+Table2[[#This Row],[Protein wt%]]+Table2[[#This Row],[Carbs wt%]] =0,"",SUM(Table2[[#This Row],[Lipids wt%]],Table2[[#This Row],[Protein wt%]],Table2[[#This Row],[Carbs wt%]]))</f>
        <v>82.231359039893306</v>
      </c>
      <c r="M486" s="15">
        <v>15.99</v>
      </c>
      <c r="P486">
        <v>7.31</v>
      </c>
      <c r="Q486">
        <v>6.32</v>
      </c>
      <c r="R486">
        <v>77.69</v>
      </c>
      <c r="Z486" s="15">
        <v>37.06</v>
      </c>
      <c r="AA486" s="15">
        <v>5.66</v>
      </c>
      <c r="AB486" s="15">
        <v>34.549999999999997</v>
      </c>
      <c r="AC486" s="15">
        <v>4</v>
      </c>
      <c r="AD486" s="15"/>
      <c r="AE486" s="15"/>
      <c r="AF486" s="15">
        <v>15.33</v>
      </c>
      <c r="AG486" s="15">
        <v>1.2</v>
      </c>
      <c r="AH486" s="15">
        <v>30</v>
      </c>
      <c r="AI486" s="15">
        <v>270</v>
      </c>
      <c r="AJ486" s="15">
        <v>10</v>
      </c>
      <c r="AM486" s="13"/>
      <c r="AN486">
        <v>1.75</v>
      </c>
      <c r="AO486" s="15">
        <v>30</v>
      </c>
      <c r="AP486" s="15" t="e">
        <f>LN(25/Table2[[#This Row],[Temperature (C)]]/(1-SQRT((Table2[[#This Row],[Temperature (C)]]-5)/Table2[[#This Row],[Temperature (C)]])))/Table2[[#This Row],[b]]</f>
        <v>#DIV/0!</v>
      </c>
      <c r="AQ486" s="15">
        <f>IF(Table2[[#This Row],[b]]&lt;&gt;"",Table2[[#This Row],[T-5]], 0)</f>
        <v>0</v>
      </c>
      <c r="AR486">
        <f>Table2[[#This Row],[Holding Time (min)]]+Table2[[#This Row],[Time to reach temp min]]</f>
        <v>31.75</v>
      </c>
      <c r="AT486" t="s">
        <v>503</v>
      </c>
      <c r="AU486">
        <v>325</v>
      </c>
      <c r="AV486" s="15">
        <v>20.8</v>
      </c>
      <c r="AW486" s="15">
        <v>29.9</v>
      </c>
      <c r="AX486" s="15">
        <v>25.7</v>
      </c>
      <c r="AY486" s="15">
        <v>3.4</v>
      </c>
      <c r="AZ486" s="15"/>
      <c r="BA486" s="15"/>
      <c r="BB486" s="15">
        <f>IF(OR(Table2[[#This Row],[Gas wt%]]&lt;&gt;"",Table2[[#This Row],[Loss]]&lt;&gt;""),Table2[[#This Row],[Gas wt%]]+Table2[[#This Row],[Loss]],"")</f>
        <v>3.4</v>
      </c>
      <c r="BC486" s="15">
        <v>36.5</v>
      </c>
      <c r="BD486" s="15"/>
      <c r="BE486" s="15"/>
      <c r="BF486" s="15"/>
      <c r="BG486" s="15"/>
      <c r="BH486" s="15"/>
      <c r="BI486" s="15">
        <v>71</v>
      </c>
      <c r="BJ486" s="15">
        <v>9.6999999999999993</v>
      </c>
      <c r="BK486" s="15">
        <v>12.2</v>
      </c>
      <c r="BL486" s="15">
        <v>5.3</v>
      </c>
      <c r="BM486" s="15"/>
      <c r="BN486" s="15">
        <v>31.8</v>
      </c>
      <c r="BO486" s="15">
        <v>62</v>
      </c>
      <c r="BP486" s="15">
        <v>5.6</v>
      </c>
      <c r="BQ486" s="15">
        <f>Table2[[#This Row],[H% B]]/Table2[[#This Row],[C% B]]*100</f>
        <v>13.661971830985914</v>
      </c>
      <c r="BR486" s="15"/>
      <c r="BS486" s="15"/>
      <c r="BT486" s="15"/>
      <c r="BU486" s="15"/>
      <c r="BV486" s="15"/>
      <c r="BW486" s="15"/>
      <c r="BX486" s="15"/>
      <c r="BY486" s="15"/>
      <c r="BZ486" s="15"/>
      <c r="CA486" s="15"/>
      <c r="CB486" s="15"/>
      <c r="CC486" s="15"/>
      <c r="CD486" s="15"/>
      <c r="CE486" s="15"/>
      <c r="CF486" s="15">
        <v>24</v>
      </c>
      <c r="CG486" s="15">
        <v>3</v>
      </c>
      <c r="CH486" s="15">
        <v>24.2</v>
      </c>
      <c r="CI486" s="15">
        <v>0.9</v>
      </c>
      <c r="CJ486" s="15"/>
      <c r="CK486" s="15">
        <v>7.4</v>
      </c>
      <c r="CL486" s="15">
        <v>49.2</v>
      </c>
      <c r="CM486" s="15"/>
      <c r="CN486" s="15"/>
      <c r="CO486" s="15"/>
      <c r="CP486" s="15"/>
      <c r="CQ486" s="15"/>
      <c r="CR486" s="15"/>
      <c r="CS486" s="15">
        <v>7.9</v>
      </c>
      <c r="CT486" s="15">
        <v>2.5</v>
      </c>
      <c r="CU486" s="15"/>
      <c r="CV486" s="15"/>
      <c r="CW486" s="15"/>
      <c r="CX486" s="15"/>
      <c r="CY486" s="15"/>
      <c r="CZ486" s="15"/>
      <c r="DA486" s="15"/>
      <c r="DB486" s="15">
        <v>0</v>
      </c>
    </row>
    <row r="487" spans="1:106" x14ac:dyDescent="0.25">
      <c r="A487" t="s">
        <v>465</v>
      </c>
      <c r="B487" t="s">
        <v>466</v>
      </c>
      <c r="C487">
        <v>2019</v>
      </c>
      <c r="D487" s="16" t="s">
        <v>189</v>
      </c>
      <c r="E487">
        <v>0</v>
      </c>
      <c r="F487" s="15">
        <v>38.893210356706298</v>
      </c>
      <c r="G487" s="15"/>
      <c r="H487" s="15"/>
      <c r="I487" s="15">
        <v>26.669629958884318</v>
      </c>
      <c r="J487" s="15">
        <v>16.6685187243027</v>
      </c>
      <c r="K487" s="15"/>
      <c r="L487" s="15">
        <f>IF(Table2[[#This Row],[Lipids wt%]]+Table2[[#This Row],[Protein wt%]]+Table2[[#This Row],[Carbs wt%]] =0,"",SUM(Table2[[#This Row],[Lipids wt%]],Table2[[#This Row],[Protein wt%]],Table2[[#This Row],[Carbs wt%]]))</f>
        <v>82.231359039893306</v>
      </c>
      <c r="M487" s="15">
        <v>15.99</v>
      </c>
      <c r="P487">
        <v>7.31</v>
      </c>
      <c r="Q487">
        <v>6.32</v>
      </c>
      <c r="R487">
        <v>77.69</v>
      </c>
      <c r="Z487" s="15">
        <v>37.06</v>
      </c>
      <c r="AA487" s="15">
        <v>5.66</v>
      </c>
      <c r="AB487" s="15">
        <v>34.549999999999997</v>
      </c>
      <c r="AC487" s="15">
        <v>4</v>
      </c>
      <c r="AD487" s="15"/>
      <c r="AE487" s="15"/>
      <c r="AF487" s="15">
        <v>15.33</v>
      </c>
      <c r="AG487" s="15">
        <v>1.2</v>
      </c>
      <c r="AH487" s="15">
        <v>30</v>
      </c>
      <c r="AI487" s="15">
        <v>270</v>
      </c>
      <c r="AJ487" s="15">
        <v>10</v>
      </c>
      <c r="AK487">
        <v>17</v>
      </c>
      <c r="AM487" s="13"/>
      <c r="AN487">
        <v>2</v>
      </c>
      <c r="AO487" s="15">
        <v>30</v>
      </c>
      <c r="AP487" s="15" t="e">
        <f>LN(25/Table2[[#This Row],[Temperature (C)]]/(1-SQRT((Table2[[#This Row],[Temperature (C)]]-5)/Table2[[#This Row],[Temperature (C)]])))/Table2[[#This Row],[b]]</f>
        <v>#DIV/0!</v>
      </c>
      <c r="AQ487" s="15">
        <f>IF(Table2[[#This Row],[b]]&lt;&gt;"",Table2[[#This Row],[T-5]], 0)</f>
        <v>0</v>
      </c>
      <c r="AR487">
        <f>Table2[[#This Row],[Holding Time (min)]]+Table2[[#This Row],[Time to reach temp min]]</f>
        <v>32</v>
      </c>
      <c r="AT487" t="s">
        <v>503</v>
      </c>
      <c r="AU487">
        <v>350</v>
      </c>
      <c r="AV487" s="15">
        <v>21.2</v>
      </c>
      <c r="AW487" s="15">
        <v>31</v>
      </c>
      <c r="AX487" s="15">
        <v>18.3</v>
      </c>
      <c r="AY487" s="15">
        <v>3.9</v>
      </c>
      <c r="AZ487" s="15"/>
      <c r="BA487" s="15"/>
      <c r="BB487" s="15">
        <f>IF(OR(Table2[[#This Row],[Gas wt%]]&lt;&gt;"",Table2[[#This Row],[Loss]]&lt;&gt;""),Table2[[#This Row],[Gas wt%]]+Table2[[#This Row],[Loss]],"")</f>
        <v>3.9</v>
      </c>
      <c r="BC487" s="15">
        <v>37.799999999999997</v>
      </c>
      <c r="BD487" s="15"/>
      <c r="BE487" s="15"/>
      <c r="BF487" s="15"/>
      <c r="BG487" s="15"/>
      <c r="BH487" s="15"/>
      <c r="BI487" s="15">
        <v>75.599999999999994</v>
      </c>
      <c r="BJ487" s="15">
        <v>9.9</v>
      </c>
      <c r="BK487" s="15">
        <v>11.9</v>
      </c>
      <c r="BL487" s="15">
        <v>5.5</v>
      </c>
      <c r="BM487" s="15"/>
      <c r="BN487" s="15">
        <v>33.299999999999997</v>
      </c>
      <c r="BO487" s="15">
        <v>67.400000000000006</v>
      </c>
      <c r="BP487" s="15">
        <v>0.8</v>
      </c>
      <c r="BQ487" s="15">
        <f>Table2[[#This Row],[H% B]]/Table2[[#This Row],[C% B]]*100</f>
        <v>13.095238095238097</v>
      </c>
      <c r="BR487" s="15"/>
      <c r="BS487" s="15"/>
      <c r="BT487" s="15"/>
      <c r="BU487" s="15"/>
      <c r="BV487" s="15"/>
      <c r="BW487" s="15"/>
      <c r="BX487" s="15"/>
      <c r="BY487" s="15"/>
      <c r="BZ487" s="15"/>
      <c r="CA487" s="15"/>
      <c r="CB487" s="15"/>
      <c r="CC487" s="15"/>
      <c r="CD487" s="15"/>
      <c r="CE487" s="15"/>
      <c r="CF487" s="15">
        <v>19.399999999999999</v>
      </c>
      <c r="CG487" s="15">
        <v>2.2999999999999998</v>
      </c>
      <c r="CH487" s="15">
        <v>22.9</v>
      </c>
      <c r="CI487" s="15">
        <v>0.6</v>
      </c>
      <c r="CJ487" s="15"/>
      <c r="CK487" s="15">
        <v>5.7</v>
      </c>
      <c r="CL487" s="15">
        <v>55.9</v>
      </c>
      <c r="CM487" s="15"/>
      <c r="CN487" s="15"/>
      <c r="CO487" s="15"/>
      <c r="CP487" s="15"/>
      <c r="CQ487" s="15"/>
      <c r="CR487" s="15"/>
      <c r="CS487" s="15">
        <v>6.6</v>
      </c>
      <c r="CT487" s="15">
        <v>2.6</v>
      </c>
      <c r="CU487" s="15"/>
      <c r="CV487" s="15"/>
      <c r="CW487" s="15"/>
      <c r="CX487" s="15"/>
      <c r="CY487" s="15"/>
      <c r="CZ487" s="15"/>
      <c r="DA487" s="15"/>
      <c r="DB487" s="15">
        <v>0</v>
      </c>
    </row>
    <row r="488" spans="1:106" x14ac:dyDescent="0.25">
      <c r="A488" t="s">
        <v>473</v>
      </c>
      <c r="B488" t="s">
        <v>157</v>
      </c>
      <c r="C488">
        <v>2019</v>
      </c>
      <c r="D488" s="16" t="s">
        <v>474</v>
      </c>
      <c r="E488">
        <v>0</v>
      </c>
      <c r="F488" s="15"/>
      <c r="G488" s="15"/>
      <c r="H488" s="15"/>
      <c r="I488" s="15"/>
      <c r="J488" s="15"/>
      <c r="K488" s="15"/>
      <c r="L488" s="15" t="str">
        <f>IF(Table2[[#This Row],[Lipids wt%]]+Table2[[#This Row],[Protein wt%]]+Table2[[#This Row],[Carbs wt%]] =0,"",SUM(Table2[[#This Row],[Lipids wt%]],Table2[[#This Row],[Protein wt%]],Table2[[#This Row],[Carbs wt%]]))</f>
        <v/>
      </c>
      <c r="M488" s="15">
        <v>16.059999999999999</v>
      </c>
      <c r="P488">
        <v>7.16</v>
      </c>
      <c r="Z488" s="15">
        <v>40.31</v>
      </c>
      <c r="AA488" s="15">
        <v>5.99</v>
      </c>
      <c r="AB488" s="15">
        <v>27.74</v>
      </c>
      <c r="AC488" s="15">
        <v>9.14</v>
      </c>
      <c r="AD488" s="15">
        <v>0.76</v>
      </c>
      <c r="AE488" s="15"/>
      <c r="AF488" s="15">
        <v>17.309999999999999</v>
      </c>
      <c r="AG488" s="15">
        <v>4.8999999999999998E-3</v>
      </c>
      <c r="AH488" s="15">
        <v>0.2712</v>
      </c>
      <c r="AI488" s="15">
        <v>2.7</v>
      </c>
      <c r="AJ488" s="15"/>
      <c r="AK488">
        <v>18</v>
      </c>
      <c r="AM488" s="13"/>
      <c r="AO488" s="15"/>
      <c r="AP488" s="15" t="e">
        <f>LN(25/Table2[[#This Row],[Temperature (C)]]/(1-SQRT((Table2[[#This Row],[Temperature (C)]]-5)/Table2[[#This Row],[Temperature (C)]])))/Table2[[#This Row],[b]]</f>
        <v>#DIV/0!</v>
      </c>
      <c r="AQ488" s="15">
        <f>IF(Table2[[#This Row],[b]]&lt;&gt;"",Table2[[#This Row],[T-5]], 0)</f>
        <v>0</v>
      </c>
      <c r="AR488">
        <v>30</v>
      </c>
      <c r="AT488" t="s">
        <v>503</v>
      </c>
      <c r="AU488">
        <v>340</v>
      </c>
      <c r="AV488" s="15">
        <v>17.402597402597401</v>
      </c>
      <c r="AW488" s="15">
        <v>21.5773195876288</v>
      </c>
      <c r="AX488" s="15"/>
      <c r="AY488" s="15"/>
      <c r="AZ488" s="15"/>
      <c r="BA488" s="15"/>
      <c r="BB488" s="15" t="str">
        <f>IF(OR(Table2[[#This Row],[Gas wt%]]&lt;&gt;"",Table2[[#This Row],[Loss]]&lt;&gt;""),Table2[[#This Row],[Gas wt%]]+Table2[[#This Row],[Loss]],"")</f>
        <v/>
      </c>
      <c r="BC488" s="15"/>
      <c r="BD488" s="15"/>
      <c r="BE488" s="15"/>
      <c r="BF488" s="15"/>
      <c r="BG488" s="15"/>
      <c r="BH488" s="15"/>
      <c r="BI488" s="15">
        <v>72.05</v>
      </c>
      <c r="BJ488" s="15">
        <v>8.2200000000000006</v>
      </c>
      <c r="BK488" s="15">
        <v>11.68</v>
      </c>
      <c r="BL488" s="15">
        <v>6.54</v>
      </c>
      <c r="BM488" s="15">
        <v>1.51</v>
      </c>
      <c r="BN488" s="15">
        <v>34.14</v>
      </c>
      <c r="BO488" s="15">
        <v>41.62</v>
      </c>
      <c r="BP488" s="15"/>
      <c r="BQ488" s="15">
        <f>Table2[[#This Row],[H% B]]/Table2[[#This Row],[C% B]]*100</f>
        <v>11.408743927827897</v>
      </c>
      <c r="BR488" s="15"/>
      <c r="BS488" s="15"/>
      <c r="BT488" s="15"/>
      <c r="BU488" s="15"/>
      <c r="BV488" s="15"/>
      <c r="BW488" s="15"/>
      <c r="BX488" s="15"/>
      <c r="BY488" s="15"/>
      <c r="BZ488" s="15"/>
      <c r="CA488" s="15"/>
      <c r="CB488" s="15"/>
      <c r="CC488" s="15"/>
      <c r="CD488" s="15"/>
      <c r="CE488" s="15"/>
      <c r="CF488" s="15"/>
      <c r="CG488" s="15"/>
      <c r="CH488" s="15"/>
      <c r="CI488" s="15"/>
      <c r="CJ488" s="15"/>
      <c r="CK488" s="15"/>
      <c r="CL488" s="15"/>
      <c r="CM488" s="15"/>
      <c r="CN488" s="15"/>
      <c r="CO488" s="15"/>
      <c r="CP488" s="15"/>
      <c r="CQ488" s="15"/>
      <c r="CR488" s="15"/>
      <c r="CS488" s="15"/>
      <c r="CT488" s="15"/>
      <c r="CU488" s="15"/>
      <c r="CV488" s="15"/>
      <c r="CW488" s="15"/>
      <c r="CX488" s="15"/>
      <c r="CY488" s="15"/>
      <c r="CZ488" s="15"/>
      <c r="DA488" s="15"/>
      <c r="DB488" s="15">
        <v>0</v>
      </c>
    </row>
    <row r="489" spans="1:106" x14ac:dyDescent="0.25">
      <c r="A489" t="s">
        <v>482</v>
      </c>
      <c r="B489" t="s">
        <v>483</v>
      </c>
      <c r="C489">
        <v>2016</v>
      </c>
      <c r="D489" s="16" t="s">
        <v>484</v>
      </c>
      <c r="E489">
        <v>0</v>
      </c>
      <c r="F489" s="15">
        <v>5.8</v>
      </c>
      <c r="G489" s="15"/>
      <c r="H489" s="15"/>
      <c r="I489" s="15">
        <v>30</v>
      </c>
      <c r="J489" s="15">
        <v>57.5</v>
      </c>
      <c r="K489" s="15"/>
      <c r="L489" s="15">
        <f>IF(Table2[[#This Row],[Lipids wt%]]+Table2[[#This Row],[Protein wt%]]+Table2[[#This Row],[Carbs wt%]] =0,"",SUM(Table2[[#This Row],[Lipids wt%]],Table2[[#This Row],[Protein wt%]],Table2[[#This Row],[Carbs wt%]]))</f>
        <v>93.3</v>
      </c>
      <c r="M489" s="15">
        <v>6.7</v>
      </c>
      <c r="U489">
        <v>92.5</v>
      </c>
      <c r="V489">
        <v>4.5999999999999996</v>
      </c>
      <c r="W489">
        <v>2.1</v>
      </c>
      <c r="Z489" s="15"/>
      <c r="AA489" s="15"/>
      <c r="AB489" s="15"/>
      <c r="AC489" s="15"/>
      <c r="AD489" s="15"/>
      <c r="AE489" s="15"/>
      <c r="AF489" s="15"/>
      <c r="AG489" s="15">
        <v>7.4999999999999997E-3</v>
      </c>
      <c r="AH489" s="15">
        <v>1</v>
      </c>
      <c r="AI489" s="15">
        <v>6</v>
      </c>
      <c r="AJ489" s="15">
        <v>14</v>
      </c>
      <c r="AM489" s="13"/>
      <c r="AO489" s="15"/>
      <c r="AP489" s="15" t="e">
        <f>LN(25/Table2[[#This Row],[Temperature (C)]]/(1-SQRT((Table2[[#This Row],[Temperature (C)]]-5)/Table2[[#This Row],[Temperature (C)]])))/Table2[[#This Row],[b]]</f>
        <v>#DIV/0!</v>
      </c>
      <c r="AQ489" s="15">
        <f>IF(Table2[[#This Row],[b]]&lt;&gt;"",Table2[[#This Row],[T-5]], 0)</f>
        <v>0</v>
      </c>
      <c r="AR489">
        <v>10</v>
      </c>
      <c r="AT489" t="s">
        <v>503</v>
      </c>
      <c r="AU489">
        <v>250</v>
      </c>
      <c r="AV489" s="15">
        <v>27.13</v>
      </c>
      <c r="AW489" s="15">
        <v>39.53</v>
      </c>
      <c r="AX489" s="15">
        <v>33.340000000000003</v>
      </c>
      <c r="AY489" s="15"/>
      <c r="AZ489" s="15"/>
      <c r="BA489" s="15"/>
      <c r="BB489" s="15" t="str">
        <f>IF(OR(Table2[[#This Row],[Gas wt%]]&lt;&gt;"",Table2[[#This Row],[Loss]]&lt;&gt;""),Table2[[#This Row],[Gas wt%]]+Table2[[#This Row],[Loss]],"")</f>
        <v/>
      </c>
      <c r="BC489" s="15"/>
      <c r="BD489" s="15"/>
      <c r="BE489" s="15"/>
      <c r="BF489" s="15"/>
      <c r="BG489" s="15"/>
      <c r="BH489" s="15"/>
      <c r="BI489" s="15"/>
      <c r="BJ489" s="15"/>
      <c r="BK489" s="15"/>
      <c r="BL489" s="15"/>
      <c r="BM489" s="15"/>
      <c r="BN489" s="15"/>
      <c r="BO489" s="15"/>
      <c r="BP489" s="15"/>
      <c r="BQ489" s="15"/>
      <c r="BR489" s="15"/>
      <c r="BS489" s="15"/>
      <c r="BT489" s="15"/>
      <c r="BU489" s="15"/>
      <c r="BV489" s="15"/>
      <c r="BW489" s="15"/>
      <c r="BX489" s="15"/>
      <c r="BY489" s="15"/>
      <c r="BZ489" s="15"/>
      <c r="CA489" s="15"/>
      <c r="CB489" s="15"/>
      <c r="CC489" s="15"/>
      <c r="CD489" s="15"/>
      <c r="CE489" s="15"/>
      <c r="CF489" s="15"/>
      <c r="CG489" s="15"/>
      <c r="CH489" s="15"/>
      <c r="CI489" s="15"/>
      <c r="CJ489" s="15"/>
      <c r="CK489" s="15"/>
      <c r="CL489" s="15"/>
      <c r="CM489" s="15"/>
      <c r="CN489" s="15"/>
      <c r="CO489" s="15"/>
      <c r="CP489" s="15"/>
      <c r="CQ489" s="15"/>
      <c r="CR489" s="15"/>
      <c r="CS489" s="15"/>
      <c r="CT489" s="15"/>
      <c r="CU489" s="15"/>
      <c r="CV489" s="15"/>
      <c r="CW489" s="15"/>
      <c r="CX489" s="15"/>
      <c r="CY489" s="15"/>
      <c r="CZ489" s="15"/>
      <c r="DA489" s="15"/>
      <c r="DB489" s="15">
        <v>0</v>
      </c>
    </row>
    <row r="490" spans="1:106" x14ac:dyDescent="0.25">
      <c r="A490" t="s">
        <v>482</v>
      </c>
      <c r="B490" t="s">
        <v>483</v>
      </c>
      <c r="C490">
        <v>2016</v>
      </c>
      <c r="D490" s="16" t="s">
        <v>484</v>
      </c>
      <c r="E490">
        <v>0</v>
      </c>
      <c r="F490" s="15">
        <v>5.8</v>
      </c>
      <c r="G490" s="15"/>
      <c r="H490" s="15"/>
      <c r="I490" s="15">
        <v>30</v>
      </c>
      <c r="J490" s="15">
        <v>57.5</v>
      </c>
      <c r="K490" s="15"/>
      <c r="L490" s="15">
        <f>IF(Table2[[#This Row],[Lipids wt%]]+Table2[[#This Row],[Protein wt%]]+Table2[[#This Row],[Carbs wt%]] =0,"",SUM(Table2[[#This Row],[Lipids wt%]],Table2[[#This Row],[Protein wt%]],Table2[[#This Row],[Carbs wt%]]))</f>
        <v>93.3</v>
      </c>
      <c r="M490" s="15">
        <v>6.7</v>
      </c>
      <c r="U490">
        <v>92.5</v>
      </c>
      <c r="V490">
        <v>4.5999999999999996</v>
      </c>
      <c r="W490">
        <v>2.1</v>
      </c>
      <c r="Z490" s="15"/>
      <c r="AA490" s="15"/>
      <c r="AB490" s="15"/>
      <c r="AC490" s="15"/>
      <c r="AD490" s="15"/>
      <c r="AE490" s="15"/>
      <c r="AF490" s="15"/>
      <c r="AG490" s="15">
        <v>7.4999999999999997E-3</v>
      </c>
      <c r="AH490" s="15">
        <v>1</v>
      </c>
      <c r="AI490" s="15">
        <v>6</v>
      </c>
      <c r="AJ490" s="15">
        <v>14</v>
      </c>
      <c r="AM490" s="13"/>
      <c r="AO490" s="15"/>
      <c r="AP490" s="15" t="e">
        <f>LN(25/Table2[[#This Row],[Temperature (C)]]/(1-SQRT((Table2[[#This Row],[Temperature (C)]]-5)/Table2[[#This Row],[Temperature (C)]])))/Table2[[#This Row],[b]]</f>
        <v>#DIV/0!</v>
      </c>
      <c r="AQ490" s="15">
        <f>IF(Table2[[#This Row],[b]]&lt;&gt;"",Table2[[#This Row],[T-5]], 0)</f>
        <v>0</v>
      </c>
      <c r="AR490">
        <v>20</v>
      </c>
      <c r="AT490" t="s">
        <v>503</v>
      </c>
      <c r="AU490">
        <v>250</v>
      </c>
      <c r="AV490" s="15">
        <v>13.72</v>
      </c>
      <c r="AW490" s="15">
        <v>44.61</v>
      </c>
      <c r="AX490" s="15">
        <v>41.67</v>
      </c>
      <c r="AY490" s="15"/>
      <c r="AZ490" s="15"/>
      <c r="BA490" s="15"/>
      <c r="BB490" s="15" t="str">
        <f>IF(OR(Table2[[#This Row],[Gas wt%]]&lt;&gt;"",Table2[[#This Row],[Loss]]&lt;&gt;""),Table2[[#This Row],[Gas wt%]]+Table2[[#This Row],[Loss]],"")</f>
        <v/>
      </c>
      <c r="BC490" s="15"/>
      <c r="BD490" s="15"/>
      <c r="BE490" s="15"/>
      <c r="BF490" s="15"/>
      <c r="BG490" s="15"/>
      <c r="BH490" s="15"/>
      <c r="BI490" s="15"/>
      <c r="BJ490" s="15"/>
      <c r="BK490" s="15"/>
      <c r="BL490" s="15"/>
      <c r="BM490" s="15"/>
      <c r="BN490" s="15"/>
      <c r="BO490" s="15"/>
      <c r="BP490" s="15"/>
      <c r="BQ490" s="15"/>
      <c r="BR490" s="15"/>
      <c r="BS490" s="15"/>
      <c r="BT490" s="15"/>
      <c r="BU490" s="15"/>
      <c r="BV490" s="15"/>
      <c r="BW490" s="15"/>
      <c r="BX490" s="15"/>
      <c r="BY490" s="15"/>
      <c r="BZ490" s="15"/>
      <c r="CA490" s="15"/>
      <c r="CB490" s="15"/>
      <c r="CC490" s="15"/>
      <c r="CD490" s="15"/>
      <c r="CE490" s="15"/>
      <c r="CF490" s="15"/>
      <c r="CG490" s="15"/>
      <c r="CH490" s="15"/>
      <c r="CI490" s="15"/>
      <c r="CJ490" s="15"/>
      <c r="CK490" s="15"/>
      <c r="CL490" s="15"/>
      <c r="CM490" s="15"/>
      <c r="CN490" s="15"/>
      <c r="CO490" s="15"/>
      <c r="CP490" s="15"/>
      <c r="CQ490" s="15"/>
      <c r="CR490" s="15"/>
      <c r="CS490" s="15"/>
      <c r="CT490" s="15"/>
      <c r="CU490" s="15"/>
      <c r="CV490" s="15"/>
      <c r="CW490" s="15"/>
      <c r="CX490" s="15"/>
      <c r="CY490" s="15"/>
      <c r="CZ490" s="15"/>
      <c r="DA490" s="15"/>
      <c r="DB490" s="15">
        <v>0</v>
      </c>
    </row>
    <row r="491" spans="1:106" x14ac:dyDescent="0.25">
      <c r="A491" t="s">
        <v>482</v>
      </c>
      <c r="B491" t="s">
        <v>483</v>
      </c>
      <c r="C491">
        <v>2016</v>
      </c>
      <c r="D491" s="16" t="s">
        <v>484</v>
      </c>
      <c r="E491">
        <v>0</v>
      </c>
      <c r="F491" s="15">
        <v>5.8</v>
      </c>
      <c r="G491" s="15"/>
      <c r="H491" s="15"/>
      <c r="I491" s="15">
        <v>30</v>
      </c>
      <c r="J491" s="15">
        <v>57.5</v>
      </c>
      <c r="K491" s="15"/>
      <c r="L491" s="15">
        <f>IF(Table2[[#This Row],[Lipids wt%]]+Table2[[#This Row],[Protein wt%]]+Table2[[#This Row],[Carbs wt%]] =0,"",SUM(Table2[[#This Row],[Lipids wt%]],Table2[[#This Row],[Protein wt%]],Table2[[#This Row],[Carbs wt%]]))</f>
        <v>93.3</v>
      </c>
      <c r="M491" s="15">
        <v>6.7</v>
      </c>
      <c r="U491">
        <v>92.5</v>
      </c>
      <c r="V491">
        <v>4.5999999999999996</v>
      </c>
      <c r="W491">
        <v>2.1</v>
      </c>
      <c r="Z491" s="15"/>
      <c r="AA491" s="15"/>
      <c r="AB491" s="15"/>
      <c r="AC491" s="15"/>
      <c r="AD491" s="15"/>
      <c r="AE491" s="15"/>
      <c r="AF491" s="15"/>
      <c r="AG491" s="15">
        <v>7.4999999999999997E-3</v>
      </c>
      <c r="AH491" s="15">
        <v>1</v>
      </c>
      <c r="AI491" s="15">
        <v>6</v>
      </c>
      <c r="AJ491" s="15">
        <v>14</v>
      </c>
      <c r="AM491" s="13"/>
      <c r="AO491" s="15"/>
      <c r="AP491" s="15" t="e">
        <f>LN(25/Table2[[#This Row],[Temperature (C)]]/(1-SQRT((Table2[[#This Row],[Temperature (C)]]-5)/Table2[[#This Row],[Temperature (C)]])))/Table2[[#This Row],[b]]</f>
        <v>#DIV/0!</v>
      </c>
      <c r="AQ491" s="15">
        <f>IF(Table2[[#This Row],[b]]&lt;&gt;"",Table2[[#This Row],[T-5]], 0)</f>
        <v>0</v>
      </c>
      <c r="AR491">
        <v>30</v>
      </c>
      <c r="AT491" t="s">
        <v>503</v>
      </c>
      <c r="AU491">
        <v>250</v>
      </c>
      <c r="AV491" s="15">
        <v>8.66</v>
      </c>
      <c r="AW491" s="15">
        <v>45.21</v>
      </c>
      <c r="AX491" s="15">
        <v>45.01</v>
      </c>
      <c r="AY491" s="15">
        <v>1.1200000000000001</v>
      </c>
      <c r="AZ491" s="15"/>
      <c r="BA491" s="15"/>
      <c r="BB491" s="15">
        <f>IF(OR(Table2[[#This Row],[Gas wt%]]&lt;&gt;"",Table2[[#This Row],[Loss]]&lt;&gt;""),Table2[[#This Row],[Gas wt%]]+Table2[[#This Row],[Loss]],"")</f>
        <v>1.1200000000000001</v>
      </c>
      <c r="BC491" s="15"/>
      <c r="BD491" s="15"/>
      <c r="BE491" s="15"/>
      <c r="BF491" s="15"/>
      <c r="BG491" s="15"/>
      <c r="BH491" s="15"/>
      <c r="BI491" s="15"/>
      <c r="BJ491" s="15"/>
      <c r="BK491" s="15"/>
      <c r="BL491" s="15"/>
      <c r="BM491" s="15"/>
      <c r="BN491" s="15"/>
      <c r="BO491" s="15"/>
      <c r="BP491" s="15"/>
      <c r="BQ491" s="15"/>
      <c r="BR491" s="15"/>
      <c r="BS491" s="15"/>
      <c r="BT491" s="15"/>
      <c r="BU491" s="15"/>
      <c r="BV491" s="15"/>
      <c r="BW491" s="15"/>
      <c r="BX491" s="15"/>
      <c r="BY491" s="15"/>
      <c r="BZ491" s="15"/>
      <c r="CA491" s="15"/>
      <c r="CB491" s="15"/>
      <c r="CC491" s="15"/>
      <c r="CD491" s="15"/>
      <c r="CE491" s="15"/>
      <c r="CF491" s="15"/>
      <c r="CG491" s="15"/>
      <c r="CH491" s="15"/>
      <c r="CI491" s="15"/>
      <c r="CJ491" s="15"/>
      <c r="CK491" s="15"/>
      <c r="CL491" s="15"/>
      <c r="CM491" s="15"/>
      <c r="CN491" s="15"/>
      <c r="CO491" s="15"/>
      <c r="CP491" s="15"/>
      <c r="CQ491" s="15"/>
      <c r="CR491" s="15"/>
      <c r="CS491" s="15"/>
      <c r="CT491" s="15"/>
      <c r="CU491" s="15"/>
      <c r="CV491" s="15"/>
      <c r="CW491" s="15"/>
      <c r="CX491" s="15"/>
      <c r="CY491" s="15"/>
      <c r="CZ491" s="15"/>
      <c r="DA491" s="15"/>
      <c r="DB491" s="15">
        <v>0</v>
      </c>
    </row>
    <row r="492" spans="1:106" x14ac:dyDescent="0.25">
      <c r="A492" t="s">
        <v>482</v>
      </c>
      <c r="B492" t="s">
        <v>483</v>
      </c>
      <c r="C492">
        <v>2016</v>
      </c>
      <c r="D492" s="16" t="s">
        <v>484</v>
      </c>
      <c r="E492">
        <v>0</v>
      </c>
      <c r="F492" s="15">
        <v>5.8</v>
      </c>
      <c r="G492" s="15"/>
      <c r="H492" s="15"/>
      <c r="I492" s="15">
        <v>30</v>
      </c>
      <c r="J492" s="15">
        <v>57.5</v>
      </c>
      <c r="K492" s="15"/>
      <c r="L492" s="15">
        <f>IF(Table2[[#This Row],[Lipids wt%]]+Table2[[#This Row],[Protein wt%]]+Table2[[#This Row],[Carbs wt%]] =0,"",SUM(Table2[[#This Row],[Lipids wt%]],Table2[[#This Row],[Protein wt%]],Table2[[#This Row],[Carbs wt%]]))</f>
        <v>93.3</v>
      </c>
      <c r="M492" s="15">
        <v>6.7</v>
      </c>
      <c r="U492">
        <v>92.5</v>
      </c>
      <c r="V492">
        <v>4.5999999999999996</v>
      </c>
      <c r="W492">
        <v>2.1</v>
      </c>
      <c r="Z492" s="15"/>
      <c r="AA492" s="15"/>
      <c r="AB492" s="15"/>
      <c r="AC492" s="15"/>
      <c r="AD492" s="15"/>
      <c r="AE492" s="15"/>
      <c r="AF492" s="15"/>
      <c r="AG492" s="15">
        <v>7.4999999999999997E-3</v>
      </c>
      <c r="AH492" s="15">
        <v>1</v>
      </c>
      <c r="AI492" s="15">
        <v>6</v>
      </c>
      <c r="AJ492" s="15">
        <v>14</v>
      </c>
      <c r="AM492" s="13"/>
      <c r="AO492" s="15"/>
      <c r="AP492" s="15" t="e">
        <f>LN(25/Table2[[#This Row],[Temperature (C)]]/(1-SQRT((Table2[[#This Row],[Temperature (C)]]-5)/Table2[[#This Row],[Temperature (C)]])))/Table2[[#This Row],[b]]</f>
        <v>#DIV/0!</v>
      </c>
      <c r="AQ492" s="15">
        <f>IF(Table2[[#This Row],[b]]&lt;&gt;"",Table2[[#This Row],[T-5]], 0)</f>
        <v>0</v>
      </c>
      <c r="AR492">
        <v>40</v>
      </c>
      <c r="AT492" t="s">
        <v>503</v>
      </c>
      <c r="AU492">
        <v>250</v>
      </c>
      <c r="AV492" s="15">
        <v>4.8099999999999996</v>
      </c>
      <c r="AW492" s="15">
        <v>46.09</v>
      </c>
      <c r="AX492" s="15">
        <v>47.23</v>
      </c>
      <c r="AY492" s="15">
        <v>1.87</v>
      </c>
      <c r="AZ492" s="15"/>
      <c r="BA492" s="15"/>
      <c r="BB492" s="15">
        <f>IF(OR(Table2[[#This Row],[Gas wt%]]&lt;&gt;"",Table2[[#This Row],[Loss]]&lt;&gt;""),Table2[[#This Row],[Gas wt%]]+Table2[[#This Row],[Loss]],"")</f>
        <v>1.87</v>
      </c>
      <c r="BC492" s="15"/>
      <c r="BD492" s="15"/>
      <c r="BE492" s="15"/>
      <c r="BF492" s="15"/>
      <c r="BG492" s="15"/>
      <c r="BH492" s="15"/>
      <c r="BI492" s="15"/>
      <c r="BJ492" s="15"/>
      <c r="BK492" s="15"/>
      <c r="BL492" s="15"/>
      <c r="BM492" s="15"/>
      <c r="BN492" s="15"/>
      <c r="BO492" s="15"/>
      <c r="BP492" s="15"/>
      <c r="BQ492" s="15"/>
      <c r="BR492" s="15"/>
      <c r="BS492" s="15"/>
      <c r="BT492" s="15"/>
      <c r="BU492" s="15"/>
      <c r="BV492" s="15"/>
      <c r="BW492" s="15"/>
      <c r="BX492" s="15"/>
      <c r="BY492" s="15"/>
      <c r="BZ492" s="15"/>
      <c r="CA492" s="15"/>
      <c r="CB492" s="15"/>
      <c r="CC492" s="15"/>
      <c r="CD492" s="15"/>
      <c r="CE492" s="15"/>
      <c r="CF492" s="15"/>
      <c r="CG492" s="15"/>
      <c r="CH492" s="15"/>
      <c r="CI492" s="15"/>
      <c r="CJ492" s="15"/>
      <c r="CK492" s="15"/>
      <c r="CL492" s="15"/>
      <c r="CM492" s="15"/>
      <c r="CN492" s="15"/>
      <c r="CO492" s="15"/>
      <c r="CP492" s="15"/>
      <c r="CQ492" s="15"/>
      <c r="CR492" s="15"/>
      <c r="CS492" s="15"/>
      <c r="CT492" s="15"/>
      <c r="CU492" s="15"/>
      <c r="CV492" s="15"/>
      <c r="CW492" s="15"/>
      <c r="CX492" s="15"/>
      <c r="CY492" s="15"/>
      <c r="CZ492" s="15"/>
      <c r="DA492" s="15"/>
      <c r="DB492" s="15">
        <v>0</v>
      </c>
    </row>
    <row r="493" spans="1:106" x14ac:dyDescent="0.25">
      <c r="A493" t="s">
        <v>482</v>
      </c>
      <c r="B493" t="s">
        <v>483</v>
      </c>
      <c r="C493">
        <v>2016</v>
      </c>
      <c r="D493" s="16" t="s">
        <v>484</v>
      </c>
      <c r="E493">
        <v>0</v>
      </c>
      <c r="F493" s="15">
        <v>5.8</v>
      </c>
      <c r="G493" s="15"/>
      <c r="H493" s="15"/>
      <c r="I493" s="15">
        <v>30</v>
      </c>
      <c r="J493" s="15">
        <v>57.5</v>
      </c>
      <c r="K493" s="15"/>
      <c r="L493" s="15">
        <f>IF(Table2[[#This Row],[Lipids wt%]]+Table2[[#This Row],[Protein wt%]]+Table2[[#This Row],[Carbs wt%]] =0,"",SUM(Table2[[#This Row],[Lipids wt%]],Table2[[#This Row],[Protein wt%]],Table2[[#This Row],[Carbs wt%]]))</f>
        <v>93.3</v>
      </c>
      <c r="M493" s="15">
        <v>6.7</v>
      </c>
      <c r="U493">
        <v>92.5</v>
      </c>
      <c r="V493">
        <v>4.5999999999999996</v>
      </c>
      <c r="W493">
        <v>2.1</v>
      </c>
      <c r="Z493" s="15"/>
      <c r="AA493" s="15"/>
      <c r="AB493" s="15"/>
      <c r="AC493" s="15"/>
      <c r="AD493" s="15"/>
      <c r="AE493" s="15"/>
      <c r="AF493" s="15"/>
      <c r="AG493" s="15">
        <v>7.4999999999999997E-3</v>
      </c>
      <c r="AH493" s="15">
        <v>1</v>
      </c>
      <c r="AI493" s="15">
        <v>6</v>
      </c>
      <c r="AJ493" s="15">
        <v>14</v>
      </c>
      <c r="AM493" s="13"/>
      <c r="AO493" s="15"/>
      <c r="AP493" s="15" t="e">
        <f>LN(25/Table2[[#This Row],[Temperature (C)]]/(1-SQRT((Table2[[#This Row],[Temperature (C)]]-5)/Table2[[#This Row],[Temperature (C)]])))/Table2[[#This Row],[b]]</f>
        <v>#DIV/0!</v>
      </c>
      <c r="AQ493" s="15">
        <f>IF(Table2[[#This Row],[b]]&lt;&gt;"",Table2[[#This Row],[T-5]], 0)</f>
        <v>0</v>
      </c>
      <c r="AR493">
        <v>60</v>
      </c>
      <c r="AT493" t="s">
        <v>503</v>
      </c>
      <c r="AU493">
        <v>250</v>
      </c>
      <c r="AV493" s="15">
        <v>5.67</v>
      </c>
      <c r="AW493" s="15">
        <v>45.51</v>
      </c>
      <c r="AX493" s="15">
        <v>46.12</v>
      </c>
      <c r="AY493" s="15">
        <v>2.7</v>
      </c>
      <c r="AZ493" s="15"/>
      <c r="BA493" s="15"/>
      <c r="BB493" s="15">
        <f>IF(OR(Table2[[#This Row],[Gas wt%]]&lt;&gt;"",Table2[[#This Row],[Loss]]&lt;&gt;""),Table2[[#This Row],[Gas wt%]]+Table2[[#This Row],[Loss]],"")</f>
        <v>2.7</v>
      </c>
      <c r="BC493" s="15"/>
      <c r="BD493" s="15"/>
      <c r="BE493" s="15"/>
      <c r="BF493" s="15"/>
      <c r="BG493" s="15"/>
      <c r="BH493" s="15"/>
      <c r="BI493" s="15"/>
      <c r="BJ493" s="15"/>
      <c r="BK493" s="15"/>
      <c r="BL493" s="15"/>
      <c r="BM493" s="15"/>
      <c r="BN493" s="15"/>
      <c r="BO493" s="15"/>
      <c r="BP493" s="15"/>
      <c r="BQ493" s="15"/>
      <c r="BR493" s="15"/>
      <c r="BS493" s="15"/>
      <c r="BT493" s="15"/>
      <c r="BU493" s="15"/>
      <c r="BV493" s="15"/>
      <c r="BW493" s="15"/>
      <c r="BX493" s="15"/>
      <c r="BY493" s="15"/>
      <c r="BZ493" s="15"/>
      <c r="CA493" s="15"/>
      <c r="CB493" s="15"/>
      <c r="CC493" s="15"/>
      <c r="CD493" s="15"/>
      <c r="CE493" s="15"/>
      <c r="CF493" s="15"/>
      <c r="CG493" s="15"/>
      <c r="CH493" s="15"/>
      <c r="CI493" s="15"/>
      <c r="CJ493" s="15"/>
      <c r="CK493" s="15"/>
      <c r="CL493" s="15"/>
      <c r="CM493" s="15"/>
      <c r="CN493" s="15"/>
      <c r="CO493" s="15"/>
      <c r="CP493" s="15"/>
      <c r="CQ493" s="15"/>
      <c r="CR493" s="15"/>
      <c r="CS493" s="15"/>
      <c r="CT493" s="15"/>
      <c r="CU493" s="15"/>
      <c r="CV493" s="15"/>
      <c r="CW493" s="15"/>
      <c r="CX493" s="15"/>
      <c r="CY493" s="15"/>
      <c r="CZ493" s="15"/>
      <c r="DA493" s="15"/>
      <c r="DB493" s="15">
        <v>0</v>
      </c>
    </row>
    <row r="494" spans="1:106" x14ac:dyDescent="0.25">
      <c r="A494" t="s">
        <v>482</v>
      </c>
      <c r="B494" t="s">
        <v>483</v>
      </c>
      <c r="C494">
        <v>2016</v>
      </c>
      <c r="D494" s="16" t="s">
        <v>484</v>
      </c>
      <c r="E494">
        <v>0</v>
      </c>
      <c r="F494" s="15">
        <v>5.8</v>
      </c>
      <c r="G494" s="15"/>
      <c r="H494" s="15"/>
      <c r="I494" s="15">
        <v>30</v>
      </c>
      <c r="J494" s="15">
        <v>57.5</v>
      </c>
      <c r="K494" s="15"/>
      <c r="L494" s="15">
        <f>IF(Table2[[#This Row],[Lipids wt%]]+Table2[[#This Row],[Protein wt%]]+Table2[[#This Row],[Carbs wt%]] =0,"",SUM(Table2[[#This Row],[Lipids wt%]],Table2[[#This Row],[Protein wt%]],Table2[[#This Row],[Carbs wt%]]))</f>
        <v>93.3</v>
      </c>
      <c r="M494" s="15">
        <v>6.7</v>
      </c>
      <c r="U494">
        <v>92.5</v>
      </c>
      <c r="V494">
        <v>4.5999999999999996</v>
      </c>
      <c r="W494">
        <v>2.1</v>
      </c>
      <c r="Z494" s="15"/>
      <c r="AA494" s="15"/>
      <c r="AB494" s="15"/>
      <c r="AC494" s="15"/>
      <c r="AD494" s="15"/>
      <c r="AE494" s="15"/>
      <c r="AF494" s="15"/>
      <c r="AG494" s="15">
        <v>7.4999999999999997E-3</v>
      </c>
      <c r="AH494" s="15">
        <v>1</v>
      </c>
      <c r="AI494" s="15">
        <v>6</v>
      </c>
      <c r="AJ494" s="15">
        <v>14</v>
      </c>
      <c r="AM494" s="13"/>
      <c r="AO494" s="15"/>
      <c r="AP494" s="15" t="e">
        <f>LN(25/Table2[[#This Row],[Temperature (C)]]/(1-SQRT((Table2[[#This Row],[Temperature (C)]]-5)/Table2[[#This Row],[Temperature (C)]])))/Table2[[#This Row],[b]]</f>
        <v>#DIV/0!</v>
      </c>
      <c r="AQ494" s="15">
        <f>IF(Table2[[#This Row],[b]]&lt;&gt;"",Table2[[#This Row],[T-5]], 0)</f>
        <v>0</v>
      </c>
      <c r="AR494">
        <v>10</v>
      </c>
      <c r="AT494" t="s">
        <v>503</v>
      </c>
      <c r="AU494">
        <v>300</v>
      </c>
      <c r="AV494" s="15">
        <v>15.36</v>
      </c>
      <c r="AW494" s="15">
        <v>46.29</v>
      </c>
      <c r="AX494" s="15">
        <v>37.78</v>
      </c>
      <c r="AY494" s="15">
        <v>0.56999999999999995</v>
      </c>
      <c r="AZ494" s="15"/>
      <c r="BA494" s="15"/>
      <c r="BB494" s="15">
        <f>IF(OR(Table2[[#This Row],[Gas wt%]]&lt;&gt;"",Table2[[#This Row],[Loss]]&lt;&gt;""),Table2[[#This Row],[Gas wt%]]+Table2[[#This Row],[Loss]],"")</f>
        <v>0.56999999999999995</v>
      </c>
      <c r="BC494" s="15"/>
      <c r="BD494" s="15"/>
      <c r="BE494" s="15"/>
      <c r="BF494" s="15"/>
      <c r="BG494" s="15"/>
      <c r="BH494" s="15"/>
      <c r="BI494" s="15"/>
      <c r="BJ494" s="15"/>
      <c r="BK494" s="15"/>
      <c r="BL494" s="15"/>
      <c r="BM494" s="15"/>
      <c r="BN494" s="15"/>
      <c r="BO494" s="15"/>
      <c r="BP494" s="15"/>
      <c r="BQ494" s="15"/>
      <c r="BR494" s="15"/>
      <c r="BS494" s="15"/>
      <c r="BT494" s="15"/>
      <c r="BU494" s="15"/>
      <c r="BV494" s="15"/>
      <c r="BW494" s="15"/>
      <c r="BX494" s="15"/>
      <c r="BY494" s="15"/>
      <c r="BZ494" s="15"/>
      <c r="CA494" s="15"/>
      <c r="CB494" s="15"/>
      <c r="CC494" s="15"/>
      <c r="CD494" s="15"/>
      <c r="CE494" s="15"/>
      <c r="CF494" s="15"/>
      <c r="CG494" s="15"/>
      <c r="CH494" s="15"/>
      <c r="CI494" s="15"/>
      <c r="CJ494" s="15"/>
      <c r="CK494" s="15"/>
      <c r="CL494" s="15"/>
      <c r="CM494" s="15"/>
      <c r="CN494" s="15"/>
      <c r="CO494" s="15"/>
      <c r="CP494" s="15"/>
      <c r="CQ494" s="15"/>
      <c r="CR494" s="15"/>
      <c r="CS494" s="15"/>
      <c r="CT494" s="15"/>
      <c r="CU494" s="15"/>
      <c r="CV494" s="15"/>
      <c r="CW494" s="15"/>
      <c r="CX494" s="15"/>
      <c r="CY494" s="15"/>
      <c r="CZ494" s="15"/>
      <c r="DA494" s="15"/>
      <c r="DB494" s="15">
        <v>0</v>
      </c>
    </row>
    <row r="495" spans="1:106" x14ac:dyDescent="0.25">
      <c r="A495" t="s">
        <v>482</v>
      </c>
      <c r="B495" t="s">
        <v>483</v>
      </c>
      <c r="C495">
        <v>2016</v>
      </c>
      <c r="D495" s="16" t="s">
        <v>484</v>
      </c>
      <c r="E495">
        <v>0</v>
      </c>
      <c r="F495" s="15">
        <v>5.8</v>
      </c>
      <c r="G495" s="15"/>
      <c r="H495" s="15"/>
      <c r="I495" s="15">
        <v>30</v>
      </c>
      <c r="J495" s="15">
        <v>57.5</v>
      </c>
      <c r="K495" s="15"/>
      <c r="L495" s="15">
        <f>IF(Table2[[#This Row],[Lipids wt%]]+Table2[[#This Row],[Protein wt%]]+Table2[[#This Row],[Carbs wt%]] =0,"",SUM(Table2[[#This Row],[Lipids wt%]],Table2[[#This Row],[Protein wt%]],Table2[[#This Row],[Carbs wt%]]))</f>
        <v>93.3</v>
      </c>
      <c r="M495" s="15">
        <v>6.7</v>
      </c>
      <c r="U495">
        <v>92.5</v>
      </c>
      <c r="V495">
        <v>4.5999999999999996</v>
      </c>
      <c r="W495">
        <v>2.1</v>
      </c>
      <c r="Z495" s="15"/>
      <c r="AA495" s="15"/>
      <c r="AB495" s="15"/>
      <c r="AC495" s="15"/>
      <c r="AD495" s="15"/>
      <c r="AE495" s="15"/>
      <c r="AF495" s="15"/>
      <c r="AG495" s="15">
        <v>7.4999999999999997E-3</v>
      </c>
      <c r="AH495" s="15">
        <v>1</v>
      </c>
      <c r="AI495" s="15">
        <v>6</v>
      </c>
      <c r="AJ495" s="15">
        <v>14</v>
      </c>
      <c r="AM495" s="13"/>
      <c r="AO495" s="15"/>
      <c r="AP495" s="15" t="e">
        <f>LN(25/Table2[[#This Row],[Temperature (C)]]/(1-SQRT((Table2[[#This Row],[Temperature (C)]]-5)/Table2[[#This Row],[Temperature (C)]])))/Table2[[#This Row],[b]]</f>
        <v>#DIV/0!</v>
      </c>
      <c r="AQ495" s="15">
        <f>IF(Table2[[#This Row],[b]]&lt;&gt;"",Table2[[#This Row],[T-5]], 0)</f>
        <v>0</v>
      </c>
      <c r="AR495">
        <v>20</v>
      </c>
      <c r="AT495" t="s">
        <v>503</v>
      </c>
      <c r="AU495">
        <v>300</v>
      </c>
      <c r="AV495" s="15">
        <v>7.86</v>
      </c>
      <c r="AW495" s="15">
        <v>46.93</v>
      </c>
      <c r="AX495" s="15">
        <v>44.03</v>
      </c>
      <c r="AY495" s="15">
        <v>1.18</v>
      </c>
      <c r="AZ495" s="15"/>
      <c r="BA495" s="15"/>
      <c r="BB495" s="15">
        <f>IF(OR(Table2[[#This Row],[Gas wt%]]&lt;&gt;"",Table2[[#This Row],[Loss]]&lt;&gt;""),Table2[[#This Row],[Gas wt%]]+Table2[[#This Row],[Loss]],"")</f>
        <v>1.18</v>
      </c>
      <c r="BC495" s="15"/>
      <c r="BD495" s="15"/>
      <c r="BE495" s="15"/>
      <c r="BF495" s="15"/>
      <c r="BG495" s="15"/>
      <c r="BH495" s="15"/>
      <c r="BI495" s="15"/>
      <c r="BJ495" s="15"/>
      <c r="BK495" s="15"/>
      <c r="BL495" s="15"/>
      <c r="BM495" s="15"/>
      <c r="BN495" s="15"/>
      <c r="BO495" s="15"/>
      <c r="BP495" s="15"/>
      <c r="BQ495" s="15"/>
      <c r="BR495" s="15"/>
      <c r="BS495" s="15"/>
      <c r="BT495" s="15"/>
      <c r="BU495" s="15"/>
      <c r="BV495" s="15"/>
      <c r="BW495" s="15"/>
      <c r="BX495" s="15"/>
      <c r="BY495" s="15"/>
      <c r="BZ495" s="15"/>
      <c r="CA495" s="15"/>
      <c r="CB495" s="15"/>
      <c r="CC495" s="15"/>
      <c r="CD495" s="15"/>
      <c r="CE495" s="15"/>
      <c r="CF495" s="15"/>
      <c r="CG495" s="15"/>
      <c r="CH495" s="15"/>
      <c r="CI495" s="15"/>
      <c r="CJ495" s="15"/>
      <c r="CK495" s="15"/>
      <c r="CL495" s="15"/>
      <c r="CM495" s="15"/>
      <c r="CN495" s="15"/>
      <c r="CO495" s="15"/>
      <c r="CP495" s="15"/>
      <c r="CQ495" s="15"/>
      <c r="CR495" s="15"/>
      <c r="CS495" s="15"/>
      <c r="CT495" s="15"/>
      <c r="CU495" s="15"/>
      <c r="CV495" s="15"/>
      <c r="CW495" s="15"/>
      <c r="CX495" s="15"/>
      <c r="CY495" s="15"/>
      <c r="CZ495" s="15"/>
      <c r="DA495" s="15"/>
      <c r="DB495" s="15">
        <v>0</v>
      </c>
    </row>
    <row r="496" spans="1:106" x14ac:dyDescent="0.25">
      <c r="A496" t="s">
        <v>482</v>
      </c>
      <c r="B496" t="s">
        <v>483</v>
      </c>
      <c r="C496">
        <v>2016</v>
      </c>
      <c r="D496" s="16" t="s">
        <v>484</v>
      </c>
      <c r="E496">
        <v>0</v>
      </c>
      <c r="F496" s="15">
        <v>5.8</v>
      </c>
      <c r="G496" s="15"/>
      <c r="H496" s="15"/>
      <c r="I496" s="15">
        <v>30</v>
      </c>
      <c r="J496" s="15">
        <v>57.5</v>
      </c>
      <c r="K496" s="15"/>
      <c r="L496" s="15">
        <f>IF(Table2[[#This Row],[Lipids wt%]]+Table2[[#This Row],[Protein wt%]]+Table2[[#This Row],[Carbs wt%]] =0,"",SUM(Table2[[#This Row],[Lipids wt%]],Table2[[#This Row],[Protein wt%]],Table2[[#This Row],[Carbs wt%]]))</f>
        <v>93.3</v>
      </c>
      <c r="M496" s="15">
        <v>6.7</v>
      </c>
      <c r="U496">
        <v>92.5</v>
      </c>
      <c r="V496">
        <v>4.5999999999999996</v>
      </c>
      <c r="W496">
        <v>2.1</v>
      </c>
      <c r="Z496" s="15"/>
      <c r="AA496" s="15"/>
      <c r="AB496" s="15"/>
      <c r="AC496" s="15"/>
      <c r="AD496" s="15"/>
      <c r="AE496" s="15"/>
      <c r="AF496" s="15"/>
      <c r="AG496" s="15">
        <v>7.4999999999999997E-3</v>
      </c>
      <c r="AH496" s="15">
        <v>1</v>
      </c>
      <c r="AI496" s="15">
        <v>6</v>
      </c>
      <c r="AJ496" s="15">
        <v>14</v>
      </c>
      <c r="AM496" s="13"/>
      <c r="AO496" s="15"/>
      <c r="AP496" s="15" t="e">
        <f>LN(25/Table2[[#This Row],[Temperature (C)]]/(1-SQRT((Table2[[#This Row],[Temperature (C)]]-5)/Table2[[#This Row],[Temperature (C)]])))/Table2[[#This Row],[b]]</f>
        <v>#DIV/0!</v>
      </c>
      <c r="AQ496" s="15">
        <f>IF(Table2[[#This Row],[b]]&lt;&gt;"",Table2[[#This Row],[T-5]], 0)</f>
        <v>0</v>
      </c>
      <c r="AR496">
        <v>30</v>
      </c>
      <c r="AT496" t="s">
        <v>503</v>
      </c>
      <c r="AU496">
        <v>300</v>
      </c>
      <c r="AV496" s="15">
        <v>5.48</v>
      </c>
      <c r="AW496" s="15">
        <v>48.04</v>
      </c>
      <c r="AX496" s="15">
        <v>44.18</v>
      </c>
      <c r="AY496" s="15">
        <v>2.2999999999999998</v>
      </c>
      <c r="AZ496" s="15"/>
      <c r="BA496" s="15"/>
      <c r="BB496" s="15">
        <f>IF(OR(Table2[[#This Row],[Gas wt%]]&lt;&gt;"",Table2[[#This Row],[Loss]]&lt;&gt;""),Table2[[#This Row],[Gas wt%]]+Table2[[#This Row],[Loss]],"")</f>
        <v>2.2999999999999998</v>
      </c>
      <c r="BC496" s="15"/>
      <c r="BD496" s="15"/>
      <c r="BE496" s="15"/>
      <c r="BF496" s="15"/>
      <c r="BG496" s="15"/>
      <c r="BH496" s="15"/>
      <c r="BI496" s="15"/>
      <c r="BJ496" s="15"/>
      <c r="BK496" s="15"/>
      <c r="BL496" s="15"/>
      <c r="BM496" s="15"/>
      <c r="BN496" s="15"/>
      <c r="BO496" s="15"/>
      <c r="BP496" s="15"/>
      <c r="BQ496" s="15"/>
      <c r="BR496" s="15"/>
      <c r="BS496" s="15"/>
      <c r="BT496" s="15"/>
      <c r="BU496" s="15"/>
      <c r="BV496" s="15"/>
      <c r="BW496" s="15"/>
      <c r="BX496" s="15"/>
      <c r="BY496" s="15"/>
      <c r="BZ496" s="15"/>
      <c r="CA496" s="15"/>
      <c r="CB496" s="15"/>
      <c r="CC496" s="15"/>
      <c r="CD496" s="15"/>
      <c r="CE496" s="15"/>
      <c r="CF496" s="15"/>
      <c r="CG496" s="15"/>
      <c r="CH496" s="15"/>
      <c r="CI496" s="15"/>
      <c r="CJ496" s="15"/>
      <c r="CK496" s="15"/>
      <c r="CL496" s="15"/>
      <c r="CM496" s="15"/>
      <c r="CN496" s="15"/>
      <c r="CO496" s="15"/>
      <c r="CP496" s="15"/>
      <c r="CQ496" s="15"/>
      <c r="CR496" s="15"/>
      <c r="CS496" s="15"/>
      <c r="CT496" s="15"/>
      <c r="CU496" s="15"/>
      <c r="CV496" s="15"/>
      <c r="CW496" s="15"/>
      <c r="CX496" s="15"/>
      <c r="CY496" s="15"/>
      <c r="CZ496" s="15"/>
      <c r="DA496" s="15"/>
      <c r="DB496" s="15">
        <v>0</v>
      </c>
    </row>
    <row r="497" spans="1:106" x14ac:dyDescent="0.25">
      <c r="A497" t="s">
        <v>482</v>
      </c>
      <c r="B497" t="s">
        <v>483</v>
      </c>
      <c r="C497">
        <v>2016</v>
      </c>
      <c r="D497" s="16" t="s">
        <v>484</v>
      </c>
      <c r="E497">
        <v>0</v>
      </c>
      <c r="F497" s="15">
        <v>5.8</v>
      </c>
      <c r="G497" s="15"/>
      <c r="H497" s="15"/>
      <c r="I497" s="15">
        <v>30</v>
      </c>
      <c r="J497" s="15">
        <v>57.5</v>
      </c>
      <c r="K497" s="15"/>
      <c r="L497" s="15">
        <f>IF(Table2[[#This Row],[Lipids wt%]]+Table2[[#This Row],[Protein wt%]]+Table2[[#This Row],[Carbs wt%]] =0,"",SUM(Table2[[#This Row],[Lipids wt%]],Table2[[#This Row],[Protein wt%]],Table2[[#This Row],[Carbs wt%]]))</f>
        <v>93.3</v>
      </c>
      <c r="M497" s="15">
        <v>6.7</v>
      </c>
      <c r="U497">
        <v>92.5</v>
      </c>
      <c r="V497">
        <v>4.5999999999999996</v>
      </c>
      <c r="W497">
        <v>2.1</v>
      </c>
      <c r="Z497" s="15"/>
      <c r="AA497" s="15"/>
      <c r="AB497" s="15"/>
      <c r="AC497" s="15"/>
      <c r="AD497" s="15"/>
      <c r="AE497" s="15"/>
      <c r="AF497" s="15"/>
      <c r="AG497" s="15">
        <v>7.4999999999999997E-3</v>
      </c>
      <c r="AH497" s="15">
        <v>1</v>
      </c>
      <c r="AI497" s="15">
        <v>6</v>
      </c>
      <c r="AJ497" s="15">
        <v>14</v>
      </c>
      <c r="AM497" s="13"/>
      <c r="AO497" s="15"/>
      <c r="AP497" s="15" t="e">
        <f>LN(25/Table2[[#This Row],[Temperature (C)]]/(1-SQRT((Table2[[#This Row],[Temperature (C)]]-5)/Table2[[#This Row],[Temperature (C)]])))/Table2[[#This Row],[b]]</f>
        <v>#DIV/0!</v>
      </c>
      <c r="AQ497" s="15">
        <f>IF(Table2[[#This Row],[b]]&lt;&gt;"",Table2[[#This Row],[T-5]], 0)</f>
        <v>0</v>
      </c>
      <c r="AR497">
        <v>40</v>
      </c>
      <c r="AT497" t="s">
        <v>503</v>
      </c>
      <c r="AU497">
        <v>300</v>
      </c>
      <c r="AV497" s="15">
        <v>5.41</v>
      </c>
      <c r="AW497" s="15">
        <v>47.84</v>
      </c>
      <c r="AX497" s="15">
        <v>43.24</v>
      </c>
      <c r="AY497" s="15">
        <v>3.51</v>
      </c>
      <c r="AZ497" s="15"/>
      <c r="BA497" s="15"/>
      <c r="BB497" s="15">
        <f>IF(OR(Table2[[#This Row],[Gas wt%]]&lt;&gt;"",Table2[[#This Row],[Loss]]&lt;&gt;""),Table2[[#This Row],[Gas wt%]]+Table2[[#This Row],[Loss]],"")</f>
        <v>3.51</v>
      </c>
      <c r="BC497" s="15"/>
      <c r="BD497" s="15"/>
      <c r="BE497" s="15"/>
      <c r="BF497" s="15"/>
      <c r="BG497" s="15"/>
      <c r="BH497" s="15"/>
      <c r="BI497" s="15"/>
      <c r="BJ497" s="15"/>
      <c r="BK497" s="15"/>
      <c r="BL497" s="15"/>
      <c r="BM497" s="15"/>
      <c r="BN497" s="15"/>
      <c r="BO497" s="15"/>
      <c r="BP497" s="15"/>
      <c r="BQ497" s="15"/>
      <c r="BR497" s="15"/>
      <c r="BS497" s="15"/>
      <c r="BT497" s="15"/>
      <c r="BU497" s="15"/>
      <c r="BV497" s="15"/>
      <c r="BW497" s="15"/>
      <c r="BX497" s="15"/>
      <c r="BY497" s="15"/>
      <c r="BZ497" s="15"/>
      <c r="CA497" s="15"/>
      <c r="CB497" s="15"/>
      <c r="CC497" s="15"/>
      <c r="CD497" s="15"/>
      <c r="CE497" s="15"/>
      <c r="CF497" s="15"/>
      <c r="CG497" s="15"/>
      <c r="CH497" s="15"/>
      <c r="CI497" s="15"/>
      <c r="CJ497" s="15"/>
      <c r="CK497" s="15"/>
      <c r="CL497" s="15"/>
      <c r="CM497" s="15"/>
      <c r="CN497" s="15"/>
      <c r="CO497" s="15"/>
      <c r="CP497" s="15"/>
      <c r="CQ497" s="15"/>
      <c r="CR497" s="15"/>
      <c r="CS497" s="15"/>
      <c r="CT497" s="15"/>
      <c r="CU497" s="15"/>
      <c r="CV497" s="15"/>
      <c r="CW497" s="15"/>
      <c r="CX497" s="15"/>
      <c r="CY497" s="15"/>
      <c r="CZ497" s="15"/>
      <c r="DA497" s="15"/>
      <c r="DB497" s="15">
        <v>0</v>
      </c>
    </row>
    <row r="498" spans="1:106" x14ac:dyDescent="0.25">
      <c r="A498" t="s">
        <v>482</v>
      </c>
      <c r="B498" t="s">
        <v>483</v>
      </c>
      <c r="C498">
        <v>2016</v>
      </c>
      <c r="D498" s="16" t="s">
        <v>484</v>
      </c>
      <c r="E498">
        <v>0</v>
      </c>
      <c r="F498" s="15">
        <v>5.8</v>
      </c>
      <c r="G498" s="15"/>
      <c r="H498" s="15"/>
      <c r="I498" s="15">
        <v>30</v>
      </c>
      <c r="J498" s="15">
        <v>57.5</v>
      </c>
      <c r="K498" s="15"/>
      <c r="L498" s="15">
        <f>IF(Table2[[#This Row],[Lipids wt%]]+Table2[[#This Row],[Protein wt%]]+Table2[[#This Row],[Carbs wt%]] =0,"",SUM(Table2[[#This Row],[Lipids wt%]],Table2[[#This Row],[Protein wt%]],Table2[[#This Row],[Carbs wt%]]))</f>
        <v>93.3</v>
      </c>
      <c r="M498" s="15">
        <v>6.7</v>
      </c>
      <c r="U498">
        <v>92.5</v>
      </c>
      <c r="V498">
        <v>4.5999999999999996</v>
      </c>
      <c r="W498">
        <v>2.1</v>
      </c>
      <c r="Z498" s="15"/>
      <c r="AA498" s="15"/>
      <c r="AB498" s="15"/>
      <c r="AC498" s="15"/>
      <c r="AD498" s="15"/>
      <c r="AE498" s="15"/>
      <c r="AF498" s="15"/>
      <c r="AG498" s="15">
        <v>7.4999999999999997E-3</v>
      </c>
      <c r="AH498" s="15">
        <v>1</v>
      </c>
      <c r="AI498" s="15">
        <v>6</v>
      </c>
      <c r="AJ498" s="15">
        <v>14</v>
      </c>
      <c r="AM498" s="13"/>
      <c r="AO498" s="15"/>
      <c r="AP498" s="15" t="e">
        <f>LN(25/Table2[[#This Row],[Temperature (C)]]/(1-SQRT((Table2[[#This Row],[Temperature (C)]]-5)/Table2[[#This Row],[Temperature (C)]])))/Table2[[#This Row],[b]]</f>
        <v>#DIV/0!</v>
      </c>
      <c r="AQ498" s="15">
        <f>IF(Table2[[#This Row],[b]]&lt;&gt;"",Table2[[#This Row],[T-5]], 0)</f>
        <v>0</v>
      </c>
      <c r="AR498">
        <v>60</v>
      </c>
      <c r="AT498" t="s">
        <v>503</v>
      </c>
      <c r="AU498">
        <v>300</v>
      </c>
      <c r="AV498" s="15">
        <v>6.72</v>
      </c>
      <c r="AW498" s="15">
        <v>46.35</v>
      </c>
      <c r="AX498" s="15">
        <v>42.31</v>
      </c>
      <c r="AY498" s="15">
        <v>4.62</v>
      </c>
      <c r="AZ498" s="15"/>
      <c r="BA498" s="15"/>
      <c r="BB498" s="15">
        <f>IF(OR(Table2[[#This Row],[Gas wt%]]&lt;&gt;"",Table2[[#This Row],[Loss]]&lt;&gt;""),Table2[[#This Row],[Gas wt%]]+Table2[[#This Row],[Loss]],"")</f>
        <v>4.62</v>
      </c>
      <c r="BC498" s="15"/>
      <c r="BD498" s="15"/>
      <c r="BE498" s="15"/>
      <c r="BF498" s="15"/>
      <c r="BG498" s="15"/>
      <c r="BH498" s="15"/>
      <c r="BI498" s="15"/>
      <c r="BJ498" s="15"/>
      <c r="BK498" s="15"/>
      <c r="BL498" s="15"/>
      <c r="BM498" s="15"/>
      <c r="BN498" s="15"/>
      <c r="BO498" s="15"/>
      <c r="BP498" s="15"/>
      <c r="BQ498" s="15"/>
      <c r="BR498" s="15"/>
      <c r="BS498" s="15"/>
      <c r="BT498" s="15"/>
      <c r="BU498" s="15"/>
      <c r="BV498" s="15"/>
      <c r="BW498" s="15"/>
      <c r="BX498" s="15"/>
      <c r="BY498" s="15"/>
      <c r="BZ498" s="15"/>
      <c r="CA498" s="15"/>
      <c r="CB498" s="15"/>
      <c r="CC498" s="15"/>
      <c r="CD498" s="15"/>
      <c r="CE498" s="15"/>
      <c r="CF498" s="15"/>
      <c r="CG498" s="15"/>
      <c r="CH498" s="15"/>
      <c r="CI498" s="15"/>
      <c r="CJ498" s="15"/>
      <c r="CK498" s="15"/>
      <c r="CL498" s="15"/>
      <c r="CM498" s="15"/>
      <c r="CN498" s="15"/>
      <c r="CO498" s="15"/>
      <c r="CP498" s="15"/>
      <c r="CQ498" s="15"/>
      <c r="CR498" s="15"/>
      <c r="CS498" s="15"/>
      <c r="CT498" s="15"/>
      <c r="CU498" s="15"/>
      <c r="CV498" s="15"/>
      <c r="CW498" s="15"/>
      <c r="CX498" s="15"/>
      <c r="CY498" s="15"/>
      <c r="CZ498" s="15"/>
      <c r="DA498" s="15"/>
      <c r="DB498" s="15">
        <v>0</v>
      </c>
    </row>
    <row r="499" spans="1:106" x14ac:dyDescent="0.25">
      <c r="A499" t="s">
        <v>482</v>
      </c>
      <c r="B499" t="s">
        <v>483</v>
      </c>
      <c r="C499">
        <v>2016</v>
      </c>
      <c r="D499" s="16" t="s">
        <v>484</v>
      </c>
      <c r="E499">
        <v>0</v>
      </c>
      <c r="F499" s="15">
        <v>5.8</v>
      </c>
      <c r="G499" s="15"/>
      <c r="H499" s="15"/>
      <c r="I499" s="15">
        <v>30</v>
      </c>
      <c r="J499" s="15">
        <v>57.5</v>
      </c>
      <c r="K499" s="15"/>
      <c r="L499" s="15">
        <f>IF(Table2[[#This Row],[Lipids wt%]]+Table2[[#This Row],[Protein wt%]]+Table2[[#This Row],[Carbs wt%]] =0,"",SUM(Table2[[#This Row],[Lipids wt%]],Table2[[#This Row],[Protein wt%]],Table2[[#This Row],[Carbs wt%]]))</f>
        <v>93.3</v>
      </c>
      <c r="M499" s="15">
        <v>6.7</v>
      </c>
      <c r="U499">
        <v>92.5</v>
      </c>
      <c r="V499">
        <v>4.5999999999999996</v>
      </c>
      <c r="W499">
        <v>2.1</v>
      </c>
      <c r="Z499" s="15"/>
      <c r="AA499" s="15"/>
      <c r="AB499" s="15"/>
      <c r="AC499" s="15"/>
      <c r="AD499" s="15"/>
      <c r="AE499" s="15"/>
      <c r="AF499" s="15"/>
      <c r="AG499" s="15">
        <v>7.4999999999999997E-3</v>
      </c>
      <c r="AH499" s="15">
        <v>1</v>
      </c>
      <c r="AI499" s="15">
        <v>6</v>
      </c>
      <c r="AJ499" s="15">
        <v>14</v>
      </c>
      <c r="AM499" s="13"/>
      <c r="AO499" s="15"/>
      <c r="AP499" s="15" t="e">
        <f>LN(25/Table2[[#This Row],[Temperature (C)]]/(1-SQRT((Table2[[#This Row],[Temperature (C)]]-5)/Table2[[#This Row],[Temperature (C)]])))/Table2[[#This Row],[b]]</f>
        <v>#DIV/0!</v>
      </c>
      <c r="AQ499" s="15">
        <f>IF(Table2[[#This Row],[b]]&lt;&gt;"",Table2[[#This Row],[T-5]], 0)</f>
        <v>0</v>
      </c>
      <c r="AR499">
        <v>10</v>
      </c>
      <c r="AT499" t="s">
        <v>503</v>
      </c>
      <c r="AU499">
        <v>350</v>
      </c>
      <c r="AV499" s="15">
        <v>8.86</v>
      </c>
      <c r="AW499" s="15">
        <v>50.11</v>
      </c>
      <c r="AX499" s="15">
        <v>39.39</v>
      </c>
      <c r="AY499" s="15">
        <v>1.54</v>
      </c>
      <c r="AZ499" s="15"/>
      <c r="BA499" s="15"/>
      <c r="BB499" s="15">
        <f>IF(OR(Table2[[#This Row],[Gas wt%]]&lt;&gt;"",Table2[[#This Row],[Loss]]&lt;&gt;""),Table2[[#This Row],[Gas wt%]]+Table2[[#This Row],[Loss]],"")</f>
        <v>1.54</v>
      </c>
      <c r="BC499" s="15"/>
      <c r="BD499" s="15"/>
      <c r="BE499" s="15"/>
      <c r="BF499" s="15"/>
      <c r="BG499" s="15"/>
      <c r="BH499" s="15"/>
      <c r="BI499" s="15"/>
      <c r="BJ499" s="15"/>
      <c r="BK499" s="15"/>
      <c r="BL499" s="15"/>
      <c r="BM499" s="15"/>
      <c r="BN499" s="15"/>
      <c r="BO499" s="15"/>
      <c r="BP499" s="15"/>
      <c r="BQ499" s="15"/>
      <c r="BR499" s="15"/>
      <c r="BS499" s="15"/>
      <c r="BT499" s="15"/>
      <c r="BU499" s="15"/>
      <c r="BV499" s="15"/>
      <c r="BW499" s="15"/>
      <c r="BX499" s="15"/>
      <c r="BY499" s="15"/>
      <c r="BZ499" s="15"/>
      <c r="CA499" s="15"/>
      <c r="CB499" s="15"/>
      <c r="CC499" s="15"/>
      <c r="CD499" s="15"/>
      <c r="CE499" s="15"/>
      <c r="CF499" s="15"/>
      <c r="CG499" s="15"/>
      <c r="CH499" s="15"/>
      <c r="CI499" s="15"/>
      <c r="CJ499" s="15"/>
      <c r="CK499" s="15"/>
      <c r="CL499" s="15"/>
      <c r="CM499" s="15"/>
      <c r="CN499" s="15"/>
      <c r="CO499" s="15"/>
      <c r="CP499" s="15"/>
      <c r="CQ499" s="15"/>
      <c r="CR499" s="15"/>
      <c r="CS499" s="15"/>
      <c r="CT499" s="15"/>
      <c r="CU499" s="15"/>
      <c r="CV499" s="15"/>
      <c r="CW499" s="15"/>
      <c r="CX499" s="15"/>
      <c r="CY499" s="15"/>
      <c r="CZ499" s="15"/>
      <c r="DA499" s="15"/>
      <c r="DB499" s="15">
        <v>0</v>
      </c>
    </row>
    <row r="500" spans="1:106" x14ac:dyDescent="0.25">
      <c r="A500" t="s">
        <v>482</v>
      </c>
      <c r="B500" t="s">
        <v>483</v>
      </c>
      <c r="C500">
        <v>2016</v>
      </c>
      <c r="D500" s="16" t="s">
        <v>484</v>
      </c>
      <c r="E500">
        <v>0</v>
      </c>
      <c r="F500" s="15">
        <v>5.8</v>
      </c>
      <c r="G500" s="15"/>
      <c r="H500" s="15"/>
      <c r="I500" s="15">
        <v>30</v>
      </c>
      <c r="J500" s="15">
        <v>57.5</v>
      </c>
      <c r="K500" s="15"/>
      <c r="L500" s="15">
        <f>IF(Table2[[#This Row],[Lipids wt%]]+Table2[[#This Row],[Protein wt%]]+Table2[[#This Row],[Carbs wt%]] =0,"",SUM(Table2[[#This Row],[Lipids wt%]],Table2[[#This Row],[Protein wt%]],Table2[[#This Row],[Carbs wt%]]))</f>
        <v>93.3</v>
      </c>
      <c r="M500" s="15">
        <v>6.7</v>
      </c>
      <c r="U500">
        <v>92.5</v>
      </c>
      <c r="V500">
        <v>4.5999999999999996</v>
      </c>
      <c r="W500">
        <v>2.1</v>
      </c>
      <c r="Z500" s="15"/>
      <c r="AA500" s="15"/>
      <c r="AB500" s="15"/>
      <c r="AC500" s="15"/>
      <c r="AD500" s="15"/>
      <c r="AE500" s="15"/>
      <c r="AF500" s="15"/>
      <c r="AG500" s="15">
        <v>7.4999999999999997E-3</v>
      </c>
      <c r="AH500" s="15">
        <v>1</v>
      </c>
      <c r="AI500" s="15">
        <v>6</v>
      </c>
      <c r="AJ500" s="15">
        <v>14</v>
      </c>
      <c r="AM500" s="13"/>
      <c r="AO500" s="15"/>
      <c r="AP500" s="15" t="e">
        <f>LN(25/Table2[[#This Row],[Temperature (C)]]/(1-SQRT((Table2[[#This Row],[Temperature (C)]]-5)/Table2[[#This Row],[Temperature (C)]])))/Table2[[#This Row],[b]]</f>
        <v>#DIV/0!</v>
      </c>
      <c r="AQ500" s="15">
        <f>IF(Table2[[#This Row],[b]]&lt;&gt;"",Table2[[#This Row],[T-5]], 0)</f>
        <v>0</v>
      </c>
      <c r="AR500">
        <v>20</v>
      </c>
      <c r="AT500" t="s">
        <v>503</v>
      </c>
      <c r="AU500">
        <v>350</v>
      </c>
      <c r="AV500" s="15">
        <v>7.78</v>
      </c>
      <c r="AW500" s="15">
        <v>48.23</v>
      </c>
      <c r="AX500" s="15">
        <v>41.58</v>
      </c>
      <c r="AY500" s="15">
        <v>2.41</v>
      </c>
      <c r="AZ500" s="15"/>
      <c r="BA500" s="15"/>
      <c r="BB500" s="15">
        <f>IF(OR(Table2[[#This Row],[Gas wt%]]&lt;&gt;"",Table2[[#This Row],[Loss]]&lt;&gt;""),Table2[[#This Row],[Gas wt%]]+Table2[[#This Row],[Loss]],"")</f>
        <v>2.41</v>
      </c>
      <c r="BC500" s="15"/>
      <c r="BD500" s="15"/>
      <c r="BE500" s="15"/>
      <c r="BF500" s="15"/>
      <c r="BG500" s="15"/>
      <c r="BH500" s="15"/>
      <c r="BI500" s="15"/>
      <c r="BJ500" s="15"/>
      <c r="BK500" s="15"/>
      <c r="BL500" s="15"/>
      <c r="BM500" s="15"/>
      <c r="BN500" s="15"/>
      <c r="BO500" s="15"/>
      <c r="BP500" s="15"/>
      <c r="BQ500" s="15"/>
      <c r="BR500" s="15"/>
      <c r="BS500" s="15"/>
      <c r="BT500" s="15"/>
      <c r="BU500" s="15"/>
      <c r="BV500" s="15"/>
      <c r="BW500" s="15"/>
      <c r="BX500" s="15"/>
      <c r="BY500" s="15"/>
      <c r="BZ500" s="15"/>
      <c r="CA500" s="15"/>
      <c r="CB500" s="15"/>
      <c r="CC500" s="15"/>
      <c r="CD500" s="15"/>
      <c r="CE500" s="15"/>
      <c r="CF500" s="15"/>
      <c r="CG500" s="15"/>
      <c r="CH500" s="15"/>
      <c r="CI500" s="15"/>
      <c r="CJ500" s="15"/>
      <c r="CK500" s="15"/>
      <c r="CL500" s="15"/>
      <c r="CM500" s="15"/>
      <c r="CN500" s="15"/>
      <c r="CO500" s="15"/>
      <c r="CP500" s="15"/>
      <c r="CQ500" s="15"/>
      <c r="CR500" s="15"/>
      <c r="CS500" s="15"/>
      <c r="CT500" s="15"/>
      <c r="CU500" s="15"/>
      <c r="CV500" s="15"/>
      <c r="CW500" s="15"/>
      <c r="CX500" s="15"/>
      <c r="CY500" s="15"/>
      <c r="CZ500" s="15"/>
      <c r="DA500" s="15"/>
      <c r="DB500" s="15">
        <v>0</v>
      </c>
    </row>
    <row r="501" spans="1:106" x14ac:dyDescent="0.25">
      <c r="A501" t="s">
        <v>482</v>
      </c>
      <c r="B501" t="s">
        <v>483</v>
      </c>
      <c r="C501">
        <v>2016</v>
      </c>
      <c r="D501" s="16" t="s">
        <v>484</v>
      </c>
      <c r="E501">
        <v>0</v>
      </c>
      <c r="F501" s="15">
        <v>5.8</v>
      </c>
      <c r="G501" s="15"/>
      <c r="H501" s="15"/>
      <c r="I501" s="15">
        <v>30</v>
      </c>
      <c r="J501" s="15">
        <v>57.5</v>
      </c>
      <c r="K501" s="15"/>
      <c r="L501" s="15">
        <f>IF(Table2[[#This Row],[Lipids wt%]]+Table2[[#This Row],[Protein wt%]]+Table2[[#This Row],[Carbs wt%]] =0,"",SUM(Table2[[#This Row],[Lipids wt%]],Table2[[#This Row],[Protein wt%]],Table2[[#This Row],[Carbs wt%]]))</f>
        <v>93.3</v>
      </c>
      <c r="M501" s="15">
        <v>6.7</v>
      </c>
      <c r="U501">
        <v>92.5</v>
      </c>
      <c r="V501">
        <v>4.5999999999999996</v>
      </c>
      <c r="W501">
        <v>2.1</v>
      </c>
      <c r="Z501" s="15"/>
      <c r="AA501" s="15"/>
      <c r="AB501" s="15"/>
      <c r="AC501" s="15"/>
      <c r="AD501" s="15"/>
      <c r="AE501" s="15"/>
      <c r="AF501" s="15"/>
      <c r="AG501" s="15">
        <v>7.4999999999999997E-3</v>
      </c>
      <c r="AH501" s="15">
        <v>1</v>
      </c>
      <c r="AI501" s="15">
        <v>6</v>
      </c>
      <c r="AJ501" s="15">
        <v>14</v>
      </c>
      <c r="AM501" s="13"/>
      <c r="AO501" s="15"/>
      <c r="AP501" s="15" t="e">
        <f>LN(25/Table2[[#This Row],[Temperature (C)]]/(1-SQRT((Table2[[#This Row],[Temperature (C)]]-5)/Table2[[#This Row],[Temperature (C)]])))/Table2[[#This Row],[b]]</f>
        <v>#DIV/0!</v>
      </c>
      <c r="AQ501" s="15">
        <f>IF(Table2[[#This Row],[b]]&lt;&gt;"",Table2[[#This Row],[T-5]], 0)</f>
        <v>0</v>
      </c>
      <c r="AR501">
        <v>30</v>
      </c>
      <c r="AT501" t="s">
        <v>503</v>
      </c>
      <c r="AU501">
        <v>350</v>
      </c>
      <c r="AV501" s="15">
        <v>4.3</v>
      </c>
      <c r="AW501" s="15">
        <v>48.5</v>
      </c>
      <c r="AX501" s="15">
        <v>43.2</v>
      </c>
      <c r="AY501" s="15">
        <v>4.38</v>
      </c>
      <c r="AZ501" s="15"/>
      <c r="BA501" s="15"/>
      <c r="BB501" s="15">
        <f>IF(OR(Table2[[#This Row],[Gas wt%]]&lt;&gt;"",Table2[[#This Row],[Loss]]&lt;&gt;""),Table2[[#This Row],[Gas wt%]]+Table2[[#This Row],[Loss]],"")</f>
        <v>4.38</v>
      </c>
      <c r="BC501" s="15"/>
      <c r="BD501" s="15"/>
      <c r="BE501" s="15"/>
      <c r="BF501" s="15"/>
      <c r="BG501" s="15"/>
      <c r="BH501" s="15"/>
      <c r="BI501" s="15"/>
      <c r="BJ501" s="15"/>
      <c r="BK501" s="15"/>
      <c r="BL501" s="15"/>
      <c r="BM501" s="15"/>
      <c r="BN501" s="15"/>
      <c r="BO501" s="15"/>
      <c r="BP501" s="15"/>
      <c r="BQ501" s="15"/>
      <c r="BR501" s="15"/>
      <c r="BS501" s="15"/>
      <c r="BT501" s="15"/>
      <c r="BU501" s="15"/>
      <c r="BV501" s="15"/>
      <c r="BW501" s="15"/>
      <c r="BX501" s="15"/>
      <c r="BY501" s="15"/>
      <c r="BZ501" s="15"/>
      <c r="CA501" s="15"/>
      <c r="CB501" s="15"/>
      <c r="CC501" s="15"/>
      <c r="CD501" s="15"/>
      <c r="CE501" s="15"/>
      <c r="CF501" s="15"/>
      <c r="CG501" s="15"/>
      <c r="CH501" s="15"/>
      <c r="CI501" s="15"/>
      <c r="CJ501" s="15"/>
      <c r="CK501" s="15"/>
      <c r="CL501" s="15"/>
      <c r="CM501" s="15"/>
      <c r="CN501" s="15"/>
      <c r="CO501" s="15"/>
      <c r="CP501" s="15"/>
      <c r="CQ501" s="15"/>
      <c r="CR501" s="15"/>
      <c r="CS501" s="15"/>
      <c r="CT501" s="15"/>
      <c r="CU501" s="15"/>
      <c r="CV501" s="15"/>
      <c r="CW501" s="15"/>
      <c r="CX501" s="15"/>
      <c r="CY501" s="15"/>
      <c r="CZ501" s="15"/>
      <c r="DA501" s="15"/>
      <c r="DB501" s="15">
        <v>0</v>
      </c>
    </row>
    <row r="502" spans="1:106" x14ac:dyDescent="0.25">
      <c r="A502" t="s">
        <v>482</v>
      </c>
      <c r="B502" t="s">
        <v>483</v>
      </c>
      <c r="C502">
        <v>2016</v>
      </c>
      <c r="D502" s="16" t="s">
        <v>484</v>
      </c>
      <c r="E502">
        <v>0</v>
      </c>
      <c r="F502" s="15">
        <v>5.8</v>
      </c>
      <c r="G502" s="15"/>
      <c r="H502" s="15"/>
      <c r="I502" s="15">
        <v>30</v>
      </c>
      <c r="J502" s="15">
        <v>57.5</v>
      </c>
      <c r="K502" s="15"/>
      <c r="L502" s="15">
        <f>IF(Table2[[#This Row],[Lipids wt%]]+Table2[[#This Row],[Protein wt%]]+Table2[[#This Row],[Carbs wt%]] =0,"",SUM(Table2[[#This Row],[Lipids wt%]],Table2[[#This Row],[Protein wt%]],Table2[[#This Row],[Carbs wt%]]))</f>
        <v>93.3</v>
      </c>
      <c r="M502" s="15">
        <v>6.7</v>
      </c>
      <c r="U502">
        <v>92.5</v>
      </c>
      <c r="V502">
        <v>4.5999999999999996</v>
      </c>
      <c r="W502">
        <v>2.1</v>
      </c>
      <c r="Z502" s="15"/>
      <c r="AA502" s="15"/>
      <c r="AB502" s="15"/>
      <c r="AC502" s="15"/>
      <c r="AD502" s="15"/>
      <c r="AE502" s="15"/>
      <c r="AF502" s="15"/>
      <c r="AG502" s="15">
        <v>7.4999999999999997E-3</v>
      </c>
      <c r="AH502" s="15">
        <v>1</v>
      </c>
      <c r="AI502" s="15">
        <v>6</v>
      </c>
      <c r="AJ502" s="15">
        <v>14</v>
      </c>
      <c r="AM502" s="13"/>
      <c r="AO502" s="15"/>
      <c r="AP502" s="15" t="e">
        <f>LN(25/Table2[[#This Row],[Temperature (C)]]/(1-SQRT((Table2[[#This Row],[Temperature (C)]]-5)/Table2[[#This Row],[Temperature (C)]])))/Table2[[#This Row],[b]]</f>
        <v>#DIV/0!</v>
      </c>
      <c r="AQ502" s="15">
        <f>IF(Table2[[#This Row],[b]]&lt;&gt;"",Table2[[#This Row],[T-5]], 0)</f>
        <v>0</v>
      </c>
      <c r="AR502">
        <v>40</v>
      </c>
      <c r="AT502" t="s">
        <v>503</v>
      </c>
      <c r="AU502">
        <v>350</v>
      </c>
      <c r="AV502" s="15">
        <v>4.91</v>
      </c>
      <c r="AW502" s="15">
        <v>46.56</v>
      </c>
      <c r="AX502" s="15">
        <v>42.2</v>
      </c>
      <c r="AY502" s="15">
        <v>6.34</v>
      </c>
      <c r="AZ502" s="15"/>
      <c r="BA502" s="15"/>
      <c r="BB502" s="15">
        <f>IF(OR(Table2[[#This Row],[Gas wt%]]&lt;&gt;"",Table2[[#This Row],[Loss]]&lt;&gt;""),Table2[[#This Row],[Gas wt%]]+Table2[[#This Row],[Loss]],"")</f>
        <v>6.34</v>
      </c>
      <c r="BC502" s="15"/>
      <c r="BD502" s="15"/>
      <c r="BE502" s="15"/>
      <c r="BF502" s="15"/>
      <c r="BG502" s="15"/>
      <c r="BH502" s="15"/>
      <c r="BI502" s="15"/>
      <c r="BJ502" s="15"/>
      <c r="BK502" s="15"/>
      <c r="BL502" s="15"/>
      <c r="BM502" s="15"/>
      <c r="BN502" s="15"/>
      <c r="BO502" s="15"/>
      <c r="BP502" s="15"/>
      <c r="BQ502" s="15"/>
      <c r="BR502" s="15"/>
      <c r="BS502" s="15"/>
      <c r="BT502" s="15"/>
      <c r="BU502" s="15"/>
      <c r="BV502" s="15"/>
      <c r="BW502" s="15"/>
      <c r="BX502" s="15"/>
      <c r="BY502" s="15"/>
      <c r="BZ502" s="15"/>
      <c r="CA502" s="15"/>
      <c r="CB502" s="15"/>
      <c r="CC502" s="15"/>
      <c r="CD502" s="15"/>
      <c r="CE502" s="15"/>
      <c r="CF502" s="15"/>
      <c r="CG502" s="15"/>
      <c r="CH502" s="15"/>
      <c r="CI502" s="15"/>
      <c r="CJ502" s="15"/>
      <c r="CK502" s="15"/>
      <c r="CL502" s="15"/>
      <c r="CM502" s="15"/>
      <c r="CN502" s="15"/>
      <c r="CO502" s="15"/>
      <c r="CP502" s="15"/>
      <c r="CQ502" s="15"/>
      <c r="CR502" s="15"/>
      <c r="CS502" s="15"/>
      <c r="CT502" s="15"/>
      <c r="CU502" s="15"/>
      <c r="CV502" s="15"/>
      <c r="CW502" s="15"/>
      <c r="CX502" s="15"/>
      <c r="CY502" s="15"/>
      <c r="CZ502" s="15"/>
      <c r="DA502" s="15"/>
      <c r="DB502" s="15">
        <v>0</v>
      </c>
    </row>
    <row r="503" spans="1:106" x14ac:dyDescent="0.25">
      <c r="A503" t="s">
        <v>482</v>
      </c>
      <c r="B503" t="s">
        <v>483</v>
      </c>
      <c r="C503">
        <v>2016</v>
      </c>
      <c r="D503" s="16" t="s">
        <v>484</v>
      </c>
      <c r="E503">
        <v>0</v>
      </c>
      <c r="F503" s="15">
        <v>5.8</v>
      </c>
      <c r="G503" s="15"/>
      <c r="H503" s="15"/>
      <c r="I503" s="15">
        <v>30</v>
      </c>
      <c r="J503" s="15">
        <v>57.5</v>
      </c>
      <c r="K503" s="15"/>
      <c r="L503" s="15">
        <f>IF(Table2[[#This Row],[Lipids wt%]]+Table2[[#This Row],[Protein wt%]]+Table2[[#This Row],[Carbs wt%]] =0,"",SUM(Table2[[#This Row],[Lipids wt%]],Table2[[#This Row],[Protein wt%]],Table2[[#This Row],[Carbs wt%]]))</f>
        <v>93.3</v>
      </c>
      <c r="M503" s="15">
        <v>6.7</v>
      </c>
      <c r="U503">
        <v>92.5</v>
      </c>
      <c r="V503">
        <v>4.5999999999999996</v>
      </c>
      <c r="W503">
        <v>2.1</v>
      </c>
      <c r="Z503" s="15"/>
      <c r="AA503" s="15"/>
      <c r="AB503" s="15"/>
      <c r="AC503" s="15"/>
      <c r="AD503" s="15"/>
      <c r="AE503" s="15"/>
      <c r="AF503" s="15"/>
      <c r="AG503" s="15">
        <v>7.4999999999999997E-3</v>
      </c>
      <c r="AH503" s="15">
        <v>1</v>
      </c>
      <c r="AI503" s="15">
        <v>6</v>
      </c>
      <c r="AJ503" s="15">
        <v>14</v>
      </c>
      <c r="AM503" s="13"/>
      <c r="AO503" s="15"/>
      <c r="AP503" s="15" t="e">
        <f>LN(25/Table2[[#This Row],[Temperature (C)]]/(1-SQRT((Table2[[#This Row],[Temperature (C)]]-5)/Table2[[#This Row],[Temperature (C)]])))/Table2[[#This Row],[b]]</f>
        <v>#DIV/0!</v>
      </c>
      <c r="AQ503" s="15">
        <f>IF(Table2[[#This Row],[b]]&lt;&gt;"",Table2[[#This Row],[T-5]], 0)</f>
        <v>0</v>
      </c>
      <c r="AR503">
        <v>60</v>
      </c>
      <c r="AT503" t="s">
        <v>503</v>
      </c>
      <c r="AU503">
        <v>350</v>
      </c>
      <c r="AV503" s="15">
        <v>5.33</v>
      </c>
      <c r="AW503" s="15">
        <v>44.69</v>
      </c>
      <c r="AX503" s="15">
        <v>40.74</v>
      </c>
      <c r="AY503" s="15">
        <v>9.3000000000000007</v>
      </c>
      <c r="AZ503" s="15"/>
      <c r="BA503" s="15"/>
      <c r="BB503" s="15">
        <f>IF(OR(Table2[[#This Row],[Gas wt%]]&lt;&gt;"",Table2[[#This Row],[Loss]]&lt;&gt;""),Table2[[#This Row],[Gas wt%]]+Table2[[#This Row],[Loss]],"")</f>
        <v>9.3000000000000007</v>
      </c>
      <c r="BC503" s="15"/>
      <c r="BD503" s="15"/>
      <c r="BE503" s="15"/>
      <c r="BF503" s="15"/>
      <c r="BG503" s="15"/>
      <c r="BH503" s="15"/>
      <c r="BI503" s="15"/>
      <c r="BJ503" s="15"/>
      <c r="BK503" s="15"/>
      <c r="BL503" s="15"/>
      <c r="BM503" s="15"/>
      <c r="BN503" s="15"/>
      <c r="BO503" s="15"/>
      <c r="BP503" s="15"/>
      <c r="BQ503" s="15"/>
      <c r="BR503" s="15"/>
      <c r="BS503" s="15"/>
      <c r="BT503" s="15"/>
      <c r="BU503" s="15"/>
      <c r="BV503" s="15"/>
      <c r="BW503" s="15"/>
      <c r="BX503" s="15"/>
      <c r="BY503" s="15"/>
      <c r="BZ503" s="15"/>
      <c r="CA503" s="15"/>
      <c r="CB503" s="15"/>
      <c r="CC503" s="15"/>
      <c r="CD503" s="15"/>
      <c r="CE503" s="15"/>
      <c r="CF503" s="15"/>
      <c r="CG503" s="15"/>
      <c r="CH503" s="15"/>
      <c r="CI503" s="15"/>
      <c r="CJ503" s="15"/>
      <c r="CK503" s="15"/>
      <c r="CL503" s="15"/>
      <c r="CM503" s="15"/>
      <c r="CN503" s="15"/>
      <c r="CO503" s="15"/>
      <c r="CP503" s="15"/>
      <c r="CQ503" s="15"/>
      <c r="CR503" s="15"/>
      <c r="CS503" s="15"/>
      <c r="CT503" s="15"/>
      <c r="CU503" s="15"/>
      <c r="CV503" s="15"/>
      <c r="CW503" s="15"/>
      <c r="CX503" s="15"/>
      <c r="CY503" s="15"/>
      <c r="CZ503" s="15"/>
      <c r="DA503" s="15"/>
      <c r="DB503" s="15">
        <v>0</v>
      </c>
    </row>
    <row r="504" spans="1:106" x14ac:dyDescent="0.25">
      <c r="A504" t="s">
        <v>482</v>
      </c>
      <c r="B504" t="s">
        <v>483</v>
      </c>
      <c r="C504">
        <v>2016</v>
      </c>
      <c r="D504" s="16" t="s">
        <v>484</v>
      </c>
      <c r="E504">
        <v>0</v>
      </c>
      <c r="F504" s="15">
        <v>5.8</v>
      </c>
      <c r="G504" s="15"/>
      <c r="H504" s="15"/>
      <c r="I504" s="15">
        <v>30</v>
      </c>
      <c r="J504" s="15">
        <v>57.5</v>
      </c>
      <c r="K504" s="15"/>
      <c r="L504" s="15">
        <f>IF(Table2[[#This Row],[Lipids wt%]]+Table2[[#This Row],[Protein wt%]]+Table2[[#This Row],[Carbs wt%]] =0,"",SUM(Table2[[#This Row],[Lipids wt%]],Table2[[#This Row],[Protein wt%]],Table2[[#This Row],[Carbs wt%]]))</f>
        <v>93.3</v>
      </c>
      <c r="M504" s="15">
        <v>6.7</v>
      </c>
      <c r="U504">
        <v>92.5</v>
      </c>
      <c r="V504">
        <v>4.5999999999999996</v>
      </c>
      <c r="W504">
        <v>2.1</v>
      </c>
      <c r="Z504" s="15"/>
      <c r="AA504" s="15"/>
      <c r="AB504" s="15"/>
      <c r="AC504" s="15"/>
      <c r="AD504" s="15"/>
      <c r="AE504" s="15"/>
      <c r="AF504" s="15"/>
      <c r="AG504" s="15">
        <v>7.4999999999999997E-3</v>
      </c>
      <c r="AH504" s="15">
        <v>1</v>
      </c>
      <c r="AI504" s="15">
        <v>6</v>
      </c>
      <c r="AJ504" s="15">
        <v>14</v>
      </c>
      <c r="AM504" s="13"/>
      <c r="AO504" s="15"/>
      <c r="AP504" s="15" t="e">
        <f>LN(25/Table2[[#This Row],[Temperature (C)]]/(1-SQRT((Table2[[#This Row],[Temperature (C)]]-5)/Table2[[#This Row],[Temperature (C)]])))/Table2[[#This Row],[b]]</f>
        <v>#DIV/0!</v>
      </c>
      <c r="AQ504" s="15">
        <f>IF(Table2[[#This Row],[b]]&lt;&gt;"",Table2[[#This Row],[T-5]], 0)</f>
        <v>0</v>
      </c>
      <c r="AR504">
        <v>10</v>
      </c>
      <c r="AT504" t="s">
        <v>503</v>
      </c>
      <c r="AU504">
        <v>400</v>
      </c>
      <c r="AV504" s="15">
        <v>4.6399999999999997</v>
      </c>
      <c r="AW504" s="15">
        <v>51.22</v>
      </c>
      <c r="AX504" s="15">
        <v>42.05</v>
      </c>
      <c r="AY504" s="15">
        <v>2.09</v>
      </c>
      <c r="AZ504" s="15"/>
      <c r="BA504" s="15"/>
      <c r="BB504" s="15">
        <f>IF(OR(Table2[[#This Row],[Gas wt%]]&lt;&gt;"",Table2[[#This Row],[Loss]]&lt;&gt;""),Table2[[#This Row],[Gas wt%]]+Table2[[#This Row],[Loss]],"")</f>
        <v>2.09</v>
      </c>
      <c r="BC504" s="15"/>
      <c r="BD504" s="15"/>
      <c r="BE504" s="15"/>
      <c r="BF504" s="15"/>
      <c r="BG504" s="15"/>
      <c r="BH504" s="15"/>
      <c r="BI504" s="15"/>
      <c r="BJ504" s="15"/>
      <c r="BK504" s="15"/>
      <c r="BL504" s="15"/>
      <c r="BM504" s="15"/>
      <c r="BN504" s="15"/>
      <c r="BO504" s="15"/>
      <c r="BP504" s="15"/>
      <c r="BQ504" s="15"/>
      <c r="BR504" s="15"/>
      <c r="BS504" s="15"/>
      <c r="BT504" s="15"/>
      <c r="BU504" s="15"/>
      <c r="BV504" s="15"/>
      <c r="BW504" s="15"/>
      <c r="BX504" s="15"/>
      <c r="BY504" s="15"/>
      <c r="BZ504" s="15"/>
      <c r="CA504" s="15"/>
      <c r="CB504" s="15"/>
      <c r="CC504" s="15"/>
      <c r="CD504" s="15"/>
      <c r="CE504" s="15"/>
      <c r="CF504" s="15"/>
      <c r="CG504" s="15"/>
      <c r="CH504" s="15"/>
      <c r="CI504" s="15"/>
      <c r="CJ504" s="15"/>
      <c r="CK504" s="15"/>
      <c r="CL504" s="15"/>
      <c r="CM504" s="15"/>
      <c r="CN504" s="15"/>
      <c r="CO504" s="15"/>
      <c r="CP504" s="15"/>
      <c r="CQ504" s="15"/>
      <c r="CR504" s="15"/>
      <c r="CS504" s="15"/>
      <c r="CT504" s="15"/>
      <c r="CU504" s="15"/>
      <c r="CV504" s="15"/>
      <c r="CW504" s="15"/>
      <c r="CX504" s="15"/>
      <c r="CY504" s="15"/>
      <c r="CZ504" s="15"/>
      <c r="DA504" s="15"/>
      <c r="DB504" s="15">
        <v>0</v>
      </c>
    </row>
    <row r="505" spans="1:106" x14ac:dyDescent="0.25">
      <c r="A505" t="s">
        <v>482</v>
      </c>
      <c r="B505" t="s">
        <v>483</v>
      </c>
      <c r="C505">
        <v>2016</v>
      </c>
      <c r="D505" s="16" t="s">
        <v>484</v>
      </c>
      <c r="E505">
        <v>0</v>
      </c>
      <c r="F505" s="15">
        <v>5.8</v>
      </c>
      <c r="G505" s="15"/>
      <c r="H505" s="15"/>
      <c r="I505" s="15">
        <v>30</v>
      </c>
      <c r="J505" s="15">
        <v>57.5</v>
      </c>
      <c r="K505" s="15"/>
      <c r="L505" s="15">
        <f>IF(Table2[[#This Row],[Lipids wt%]]+Table2[[#This Row],[Protein wt%]]+Table2[[#This Row],[Carbs wt%]] =0,"",SUM(Table2[[#This Row],[Lipids wt%]],Table2[[#This Row],[Protein wt%]],Table2[[#This Row],[Carbs wt%]]))</f>
        <v>93.3</v>
      </c>
      <c r="M505" s="15">
        <v>6.7</v>
      </c>
      <c r="U505">
        <v>92.5</v>
      </c>
      <c r="V505">
        <v>4.5999999999999996</v>
      </c>
      <c r="W505">
        <v>2.1</v>
      </c>
      <c r="Z505" s="15"/>
      <c r="AA505" s="15"/>
      <c r="AB505" s="15"/>
      <c r="AC505" s="15"/>
      <c r="AD505" s="15"/>
      <c r="AE505" s="15"/>
      <c r="AF505" s="15"/>
      <c r="AG505" s="15">
        <v>7.4999999999999997E-3</v>
      </c>
      <c r="AH505" s="15">
        <v>1</v>
      </c>
      <c r="AI505" s="15">
        <v>6</v>
      </c>
      <c r="AJ505" s="15">
        <v>14</v>
      </c>
      <c r="AM505" s="13"/>
      <c r="AO505" s="15"/>
      <c r="AP505" s="15" t="e">
        <f>LN(25/Table2[[#This Row],[Temperature (C)]]/(1-SQRT((Table2[[#This Row],[Temperature (C)]]-5)/Table2[[#This Row],[Temperature (C)]])))/Table2[[#This Row],[b]]</f>
        <v>#DIV/0!</v>
      </c>
      <c r="AQ505" s="15">
        <f>IF(Table2[[#This Row],[b]]&lt;&gt;"",Table2[[#This Row],[T-5]], 0)</f>
        <v>0</v>
      </c>
      <c r="AR505">
        <v>20</v>
      </c>
      <c r="AT505" t="s">
        <v>503</v>
      </c>
      <c r="AU505">
        <v>400</v>
      </c>
      <c r="AV505" s="15">
        <v>5.77</v>
      </c>
      <c r="AW505" s="15">
        <v>48.05</v>
      </c>
      <c r="AX505" s="15">
        <v>41.38</v>
      </c>
      <c r="AY505" s="15">
        <v>4.8</v>
      </c>
      <c r="AZ505" s="15"/>
      <c r="BA505" s="15"/>
      <c r="BB505" s="15">
        <f>IF(OR(Table2[[#This Row],[Gas wt%]]&lt;&gt;"",Table2[[#This Row],[Loss]]&lt;&gt;""),Table2[[#This Row],[Gas wt%]]+Table2[[#This Row],[Loss]],"")</f>
        <v>4.8</v>
      </c>
      <c r="BC505" s="15"/>
      <c r="BD505" s="15"/>
      <c r="BE505" s="15"/>
      <c r="BF505" s="15"/>
      <c r="BG505" s="15"/>
      <c r="BH505" s="15"/>
      <c r="BI505" s="15"/>
      <c r="BJ505" s="15"/>
      <c r="BK505" s="15"/>
      <c r="BL505" s="15"/>
      <c r="BM505" s="15"/>
      <c r="BN505" s="15"/>
      <c r="BO505" s="15"/>
      <c r="BP505" s="15"/>
      <c r="BQ505" s="15"/>
      <c r="BR505" s="15"/>
      <c r="BS505" s="15"/>
      <c r="BT505" s="15"/>
      <c r="BU505" s="15"/>
      <c r="BV505" s="15"/>
      <c r="BW505" s="15"/>
      <c r="BX505" s="15"/>
      <c r="BY505" s="15"/>
      <c r="BZ505" s="15"/>
      <c r="CA505" s="15"/>
      <c r="CB505" s="15"/>
      <c r="CC505" s="15"/>
      <c r="CD505" s="15"/>
      <c r="CE505" s="15"/>
      <c r="CF505" s="15"/>
      <c r="CG505" s="15"/>
      <c r="CH505" s="15"/>
      <c r="CI505" s="15"/>
      <c r="CJ505" s="15"/>
      <c r="CK505" s="15"/>
      <c r="CL505" s="15"/>
      <c r="CM505" s="15"/>
      <c r="CN505" s="15"/>
      <c r="CO505" s="15"/>
      <c r="CP505" s="15"/>
      <c r="CQ505" s="15"/>
      <c r="CR505" s="15"/>
      <c r="CS505" s="15"/>
      <c r="CT505" s="15"/>
      <c r="CU505" s="15"/>
      <c r="CV505" s="15"/>
      <c r="CW505" s="15"/>
      <c r="CX505" s="15"/>
      <c r="CY505" s="15"/>
      <c r="CZ505" s="15"/>
      <c r="DA505" s="15"/>
      <c r="DB505" s="15">
        <v>0</v>
      </c>
    </row>
    <row r="506" spans="1:106" x14ac:dyDescent="0.25">
      <c r="A506" t="s">
        <v>482</v>
      </c>
      <c r="B506" t="s">
        <v>483</v>
      </c>
      <c r="C506">
        <v>2016</v>
      </c>
      <c r="D506" s="16" t="s">
        <v>484</v>
      </c>
      <c r="E506">
        <v>0</v>
      </c>
      <c r="F506" s="15">
        <v>5.8</v>
      </c>
      <c r="G506" s="15"/>
      <c r="H506" s="15"/>
      <c r="I506" s="15">
        <v>30</v>
      </c>
      <c r="J506" s="15">
        <v>57.5</v>
      </c>
      <c r="K506" s="15"/>
      <c r="L506" s="15">
        <f>IF(Table2[[#This Row],[Lipids wt%]]+Table2[[#This Row],[Protein wt%]]+Table2[[#This Row],[Carbs wt%]] =0,"",SUM(Table2[[#This Row],[Lipids wt%]],Table2[[#This Row],[Protein wt%]],Table2[[#This Row],[Carbs wt%]]))</f>
        <v>93.3</v>
      </c>
      <c r="M506" s="15">
        <v>6.7</v>
      </c>
      <c r="U506">
        <v>92.5</v>
      </c>
      <c r="V506">
        <v>4.5999999999999996</v>
      </c>
      <c r="W506">
        <v>2.1</v>
      </c>
      <c r="Z506" s="15"/>
      <c r="AA506" s="15"/>
      <c r="AB506" s="15"/>
      <c r="AC506" s="15"/>
      <c r="AD506" s="15"/>
      <c r="AE506" s="15"/>
      <c r="AF506" s="15"/>
      <c r="AG506" s="15">
        <v>7.4999999999999997E-3</v>
      </c>
      <c r="AH506" s="15">
        <v>1</v>
      </c>
      <c r="AI506" s="15">
        <v>6</v>
      </c>
      <c r="AJ506" s="15">
        <v>14</v>
      </c>
      <c r="AM506" s="13"/>
      <c r="AO506" s="15"/>
      <c r="AP506" s="15" t="e">
        <f>LN(25/Table2[[#This Row],[Temperature (C)]]/(1-SQRT((Table2[[#This Row],[Temperature (C)]]-5)/Table2[[#This Row],[Temperature (C)]])))/Table2[[#This Row],[b]]</f>
        <v>#DIV/0!</v>
      </c>
      <c r="AQ506" s="15">
        <f>IF(Table2[[#This Row],[b]]&lt;&gt;"",Table2[[#This Row],[T-5]], 0)</f>
        <v>0</v>
      </c>
      <c r="AR506">
        <v>30</v>
      </c>
      <c r="AT506" t="s">
        <v>503</v>
      </c>
      <c r="AU506">
        <v>400</v>
      </c>
      <c r="AV506" s="15">
        <v>5.07</v>
      </c>
      <c r="AW506" s="15">
        <v>46.15</v>
      </c>
      <c r="AX506" s="15">
        <v>42.27</v>
      </c>
      <c r="AY506" s="15">
        <v>6.51</v>
      </c>
      <c r="AZ506" s="15"/>
      <c r="BA506" s="15"/>
      <c r="BB506" s="15">
        <f>IF(OR(Table2[[#This Row],[Gas wt%]]&lt;&gt;"",Table2[[#This Row],[Loss]]&lt;&gt;""),Table2[[#This Row],[Gas wt%]]+Table2[[#This Row],[Loss]],"")</f>
        <v>6.51</v>
      </c>
      <c r="BC506" s="15"/>
      <c r="BD506" s="15"/>
      <c r="BE506" s="15"/>
      <c r="BF506" s="15"/>
      <c r="BG506" s="15"/>
      <c r="BH506" s="15"/>
      <c r="BI506" s="15"/>
      <c r="BJ506" s="15"/>
      <c r="BK506" s="15"/>
      <c r="BL506" s="15"/>
      <c r="BM506" s="15"/>
      <c r="BN506" s="15"/>
      <c r="BO506" s="15"/>
      <c r="BP506" s="15"/>
      <c r="BQ506" s="15"/>
      <c r="BR506" s="15"/>
      <c r="BS506" s="15"/>
      <c r="BT506" s="15"/>
      <c r="BU506" s="15"/>
      <c r="BV506" s="15"/>
      <c r="BW506" s="15"/>
      <c r="BX506" s="15"/>
      <c r="BY506" s="15"/>
      <c r="BZ506" s="15"/>
      <c r="CA506" s="15"/>
      <c r="CB506" s="15"/>
      <c r="CC506" s="15"/>
      <c r="CD506" s="15"/>
      <c r="CE506" s="15"/>
      <c r="CF506" s="15"/>
      <c r="CG506" s="15"/>
      <c r="CH506" s="15"/>
      <c r="CI506" s="15"/>
      <c r="CJ506" s="15"/>
      <c r="CK506" s="15"/>
      <c r="CL506" s="15"/>
      <c r="CM506" s="15"/>
      <c r="CN506" s="15"/>
      <c r="CO506" s="15"/>
      <c r="CP506" s="15"/>
      <c r="CQ506" s="15"/>
      <c r="CR506" s="15"/>
      <c r="CS506" s="15"/>
      <c r="CT506" s="15"/>
      <c r="CU506" s="15"/>
      <c r="CV506" s="15"/>
      <c r="CW506" s="15"/>
      <c r="CX506" s="15"/>
      <c r="CY506" s="15"/>
      <c r="CZ506" s="15"/>
      <c r="DA506" s="15"/>
      <c r="DB506" s="15">
        <v>0</v>
      </c>
    </row>
    <row r="507" spans="1:106" x14ac:dyDescent="0.25">
      <c r="A507" t="s">
        <v>482</v>
      </c>
      <c r="B507" t="s">
        <v>483</v>
      </c>
      <c r="C507">
        <v>2016</v>
      </c>
      <c r="D507" s="16" t="s">
        <v>484</v>
      </c>
      <c r="E507">
        <v>0</v>
      </c>
      <c r="F507" s="15">
        <v>5.8</v>
      </c>
      <c r="G507" s="15"/>
      <c r="H507" s="15"/>
      <c r="I507" s="15">
        <v>30</v>
      </c>
      <c r="J507" s="15">
        <v>57.5</v>
      </c>
      <c r="K507" s="15"/>
      <c r="L507" s="15">
        <f>IF(Table2[[#This Row],[Lipids wt%]]+Table2[[#This Row],[Protein wt%]]+Table2[[#This Row],[Carbs wt%]] =0,"",SUM(Table2[[#This Row],[Lipids wt%]],Table2[[#This Row],[Protein wt%]],Table2[[#This Row],[Carbs wt%]]))</f>
        <v>93.3</v>
      </c>
      <c r="M507" s="15">
        <v>6.7</v>
      </c>
      <c r="U507">
        <v>92.5</v>
      </c>
      <c r="V507">
        <v>4.5999999999999996</v>
      </c>
      <c r="W507">
        <v>2.1</v>
      </c>
      <c r="Z507" s="15"/>
      <c r="AA507" s="15"/>
      <c r="AB507" s="15"/>
      <c r="AC507" s="15"/>
      <c r="AD507" s="15"/>
      <c r="AE507" s="15"/>
      <c r="AF507" s="15"/>
      <c r="AG507" s="15">
        <v>7.4999999999999997E-3</v>
      </c>
      <c r="AH507" s="15">
        <v>1</v>
      </c>
      <c r="AI507" s="15">
        <v>6</v>
      </c>
      <c r="AJ507" s="15">
        <v>14</v>
      </c>
      <c r="AM507" s="13"/>
      <c r="AO507" s="15"/>
      <c r="AP507" s="15" t="e">
        <f>LN(25/Table2[[#This Row],[Temperature (C)]]/(1-SQRT((Table2[[#This Row],[Temperature (C)]]-5)/Table2[[#This Row],[Temperature (C)]])))/Table2[[#This Row],[b]]</f>
        <v>#DIV/0!</v>
      </c>
      <c r="AQ507" s="15">
        <f>IF(Table2[[#This Row],[b]]&lt;&gt;"",Table2[[#This Row],[T-5]], 0)</f>
        <v>0</v>
      </c>
      <c r="AR507">
        <v>40</v>
      </c>
      <c r="AT507" t="s">
        <v>503</v>
      </c>
      <c r="AU507">
        <v>400</v>
      </c>
      <c r="AV507" s="15">
        <v>6.84</v>
      </c>
      <c r="AW507" s="15">
        <v>43.44</v>
      </c>
      <c r="AX507" s="15">
        <v>39.35</v>
      </c>
      <c r="AY507" s="15">
        <v>10.37</v>
      </c>
      <c r="AZ507" s="15"/>
      <c r="BA507" s="15"/>
      <c r="BB507" s="15">
        <f>IF(OR(Table2[[#This Row],[Gas wt%]]&lt;&gt;"",Table2[[#This Row],[Loss]]&lt;&gt;""),Table2[[#This Row],[Gas wt%]]+Table2[[#This Row],[Loss]],"")</f>
        <v>10.37</v>
      </c>
      <c r="BC507" s="15"/>
      <c r="BD507" s="15"/>
      <c r="BE507" s="15"/>
      <c r="BF507" s="15"/>
      <c r="BG507" s="15"/>
      <c r="BH507" s="15"/>
      <c r="BI507" s="15"/>
      <c r="BJ507" s="15"/>
      <c r="BK507" s="15"/>
      <c r="BL507" s="15"/>
      <c r="BM507" s="15"/>
      <c r="BN507" s="15"/>
      <c r="BO507" s="15"/>
      <c r="BP507" s="15"/>
      <c r="BQ507" s="15"/>
      <c r="BR507" s="15"/>
      <c r="BS507" s="15"/>
      <c r="BT507" s="15"/>
      <c r="BU507" s="15"/>
      <c r="BV507" s="15"/>
      <c r="BW507" s="15"/>
      <c r="BX507" s="15"/>
      <c r="BY507" s="15"/>
      <c r="BZ507" s="15"/>
      <c r="CA507" s="15"/>
      <c r="CB507" s="15"/>
      <c r="CC507" s="15"/>
      <c r="CD507" s="15"/>
      <c r="CE507" s="15"/>
      <c r="CF507" s="15"/>
      <c r="CG507" s="15"/>
      <c r="CH507" s="15"/>
      <c r="CI507" s="15"/>
      <c r="CJ507" s="15"/>
      <c r="CK507" s="15"/>
      <c r="CL507" s="15"/>
      <c r="CM507" s="15"/>
      <c r="CN507" s="15"/>
      <c r="CO507" s="15"/>
      <c r="CP507" s="15"/>
      <c r="CQ507" s="15"/>
      <c r="CR507" s="15"/>
      <c r="CS507" s="15"/>
      <c r="CT507" s="15"/>
      <c r="CU507" s="15"/>
      <c r="CV507" s="15"/>
      <c r="CW507" s="15"/>
      <c r="CX507" s="15"/>
      <c r="CY507" s="15"/>
      <c r="CZ507" s="15"/>
      <c r="DA507" s="15"/>
      <c r="DB507" s="15">
        <v>0</v>
      </c>
    </row>
    <row r="508" spans="1:106" x14ac:dyDescent="0.25">
      <c r="A508" t="s">
        <v>482</v>
      </c>
      <c r="B508" t="s">
        <v>483</v>
      </c>
      <c r="C508">
        <v>2016</v>
      </c>
      <c r="D508" s="16" t="s">
        <v>484</v>
      </c>
      <c r="E508">
        <v>0</v>
      </c>
      <c r="F508" s="15">
        <v>5.8</v>
      </c>
      <c r="G508" s="15"/>
      <c r="H508" s="15"/>
      <c r="I508" s="15">
        <v>30</v>
      </c>
      <c r="J508" s="15">
        <v>57.5</v>
      </c>
      <c r="K508" s="15"/>
      <c r="L508" s="15">
        <f>IF(Table2[[#This Row],[Lipids wt%]]+Table2[[#This Row],[Protein wt%]]+Table2[[#This Row],[Carbs wt%]] =0,"",SUM(Table2[[#This Row],[Lipids wt%]],Table2[[#This Row],[Protein wt%]],Table2[[#This Row],[Carbs wt%]]))</f>
        <v>93.3</v>
      </c>
      <c r="M508" s="15">
        <v>6.7</v>
      </c>
      <c r="U508">
        <v>92.5</v>
      </c>
      <c r="V508">
        <v>4.5999999999999996</v>
      </c>
      <c r="W508">
        <v>2.1</v>
      </c>
      <c r="Z508" s="15"/>
      <c r="AA508" s="15"/>
      <c r="AB508" s="15"/>
      <c r="AC508" s="15"/>
      <c r="AD508" s="15"/>
      <c r="AE508" s="15"/>
      <c r="AF508" s="15"/>
      <c r="AG508" s="15">
        <v>7.4999999999999997E-3</v>
      </c>
      <c r="AH508" s="15">
        <v>1</v>
      </c>
      <c r="AI508" s="15">
        <v>6</v>
      </c>
      <c r="AJ508" s="15">
        <v>14</v>
      </c>
      <c r="AM508" s="13"/>
      <c r="AO508" s="15"/>
      <c r="AP508" s="15" t="e">
        <f>LN(25/Table2[[#This Row],[Temperature (C)]]/(1-SQRT((Table2[[#This Row],[Temperature (C)]]-5)/Table2[[#This Row],[Temperature (C)]])))/Table2[[#This Row],[b]]</f>
        <v>#DIV/0!</v>
      </c>
      <c r="AQ508" s="15">
        <f>IF(Table2[[#This Row],[b]]&lt;&gt;"",Table2[[#This Row],[T-5]], 0)</f>
        <v>0</v>
      </c>
      <c r="AR508">
        <v>60</v>
      </c>
      <c r="AT508" t="s">
        <v>503</v>
      </c>
      <c r="AU508">
        <v>400</v>
      </c>
      <c r="AV508" s="15">
        <v>4.25</v>
      </c>
      <c r="AW508" s="15">
        <v>44.59</v>
      </c>
      <c r="AX508" s="15">
        <v>38.56</v>
      </c>
      <c r="AY508" s="15">
        <v>12.6</v>
      </c>
      <c r="AZ508" s="15"/>
      <c r="BA508" s="15"/>
      <c r="BB508" s="15">
        <f>IF(OR(Table2[[#This Row],[Gas wt%]]&lt;&gt;"",Table2[[#This Row],[Loss]]&lt;&gt;""),Table2[[#This Row],[Gas wt%]]+Table2[[#This Row],[Loss]],"")</f>
        <v>12.6</v>
      </c>
      <c r="BC508" s="15"/>
      <c r="BD508" s="15"/>
      <c r="BE508" s="15"/>
      <c r="BF508" s="15"/>
      <c r="BG508" s="15"/>
      <c r="BH508" s="15"/>
      <c r="BI508" s="15"/>
      <c r="BJ508" s="15"/>
      <c r="BK508" s="15"/>
      <c r="BL508" s="15"/>
      <c r="BM508" s="15"/>
      <c r="BN508" s="15"/>
      <c r="BO508" s="15"/>
      <c r="BP508" s="15"/>
      <c r="BQ508" s="15"/>
      <c r="BR508" s="15"/>
      <c r="BS508" s="15"/>
      <c r="BT508" s="15"/>
      <c r="BU508" s="15"/>
      <c r="BV508" s="15"/>
      <c r="BW508" s="15"/>
      <c r="BX508" s="15"/>
      <c r="BY508" s="15"/>
      <c r="BZ508" s="15"/>
      <c r="CA508" s="15"/>
      <c r="CB508" s="15"/>
      <c r="CC508" s="15"/>
      <c r="CD508" s="15"/>
      <c r="CE508" s="15"/>
      <c r="CF508" s="15"/>
      <c r="CG508" s="15"/>
      <c r="CH508" s="15"/>
      <c r="CI508" s="15"/>
      <c r="CJ508" s="15"/>
      <c r="CK508" s="15"/>
      <c r="CL508" s="15"/>
      <c r="CM508" s="15"/>
      <c r="CN508" s="15"/>
      <c r="CO508" s="15"/>
      <c r="CP508" s="15"/>
      <c r="CQ508" s="15"/>
      <c r="CR508" s="15"/>
      <c r="CS508" s="15"/>
      <c r="CT508" s="15"/>
      <c r="CU508" s="15"/>
      <c r="CV508" s="15"/>
      <c r="CW508" s="15"/>
      <c r="CX508" s="15"/>
      <c r="CY508" s="15"/>
      <c r="CZ508" s="15"/>
      <c r="DA508" s="15"/>
      <c r="DB508" s="15">
        <v>0</v>
      </c>
    </row>
    <row r="509" spans="1:106" x14ac:dyDescent="0.25">
      <c r="A509" t="s">
        <v>485</v>
      </c>
      <c r="B509" t="s">
        <v>151</v>
      </c>
      <c r="C509">
        <v>2014</v>
      </c>
      <c r="D509" s="16" t="s">
        <v>486</v>
      </c>
      <c r="E509">
        <v>0</v>
      </c>
      <c r="F509" s="15">
        <v>28.999999999999996</v>
      </c>
      <c r="G509" s="15"/>
      <c r="H509" s="15"/>
      <c r="I509" s="15">
        <v>11</v>
      </c>
      <c r="J509" s="15">
        <v>53</v>
      </c>
      <c r="K509" s="15"/>
      <c r="L509" s="15">
        <f>IF(Table2[[#This Row],[Lipids wt%]]+Table2[[#This Row],[Protein wt%]]+Table2[[#This Row],[Carbs wt%]] =0,"",SUM(Table2[[#This Row],[Lipids wt%]],Table2[[#This Row],[Protein wt%]],Table2[[#This Row],[Carbs wt%]]))</f>
        <v>93</v>
      </c>
      <c r="M509" s="15">
        <v>7</v>
      </c>
      <c r="U509">
        <v>93</v>
      </c>
      <c r="V509">
        <v>2.9</v>
      </c>
      <c r="W509">
        <v>0.88</v>
      </c>
      <c r="Z509" s="15"/>
      <c r="AA509" s="15"/>
      <c r="AB509" s="15"/>
      <c r="AC509" s="15"/>
      <c r="AD509" s="15"/>
      <c r="AE509" s="15"/>
      <c r="AF509" s="15"/>
      <c r="AG509" s="15">
        <v>4.1000000000000003E-3</v>
      </c>
      <c r="AH509" s="15"/>
      <c r="AI509" s="15"/>
      <c r="AJ509" s="15">
        <v>15</v>
      </c>
      <c r="AM509" s="13"/>
      <c r="AO509" s="15"/>
      <c r="AP509" s="15" t="e">
        <f>LN(25/Table2[[#This Row],[Temperature (C)]]/(1-SQRT((Table2[[#This Row],[Temperature (C)]]-5)/Table2[[#This Row],[Temperature (C)]])))/Table2[[#This Row],[b]]</f>
        <v>#DIV/0!</v>
      </c>
      <c r="AQ509" s="15">
        <f>IF(Table2[[#This Row],[b]]&lt;&gt;"",Table2[[#This Row],[T-5]], 0)</f>
        <v>0</v>
      </c>
      <c r="AR509">
        <v>20</v>
      </c>
      <c r="AT509" t="s">
        <v>503</v>
      </c>
      <c r="AU509">
        <v>250</v>
      </c>
      <c r="AV509" s="15">
        <v>8.6</v>
      </c>
      <c r="AW509" s="15">
        <v>27</v>
      </c>
      <c r="AX509" s="15">
        <v>64</v>
      </c>
      <c r="AY509" s="15"/>
      <c r="AZ509" s="15"/>
      <c r="BA509" s="15"/>
      <c r="BB509" s="15" t="str">
        <f>IF(OR(Table2[[#This Row],[Gas wt%]]&lt;&gt;"",Table2[[#This Row],[Loss]]&lt;&gt;""),Table2[[#This Row],[Gas wt%]]+Table2[[#This Row],[Loss]],"")</f>
        <v/>
      </c>
      <c r="BC509" s="15"/>
      <c r="BD509" s="15"/>
      <c r="BE509" s="15"/>
      <c r="BF509" s="15"/>
      <c r="BG509" s="15"/>
      <c r="BH509" s="15"/>
      <c r="BI509" s="15"/>
      <c r="BJ509" s="15"/>
      <c r="BK509" s="15"/>
      <c r="BL509" s="15"/>
      <c r="BM509" s="15"/>
      <c r="BN509" s="15"/>
      <c r="BO509" s="15"/>
      <c r="BP509" s="15"/>
      <c r="BQ509" s="15"/>
      <c r="BR509" s="15"/>
      <c r="BS509" s="15"/>
      <c r="BT509" s="15"/>
      <c r="BU509" s="15"/>
      <c r="BV509" s="15"/>
      <c r="BW509" s="15"/>
      <c r="BX509" s="15"/>
      <c r="BY509" s="15"/>
      <c r="BZ509" s="15"/>
      <c r="CA509" s="15"/>
      <c r="CB509" s="15"/>
      <c r="CC509" s="15"/>
      <c r="CD509" s="15"/>
      <c r="CE509" s="15"/>
      <c r="CF509" s="15"/>
      <c r="CG509" s="15"/>
      <c r="CH509" s="15"/>
      <c r="CI509" s="15"/>
      <c r="CJ509" s="15"/>
      <c r="CK509" s="15"/>
      <c r="CL509" s="15"/>
      <c r="CM509" s="15"/>
      <c r="CN509" s="15"/>
      <c r="CO509" s="15"/>
      <c r="CP509" s="15"/>
      <c r="CQ509" s="15"/>
      <c r="CR509" s="15"/>
      <c r="CS509" s="15"/>
      <c r="CT509" s="15"/>
      <c r="CU509" s="15"/>
      <c r="CV509" s="15"/>
      <c r="CW509" s="15"/>
      <c r="CX509" s="15"/>
      <c r="CY509" s="15"/>
      <c r="CZ509" s="15"/>
      <c r="DA509" s="15"/>
      <c r="DB509" s="15">
        <v>0</v>
      </c>
    </row>
    <row r="510" spans="1:106" x14ac:dyDescent="0.25">
      <c r="A510" t="s">
        <v>485</v>
      </c>
      <c r="B510" t="s">
        <v>151</v>
      </c>
      <c r="C510">
        <v>2014</v>
      </c>
      <c r="D510" s="16" t="s">
        <v>486</v>
      </c>
      <c r="E510">
        <v>0</v>
      </c>
      <c r="F510" s="15">
        <v>28.999999999999996</v>
      </c>
      <c r="G510" s="15"/>
      <c r="H510" s="15"/>
      <c r="I510" s="15">
        <v>11</v>
      </c>
      <c r="J510" s="15">
        <v>53</v>
      </c>
      <c r="K510" s="15"/>
      <c r="L510" s="15">
        <f>IF(Table2[[#This Row],[Lipids wt%]]+Table2[[#This Row],[Protein wt%]]+Table2[[#This Row],[Carbs wt%]] =0,"",SUM(Table2[[#This Row],[Lipids wt%]],Table2[[#This Row],[Protein wt%]],Table2[[#This Row],[Carbs wt%]]))</f>
        <v>93</v>
      </c>
      <c r="M510" s="15">
        <v>7</v>
      </c>
      <c r="U510">
        <v>93</v>
      </c>
      <c r="V510">
        <v>2.9</v>
      </c>
      <c r="W510">
        <v>0.88</v>
      </c>
      <c r="Z510" s="15"/>
      <c r="AA510" s="15"/>
      <c r="AB510" s="15"/>
      <c r="AC510" s="15"/>
      <c r="AD510" s="15"/>
      <c r="AE510" s="15"/>
      <c r="AF510" s="15"/>
      <c r="AG510" s="15">
        <v>4.1000000000000003E-3</v>
      </c>
      <c r="AH510" s="15"/>
      <c r="AI510" s="15"/>
      <c r="AJ510" s="15">
        <v>15</v>
      </c>
      <c r="AM510" s="13"/>
      <c r="AO510" s="15"/>
      <c r="AP510" s="15" t="e">
        <f>LN(25/Table2[[#This Row],[Temperature (C)]]/(1-SQRT((Table2[[#This Row],[Temperature (C)]]-5)/Table2[[#This Row],[Temperature (C)]])))/Table2[[#This Row],[b]]</f>
        <v>#DIV/0!</v>
      </c>
      <c r="AQ510" s="15">
        <f>IF(Table2[[#This Row],[b]]&lt;&gt;"",Table2[[#This Row],[T-5]], 0)</f>
        <v>0</v>
      </c>
      <c r="AR510">
        <v>30</v>
      </c>
      <c r="AT510" t="s">
        <v>503</v>
      </c>
      <c r="AU510">
        <v>250</v>
      </c>
      <c r="AV510" s="15">
        <v>18</v>
      </c>
      <c r="AW510" s="15">
        <v>28</v>
      </c>
      <c r="AX510" s="15">
        <v>54</v>
      </c>
      <c r="AY510" s="15"/>
      <c r="AZ510" s="15"/>
      <c r="BA510" s="15"/>
      <c r="BB510" s="15" t="str">
        <f>IF(OR(Table2[[#This Row],[Gas wt%]]&lt;&gt;"",Table2[[#This Row],[Loss]]&lt;&gt;""),Table2[[#This Row],[Gas wt%]]+Table2[[#This Row],[Loss]],"")</f>
        <v/>
      </c>
      <c r="BC510" s="15"/>
      <c r="BD510" s="15"/>
      <c r="BE510" s="15"/>
      <c r="BF510" s="15"/>
      <c r="BG510" s="15"/>
      <c r="BH510" s="15"/>
      <c r="BI510" s="15"/>
      <c r="BJ510" s="15"/>
      <c r="BK510" s="15"/>
      <c r="BL510" s="15"/>
      <c r="BM510" s="15"/>
      <c r="BN510" s="15"/>
      <c r="BO510" s="15"/>
      <c r="BP510" s="15"/>
      <c r="BQ510" s="15"/>
      <c r="BR510" s="15"/>
      <c r="BS510" s="15"/>
      <c r="BT510" s="15"/>
      <c r="BU510" s="15"/>
      <c r="BV510" s="15"/>
      <c r="BW510" s="15"/>
      <c r="BX510" s="15"/>
      <c r="BY510" s="15"/>
      <c r="BZ510" s="15"/>
      <c r="CA510" s="15"/>
      <c r="CB510" s="15"/>
      <c r="CC510" s="15"/>
      <c r="CD510" s="15"/>
      <c r="CE510" s="15"/>
      <c r="CF510" s="15"/>
      <c r="CG510" s="15"/>
      <c r="CH510" s="15"/>
      <c r="CI510" s="15"/>
      <c r="CJ510" s="15"/>
      <c r="CK510" s="15"/>
      <c r="CL510" s="15"/>
      <c r="CM510" s="15"/>
      <c r="CN510" s="15"/>
      <c r="CO510" s="15"/>
      <c r="CP510" s="15"/>
      <c r="CQ510" s="15"/>
      <c r="CR510" s="15"/>
      <c r="CS510" s="15"/>
      <c r="CT510" s="15"/>
      <c r="CU510" s="15"/>
      <c r="CV510" s="15"/>
      <c r="CW510" s="15"/>
      <c r="CX510" s="15"/>
      <c r="CY510" s="15"/>
      <c r="CZ510" s="15"/>
      <c r="DA510" s="15"/>
      <c r="DB510" s="15">
        <v>0</v>
      </c>
    </row>
    <row r="511" spans="1:106" x14ac:dyDescent="0.25">
      <c r="A511" t="s">
        <v>485</v>
      </c>
      <c r="B511" t="s">
        <v>151</v>
      </c>
      <c r="C511">
        <v>2014</v>
      </c>
      <c r="D511" s="16" t="s">
        <v>486</v>
      </c>
      <c r="E511">
        <v>0</v>
      </c>
      <c r="F511" s="15">
        <v>28.999999999999996</v>
      </c>
      <c r="G511" s="15"/>
      <c r="H511" s="15"/>
      <c r="I511" s="15">
        <v>11</v>
      </c>
      <c r="J511" s="15">
        <v>53</v>
      </c>
      <c r="K511" s="15"/>
      <c r="L511" s="15">
        <f>IF(Table2[[#This Row],[Lipids wt%]]+Table2[[#This Row],[Protein wt%]]+Table2[[#This Row],[Carbs wt%]] =0,"",SUM(Table2[[#This Row],[Lipids wt%]],Table2[[#This Row],[Protein wt%]],Table2[[#This Row],[Carbs wt%]]))</f>
        <v>93</v>
      </c>
      <c r="M511" s="15">
        <v>7</v>
      </c>
      <c r="U511">
        <v>93</v>
      </c>
      <c r="V511">
        <v>2.9</v>
      </c>
      <c r="W511">
        <v>0.88</v>
      </c>
      <c r="Z511" s="15"/>
      <c r="AA511" s="15"/>
      <c r="AB511" s="15"/>
      <c r="AC511" s="15"/>
      <c r="AD511" s="15"/>
      <c r="AE511" s="15"/>
      <c r="AF511" s="15"/>
      <c r="AG511" s="15">
        <v>4.1000000000000003E-3</v>
      </c>
      <c r="AH511" s="15"/>
      <c r="AI511" s="15"/>
      <c r="AJ511" s="15">
        <v>15</v>
      </c>
      <c r="AM511" s="13"/>
      <c r="AO511" s="15"/>
      <c r="AP511" s="15" t="e">
        <f>LN(25/Table2[[#This Row],[Temperature (C)]]/(1-SQRT((Table2[[#This Row],[Temperature (C)]]-5)/Table2[[#This Row],[Temperature (C)]])))/Table2[[#This Row],[b]]</f>
        <v>#DIV/0!</v>
      </c>
      <c r="AQ511" s="15">
        <f>IF(Table2[[#This Row],[b]]&lt;&gt;"",Table2[[#This Row],[T-5]], 0)</f>
        <v>0</v>
      </c>
      <c r="AR511">
        <v>60</v>
      </c>
      <c r="AT511" t="s">
        <v>503</v>
      </c>
      <c r="AU511">
        <v>250</v>
      </c>
      <c r="AV511" s="15">
        <v>13</v>
      </c>
      <c r="AW511" s="15">
        <v>23</v>
      </c>
      <c r="AX511" s="15">
        <v>64</v>
      </c>
      <c r="AY511" s="15"/>
      <c r="AZ511" s="15"/>
      <c r="BA511" s="15"/>
      <c r="BB511" s="15" t="str">
        <f>IF(OR(Table2[[#This Row],[Gas wt%]]&lt;&gt;"",Table2[[#This Row],[Loss]]&lt;&gt;""),Table2[[#This Row],[Gas wt%]]+Table2[[#This Row],[Loss]],"")</f>
        <v/>
      </c>
      <c r="BC511" s="15"/>
      <c r="BD511" s="15"/>
      <c r="BE511" s="15"/>
      <c r="BF511" s="15"/>
      <c r="BG511" s="15"/>
      <c r="BH511" s="15"/>
      <c r="BI511" s="15"/>
      <c r="BJ511" s="15"/>
      <c r="BK511" s="15"/>
      <c r="BL511" s="15"/>
      <c r="BM511" s="15"/>
      <c r="BN511" s="15"/>
      <c r="BO511" s="15"/>
      <c r="BP511" s="15"/>
      <c r="BQ511" s="15"/>
      <c r="BR511" s="15"/>
      <c r="BS511" s="15"/>
      <c r="BT511" s="15"/>
      <c r="BU511" s="15"/>
      <c r="BV511" s="15"/>
      <c r="BW511" s="15"/>
      <c r="BX511" s="15"/>
      <c r="BY511" s="15"/>
      <c r="BZ511" s="15"/>
      <c r="CA511" s="15"/>
      <c r="CB511" s="15"/>
      <c r="CC511" s="15"/>
      <c r="CD511" s="15"/>
      <c r="CE511" s="15"/>
      <c r="CF511" s="15"/>
      <c r="CG511" s="15"/>
      <c r="CH511" s="15"/>
      <c r="CI511" s="15"/>
      <c r="CJ511" s="15"/>
      <c r="CK511" s="15"/>
      <c r="CL511" s="15"/>
      <c r="CM511" s="15"/>
      <c r="CN511" s="15"/>
      <c r="CO511" s="15"/>
      <c r="CP511" s="15"/>
      <c r="CQ511" s="15"/>
      <c r="CR511" s="15"/>
      <c r="CS511" s="15"/>
      <c r="CT511" s="15"/>
      <c r="CU511" s="15"/>
      <c r="CV511" s="15"/>
      <c r="CW511" s="15"/>
      <c r="CX511" s="15"/>
      <c r="CY511" s="15"/>
      <c r="CZ511" s="15"/>
      <c r="DA511" s="15"/>
      <c r="DB511" s="15">
        <v>0</v>
      </c>
    </row>
    <row r="512" spans="1:106" x14ac:dyDescent="0.25">
      <c r="A512" t="s">
        <v>485</v>
      </c>
      <c r="B512" t="s">
        <v>151</v>
      </c>
      <c r="C512">
        <v>2014</v>
      </c>
      <c r="D512" s="16" t="s">
        <v>486</v>
      </c>
      <c r="E512">
        <v>0</v>
      </c>
      <c r="F512" s="15">
        <v>28.999999999999996</v>
      </c>
      <c r="G512" s="15"/>
      <c r="H512" s="15"/>
      <c r="I512" s="15">
        <v>11</v>
      </c>
      <c r="J512" s="15">
        <v>53</v>
      </c>
      <c r="K512" s="15"/>
      <c r="L512" s="15">
        <f>IF(Table2[[#This Row],[Lipids wt%]]+Table2[[#This Row],[Protein wt%]]+Table2[[#This Row],[Carbs wt%]] =0,"",SUM(Table2[[#This Row],[Lipids wt%]],Table2[[#This Row],[Protein wt%]],Table2[[#This Row],[Carbs wt%]]))</f>
        <v>93</v>
      </c>
      <c r="M512" s="15">
        <v>7</v>
      </c>
      <c r="U512">
        <v>93</v>
      </c>
      <c r="V512">
        <v>2.9</v>
      </c>
      <c r="W512">
        <v>0.88</v>
      </c>
      <c r="Z512" s="15"/>
      <c r="AA512" s="15"/>
      <c r="AB512" s="15"/>
      <c r="AC512" s="15"/>
      <c r="AD512" s="15"/>
      <c r="AE512" s="15"/>
      <c r="AF512" s="15"/>
      <c r="AG512" s="15">
        <v>4.1000000000000003E-3</v>
      </c>
      <c r="AH512" s="15"/>
      <c r="AI512" s="15"/>
      <c r="AJ512" s="15">
        <v>15</v>
      </c>
      <c r="AM512" s="13"/>
      <c r="AO512" s="15"/>
      <c r="AP512" s="15" t="e">
        <f>LN(25/Table2[[#This Row],[Temperature (C)]]/(1-SQRT((Table2[[#This Row],[Temperature (C)]]-5)/Table2[[#This Row],[Temperature (C)]])))/Table2[[#This Row],[b]]</f>
        <v>#DIV/0!</v>
      </c>
      <c r="AQ512" s="15">
        <f>IF(Table2[[#This Row],[b]]&lt;&gt;"",Table2[[#This Row],[T-5]], 0)</f>
        <v>0</v>
      </c>
      <c r="AR512">
        <v>90</v>
      </c>
      <c r="AT512" t="s">
        <v>503</v>
      </c>
      <c r="AU512">
        <v>250</v>
      </c>
      <c r="AV512" s="15">
        <v>24</v>
      </c>
      <c r="AW512" s="15">
        <v>27</v>
      </c>
      <c r="AX512" s="15">
        <v>49</v>
      </c>
      <c r="AY512" s="15"/>
      <c r="AZ512" s="15"/>
      <c r="BA512" s="15"/>
      <c r="BB512" s="15" t="str">
        <f>IF(OR(Table2[[#This Row],[Gas wt%]]&lt;&gt;"",Table2[[#This Row],[Loss]]&lt;&gt;""),Table2[[#This Row],[Gas wt%]]+Table2[[#This Row],[Loss]],"")</f>
        <v/>
      </c>
      <c r="BC512" s="15"/>
      <c r="BD512" s="15"/>
      <c r="BE512" s="15"/>
      <c r="BF512" s="15"/>
      <c r="BG512" s="15"/>
      <c r="BH512" s="15"/>
      <c r="BI512" s="15"/>
      <c r="BJ512" s="15"/>
      <c r="BK512" s="15"/>
      <c r="BL512" s="15"/>
      <c r="BM512" s="15"/>
      <c r="BN512" s="15"/>
      <c r="BO512" s="15"/>
      <c r="BP512" s="15"/>
      <c r="BQ512" s="15"/>
      <c r="BR512" s="15"/>
      <c r="BS512" s="15"/>
      <c r="BT512" s="15"/>
      <c r="BU512" s="15"/>
      <c r="BV512" s="15"/>
      <c r="BW512" s="15"/>
      <c r="BX512" s="15"/>
      <c r="BY512" s="15"/>
      <c r="BZ512" s="15"/>
      <c r="CA512" s="15"/>
      <c r="CB512" s="15"/>
      <c r="CC512" s="15"/>
      <c r="CD512" s="15"/>
      <c r="CE512" s="15"/>
      <c r="CF512" s="15"/>
      <c r="CG512" s="15"/>
      <c r="CH512" s="15"/>
      <c r="CI512" s="15"/>
      <c r="CJ512" s="15"/>
      <c r="CK512" s="15"/>
      <c r="CL512" s="15"/>
      <c r="CM512" s="15"/>
      <c r="CN512" s="15"/>
      <c r="CO512" s="15"/>
      <c r="CP512" s="15"/>
      <c r="CQ512" s="15"/>
      <c r="CR512" s="15"/>
      <c r="CS512" s="15"/>
      <c r="CT512" s="15"/>
      <c r="CU512" s="15"/>
      <c r="CV512" s="15"/>
      <c r="CW512" s="15"/>
      <c r="CX512" s="15"/>
      <c r="CY512" s="15"/>
      <c r="CZ512" s="15"/>
      <c r="DA512" s="15"/>
      <c r="DB512" s="15">
        <v>0</v>
      </c>
    </row>
    <row r="513" spans="1:106" x14ac:dyDescent="0.25">
      <c r="A513" t="s">
        <v>485</v>
      </c>
      <c r="B513" t="s">
        <v>151</v>
      </c>
      <c r="C513">
        <v>2014</v>
      </c>
      <c r="D513" s="16" t="s">
        <v>486</v>
      </c>
      <c r="E513">
        <v>0</v>
      </c>
      <c r="F513" s="15">
        <v>28.999999999999996</v>
      </c>
      <c r="G513" s="15"/>
      <c r="H513" s="15"/>
      <c r="I513" s="15">
        <v>11</v>
      </c>
      <c r="J513" s="15">
        <v>53</v>
      </c>
      <c r="K513" s="15"/>
      <c r="L513" s="15">
        <f>IF(Table2[[#This Row],[Lipids wt%]]+Table2[[#This Row],[Protein wt%]]+Table2[[#This Row],[Carbs wt%]] =0,"",SUM(Table2[[#This Row],[Lipids wt%]],Table2[[#This Row],[Protein wt%]],Table2[[#This Row],[Carbs wt%]]))</f>
        <v>93</v>
      </c>
      <c r="M513" s="15">
        <v>7</v>
      </c>
      <c r="U513">
        <v>93</v>
      </c>
      <c r="V513">
        <v>2.9</v>
      </c>
      <c r="W513">
        <v>0.88</v>
      </c>
      <c r="Z513" s="15"/>
      <c r="AA513" s="15"/>
      <c r="AB513" s="15"/>
      <c r="AC513" s="15"/>
      <c r="AD513" s="15"/>
      <c r="AE513" s="15"/>
      <c r="AF513" s="15"/>
      <c r="AG513" s="15">
        <v>4.1000000000000003E-3</v>
      </c>
      <c r="AH513" s="15"/>
      <c r="AI513" s="15"/>
      <c r="AJ513" s="15">
        <v>15</v>
      </c>
      <c r="AM513" s="13"/>
      <c r="AO513" s="15"/>
      <c r="AP513" s="15" t="e">
        <f>LN(25/Table2[[#This Row],[Temperature (C)]]/(1-SQRT((Table2[[#This Row],[Temperature (C)]]-5)/Table2[[#This Row],[Temperature (C)]])))/Table2[[#This Row],[b]]</f>
        <v>#DIV/0!</v>
      </c>
      <c r="AQ513" s="15">
        <f>IF(Table2[[#This Row],[b]]&lt;&gt;"",Table2[[#This Row],[T-5]], 0)</f>
        <v>0</v>
      </c>
      <c r="AR513">
        <v>10</v>
      </c>
      <c r="AT513" t="s">
        <v>503</v>
      </c>
      <c r="AU513">
        <v>300</v>
      </c>
      <c r="AV513" s="15">
        <v>16</v>
      </c>
      <c r="AW513" s="15">
        <v>30</v>
      </c>
      <c r="AX513" s="15">
        <v>49</v>
      </c>
      <c r="AY513" s="15">
        <v>4.3</v>
      </c>
      <c r="AZ513" s="15"/>
      <c r="BA513" s="15"/>
      <c r="BB513" s="15">
        <f>IF(OR(Table2[[#This Row],[Gas wt%]]&lt;&gt;"",Table2[[#This Row],[Loss]]&lt;&gt;""),Table2[[#This Row],[Gas wt%]]+Table2[[#This Row],[Loss]],"")</f>
        <v>4.3</v>
      </c>
      <c r="BC513" s="15"/>
      <c r="BD513" s="15"/>
      <c r="BE513" s="15"/>
      <c r="BF513" s="15"/>
      <c r="BG513" s="15"/>
      <c r="BH513" s="15"/>
      <c r="BI513" s="15"/>
      <c r="BJ513" s="15"/>
      <c r="BK513" s="15"/>
      <c r="BL513" s="15"/>
      <c r="BM513" s="15"/>
      <c r="BN513" s="15"/>
      <c r="BO513" s="15"/>
      <c r="BP513" s="15"/>
      <c r="BQ513" s="15"/>
      <c r="BR513" s="15"/>
      <c r="BS513" s="15"/>
      <c r="BT513" s="15"/>
      <c r="BU513" s="15"/>
      <c r="BV513" s="15"/>
      <c r="BW513" s="15"/>
      <c r="BX513" s="15"/>
      <c r="BY513" s="15"/>
      <c r="BZ513" s="15"/>
      <c r="CA513" s="15"/>
      <c r="CB513" s="15"/>
      <c r="CC513" s="15"/>
      <c r="CD513" s="15"/>
      <c r="CE513" s="15"/>
      <c r="CF513" s="15"/>
      <c r="CG513" s="15"/>
      <c r="CH513" s="15"/>
      <c r="CI513" s="15"/>
      <c r="CJ513" s="15"/>
      <c r="CK513" s="15"/>
      <c r="CL513" s="15"/>
      <c r="CM513" s="15"/>
      <c r="CN513" s="15"/>
      <c r="CO513" s="15"/>
      <c r="CP513" s="15"/>
      <c r="CQ513" s="15"/>
      <c r="CR513" s="15"/>
      <c r="CS513" s="15"/>
      <c r="CT513" s="15"/>
      <c r="CU513" s="15"/>
      <c r="CV513" s="15"/>
      <c r="CW513" s="15"/>
      <c r="CX513" s="15"/>
      <c r="CY513" s="15"/>
      <c r="CZ513" s="15"/>
      <c r="DA513" s="15"/>
      <c r="DB513" s="15">
        <v>0</v>
      </c>
    </row>
    <row r="514" spans="1:106" x14ac:dyDescent="0.25">
      <c r="A514" t="s">
        <v>485</v>
      </c>
      <c r="B514" t="s">
        <v>151</v>
      </c>
      <c r="C514">
        <v>2014</v>
      </c>
      <c r="D514" s="16" t="s">
        <v>486</v>
      </c>
      <c r="E514">
        <v>0</v>
      </c>
      <c r="F514" s="15">
        <v>28.999999999999996</v>
      </c>
      <c r="G514" s="15"/>
      <c r="H514" s="15"/>
      <c r="I514" s="15">
        <v>11</v>
      </c>
      <c r="J514" s="15">
        <v>53</v>
      </c>
      <c r="K514" s="15"/>
      <c r="L514" s="15">
        <f>IF(Table2[[#This Row],[Lipids wt%]]+Table2[[#This Row],[Protein wt%]]+Table2[[#This Row],[Carbs wt%]] =0,"",SUM(Table2[[#This Row],[Lipids wt%]],Table2[[#This Row],[Protein wt%]],Table2[[#This Row],[Carbs wt%]]))</f>
        <v>93</v>
      </c>
      <c r="M514" s="15">
        <v>7</v>
      </c>
      <c r="U514">
        <v>93</v>
      </c>
      <c r="V514">
        <v>2.9</v>
      </c>
      <c r="W514">
        <v>0.88</v>
      </c>
      <c r="Z514" s="15"/>
      <c r="AA514" s="15"/>
      <c r="AB514" s="15"/>
      <c r="AC514" s="15"/>
      <c r="AD514" s="15"/>
      <c r="AE514" s="15"/>
      <c r="AF514" s="15"/>
      <c r="AG514" s="15">
        <v>4.1000000000000003E-3</v>
      </c>
      <c r="AH514" s="15"/>
      <c r="AI514" s="15"/>
      <c r="AJ514" s="15">
        <v>15</v>
      </c>
      <c r="AM514" s="13"/>
      <c r="AO514" s="15"/>
      <c r="AP514" s="15" t="e">
        <f>LN(25/Table2[[#This Row],[Temperature (C)]]/(1-SQRT((Table2[[#This Row],[Temperature (C)]]-5)/Table2[[#This Row],[Temperature (C)]])))/Table2[[#This Row],[b]]</f>
        <v>#DIV/0!</v>
      </c>
      <c r="AQ514" s="15">
        <f>IF(Table2[[#This Row],[b]]&lt;&gt;"",Table2[[#This Row],[T-5]], 0)</f>
        <v>0</v>
      </c>
      <c r="AR514">
        <v>20</v>
      </c>
      <c r="AT514" t="s">
        <v>503</v>
      </c>
      <c r="AU514">
        <v>300</v>
      </c>
      <c r="AV514" s="15">
        <v>13</v>
      </c>
      <c r="AW514" s="15">
        <v>43</v>
      </c>
      <c r="AX514" s="15">
        <v>43</v>
      </c>
      <c r="AY514" s="15">
        <v>1.5</v>
      </c>
      <c r="AZ514" s="15"/>
      <c r="BA514" s="15"/>
      <c r="BB514" s="15">
        <f>IF(OR(Table2[[#This Row],[Gas wt%]]&lt;&gt;"",Table2[[#This Row],[Loss]]&lt;&gt;""),Table2[[#This Row],[Gas wt%]]+Table2[[#This Row],[Loss]],"")</f>
        <v>1.5</v>
      </c>
      <c r="BC514" s="15"/>
      <c r="BD514" s="15"/>
      <c r="BE514" s="15"/>
      <c r="BF514" s="15"/>
      <c r="BG514" s="15"/>
      <c r="BH514" s="15"/>
      <c r="BI514" s="15"/>
      <c r="BJ514" s="15"/>
      <c r="BK514" s="15"/>
      <c r="BL514" s="15"/>
      <c r="BM514" s="15"/>
      <c r="BN514" s="15"/>
      <c r="BO514" s="15"/>
      <c r="BP514" s="15"/>
      <c r="BQ514" s="15"/>
      <c r="BR514" s="15"/>
      <c r="BS514" s="15"/>
      <c r="BT514" s="15"/>
      <c r="BU514" s="15"/>
      <c r="BV514" s="15"/>
      <c r="BW514" s="15"/>
      <c r="BX514" s="15"/>
      <c r="BY514" s="15"/>
      <c r="BZ514" s="15"/>
      <c r="CA514" s="15"/>
      <c r="CB514" s="15"/>
      <c r="CC514" s="15"/>
      <c r="CD514" s="15"/>
      <c r="CE514" s="15"/>
      <c r="CF514" s="15"/>
      <c r="CG514" s="15"/>
      <c r="CH514" s="15"/>
      <c r="CI514" s="15"/>
      <c r="CJ514" s="15"/>
      <c r="CK514" s="15"/>
      <c r="CL514" s="15"/>
      <c r="CM514" s="15"/>
      <c r="CN514" s="15"/>
      <c r="CO514" s="15"/>
      <c r="CP514" s="15"/>
      <c r="CQ514" s="15"/>
      <c r="CR514" s="15"/>
      <c r="CS514" s="15"/>
      <c r="CT514" s="15"/>
      <c r="CU514" s="15"/>
      <c r="CV514" s="15"/>
      <c r="CW514" s="15"/>
      <c r="CX514" s="15"/>
      <c r="CY514" s="15"/>
      <c r="CZ514" s="15"/>
      <c r="DA514" s="15"/>
      <c r="DB514" s="15">
        <v>0</v>
      </c>
    </row>
    <row r="515" spans="1:106" x14ac:dyDescent="0.25">
      <c r="A515" t="s">
        <v>485</v>
      </c>
      <c r="B515" t="s">
        <v>151</v>
      </c>
      <c r="C515">
        <v>2014</v>
      </c>
      <c r="D515" s="16" t="s">
        <v>486</v>
      </c>
      <c r="E515">
        <v>0</v>
      </c>
      <c r="F515" s="15">
        <v>28.999999999999996</v>
      </c>
      <c r="G515" s="15"/>
      <c r="H515" s="15"/>
      <c r="I515" s="15">
        <v>11</v>
      </c>
      <c r="J515" s="15">
        <v>53</v>
      </c>
      <c r="K515" s="15"/>
      <c r="L515" s="15">
        <f>IF(Table2[[#This Row],[Lipids wt%]]+Table2[[#This Row],[Protein wt%]]+Table2[[#This Row],[Carbs wt%]] =0,"",SUM(Table2[[#This Row],[Lipids wt%]],Table2[[#This Row],[Protein wt%]],Table2[[#This Row],[Carbs wt%]]))</f>
        <v>93</v>
      </c>
      <c r="M515" s="15">
        <v>7</v>
      </c>
      <c r="U515">
        <v>93</v>
      </c>
      <c r="V515">
        <v>2.9</v>
      </c>
      <c r="W515">
        <v>0.88</v>
      </c>
      <c r="Z515" s="15"/>
      <c r="AA515" s="15"/>
      <c r="AB515" s="15"/>
      <c r="AC515" s="15"/>
      <c r="AD515" s="15"/>
      <c r="AE515" s="15"/>
      <c r="AF515" s="15"/>
      <c r="AG515" s="15">
        <v>4.1000000000000003E-3</v>
      </c>
      <c r="AH515" s="15"/>
      <c r="AI515" s="15"/>
      <c r="AJ515" s="15">
        <v>15</v>
      </c>
      <c r="AM515" s="13"/>
      <c r="AO515" s="15"/>
      <c r="AP515" s="15" t="e">
        <f>LN(25/Table2[[#This Row],[Temperature (C)]]/(1-SQRT((Table2[[#This Row],[Temperature (C)]]-5)/Table2[[#This Row],[Temperature (C)]])))/Table2[[#This Row],[b]]</f>
        <v>#DIV/0!</v>
      </c>
      <c r="AQ515" s="15">
        <f>IF(Table2[[#This Row],[b]]&lt;&gt;"",Table2[[#This Row],[T-5]], 0)</f>
        <v>0</v>
      </c>
      <c r="AR515">
        <v>40</v>
      </c>
      <c r="AT515" t="s">
        <v>503</v>
      </c>
      <c r="AU515">
        <v>300</v>
      </c>
      <c r="AV515" s="15">
        <v>7.4</v>
      </c>
      <c r="AW515" s="15">
        <v>46</v>
      </c>
      <c r="AX515" s="15">
        <v>47</v>
      </c>
      <c r="AY515" s="15"/>
      <c r="AZ515" s="15"/>
      <c r="BA515" s="15"/>
      <c r="BB515" s="15" t="str">
        <f>IF(OR(Table2[[#This Row],[Gas wt%]]&lt;&gt;"",Table2[[#This Row],[Loss]]&lt;&gt;""),Table2[[#This Row],[Gas wt%]]+Table2[[#This Row],[Loss]],"")</f>
        <v/>
      </c>
      <c r="BC515" s="15"/>
      <c r="BD515" s="15"/>
      <c r="BE515" s="15"/>
      <c r="BF515" s="15"/>
      <c r="BG515" s="15"/>
      <c r="BH515" s="15"/>
      <c r="BI515" s="15"/>
      <c r="BJ515" s="15"/>
      <c r="BK515" s="15"/>
      <c r="BL515" s="15"/>
      <c r="BM515" s="15"/>
      <c r="BN515" s="15"/>
      <c r="BO515" s="15"/>
      <c r="BP515" s="15"/>
      <c r="BQ515" s="15"/>
      <c r="BR515" s="15"/>
      <c r="BS515" s="15"/>
      <c r="BT515" s="15"/>
      <c r="BU515" s="15"/>
      <c r="BV515" s="15"/>
      <c r="BW515" s="15"/>
      <c r="BX515" s="15"/>
      <c r="BY515" s="15"/>
      <c r="BZ515" s="15"/>
      <c r="CA515" s="15"/>
      <c r="CB515" s="15"/>
      <c r="CC515" s="15"/>
      <c r="CD515" s="15"/>
      <c r="CE515" s="15"/>
      <c r="CF515" s="15"/>
      <c r="CG515" s="15"/>
      <c r="CH515" s="15"/>
      <c r="CI515" s="15"/>
      <c r="CJ515" s="15"/>
      <c r="CK515" s="15"/>
      <c r="CL515" s="15"/>
      <c r="CM515" s="15"/>
      <c r="CN515" s="15"/>
      <c r="CO515" s="15"/>
      <c r="CP515" s="15"/>
      <c r="CQ515" s="15"/>
      <c r="CR515" s="15"/>
      <c r="CS515" s="15"/>
      <c r="CT515" s="15"/>
      <c r="CU515" s="15"/>
      <c r="CV515" s="15"/>
      <c r="CW515" s="15"/>
      <c r="CX515" s="15"/>
      <c r="CY515" s="15"/>
      <c r="CZ515" s="15"/>
      <c r="DA515" s="15"/>
      <c r="DB515" s="15">
        <v>0</v>
      </c>
    </row>
    <row r="516" spans="1:106" x14ac:dyDescent="0.25">
      <c r="A516" t="s">
        <v>485</v>
      </c>
      <c r="B516" t="s">
        <v>151</v>
      </c>
      <c r="C516">
        <v>2014</v>
      </c>
      <c r="D516" s="16" t="s">
        <v>486</v>
      </c>
      <c r="E516">
        <v>0</v>
      </c>
      <c r="F516" s="15">
        <v>28.999999999999996</v>
      </c>
      <c r="G516" s="15"/>
      <c r="H516" s="15"/>
      <c r="I516" s="15">
        <v>11</v>
      </c>
      <c r="J516" s="15">
        <v>53</v>
      </c>
      <c r="K516" s="15"/>
      <c r="L516" s="15">
        <f>IF(Table2[[#This Row],[Lipids wt%]]+Table2[[#This Row],[Protein wt%]]+Table2[[#This Row],[Carbs wt%]] =0,"",SUM(Table2[[#This Row],[Lipids wt%]],Table2[[#This Row],[Protein wt%]],Table2[[#This Row],[Carbs wt%]]))</f>
        <v>93</v>
      </c>
      <c r="M516" s="15">
        <v>7</v>
      </c>
      <c r="U516">
        <v>93</v>
      </c>
      <c r="V516">
        <v>2.9</v>
      </c>
      <c r="W516">
        <v>0.88</v>
      </c>
      <c r="Z516" s="15"/>
      <c r="AA516" s="15"/>
      <c r="AB516" s="15"/>
      <c r="AC516" s="15"/>
      <c r="AD516" s="15"/>
      <c r="AE516" s="15"/>
      <c r="AF516" s="15"/>
      <c r="AG516" s="15">
        <v>4.1000000000000003E-3</v>
      </c>
      <c r="AH516" s="15"/>
      <c r="AI516" s="15"/>
      <c r="AJ516" s="15">
        <v>15</v>
      </c>
      <c r="AM516" s="13"/>
      <c r="AO516" s="15"/>
      <c r="AP516" s="15" t="e">
        <f>LN(25/Table2[[#This Row],[Temperature (C)]]/(1-SQRT((Table2[[#This Row],[Temperature (C)]]-5)/Table2[[#This Row],[Temperature (C)]])))/Table2[[#This Row],[b]]</f>
        <v>#DIV/0!</v>
      </c>
      <c r="AQ516" s="15">
        <f>IF(Table2[[#This Row],[b]]&lt;&gt;"",Table2[[#This Row],[T-5]], 0)</f>
        <v>0</v>
      </c>
      <c r="AR516">
        <v>60</v>
      </c>
      <c r="AT516" t="s">
        <v>503</v>
      </c>
      <c r="AU516">
        <v>300</v>
      </c>
      <c r="AV516" s="15">
        <v>8.4</v>
      </c>
      <c r="AW516" s="15">
        <v>46</v>
      </c>
      <c r="AX516" s="15">
        <v>46</v>
      </c>
      <c r="AY516" s="15"/>
      <c r="AZ516" s="15"/>
      <c r="BA516" s="15"/>
      <c r="BB516" s="15" t="str">
        <f>IF(OR(Table2[[#This Row],[Gas wt%]]&lt;&gt;"",Table2[[#This Row],[Loss]]&lt;&gt;""),Table2[[#This Row],[Gas wt%]]+Table2[[#This Row],[Loss]],"")</f>
        <v/>
      </c>
      <c r="BC516" s="15"/>
      <c r="BD516" s="15"/>
      <c r="BE516" s="15"/>
      <c r="BF516" s="15"/>
      <c r="BG516" s="15"/>
      <c r="BH516" s="15"/>
      <c r="BI516" s="15"/>
      <c r="BJ516" s="15"/>
      <c r="BK516" s="15"/>
      <c r="BL516" s="15"/>
      <c r="BM516" s="15"/>
      <c r="BN516" s="15"/>
      <c r="BO516" s="15"/>
      <c r="BP516" s="15"/>
      <c r="BQ516" s="15"/>
      <c r="BR516" s="15"/>
      <c r="BS516" s="15"/>
      <c r="BT516" s="15"/>
      <c r="BU516" s="15"/>
      <c r="BV516" s="15"/>
      <c r="BW516" s="15"/>
      <c r="BX516" s="15"/>
      <c r="BY516" s="15"/>
      <c r="BZ516" s="15"/>
      <c r="CA516" s="15"/>
      <c r="CB516" s="15"/>
      <c r="CC516" s="15"/>
      <c r="CD516" s="15"/>
      <c r="CE516" s="15"/>
      <c r="CF516" s="15"/>
      <c r="CG516" s="15"/>
      <c r="CH516" s="15"/>
      <c r="CI516" s="15"/>
      <c r="CJ516" s="15"/>
      <c r="CK516" s="15"/>
      <c r="CL516" s="15"/>
      <c r="CM516" s="15"/>
      <c r="CN516" s="15"/>
      <c r="CO516" s="15"/>
      <c r="CP516" s="15"/>
      <c r="CQ516" s="15"/>
      <c r="CR516" s="15"/>
      <c r="CS516" s="15"/>
      <c r="CT516" s="15"/>
      <c r="CU516" s="15"/>
      <c r="CV516" s="15"/>
      <c r="CW516" s="15"/>
      <c r="CX516" s="15"/>
      <c r="CY516" s="15"/>
      <c r="CZ516" s="15"/>
      <c r="DA516" s="15"/>
      <c r="DB516" s="15">
        <v>0</v>
      </c>
    </row>
    <row r="517" spans="1:106" x14ac:dyDescent="0.25">
      <c r="A517" t="s">
        <v>485</v>
      </c>
      <c r="B517" t="s">
        <v>151</v>
      </c>
      <c r="C517">
        <v>2014</v>
      </c>
      <c r="D517" s="16" t="s">
        <v>486</v>
      </c>
      <c r="E517">
        <v>0</v>
      </c>
      <c r="F517" s="15">
        <v>28.999999999999996</v>
      </c>
      <c r="G517" s="15"/>
      <c r="H517" s="15"/>
      <c r="I517" s="15">
        <v>11</v>
      </c>
      <c r="J517" s="15">
        <v>53</v>
      </c>
      <c r="K517" s="15"/>
      <c r="L517" s="15">
        <f>IF(Table2[[#This Row],[Lipids wt%]]+Table2[[#This Row],[Protein wt%]]+Table2[[#This Row],[Carbs wt%]] =0,"",SUM(Table2[[#This Row],[Lipids wt%]],Table2[[#This Row],[Protein wt%]],Table2[[#This Row],[Carbs wt%]]))</f>
        <v>93</v>
      </c>
      <c r="M517" s="15">
        <v>7</v>
      </c>
      <c r="U517">
        <v>93</v>
      </c>
      <c r="V517">
        <v>2.9</v>
      </c>
      <c r="W517">
        <v>0.88</v>
      </c>
      <c r="Z517" s="15"/>
      <c r="AA517" s="15"/>
      <c r="AB517" s="15"/>
      <c r="AC517" s="15"/>
      <c r="AD517" s="15"/>
      <c r="AE517" s="15"/>
      <c r="AF517" s="15"/>
      <c r="AG517" s="15">
        <v>4.1000000000000003E-3</v>
      </c>
      <c r="AH517" s="15"/>
      <c r="AI517" s="15"/>
      <c r="AJ517" s="15">
        <v>15</v>
      </c>
      <c r="AM517" s="13"/>
      <c r="AO517" s="15"/>
      <c r="AP517" s="15" t="e">
        <f>LN(25/Table2[[#This Row],[Temperature (C)]]/(1-SQRT((Table2[[#This Row],[Temperature (C)]]-5)/Table2[[#This Row],[Temperature (C)]])))/Table2[[#This Row],[b]]</f>
        <v>#DIV/0!</v>
      </c>
      <c r="AQ517" s="15">
        <f>IF(Table2[[#This Row],[b]]&lt;&gt;"",Table2[[#This Row],[T-5]], 0)</f>
        <v>0</v>
      </c>
      <c r="AR517">
        <v>10</v>
      </c>
      <c r="AT517" t="s">
        <v>503</v>
      </c>
      <c r="AU517">
        <v>350</v>
      </c>
      <c r="AV517" s="15">
        <v>5.6</v>
      </c>
      <c r="AW517" s="15">
        <v>44</v>
      </c>
      <c r="AX517" s="15">
        <v>47</v>
      </c>
      <c r="AY517" s="15">
        <v>4.0999999999999996</v>
      </c>
      <c r="AZ517" s="15"/>
      <c r="BA517" s="15"/>
      <c r="BB517" s="15">
        <f>IF(OR(Table2[[#This Row],[Gas wt%]]&lt;&gt;"",Table2[[#This Row],[Loss]]&lt;&gt;""),Table2[[#This Row],[Gas wt%]]+Table2[[#This Row],[Loss]],"")</f>
        <v>4.0999999999999996</v>
      </c>
      <c r="BC517" s="15"/>
      <c r="BD517" s="15"/>
      <c r="BE517" s="15"/>
      <c r="BF517" s="15"/>
      <c r="BG517" s="15"/>
      <c r="BH517" s="15"/>
      <c r="BI517" s="15"/>
      <c r="BJ517" s="15"/>
      <c r="BK517" s="15"/>
      <c r="BL517" s="15"/>
      <c r="BM517" s="15"/>
      <c r="BN517" s="15"/>
      <c r="BO517" s="15"/>
      <c r="BP517" s="15"/>
      <c r="BQ517" s="15"/>
      <c r="BR517" s="15"/>
      <c r="BS517" s="15"/>
      <c r="BT517" s="15"/>
      <c r="BU517" s="15"/>
      <c r="BV517" s="15"/>
      <c r="BW517" s="15"/>
      <c r="BX517" s="15"/>
      <c r="BY517" s="15"/>
      <c r="BZ517" s="15"/>
      <c r="CA517" s="15"/>
      <c r="CB517" s="15"/>
      <c r="CC517" s="15"/>
      <c r="CD517" s="15"/>
      <c r="CE517" s="15"/>
      <c r="CF517" s="15"/>
      <c r="CG517" s="15"/>
      <c r="CH517" s="15"/>
      <c r="CI517" s="15"/>
      <c r="CJ517" s="15"/>
      <c r="CK517" s="15"/>
      <c r="CL517" s="15"/>
      <c r="CM517" s="15"/>
      <c r="CN517" s="15"/>
      <c r="CO517" s="15"/>
      <c r="CP517" s="15"/>
      <c r="CQ517" s="15"/>
      <c r="CR517" s="15"/>
      <c r="CS517" s="15"/>
      <c r="CT517" s="15"/>
      <c r="CU517" s="15"/>
      <c r="CV517" s="15"/>
      <c r="CW517" s="15"/>
      <c r="CX517" s="15"/>
      <c r="CY517" s="15"/>
      <c r="CZ517" s="15"/>
      <c r="DA517" s="15"/>
      <c r="DB517" s="15">
        <v>0</v>
      </c>
    </row>
    <row r="518" spans="1:106" x14ac:dyDescent="0.25">
      <c r="A518" t="s">
        <v>485</v>
      </c>
      <c r="B518" t="s">
        <v>151</v>
      </c>
      <c r="C518">
        <v>2014</v>
      </c>
      <c r="D518" s="16" t="s">
        <v>486</v>
      </c>
      <c r="E518">
        <v>0</v>
      </c>
      <c r="F518" s="15">
        <v>28.999999999999996</v>
      </c>
      <c r="G518" s="15"/>
      <c r="H518" s="15"/>
      <c r="I518" s="15">
        <v>11</v>
      </c>
      <c r="J518" s="15">
        <v>53</v>
      </c>
      <c r="K518" s="15"/>
      <c r="L518" s="15">
        <f>IF(Table2[[#This Row],[Lipids wt%]]+Table2[[#This Row],[Protein wt%]]+Table2[[#This Row],[Carbs wt%]] =0,"",SUM(Table2[[#This Row],[Lipids wt%]],Table2[[#This Row],[Protein wt%]],Table2[[#This Row],[Carbs wt%]]))</f>
        <v>93</v>
      </c>
      <c r="M518" s="15">
        <v>7</v>
      </c>
      <c r="U518">
        <v>93</v>
      </c>
      <c r="V518">
        <v>2.9</v>
      </c>
      <c r="W518">
        <v>0.88</v>
      </c>
      <c r="Z518" s="15"/>
      <c r="AA518" s="15"/>
      <c r="AB518" s="15"/>
      <c r="AC518" s="15"/>
      <c r="AD518" s="15"/>
      <c r="AE518" s="15"/>
      <c r="AF518" s="15"/>
      <c r="AG518" s="15">
        <v>4.1000000000000003E-3</v>
      </c>
      <c r="AH518" s="15"/>
      <c r="AI518" s="15"/>
      <c r="AJ518" s="15">
        <v>15</v>
      </c>
      <c r="AM518" s="13"/>
      <c r="AO518" s="15"/>
      <c r="AP518" s="15" t="e">
        <f>LN(25/Table2[[#This Row],[Temperature (C)]]/(1-SQRT((Table2[[#This Row],[Temperature (C)]]-5)/Table2[[#This Row],[Temperature (C)]])))/Table2[[#This Row],[b]]</f>
        <v>#DIV/0!</v>
      </c>
      <c r="AQ518" s="15">
        <f>IF(Table2[[#This Row],[b]]&lt;&gt;"",Table2[[#This Row],[T-5]], 0)</f>
        <v>0</v>
      </c>
      <c r="AR518">
        <v>20</v>
      </c>
      <c r="AT518" t="s">
        <v>503</v>
      </c>
      <c r="AU518">
        <v>350</v>
      </c>
      <c r="AV518" s="15">
        <v>5</v>
      </c>
      <c r="AW518" s="15">
        <v>48</v>
      </c>
      <c r="AX518" s="15">
        <v>44</v>
      </c>
      <c r="AY518" s="15">
        <v>3.4</v>
      </c>
      <c r="AZ518" s="15"/>
      <c r="BA518" s="15"/>
      <c r="BB518" s="15">
        <f>IF(OR(Table2[[#This Row],[Gas wt%]]&lt;&gt;"",Table2[[#This Row],[Loss]]&lt;&gt;""),Table2[[#This Row],[Gas wt%]]+Table2[[#This Row],[Loss]],"")</f>
        <v>3.4</v>
      </c>
      <c r="BC518" s="15"/>
      <c r="BD518" s="15"/>
      <c r="BE518" s="15"/>
      <c r="BF518" s="15"/>
      <c r="BG518" s="15"/>
      <c r="BH518" s="15"/>
      <c r="BI518" s="15"/>
      <c r="BJ518" s="15"/>
      <c r="BK518" s="15"/>
      <c r="BL518" s="15"/>
      <c r="BM518" s="15"/>
      <c r="BN518" s="15"/>
      <c r="BO518" s="15"/>
      <c r="BP518" s="15"/>
      <c r="BQ518" s="15"/>
      <c r="BR518" s="15"/>
      <c r="BS518" s="15"/>
      <c r="BT518" s="15"/>
      <c r="BU518" s="15"/>
      <c r="BV518" s="15"/>
      <c r="BW518" s="15"/>
      <c r="BX518" s="15"/>
      <c r="BY518" s="15"/>
      <c r="BZ518" s="15"/>
      <c r="CA518" s="15"/>
      <c r="CB518" s="15"/>
      <c r="CC518" s="15"/>
      <c r="CD518" s="15"/>
      <c r="CE518" s="15"/>
      <c r="CF518" s="15"/>
      <c r="CG518" s="15"/>
      <c r="CH518" s="15"/>
      <c r="CI518" s="15"/>
      <c r="CJ518" s="15"/>
      <c r="CK518" s="15"/>
      <c r="CL518" s="15"/>
      <c r="CM518" s="15"/>
      <c r="CN518" s="15"/>
      <c r="CO518" s="15"/>
      <c r="CP518" s="15"/>
      <c r="CQ518" s="15"/>
      <c r="CR518" s="15"/>
      <c r="CS518" s="15"/>
      <c r="CT518" s="15"/>
      <c r="CU518" s="15"/>
      <c r="CV518" s="15"/>
      <c r="CW518" s="15"/>
      <c r="CX518" s="15"/>
      <c r="CY518" s="15"/>
      <c r="CZ518" s="15"/>
      <c r="DA518" s="15"/>
      <c r="DB518" s="15">
        <v>0</v>
      </c>
    </row>
    <row r="519" spans="1:106" x14ac:dyDescent="0.25">
      <c r="A519" t="s">
        <v>485</v>
      </c>
      <c r="B519" t="s">
        <v>151</v>
      </c>
      <c r="C519">
        <v>2014</v>
      </c>
      <c r="D519" s="16" t="s">
        <v>486</v>
      </c>
      <c r="E519">
        <v>0</v>
      </c>
      <c r="F519" s="15">
        <v>28.999999999999996</v>
      </c>
      <c r="G519" s="15"/>
      <c r="H519" s="15"/>
      <c r="I519" s="15">
        <v>11</v>
      </c>
      <c r="J519" s="15">
        <v>53</v>
      </c>
      <c r="K519" s="15"/>
      <c r="L519" s="15">
        <f>IF(Table2[[#This Row],[Lipids wt%]]+Table2[[#This Row],[Protein wt%]]+Table2[[#This Row],[Carbs wt%]] =0,"",SUM(Table2[[#This Row],[Lipids wt%]],Table2[[#This Row],[Protein wt%]],Table2[[#This Row],[Carbs wt%]]))</f>
        <v>93</v>
      </c>
      <c r="M519" s="15">
        <v>7</v>
      </c>
      <c r="U519">
        <v>93</v>
      </c>
      <c r="V519">
        <v>2.9</v>
      </c>
      <c r="W519">
        <v>0.88</v>
      </c>
      <c r="Z519" s="15"/>
      <c r="AA519" s="15"/>
      <c r="AB519" s="15"/>
      <c r="AC519" s="15"/>
      <c r="AD519" s="15"/>
      <c r="AE519" s="15"/>
      <c r="AF519" s="15"/>
      <c r="AG519" s="15">
        <v>4.1000000000000003E-3</v>
      </c>
      <c r="AH519" s="15"/>
      <c r="AI519" s="15"/>
      <c r="AJ519" s="15">
        <v>15</v>
      </c>
      <c r="AM519" s="13"/>
      <c r="AO519" s="15"/>
      <c r="AP519" s="15" t="e">
        <f>LN(25/Table2[[#This Row],[Temperature (C)]]/(1-SQRT((Table2[[#This Row],[Temperature (C)]]-5)/Table2[[#This Row],[Temperature (C)]])))/Table2[[#This Row],[b]]</f>
        <v>#DIV/0!</v>
      </c>
      <c r="AQ519" s="15">
        <f>IF(Table2[[#This Row],[b]]&lt;&gt;"",Table2[[#This Row],[T-5]], 0)</f>
        <v>0</v>
      </c>
      <c r="AR519">
        <v>40</v>
      </c>
      <c r="AT519" t="s">
        <v>503</v>
      </c>
      <c r="AU519">
        <v>350</v>
      </c>
      <c r="AV519" s="15">
        <v>5</v>
      </c>
      <c r="AW519" s="15">
        <v>46</v>
      </c>
      <c r="AX519" s="15">
        <v>45</v>
      </c>
      <c r="AY519" s="15">
        <v>4</v>
      </c>
      <c r="AZ519" s="15"/>
      <c r="BA519" s="15"/>
      <c r="BB519" s="15">
        <f>IF(OR(Table2[[#This Row],[Gas wt%]]&lt;&gt;"",Table2[[#This Row],[Loss]]&lt;&gt;""),Table2[[#This Row],[Gas wt%]]+Table2[[#This Row],[Loss]],"")</f>
        <v>4</v>
      </c>
      <c r="BC519" s="15"/>
      <c r="BD519" s="15"/>
      <c r="BE519" s="15"/>
      <c r="BF519" s="15"/>
      <c r="BG519" s="15"/>
      <c r="BH519" s="15"/>
      <c r="BI519" s="15"/>
      <c r="BJ519" s="15"/>
      <c r="BK519" s="15"/>
      <c r="BL519" s="15"/>
      <c r="BM519" s="15"/>
      <c r="BN519" s="15"/>
      <c r="BO519" s="15"/>
      <c r="BP519" s="15"/>
      <c r="BQ519" s="15"/>
      <c r="BR519" s="15"/>
      <c r="BS519" s="15"/>
      <c r="BT519" s="15"/>
      <c r="BU519" s="15"/>
      <c r="BV519" s="15"/>
      <c r="BW519" s="15"/>
      <c r="BX519" s="15"/>
      <c r="BY519" s="15"/>
      <c r="BZ519" s="15"/>
      <c r="CA519" s="15"/>
      <c r="CB519" s="15"/>
      <c r="CC519" s="15"/>
      <c r="CD519" s="15"/>
      <c r="CE519" s="15"/>
      <c r="CF519" s="15"/>
      <c r="CG519" s="15"/>
      <c r="CH519" s="15"/>
      <c r="CI519" s="15"/>
      <c r="CJ519" s="15"/>
      <c r="CK519" s="15"/>
      <c r="CL519" s="15"/>
      <c r="CM519" s="15"/>
      <c r="CN519" s="15"/>
      <c r="CO519" s="15"/>
      <c r="CP519" s="15"/>
      <c r="CQ519" s="15"/>
      <c r="CR519" s="15"/>
      <c r="CS519" s="15"/>
      <c r="CT519" s="15"/>
      <c r="CU519" s="15"/>
      <c r="CV519" s="15"/>
      <c r="CW519" s="15"/>
      <c r="CX519" s="15"/>
      <c r="CY519" s="15"/>
      <c r="CZ519" s="15"/>
      <c r="DA519" s="15"/>
      <c r="DB519" s="15">
        <v>0</v>
      </c>
    </row>
    <row r="520" spans="1:106" x14ac:dyDescent="0.25">
      <c r="A520" t="s">
        <v>485</v>
      </c>
      <c r="B520" t="s">
        <v>151</v>
      </c>
      <c r="C520">
        <v>2014</v>
      </c>
      <c r="D520" s="16" t="s">
        <v>486</v>
      </c>
      <c r="E520">
        <v>0</v>
      </c>
      <c r="F520" s="15">
        <v>28.999999999999996</v>
      </c>
      <c r="G520" s="15"/>
      <c r="H520" s="15"/>
      <c r="I520" s="15">
        <v>11</v>
      </c>
      <c r="J520" s="15">
        <v>53</v>
      </c>
      <c r="K520" s="15"/>
      <c r="L520" s="15">
        <f>IF(Table2[[#This Row],[Lipids wt%]]+Table2[[#This Row],[Protein wt%]]+Table2[[#This Row],[Carbs wt%]] =0,"",SUM(Table2[[#This Row],[Lipids wt%]],Table2[[#This Row],[Protein wt%]],Table2[[#This Row],[Carbs wt%]]))</f>
        <v>93</v>
      </c>
      <c r="M520" s="15">
        <v>7</v>
      </c>
      <c r="U520">
        <v>93</v>
      </c>
      <c r="V520">
        <v>2.9</v>
      </c>
      <c r="W520">
        <v>0.88</v>
      </c>
      <c r="Z520" s="15"/>
      <c r="AA520" s="15"/>
      <c r="AB520" s="15"/>
      <c r="AC520" s="15"/>
      <c r="AD520" s="15"/>
      <c r="AE520" s="15"/>
      <c r="AF520" s="15"/>
      <c r="AG520" s="15">
        <v>4.1000000000000003E-3</v>
      </c>
      <c r="AH520" s="15"/>
      <c r="AI520" s="15"/>
      <c r="AJ520" s="15">
        <v>15</v>
      </c>
      <c r="AM520" s="13"/>
      <c r="AO520" s="15"/>
      <c r="AP520" s="15" t="e">
        <f>LN(25/Table2[[#This Row],[Temperature (C)]]/(1-SQRT((Table2[[#This Row],[Temperature (C)]]-5)/Table2[[#This Row],[Temperature (C)]])))/Table2[[#This Row],[b]]</f>
        <v>#DIV/0!</v>
      </c>
      <c r="AQ520" s="15">
        <f>IF(Table2[[#This Row],[b]]&lt;&gt;"",Table2[[#This Row],[T-5]], 0)</f>
        <v>0</v>
      </c>
      <c r="AR520">
        <v>60</v>
      </c>
      <c r="AT520" t="s">
        <v>503</v>
      </c>
      <c r="AU520">
        <v>350</v>
      </c>
      <c r="AV520" s="15">
        <v>3.9</v>
      </c>
      <c r="AW520" s="15">
        <v>45</v>
      </c>
      <c r="AX520" s="15">
        <v>41</v>
      </c>
      <c r="AY520" s="15">
        <v>10</v>
      </c>
      <c r="AZ520" s="15"/>
      <c r="BA520" s="15"/>
      <c r="BB520" s="15">
        <f>IF(OR(Table2[[#This Row],[Gas wt%]]&lt;&gt;"",Table2[[#This Row],[Loss]]&lt;&gt;""),Table2[[#This Row],[Gas wt%]]+Table2[[#This Row],[Loss]],"")</f>
        <v>10</v>
      </c>
      <c r="BC520" s="15"/>
      <c r="BD520" s="15"/>
      <c r="BE520" s="15"/>
      <c r="BF520" s="15"/>
      <c r="BG520" s="15"/>
      <c r="BH520" s="15"/>
      <c r="BI520" s="15"/>
      <c r="BJ520" s="15"/>
      <c r="BK520" s="15"/>
      <c r="BL520" s="15"/>
      <c r="BM520" s="15"/>
      <c r="BN520" s="15"/>
      <c r="BO520" s="15"/>
      <c r="BP520" s="15"/>
      <c r="BQ520" s="15"/>
      <c r="BR520" s="15"/>
      <c r="BS520" s="15"/>
      <c r="BT520" s="15"/>
      <c r="BU520" s="15"/>
      <c r="BV520" s="15"/>
      <c r="BW520" s="15"/>
      <c r="BX520" s="15"/>
      <c r="BY520" s="15"/>
      <c r="BZ520" s="15"/>
      <c r="CA520" s="15"/>
      <c r="CB520" s="15"/>
      <c r="CC520" s="15"/>
      <c r="CD520" s="15"/>
      <c r="CE520" s="15"/>
      <c r="CF520" s="15"/>
      <c r="CG520" s="15"/>
      <c r="CH520" s="15"/>
      <c r="CI520" s="15"/>
      <c r="CJ520" s="15"/>
      <c r="CK520" s="15"/>
      <c r="CL520" s="15"/>
      <c r="CM520" s="15"/>
      <c r="CN520" s="15"/>
      <c r="CO520" s="15"/>
      <c r="CP520" s="15"/>
      <c r="CQ520" s="15"/>
      <c r="CR520" s="15"/>
      <c r="CS520" s="15"/>
      <c r="CT520" s="15"/>
      <c r="CU520" s="15"/>
      <c r="CV520" s="15"/>
      <c r="CW520" s="15"/>
      <c r="CX520" s="15"/>
      <c r="CY520" s="15"/>
      <c r="CZ520" s="15"/>
      <c r="DA520" s="15"/>
      <c r="DB520" s="15">
        <v>0</v>
      </c>
    </row>
    <row r="521" spans="1:106" x14ac:dyDescent="0.25">
      <c r="A521" t="s">
        <v>485</v>
      </c>
      <c r="B521" t="s">
        <v>151</v>
      </c>
      <c r="C521">
        <v>2014</v>
      </c>
      <c r="D521" s="16" t="s">
        <v>486</v>
      </c>
      <c r="E521">
        <v>0</v>
      </c>
      <c r="F521" s="15">
        <v>28.999999999999996</v>
      </c>
      <c r="G521" s="15"/>
      <c r="H521" s="15"/>
      <c r="I521" s="15">
        <v>11</v>
      </c>
      <c r="J521" s="15">
        <v>53</v>
      </c>
      <c r="K521" s="15"/>
      <c r="L521" s="15">
        <f>IF(Table2[[#This Row],[Lipids wt%]]+Table2[[#This Row],[Protein wt%]]+Table2[[#This Row],[Carbs wt%]] =0,"",SUM(Table2[[#This Row],[Lipids wt%]],Table2[[#This Row],[Protein wt%]],Table2[[#This Row],[Carbs wt%]]))</f>
        <v>93</v>
      </c>
      <c r="M521" s="15">
        <v>7</v>
      </c>
      <c r="U521">
        <v>93</v>
      </c>
      <c r="V521">
        <v>2.9</v>
      </c>
      <c r="W521">
        <v>0.88</v>
      </c>
      <c r="Z521" s="15"/>
      <c r="AA521" s="15"/>
      <c r="AB521" s="15"/>
      <c r="AC521" s="15"/>
      <c r="AD521" s="15"/>
      <c r="AE521" s="15"/>
      <c r="AF521" s="15"/>
      <c r="AG521" s="15">
        <v>4.1000000000000003E-3</v>
      </c>
      <c r="AH521" s="15"/>
      <c r="AI521" s="15"/>
      <c r="AJ521" s="15">
        <v>15</v>
      </c>
      <c r="AM521" s="13"/>
      <c r="AO521" s="15"/>
      <c r="AP521" s="15" t="e">
        <f>LN(25/Table2[[#This Row],[Temperature (C)]]/(1-SQRT((Table2[[#This Row],[Temperature (C)]]-5)/Table2[[#This Row],[Temperature (C)]])))/Table2[[#This Row],[b]]</f>
        <v>#DIV/0!</v>
      </c>
      <c r="AQ521" s="15">
        <f>IF(Table2[[#This Row],[b]]&lt;&gt;"",Table2[[#This Row],[T-5]], 0)</f>
        <v>0</v>
      </c>
      <c r="AR521">
        <v>10</v>
      </c>
      <c r="AT521" t="s">
        <v>503</v>
      </c>
      <c r="AU521">
        <v>400</v>
      </c>
      <c r="AV521" s="15">
        <v>4.0999999999999996</v>
      </c>
      <c r="AW521" s="15">
        <v>44</v>
      </c>
      <c r="AX521" s="15">
        <v>49</v>
      </c>
      <c r="AY521" s="15">
        <v>3.1</v>
      </c>
      <c r="AZ521" s="15"/>
      <c r="BA521" s="15"/>
      <c r="BB521" s="15">
        <f>IF(OR(Table2[[#This Row],[Gas wt%]]&lt;&gt;"",Table2[[#This Row],[Loss]]&lt;&gt;""),Table2[[#This Row],[Gas wt%]]+Table2[[#This Row],[Loss]],"")</f>
        <v>3.1</v>
      </c>
      <c r="BC521" s="15"/>
      <c r="BD521" s="15"/>
      <c r="BE521" s="15"/>
      <c r="BF521" s="15"/>
      <c r="BG521" s="15"/>
      <c r="BH521" s="15"/>
      <c r="BI521" s="15"/>
      <c r="BJ521" s="15"/>
      <c r="BK521" s="15"/>
      <c r="BL521" s="15"/>
      <c r="BM521" s="15"/>
      <c r="BN521" s="15"/>
      <c r="BO521" s="15"/>
      <c r="BP521" s="15"/>
      <c r="BQ521" s="15"/>
      <c r="BR521" s="15"/>
      <c r="BS521" s="15"/>
      <c r="BT521" s="15"/>
      <c r="BU521" s="15"/>
      <c r="BV521" s="15"/>
      <c r="BW521" s="15"/>
      <c r="BX521" s="15"/>
      <c r="BY521" s="15"/>
      <c r="BZ521" s="15"/>
      <c r="CA521" s="15"/>
      <c r="CB521" s="15"/>
      <c r="CC521" s="15"/>
      <c r="CD521" s="15"/>
      <c r="CE521" s="15"/>
      <c r="CF521" s="15"/>
      <c r="CG521" s="15"/>
      <c r="CH521" s="15"/>
      <c r="CI521" s="15"/>
      <c r="CJ521" s="15"/>
      <c r="CK521" s="15"/>
      <c r="CL521" s="15"/>
      <c r="CM521" s="15"/>
      <c r="CN521" s="15"/>
      <c r="CO521" s="15"/>
      <c r="CP521" s="15"/>
      <c r="CQ521" s="15"/>
      <c r="CR521" s="15"/>
      <c r="CS521" s="15"/>
      <c r="CT521" s="15"/>
      <c r="CU521" s="15"/>
      <c r="CV521" s="15"/>
      <c r="CW521" s="15"/>
      <c r="CX521" s="15"/>
      <c r="CY521" s="15"/>
      <c r="CZ521" s="15"/>
      <c r="DA521" s="15"/>
      <c r="DB521" s="15">
        <v>0</v>
      </c>
    </row>
    <row r="522" spans="1:106" x14ac:dyDescent="0.25">
      <c r="A522" t="s">
        <v>485</v>
      </c>
      <c r="B522" t="s">
        <v>151</v>
      </c>
      <c r="C522">
        <v>2014</v>
      </c>
      <c r="D522" s="16" t="s">
        <v>486</v>
      </c>
      <c r="E522">
        <v>0</v>
      </c>
      <c r="F522" s="15">
        <v>28.999999999999996</v>
      </c>
      <c r="G522" s="15"/>
      <c r="H522" s="15"/>
      <c r="I522" s="15">
        <v>11</v>
      </c>
      <c r="J522" s="15">
        <v>53</v>
      </c>
      <c r="K522" s="15"/>
      <c r="L522" s="15">
        <f>IF(Table2[[#This Row],[Lipids wt%]]+Table2[[#This Row],[Protein wt%]]+Table2[[#This Row],[Carbs wt%]] =0,"",SUM(Table2[[#This Row],[Lipids wt%]],Table2[[#This Row],[Protein wt%]],Table2[[#This Row],[Carbs wt%]]))</f>
        <v>93</v>
      </c>
      <c r="M522" s="15">
        <v>7</v>
      </c>
      <c r="U522">
        <v>93</v>
      </c>
      <c r="V522">
        <v>2.9</v>
      </c>
      <c r="W522">
        <v>0.88</v>
      </c>
      <c r="Z522" s="15"/>
      <c r="AA522" s="15"/>
      <c r="AB522" s="15"/>
      <c r="AC522" s="15"/>
      <c r="AD522" s="15"/>
      <c r="AE522" s="15"/>
      <c r="AF522" s="15"/>
      <c r="AG522" s="15">
        <v>4.1000000000000003E-3</v>
      </c>
      <c r="AH522" s="15"/>
      <c r="AI522" s="15"/>
      <c r="AJ522" s="15">
        <v>15</v>
      </c>
      <c r="AM522" s="13"/>
      <c r="AO522" s="15"/>
      <c r="AP522" s="15" t="e">
        <f>LN(25/Table2[[#This Row],[Temperature (C)]]/(1-SQRT((Table2[[#This Row],[Temperature (C)]]-5)/Table2[[#This Row],[Temperature (C)]])))/Table2[[#This Row],[b]]</f>
        <v>#DIV/0!</v>
      </c>
      <c r="AQ522" s="15">
        <f>IF(Table2[[#This Row],[b]]&lt;&gt;"",Table2[[#This Row],[T-5]], 0)</f>
        <v>0</v>
      </c>
      <c r="AR522">
        <v>20</v>
      </c>
      <c r="AT522" t="s">
        <v>503</v>
      </c>
      <c r="AU522">
        <v>400</v>
      </c>
      <c r="AV522" s="15">
        <v>3.3</v>
      </c>
      <c r="AW522" s="15">
        <v>43</v>
      </c>
      <c r="AX522" s="15">
        <v>48</v>
      </c>
      <c r="AY522" s="15">
        <v>5</v>
      </c>
      <c r="AZ522" s="15"/>
      <c r="BA522" s="15"/>
      <c r="BB522" s="15">
        <f>IF(OR(Table2[[#This Row],[Gas wt%]]&lt;&gt;"",Table2[[#This Row],[Loss]]&lt;&gt;""),Table2[[#This Row],[Gas wt%]]+Table2[[#This Row],[Loss]],"")</f>
        <v>5</v>
      </c>
      <c r="BC522" s="15"/>
      <c r="BD522" s="15"/>
      <c r="BE522" s="15"/>
      <c r="BF522" s="15"/>
      <c r="BG522" s="15"/>
      <c r="BH522" s="15"/>
      <c r="BI522" s="15"/>
      <c r="BJ522" s="15"/>
      <c r="BK522" s="15"/>
      <c r="BL522" s="15"/>
      <c r="BM522" s="15"/>
      <c r="BN522" s="15"/>
      <c r="BO522" s="15"/>
      <c r="BP522" s="15"/>
      <c r="BQ522" s="15"/>
      <c r="BR522" s="15"/>
      <c r="BS522" s="15"/>
      <c r="BT522" s="15"/>
      <c r="BU522" s="15"/>
      <c r="BV522" s="15"/>
      <c r="BW522" s="15"/>
      <c r="BX522" s="15"/>
      <c r="BY522" s="15"/>
      <c r="BZ522" s="15"/>
      <c r="CA522" s="15"/>
      <c r="CB522" s="15"/>
      <c r="CC522" s="15"/>
      <c r="CD522" s="15"/>
      <c r="CE522" s="15"/>
      <c r="CF522" s="15"/>
      <c r="CG522" s="15"/>
      <c r="CH522" s="15"/>
      <c r="CI522" s="15"/>
      <c r="CJ522" s="15"/>
      <c r="CK522" s="15"/>
      <c r="CL522" s="15"/>
      <c r="CM522" s="15"/>
      <c r="CN522" s="15"/>
      <c r="CO522" s="15"/>
      <c r="CP522" s="15"/>
      <c r="CQ522" s="15"/>
      <c r="CR522" s="15"/>
      <c r="CS522" s="15"/>
      <c r="CT522" s="15"/>
      <c r="CU522" s="15"/>
      <c r="CV522" s="15"/>
      <c r="CW522" s="15"/>
      <c r="CX522" s="15"/>
      <c r="CY522" s="15"/>
      <c r="CZ522" s="15"/>
      <c r="DA522" s="15"/>
      <c r="DB522" s="15">
        <v>0</v>
      </c>
    </row>
    <row r="523" spans="1:106" x14ac:dyDescent="0.25">
      <c r="A523" t="s">
        <v>485</v>
      </c>
      <c r="B523" t="s">
        <v>151</v>
      </c>
      <c r="C523">
        <v>2014</v>
      </c>
      <c r="D523" s="16" t="s">
        <v>486</v>
      </c>
      <c r="E523">
        <v>0</v>
      </c>
      <c r="F523" s="15">
        <v>28.999999999999996</v>
      </c>
      <c r="G523" s="15"/>
      <c r="H523" s="15"/>
      <c r="I523" s="15">
        <v>11</v>
      </c>
      <c r="J523" s="15">
        <v>53</v>
      </c>
      <c r="K523" s="15"/>
      <c r="L523" s="15">
        <f>IF(Table2[[#This Row],[Lipids wt%]]+Table2[[#This Row],[Protein wt%]]+Table2[[#This Row],[Carbs wt%]] =0,"",SUM(Table2[[#This Row],[Lipids wt%]],Table2[[#This Row],[Protein wt%]],Table2[[#This Row],[Carbs wt%]]))</f>
        <v>93</v>
      </c>
      <c r="M523" s="15">
        <v>7</v>
      </c>
      <c r="U523">
        <v>93</v>
      </c>
      <c r="V523">
        <v>2.9</v>
      </c>
      <c r="W523">
        <v>0.88</v>
      </c>
      <c r="Z523" s="15"/>
      <c r="AA523" s="15"/>
      <c r="AB523" s="15"/>
      <c r="AC523" s="15"/>
      <c r="AD523" s="15"/>
      <c r="AE523" s="15"/>
      <c r="AF523" s="15"/>
      <c r="AG523" s="15">
        <v>4.1000000000000003E-3</v>
      </c>
      <c r="AH523" s="15"/>
      <c r="AI523" s="15"/>
      <c r="AJ523" s="15">
        <v>15</v>
      </c>
      <c r="AM523" s="13"/>
      <c r="AO523" s="15"/>
      <c r="AP523" s="15" t="e">
        <f>LN(25/Table2[[#This Row],[Temperature (C)]]/(1-SQRT((Table2[[#This Row],[Temperature (C)]]-5)/Table2[[#This Row],[Temperature (C)]])))/Table2[[#This Row],[b]]</f>
        <v>#DIV/0!</v>
      </c>
      <c r="AQ523" s="15">
        <f>IF(Table2[[#This Row],[b]]&lt;&gt;"",Table2[[#This Row],[T-5]], 0)</f>
        <v>0</v>
      </c>
      <c r="AR523">
        <v>30</v>
      </c>
      <c r="AT523" t="s">
        <v>503</v>
      </c>
      <c r="AU523">
        <v>400</v>
      </c>
      <c r="AV523" s="15">
        <v>4.0999999999999996</v>
      </c>
      <c r="AW523" s="15">
        <v>35</v>
      </c>
      <c r="AX523" s="15">
        <v>56</v>
      </c>
      <c r="AY523" s="15">
        <v>5</v>
      </c>
      <c r="AZ523" s="15"/>
      <c r="BA523" s="15"/>
      <c r="BB523" s="15">
        <f>IF(OR(Table2[[#This Row],[Gas wt%]]&lt;&gt;"",Table2[[#This Row],[Loss]]&lt;&gt;""),Table2[[#This Row],[Gas wt%]]+Table2[[#This Row],[Loss]],"")</f>
        <v>5</v>
      </c>
      <c r="BC523" s="15"/>
      <c r="BD523" s="15"/>
      <c r="BE523" s="15"/>
      <c r="BF523" s="15"/>
      <c r="BG523" s="15"/>
      <c r="BH523" s="15"/>
      <c r="BI523" s="15"/>
      <c r="BJ523" s="15"/>
      <c r="BK523" s="15"/>
      <c r="BL523" s="15"/>
      <c r="BM523" s="15"/>
      <c r="BN523" s="15"/>
      <c r="BO523" s="15"/>
      <c r="BP523" s="15"/>
      <c r="BQ523" s="15"/>
      <c r="BR523" s="15"/>
      <c r="BS523" s="15"/>
      <c r="BT523" s="15"/>
      <c r="BU523" s="15"/>
      <c r="BV523" s="15"/>
      <c r="BW523" s="15"/>
      <c r="BX523" s="15"/>
      <c r="BY523" s="15"/>
      <c r="BZ523" s="15"/>
      <c r="CA523" s="15"/>
      <c r="CB523" s="15"/>
      <c r="CC523" s="15"/>
      <c r="CD523" s="15"/>
      <c r="CE523" s="15"/>
      <c r="CF523" s="15"/>
      <c r="CG523" s="15"/>
      <c r="CH523" s="15"/>
      <c r="CI523" s="15"/>
      <c r="CJ523" s="15"/>
      <c r="CK523" s="15"/>
      <c r="CL523" s="15"/>
      <c r="CM523" s="15"/>
      <c r="CN523" s="15"/>
      <c r="CO523" s="15"/>
      <c r="CP523" s="15"/>
      <c r="CQ523" s="15"/>
      <c r="CR523" s="15"/>
      <c r="CS523" s="15"/>
      <c r="CT523" s="15"/>
      <c r="CU523" s="15"/>
      <c r="CV523" s="15"/>
      <c r="CW523" s="15"/>
      <c r="CX523" s="15"/>
      <c r="CY523" s="15"/>
      <c r="CZ523" s="15"/>
      <c r="DA523" s="15"/>
      <c r="DB523" s="15">
        <v>0</v>
      </c>
    </row>
    <row r="524" spans="1:106" x14ac:dyDescent="0.25">
      <c r="A524" t="s">
        <v>485</v>
      </c>
      <c r="B524" t="s">
        <v>151</v>
      </c>
      <c r="C524">
        <v>2014</v>
      </c>
      <c r="D524" s="16" t="s">
        <v>486</v>
      </c>
      <c r="E524">
        <v>0</v>
      </c>
      <c r="F524" s="15">
        <v>28.999999999999996</v>
      </c>
      <c r="G524" s="15"/>
      <c r="H524" s="15"/>
      <c r="I524" s="15">
        <v>11</v>
      </c>
      <c r="J524" s="15">
        <v>53</v>
      </c>
      <c r="K524" s="15"/>
      <c r="L524" s="15">
        <f>IF(Table2[[#This Row],[Lipids wt%]]+Table2[[#This Row],[Protein wt%]]+Table2[[#This Row],[Carbs wt%]] =0,"",SUM(Table2[[#This Row],[Lipids wt%]],Table2[[#This Row],[Protein wt%]],Table2[[#This Row],[Carbs wt%]]))</f>
        <v>93</v>
      </c>
      <c r="M524" s="15">
        <v>7</v>
      </c>
      <c r="U524">
        <v>93</v>
      </c>
      <c r="V524">
        <v>2.9</v>
      </c>
      <c r="W524">
        <v>0.88</v>
      </c>
      <c r="Z524" s="15"/>
      <c r="AA524" s="15"/>
      <c r="AB524" s="15"/>
      <c r="AC524" s="15"/>
      <c r="AD524" s="15"/>
      <c r="AE524" s="15"/>
      <c r="AF524" s="15"/>
      <c r="AG524" s="15">
        <v>4.1000000000000003E-3</v>
      </c>
      <c r="AH524" s="15"/>
      <c r="AI524" s="15"/>
      <c r="AJ524" s="15">
        <v>15</v>
      </c>
      <c r="AM524" s="13"/>
      <c r="AO524" s="15"/>
      <c r="AP524" s="15" t="e">
        <f>LN(25/Table2[[#This Row],[Temperature (C)]]/(1-SQRT((Table2[[#This Row],[Temperature (C)]]-5)/Table2[[#This Row],[Temperature (C)]])))/Table2[[#This Row],[b]]</f>
        <v>#DIV/0!</v>
      </c>
      <c r="AQ524" s="15">
        <f>IF(Table2[[#This Row],[b]]&lt;&gt;"",Table2[[#This Row],[T-5]], 0)</f>
        <v>0</v>
      </c>
      <c r="AR524">
        <v>40</v>
      </c>
      <c r="AT524" t="s">
        <v>503</v>
      </c>
      <c r="AU524">
        <v>400</v>
      </c>
      <c r="AV524" s="15">
        <v>3.1</v>
      </c>
      <c r="AW524" s="15">
        <v>40</v>
      </c>
      <c r="AX524" s="15">
        <v>51</v>
      </c>
      <c r="AY524" s="15">
        <v>6.1</v>
      </c>
      <c r="AZ524" s="15"/>
      <c r="BA524" s="15"/>
      <c r="BB524" s="15">
        <f>IF(OR(Table2[[#This Row],[Gas wt%]]&lt;&gt;"",Table2[[#This Row],[Loss]]&lt;&gt;""),Table2[[#This Row],[Gas wt%]]+Table2[[#This Row],[Loss]],"")</f>
        <v>6.1</v>
      </c>
      <c r="BC524" s="15"/>
      <c r="BD524" s="15"/>
      <c r="BE524" s="15"/>
      <c r="BF524" s="15"/>
      <c r="BG524" s="15"/>
      <c r="BH524" s="15"/>
      <c r="BI524" s="15"/>
      <c r="BJ524" s="15"/>
      <c r="BK524" s="15"/>
      <c r="BL524" s="15"/>
      <c r="BM524" s="15"/>
      <c r="BN524" s="15"/>
      <c r="BO524" s="15"/>
      <c r="BP524" s="15"/>
      <c r="BQ524" s="15"/>
      <c r="BR524" s="15"/>
      <c r="BS524" s="15"/>
      <c r="BT524" s="15"/>
      <c r="BU524" s="15"/>
      <c r="BV524" s="15"/>
      <c r="BW524" s="15"/>
      <c r="BX524" s="15"/>
      <c r="BY524" s="15"/>
      <c r="BZ524" s="15"/>
      <c r="CA524" s="15"/>
      <c r="CB524" s="15"/>
      <c r="CC524" s="15"/>
      <c r="CD524" s="15"/>
      <c r="CE524" s="15"/>
      <c r="CF524" s="15"/>
      <c r="CG524" s="15"/>
      <c r="CH524" s="15"/>
      <c r="CI524" s="15"/>
      <c r="CJ524" s="15"/>
      <c r="CK524" s="15"/>
      <c r="CL524" s="15"/>
      <c r="CM524" s="15"/>
      <c r="CN524" s="15"/>
      <c r="CO524" s="15"/>
      <c r="CP524" s="15"/>
      <c r="CQ524" s="15"/>
      <c r="CR524" s="15"/>
      <c r="CS524" s="15"/>
      <c r="CT524" s="15"/>
      <c r="CU524" s="15"/>
      <c r="CV524" s="15"/>
      <c r="CW524" s="15"/>
      <c r="CX524" s="15"/>
      <c r="CY524" s="15"/>
      <c r="CZ524" s="15"/>
      <c r="DA524" s="15"/>
      <c r="DB524" s="15">
        <v>0</v>
      </c>
    </row>
    <row r="525" spans="1:106" x14ac:dyDescent="0.25">
      <c r="A525" t="s">
        <v>485</v>
      </c>
      <c r="B525" t="s">
        <v>151</v>
      </c>
      <c r="C525">
        <v>2014</v>
      </c>
      <c r="D525" s="16" t="s">
        <v>487</v>
      </c>
      <c r="E525">
        <v>0</v>
      </c>
      <c r="F525" s="15">
        <v>31</v>
      </c>
      <c r="G525" s="15"/>
      <c r="H525" s="15"/>
      <c r="I525" s="15">
        <v>50</v>
      </c>
      <c r="J525" s="15">
        <v>8</v>
      </c>
      <c r="K525" s="15"/>
      <c r="L525" s="15">
        <f>IF(Table2[[#This Row],[Lipids wt%]]+Table2[[#This Row],[Protein wt%]]+Table2[[#This Row],[Carbs wt%]] =0,"",SUM(Table2[[#This Row],[Lipids wt%]],Table2[[#This Row],[Protein wt%]],Table2[[#This Row],[Carbs wt%]]))</f>
        <v>89</v>
      </c>
      <c r="M525" s="15">
        <v>11</v>
      </c>
      <c r="U525">
        <v>89</v>
      </c>
      <c r="V525">
        <v>8.1999999999999993</v>
      </c>
      <c r="W525">
        <v>2.78</v>
      </c>
      <c r="Z525" s="15"/>
      <c r="AA525" s="15"/>
      <c r="AB525" s="15"/>
      <c r="AC525" s="15"/>
      <c r="AD525" s="15"/>
      <c r="AE525" s="15"/>
      <c r="AF525" s="15"/>
      <c r="AG525" s="15">
        <v>4.1000000000000003E-3</v>
      </c>
      <c r="AH525" s="15"/>
      <c r="AI525" s="15"/>
      <c r="AJ525" s="15">
        <v>15</v>
      </c>
      <c r="AM525" s="13"/>
      <c r="AO525" s="15"/>
      <c r="AP525" s="15" t="e">
        <f>LN(25/Table2[[#This Row],[Temperature (C)]]/(1-SQRT((Table2[[#This Row],[Temperature (C)]]-5)/Table2[[#This Row],[Temperature (C)]])))/Table2[[#This Row],[b]]</f>
        <v>#DIV/0!</v>
      </c>
      <c r="AQ525" s="15">
        <f>IF(Table2[[#This Row],[b]]&lt;&gt;"",Table2[[#This Row],[T-5]], 0)</f>
        <v>0</v>
      </c>
      <c r="AR525">
        <v>20</v>
      </c>
      <c r="AT525" t="s">
        <v>503</v>
      </c>
      <c r="AU525">
        <v>250</v>
      </c>
      <c r="AV525" s="15">
        <v>13</v>
      </c>
      <c r="AW525" s="15">
        <v>29</v>
      </c>
      <c r="AX525" s="15">
        <v>57</v>
      </c>
      <c r="AY525" s="15">
        <v>0.57999999999999996</v>
      </c>
      <c r="AZ525" s="15"/>
      <c r="BA525" s="15"/>
      <c r="BB525" s="15">
        <f>IF(OR(Table2[[#This Row],[Gas wt%]]&lt;&gt;"",Table2[[#This Row],[Loss]]&lt;&gt;""),Table2[[#This Row],[Gas wt%]]+Table2[[#This Row],[Loss]],"")</f>
        <v>0.57999999999999996</v>
      </c>
      <c r="BC525" s="15"/>
      <c r="BD525" s="15"/>
      <c r="BE525" s="15"/>
      <c r="BF525" s="15"/>
      <c r="BG525" s="15"/>
      <c r="BH525" s="15"/>
      <c r="BI525" s="15"/>
      <c r="BJ525" s="15"/>
      <c r="BK525" s="15"/>
      <c r="BL525" s="15"/>
      <c r="BM525" s="15"/>
      <c r="BN525" s="15"/>
      <c r="BO525" s="15"/>
      <c r="BP525" s="15"/>
      <c r="BQ525" s="15"/>
      <c r="BR525" s="15"/>
      <c r="BS525" s="15"/>
      <c r="BT525" s="15"/>
      <c r="BU525" s="15"/>
      <c r="BV525" s="15"/>
      <c r="BW525" s="15"/>
      <c r="BX525" s="15"/>
      <c r="BY525" s="15"/>
      <c r="BZ525" s="15"/>
      <c r="CA525" s="15"/>
      <c r="CB525" s="15"/>
      <c r="CC525" s="15"/>
      <c r="CD525" s="15"/>
      <c r="CE525" s="15"/>
      <c r="CF525" s="15"/>
      <c r="CG525" s="15"/>
      <c r="CH525" s="15"/>
      <c r="CI525" s="15"/>
      <c r="CJ525" s="15"/>
      <c r="CK525" s="15"/>
      <c r="CL525" s="15"/>
      <c r="CM525" s="15"/>
      <c r="CN525" s="15"/>
      <c r="CO525" s="15"/>
      <c r="CP525" s="15"/>
      <c r="CQ525" s="15"/>
      <c r="CR525" s="15"/>
      <c r="CS525" s="15"/>
      <c r="CT525" s="15"/>
      <c r="CU525" s="15"/>
      <c r="CV525" s="15"/>
      <c r="CW525" s="15"/>
      <c r="CX525" s="15"/>
      <c r="CY525" s="15"/>
      <c r="CZ525" s="15"/>
      <c r="DA525" s="15"/>
      <c r="DB525" s="15">
        <v>0</v>
      </c>
    </row>
    <row r="526" spans="1:106" x14ac:dyDescent="0.25">
      <c r="A526" t="s">
        <v>485</v>
      </c>
      <c r="B526" t="s">
        <v>151</v>
      </c>
      <c r="C526">
        <v>2014</v>
      </c>
      <c r="D526" s="16" t="s">
        <v>487</v>
      </c>
      <c r="E526">
        <v>0</v>
      </c>
      <c r="F526" s="15">
        <v>31</v>
      </c>
      <c r="G526" s="15"/>
      <c r="H526" s="15"/>
      <c r="I526" s="15">
        <v>50</v>
      </c>
      <c r="J526" s="15">
        <v>8</v>
      </c>
      <c r="K526" s="15"/>
      <c r="L526" s="15">
        <f>IF(Table2[[#This Row],[Lipids wt%]]+Table2[[#This Row],[Protein wt%]]+Table2[[#This Row],[Carbs wt%]] =0,"",SUM(Table2[[#This Row],[Lipids wt%]],Table2[[#This Row],[Protein wt%]],Table2[[#This Row],[Carbs wt%]]))</f>
        <v>89</v>
      </c>
      <c r="M526" s="15">
        <v>11</v>
      </c>
      <c r="U526">
        <v>89</v>
      </c>
      <c r="V526">
        <v>8.1999999999999993</v>
      </c>
      <c r="W526">
        <v>2.78</v>
      </c>
      <c r="Z526" s="15"/>
      <c r="AA526" s="15"/>
      <c r="AB526" s="15"/>
      <c r="AC526" s="15"/>
      <c r="AD526" s="15"/>
      <c r="AE526" s="15"/>
      <c r="AF526" s="15"/>
      <c r="AG526" s="15">
        <v>4.1000000000000003E-3</v>
      </c>
      <c r="AH526" s="15"/>
      <c r="AI526" s="15"/>
      <c r="AJ526" s="15">
        <v>15</v>
      </c>
      <c r="AM526" s="13"/>
      <c r="AO526" s="15"/>
      <c r="AP526" s="15" t="e">
        <f>LN(25/Table2[[#This Row],[Temperature (C)]]/(1-SQRT((Table2[[#This Row],[Temperature (C)]]-5)/Table2[[#This Row],[Temperature (C)]])))/Table2[[#This Row],[b]]</f>
        <v>#DIV/0!</v>
      </c>
      <c r="AQ526" s="15">
        <f>IF(Table2[[#This Row],[b]]&lt;&gt;"",Table2[[#This Row],[T-5]], 0)</f>
        <v>0</v>
      </c>
      <c r="AR526">
        <v>30</v>
      </c>
      <c r="AT526" t="s">
        <v>503</v>
      </c>
      <c r="AU526">
        <v>250</v>
      </c>
      <c r="AV526" s="15">
        <v>16</v>
      </c>
      <c r="AW526" s="15">
        <v>40</v>
      </c>
      <c r="AX526" s="15">
        <v>43</v>
      </c>
      <c r="AY526" s="15">
        <v>0.78</v>
      </c>
      <c r="AZ526" s="15"/>
      <c r="BA526" s="15"/>
      <c r="BB526" s="15">
        <f>IF(OR(Table2[[#This Row],[Gas wt%]]&lt;&gt;"",Table2[[#This Row],[Loss]]&lt;&gt;""),Table2[[#This Row],[Gas wt%]]+Table2[[#This Row],[Loss]],"")</f>
        <v>0.78</v>
      </c>
      <c r="BC526" s="15"/>
      <c r="BD526" s="15"/>
      <c r="BE526" s="15"/>
      <c r="BF526" s="15"/>
      <c r="BG526" s="15"/>
      <c r="BH526" s="15"/>
      <c r="BI526" s="15"/>
      <c r="BJ526" s="15"/>
      <c r="BK526" s="15"/>
      <c r="BL526" s="15"/>
      <c r="BM526" s="15"/>
      <c r="BN526" s="15"/>
      <c r="BO526" s="15"/>
      <c r="BP526" s="15"/>
      <c r="BQ526" s="15"/>
      <c r="BR526" s="15"/>
      <c r="BS526" s="15"/>
      <c r="BT526" s="15"/>
      <c r="BU526" s="15"/>
      <c r="BV526" s="15"/>
      <c r="BW526" s="15"/>
      <c r="BX526" s="15"/>
      <c r="BY526" s="15"/>
      <c r="BZ526" s="15"/>
      <c r="CA526" s="15"/>
      <c r="CB526" s="15"/>
      <c r="CC526" s="15"/>
      <c r="CD526" s="15"/>
      <c r="CE526" s="15"/>
      <c r="CF526" s="15"/>
      <c r="CG526" s="15"/>
      <c r="CH526" s="15"/>
      <c r="CI526" s="15"/>
      <c r="CJ526" s="15"/>
      <c r="CK526" s="15"/>
      <c r="CL526" s="15"/>
      <c r="CM526" s="15"/>
      <c r="CN526" s="15"/>
      <c r="CO526" s="15"/>
      <c r="CP526" s="15"/>
      <c r="CQ526" s="15"/>
      <c r="CR526" s="15"/>
      <c r="CS526" s="15"/>
      <c r="CT526" s="15"/>
      <c r="CU526" s="15"/>
      <c r="CV526" s="15"/>
      <c r="CW526" s="15"/>
      <c r="CX526" s="15"/>
      <c r="CY526" s="15"/>
      <c r="CZ526" s="15"/>
      <c r="DA526" s="15"/>
      <c r="DB526" s="15">
        <v>0</v>
      </c>
    </row>
    <row r="527" spans="1:106" x14ac:dyDescent="0.25">
      <c r="A527" t="s">
        <v>485</v>
      </c>
      <c r="B527" t="s">
        <v>151</v>
      </c>
      <c r="C527">
        <v>2014</v>
      </c>
      <c r="D527" s="16" t="s">
        <v>487</v>
      </c>
      <c r="E527">
        <v>0</v>
      </c>
      <c r="F527" s="15">
        <v>31</v>
      </c>
      <c r="G527" s="15"/>
      <c r="H527" s="15"/>
      <c r="I527" s="15">
        <v>50</v>
      </c>
      <c r="J527" s="15">
        <v>8</v>
      </c>
      <c r="K527" s="15"/>
      <c r="L527" s="15">
        <f>IF(Table2[[#This Row],[Lipids wt%]]+Table2[[#This Row],[Protein wt%]]+Table2[[#This Row],[Carbs wt%]] =0,"",SUM(Table2[[#This Row],[Lipids wt%]],Table2[[#This Row],[Protein wt%]],Table2[[#This Row],[Carbs wt%]]))</f>
        <v>89</v>
      </c>
      <c r="M527" s="15">
        <v>11</v>
      </c>
      <c r="U527">
        <v>89</v>
      </c>
      <c r="V527">
        <v>8.1999999999999993</v>
      </c>
      <c r="W527">
        <v>2.78</v>
      </c>
      <c r="Z527" s="15"/>
      <c r="AA527" s="15"/>
      <c r="AB527" s="15"/>
      <c r="AC527" s="15"/>
      <c r="AD527" s="15"/>
      <c r="AE527" s="15"/>
      <c r="AF527" s="15"/>
      <c r="AG527" s="15">
        <v>4.1000000000000003E-3</v>
      </c>
      <c r="AH527" s="15"/>
      <c r="AI527" s="15"/>
      <c r="AJ527" s="15">
        <v>15</v>
      </c>
      <c r="AM527" s="13"/>
      <c r="AO527" s="15"/>
      <c r="AP527" s="15" t="e">
        <f>LN(25/Table2[[#This Row],[Temperature (C)]]/(1-SQRT((Table2[[#This Row],[Temperature (C)]]-5)/Table2[[#This Row],[Temperature (C)]])))/Table2[[#This Row],[b]]</f>
        <v>#DIV/0!</v>
      </c>
      <c r="AQ527" s="15">
        <f>IF(Table2[[#This Row],[b]]&lt;&gt;"",Table2[[#This Row],[T-5]], 0)</f>
        <v>0</v>
      </c>
      <c r="AR527">
        <v>60</v>
      </c>
      <c r="AT527" t="s">
        <v>503</v>
      </c>
      <c r="AU527">
        <v>250</v>
      </c>
      <c r="AV527" s="15">
        <v>16</v>
      </c>
      <c r="AW527" s="15">
        <v>31</v>
      </c>
      <c r="AX527" s="15">
        <v>49</v>
      </c>
      <c r="AY527" s="15">
        <v>3.3</v>
      </c>
      <c r="AZ527" s="15"/>
      <c r="BA527" s="15"/>
      <c r="BB527" s="15">
        <f>IF(OR(Table2[[#This Row],[Gas wt%]]&lt;&gt;"",Table2[[#This Row],[Loss]]&lt;&gt;""),Table2[[#This Row],[Gas wt%]]+Table2[[#This Row],[Loss]],"")</f>
        <v>3.3</v>
      </c>
      <c r="BC527" s="15"/>
      <c r="BD527" s="15"/>
      <c r="BE527" s="15"/>
      <c r="BF527" s="15"/>
      <c r="BG527" s="15"/>
      <c r="BH527" s="15"/>
      <c r="BI527" s="15"/>
      <c r="BJ527" s="15"/>
      <c r="BK527" s="15"/>
      <c r="BL527" s="15"/>
      <c r="BM527" s="15"/>
      <c r="BN527" s="15"/>
      <c r="BO527" s="15"/>
      <c r="BP527" s="15"/>
      <c r="BQ527" s="15"/>
      <c r="BR527" s="15"/>
      <c r="BS527" s="15"/>
      <c r="BT527" s="15"/>
      <c r="BU527" s="15"/>
      <c r="BV527" s="15"/>
      <c r="BW527" s="15"/>
      <c r="BX527" s="15"/>
      <c r="BY527" s="15"/>
      <c r="BZ527" s="15"/>
      <c r="CA527" s="15"/>
      <c r="CB527" s="15"/>
      <c r="CC527" s="15"/>
      <c r="CD527" s="15"/>
      <c r="CE527" s="15"/>
      <c r="CF527" s="15"/>
      <c r="CG527" s="15"/>
      <c r="CH527" s="15"/>
      <c r="CI527" s="15"/>
      <c r="CJ527" s="15"/>
      <c r="CK527" s="15"/>
      <c r="CL527" s="15"/>
      <c r="CM527" s="15"/>
      <c r="CN527" s="15"/>
      <c r="CO527" s="15"/>
      <c r="CP527" s="15"/>
      <c r="CQ527" s="15"/>
      <c r="CR527" s="15"/>
      <c r="CS527" s="15"/>
      <c r="CT527" s="15"/>
      <c r="CU527" s="15"/>
      <c r="CV527" s="15"/>
      <c r="CW527" s="15"/>
      <c r="CX527" s="15"/>
      <c r="CY527" s="15"/>
      <c r="CZ527" s="15"/>
      <c r="DA527" s="15"/>
      <c r="DB527" s="15">
        <v>0</v>
      </c>
    </row>
    <row r="528" spans="1:106" x14ac:dyDescent="0.25">
      <c r="A528" t="s">
        <v>485</v>
      </c>
      <c r="B528" t="s">
        <v>151</v>
      </c>
      <c r="C528">
        <v>2014</v>
      </c>
      <c r="D528" s="16" t="s">
        <v>487</v>
      </c>
      <c r="E528">
        <v>0</v>
      </c>
      <c r="F528" s="15">
        <v>31</v>
      </c>
      <c r="G528" s="15"/>
      <c r="H528" s="15"/>
      <c r="I528" s="15">
        <v>50</v>
      </c>
      <c r="J528" s="15">
        <v>8</v>
      </c>
      <c r="K528" s="15"/>
      <c r="L528" s="15">
        <f>IF(Table2[[#This Row],[Lipids wt%]]+Table2[[#This Row],[Protein wt%]]+Table2[[#This Row],[Carbs wt%]] =0,"",SUM(Table2[[#This Row],[Lipids wt%]],Table2[[#This Row],[Protein wt%]],Table2[[#This Row],[Carbs wt%]]))</f>
        <v>89</v>
      </c>
      <c r="M528" s="15">
        <v>11</v>
      </c>
      <c r="U528">
        <v>89</v>
      </c>
      <c r="V528">
        <v>8.1999999999999993</v>
      </c>
      <c r="W528">
        <v>2.78</v>
      </c>
      <c r="Z528" s="15"/>
      <c r="AA528" s="15"/>
      <c r="AB528" s="15"/>
      <c r="AC528" s="15"/>
      <c r="AD528" s="15"/>
      <c r="AE528" s="15"/>
      <c r="AF528" s="15"/>
      <c r="AG528" s="15">
        <v>4.1000000000000003E-3</v>
      </c>
      <c r="AH528" s="15"/>
      <c r="AI528" s="15"/>
      <c r="AJ528" s="15">
        <v>15</v>
      </c>
      <c r="AM528" s="13"/>
      <c r="AO528" s="15"/>
      <c r="AP528" s="15" t="e">
        <f>LN(25/Table2[[#This Row],[Temperature (C)]]/(1-SQRT((Table2[[#This Row],[Temperature (C)]]-5)/Table2[[#This Row],[Temperature (C)]])))/Table2[[#This Row],[b]]</f>
        <v>#DIV/0!</v>
      </c>
      <c r="AQ528" s="15">
        <f>IF(Table2[[#This Row],[b]]&lt;&gt;"",Table2[[#This Row],[T-5]], 0)</f>
        <v>0</v>
      </c>
      <c r="AR528">
        <v>90</v>
      </c>
      <c r="AT528" t="s">
        <v>503</v>
      </c>
      <c r="AU528">
        <v>250</v>
      </c>
      <c r="AV528" s="15">
        <v>11</v>
      </c>
      <c r="AW528" s="15">
        <v>38</v>
      </c>
      <c r="AX528" s="15">
        <v>51</v>
      </c>
      <c r="AY528" s="15">
        <v>0.47</v>
      </c>
      <c r="AZ528" s="15"/>
      <c r="BA528" s="15"/>
      <c r="BB528" s="15">
        <f>IF(OR(Table2[[#This Row],[Gas wt%]]&lt;&gt;"",Table2[[#This Row],[Loss]]&lt;&gt;""),Table2[[#This Row],[Gas wt%]]+Table2[[#This Row],[Loss]],"")</f>
        <v>0.47</v>
      </c>
      <c r="BC528" s="15"/>
      <c r="BD528" s="15"/>
      <c r="BE528" s="15"/>
      <c r="BF528" s="15"/>
      <c r="BG528" s="15"/>
      <c r="BH528" s="15"/>
      <c r="BI528" s="15"/>
      <c r="BJ528" s="15"/>
      <c r="BK528" s="15"/>
      <c r="BL528" s="15"/>
      <c r="BM528" s="15"/>
      <c r="BN528" s="15"/>
      <c r="BO528" s="15"/>
      <c r="BP528" s="15"/>
      <c r="BQ528" s="15"/>
      <c r="BR528" s="15"/>
      <c r="BS528" s="15"/>
      <c r="BT528" s="15"/>
      <c r="BU528" s="15"/>
      <c r="BV528" s="15"/>
      <c r="BW528" s="15"/>
      <c r="BX528" s="15"/>
      <c r="BY528" s="15"/>
      <c r="BZ528" s="15"/>
      <c r="CA528" s="15"/>
      <c r="CB528" s="15"/>
      <c r="CC528" s="15"/>
      <c r="CD528" s="15"/>
      <c r="CE528" s="15"/>
      <c r="CF528" s="15"/>
      <c r="CG528" s="15"/>
      <c r="CH528" s="15"/>
      <c r="CI528" s="15"/>
      <c r="CJ528" s="15"/>
      <c r="CK528" s="15"/>
      <c r="CL528" s="15"/>
      <c r="CM528" s="15"/>
      <c r="CN528" s="15"/>
      <c r="CO528" s="15"/>
      <c r="CP528" s="15"/>
      <c r="CQ528" s="15"/>
      <c r="CR528" s="15"/>
      <c r="CS528" s="15"/>
      <c r="CT528" s="15"/>
      <c r="CU528" s="15"/>
      <c r="CV528" s="15"/>
      <c r="CW528" s="15"/>
      <c r="CX528" s="15"/>
      <c r="CY528" s="15"/>
      <c r="CZ528" s="15"/>
      <c r="DA528" s="15"/>
      <c r="DB528" s="15">
        <v>0</v>
      </c>
    </row>
    <row r="529" spans="1:106" x14ac:dyDescent="0.25">
      <c r="A529" t="s">
        <v>485</v>
      </c>
      <c r="B529" t="s">
        <v>151</v>
      </c>
      <c r="C529">
        <v>2014</v>
      </c>
      <c r="D529" s="16" t="s">
        <v>487</v>
      </c>
      <c r="E529">
        <v>0</v>
      </c>
      <c r="F529" s="15">
        <v>31</v>
      </c>
      <c r="G529" s="15"/>
      <c r="H529" s="15"/>
      <c r="I529" s="15">
        <v>50</v>
      </c>
      <c r="J529" s="15">
        <v>8</v>
      </c>
      <c r="K529" s="15"/>
      <c r="L529" s="15">
        <f>IF(Table2[[#This Row],[Lipids wt%]]+Table2[[#This Row],[Protein wt%]]+Table2[[#This Row],[Carbs wt%]] =0,"",SUM(Table2[[#This Row],[Lipids wt%]],Table2[[#This Row],[Protein wt%]],Table2[[#This Row],[Carbs wt%]]))</f>
        <v>89</v>
      </c>
      <c r="M529" s="15">
        <v>11</v>
      </c>
      <c r="U529">
        <v>89</v>
      </c>
      <c r="V529">
        <v>8.1999999999999993</v>
      </c>
      <c r="W529">
        <v>2.78</v>
      </c>
      <c r="Z529" s="15"/>
      <c r="AA529" s="15"/>
      <c r="AB529" s="15"/>
      <c r="AC529" s="15"/>
      <c r="AD529" s="15"/>
      <c r="AE529" s="15"/>
      <c r="AF529" s="15"/>
      <c r="AG529" s="15">
        <v>4.1000000000000003E-3</v>
      </c>
      <c r="AH529" s="15"/>
      <c r="AI529" s="15"/>
      <c r="AJ529" s="15">
        <v>15</v>
      </c>
      <c r="AM529" s="13"/>
      <c r="AO529" s="15"/>
      <c r="AP529" s="15" t="e">
        <f>LN(25/Table2[[#This Row],[Temperature (C)]]/(1-SQRT((Table2[[#This Row],[Temperature (C)]]-5)/Table2[[#This Row],[Temperature (C)]])))/Table2[[#This Row],[b]]</f>
        <v>#DIV/0!</v>
      </c>
      <c r="AQ529" s="15">
        <f>IF(Table2[[#This Row],[b]]&lt;&gt;"",Table2[[#This Row],[T-5]], 0)</f>
        <v>0</v>
      </c>
      <c r="AR529">
        <v>10</v>
      </c>
      <c r="AT529" t="s">
        <v>503</v>
      </c>
      <c r="AU529">
        <v>300</v>
      </c>
      <c r="AV529" s="15">
        <v>14</v>
      </c>
      <c r="AW529" s="15">
        <v>39</v>
      </c>
      <c r="AX529" s="15">
        <v>48</v>
      </c>
      <c r="AY529" s="15"/>
      <c r="AZ529" s="15"/>
      <c r="BA529" s="15"/>
      <c r="BB529" s="15" t="str">
        <f>IF(OR(Table2[[#This Row],[Gas wt%]]&lt;&gt;"",Table2[[#This Row],[Loss]]&lt;&gt;""),Table2[[#This Row],[Gas wt%]]+Table2[[#This Row],[Loss]],"")</f>
        <v/>
      </c>
      <c r="BC529" s="15"/>
      <c r="BD529" s="15"/>
      <c r="BE529" s="15"/>
      <c r="BF529" s="15"/>
      <c r="BG529" s="15"/>
      <c r="BH529" s="15"/>
      <c r="BI529" s="15"/>
      <c r="BJ529" s="15"/>
      <c r="BK529" s="15"/>
      <c r="BL529" s="15"/>
      <c r="BM529" s="15"/>
      <c r="BN529" s="15"/>
      <c r="BO529" s="15"/>
      <c r="BP529" s="15"/>
      <c r="BQ529" s="15"/>
      <c r="BR529" s="15"/>
      <c r="BS529" s="15"/>
      <c r="BT529" s="15"/>
      <c r="BU529" s="15"/>
      <c r="BV529" s="15"/>
      <c r="BW529" s="15"/>
      <c r="BX529" s="15"/>
      <c r="BY529" s="15"/>
      <c r="BZ529" s="15"/>
      <c r="CA529" s="15"/>
      <c r="CB529" s="15"/>
      <c r="CC529" s="15"/>
      <c r="CD529" s="15"/>
      <c r="CE529" s="15"/>
      <c r="CF529" s="15"/>
      <c r="CG529" s="15"/>
      <c r="CH529" s="15"/>
      <c r="CI529" s="15"/>
      <c r="CJ529" s="15"/>
      <c r="CK529" s="15"/>
      <c r="CL529" s="15"/>
      <c r="CM529" s="15"/>
      <c r="CN529" s="15"/>
      <c r="CO529" s="15"/>
      <c r="CP529" s="15"/>
      <c r="CQ529" s="15"/>
      <c r="CR529" s="15"/>
      <c r="CS529" s="15"/>
      <c r="CT529" s="15"/>
      <c r="CU529" s="15"/>
      <c r="CV529" s="15"/>
      <c r="CW529" s="15"/>
      <c r="CX529" s="15"/>
      <c r="CY529" s="15"/>
      <c r="CZ529" s="15"/>
      <c r="DA529" s="15"/>
      <c r="DB529" s="15">
        <v>0</v>
      </c>
    </row>
    <row r="530" spans="1:106" x14ac:dyDescent="0.25">
      <c r="A530" t="s">
        <v>485</v>
      </c>
      <c r="B530" t="s">
        <v>151</v>
      </c>
      <c r="C530">
        <v>2014</v>
      </c>
      <c r="D530" s="16" t="s">
        <v>487</v>
      </c>
      <c r="E530">
        <v>0</v>
      </c>
      <c r="F530" s="15">
        <v>31</v>
      </c>
      <c r="G530" s="15"/>
      <c r="H530" s="15"/>
      <c r="I530" s="15">
        <v>50</v>
      </c>
      <c r="J530" s="15">
        <v>8</v>
      </c>
      <c r="K530" s="15"/>
      <c r="L530" s="15">
        <f>IF(Table2[[#This Row],[Lipids wt%]]+Table2[[#This Row],[Protein wt%]]+Table2[[#This Row],[Carbs wt%]] =0,"",SUM(Table2[[#This Row],[Lipids wt%]],Table2[[#This Row],[Protein wt%]],Table2[[#This Row],[Carbs wt%]]))</f>
        <v>89</v>
      </c>
      <c r="M530" s="15">
        <v>11</v>
      </c>
      <c r="U530">
        <v>89</v>
      </c>
      <c r="V530">
        <v>8.1999999999999993</v>
      </c>
      <c r="W530">
        <v>2.78</v>
      </c>
      <c r="Z530" s="15"/>
      <c r="AA530" s="15"/>
      <c r="AB530" s="15"/>
      <c r="AC530" s="15"/>
      <c r="AD530" s="15"/>
      <c r="AE530" s="15"/>
      <c r="AF530" s="15"/>
      <c r="AG530" s="15">
        <v>4.1000000000000003E-3</v>
      </c>
      <c r="AH530" s="15"/>
      <c r="AI530" s="15"/>
      <c r="AJ530" s="15">
        <v>15</v>
      </c>
      <c r="AM530" s="13"/>
      <c r="AO530" s="15"/>
      <c r="AP530" s="15" t="e">
        <f>LN(25/Table2[[#This Row],[Temperature (C)]]/(1-SQRT((Table2[[#This Row],[Temperature (C)]]-5)/Table2[[#This Row],[Temperature (C)]])))/Table2[[#This Row],[b]]</f>
        <v>#DIV/0!</v>
      </c>
      <c r="AQ530" s="15">
        <f>IF(Table2[[#This Row],[b]]&lt;&gt;"",Table2[[#This Row],[T-5]], 0)</f>
        <v>0</v>
      </c>
      <c r="AR530">
        <v>20</v>
      </c>
      <c r="AT530" t="s">
        <v>503</v>
      </c>
      <c r="AU530">
        <v>300</v>
      </c>
      <c r="AV530" s="15">
        <v>15</v>
      </c>
      <c r="AW530" s="15">
        <v>38</v>
      </c>
      <c r="AX530" s="15">
        <v>47</v>
      </c>
      <c r="AY530" s="15"/>
      <c r="AZ530" s="15"/>
      <c r="BA530" s="15"/>
      <c r="BB530" s="15" t="str">
        <f>IF(OR(Table2[[#This Row],[Gas wt%]]&lt;&gt;"",Table2[[#This Row],[Loss]]&lt;&gt;""),Table2[[#This Row],[Gas wt%]]+Table2[[#This Row],[Loss]],"")</f>
        <v/>
      </c>
      <c r="BC530" s="15"/>
      <c r="BD530" s="15"/>
      <c r="BE530" s="15"/>
      <c r="BF530" s="15"/>
      <c r="BG530" s="15"/>
      <c r="BH530" s="15"/>
      <c r="BI530" s="15"/>
      <c r="BJ530" s="15"/>
      <c r="BK530" s="15"/>
      <c r="BL530" s="15"/>
      <c r="BM530" s="15"/>
      <c r="BN530" s="15"/>
      <c r="BO530" s="15"/>
      <c r="BP530" s="15"/>
      <c r="BQ530" s="15"/>
      <c r="BR530" s="15"/>
      <c r="BS530" s="15"/>
      <c r="BT530" s="15"/>
      <c r="BU530" s="15"/>
      <c r="BV530" s="15"/>
      <c r="BW530" s="15"/>
      <c r="BX530" s="15"/>
      <c r="BY530" s="15"/>
      <c r="BZ530" s="15"/>
      <c r="CA530" s="15"/>
      <c r="CB530" s="15"/>
      <c r="CC530" s="15"/>
      <c r="CD530" s="15"/>
      <c r="CE530" s="15"/>
      <c r="CF530" s="15"/>
      <c r="CG530" s="15"/>
      <c r="CH530" s="15"/>
      <c r="CI530" s="15"/>
      <c r="CJ530" s="15"/>
      <c r="CK530" s="15"/>
      <c r="CL530" s="15"/>
      <c r="CM530" s="15"/>
      <c r="CN530" s="15"/>
      <c r="CO530" s="15"/>
      <c r="CP530" s="15"/>
      <c r="CQ530" s="15"/>
      <c r="CR530" s="15"/>
      <c r="CS530" s="15"/>
      <c r="CT530" s="15"/>
      <c r="CU530" s="15"/>
      <c r="CV530" s="15"/>
      <c r="CW530" s="15"/>
      <c r="CX530" s="15"/>
      <c r="CY530" s="15"/>
      <c r="CZ530" s="15"/>
      <c r="DA530" s="15"/>
      <c r="DB530" s="15">
        <v>0</v>
      </c>
    </row>
    <row r="531" spans="1:106" x14ac:dyDescent="0.25">
      <c r="A531" t="s">
        <v>485</v>
      </c>
      <c r="B531" t="s">
        <v>151</v>
      </c>
      <c r="C531">
        <v>2014</v>
      </c>
      <c r="D531" s="16" t="s">
        <v>487</v>
      </c>
      <c r="E531">
        <v>0</v>
      </c>
      <c r="F531" s="15">
        <v>31</v>
      </c>
      <c r="G531" s="15"/>
      <c r="H531" s="15"/>
      <c r="I531" s="15">
        <v>50</v>
      </c>
      <c r="J531" s="15">
        <v>8</v>
      </c>
      <c r="K531" s="15"/>
      <c r="L531" s="15">
        <f>IF(Table2[[#This Row],[Lipids wt%]]+Table2[[#This Row],[Protein wt%]]+Table2[[#This Row],[Carbs wt%]] =0,"",SUM(Table2[[#This Row],[Lipids wt%]],Table2[[#This Row],[Protein wt%]],Table2[[#This Row],[Carbs wt%]]))</f>
        <v>89</v>
      </c>
      <c r="M531" s="15">
        <v>11</v>
      </c>
      <c r="U531">
        <v>89</v>
      </c>
      <c r="V531">
        <v>8.1999999999999993</v>
      </c>
      <c r="W531">
        <v>2.78</v>
      </c>
      <c r="Z531" s="15"/>
      <c r="AA531" s="15"/>
      <c r="AB531" s="15"/>
      <c r="AC531" s="15"/>
      <c r="AD531" s="15"/>
      <c r="AE531" s="15"/>
      <c r="AF531" s="15"/>
      <c r="AG531" s="15">
        <v>4.1000000000000003E-3</v>
      </c>
      <c r="AH531" s="15"/>
      <c r="AI531" s="15"/>
      <c r="AJ531" s="15">
        <v>15</v>
      </c>
      <c r="AM531" s="13"/>
      <c r="AO531" s="15"/>
      <c r="AP531" s="15" t="e">
        <f>LN(25/Table2[[#This Row],[Temperature (C)]]/(1-SQRT((Table2[[#This Row],[Temperature (C)]]-5)/Table2[[#This Row],[Temperature (C)]])))/Table2[[#This Row],[b]]</f>
        <v>#DIV/0!</v>
      </c>
      <c r="AQ531" s="15">
        <f>IF(Table2[[#This Row],[b]]&lt;&gt;"",Table2[[#This Row],[T-5]], 0)</f>
        <v>0</v>
      </c>
      <c r="AR531">
        <v>40</v>
      </c>
      <c r="AT531" t="s">
        <v>503</v>
      </c>
      <c r="AU531">
        <v>300</v>
      </c>
      <c r="AV531" s="15">
        <v>13</v>
      </c>
      <c r="AW531" s="15">
        <v>41</v>
      </c>
      <c r="AX531" s="15">
        <v>47</v>
      </c>
      <c r="AY531" s="15"/>
      <c r="AZ531" s="15"/>
      <c r="BA531" s="15"/>
      <c r="BB531" s="15" t="str">
        <f>IF(OR(Table2[[#This Row],[Gas wt%]]&lt;&gt;"",Table2[[#This Row],[Loss]]&lt;&gt;""),Table2[[#This Row],[Gas wt%]]+Table2[[#This Row],[Loss]],"")</f>
        <v/>
      </c>
      <c r="BC531" s="15"/>
      <c r="BD531" s="15"/>
      <c r="BE531" s="15"/>
      <c r="BF531" s="15"/>
      <c r="BG531" s="15"/>
      <c r="BH531" s="15"/>
      <c r="BI531" s="15"/>
      <c r="BJ531" s="15"/>
      <c r="BK531" s="15"/>
      <c r="BL531" s="15"/>
      <c r="BM531" s="15"/>
      <c r="BN531" s="15"/>
      <c r="BO531" s="15"/>
      <c r="BP531" s="15"/>
      <c r="BQ531" s="15"/>
      <c r="BR531" s="15"/>
      <c r="BS531" s="15"/>
      <c r="BT531" s="15"/>
      <c r="BU531" s="15"/>
      <c r="BV531" s="15"/>
      <c r="BW531" s="15"/>
      <c r="BX531" s="15"/>
      <c r="BY531" s="15"/>
      <c r="BZ531" s="15"/>
      <c r="CA531" s="15"/>
      <c r="CB531" s="15"/>
      <c r="CC531" s="15"/>
      <c r="CD531" s="15"/>
      <c r="CE531" s="15"/>
      <c r="CF531" s="15"/>
      <c r="CG531" s="15"/>
      <c r="CH531" s="15"/>
      <c r="CI531" s="15"/>
      <c r="CJ531" s="15"/>
      <c r="CK531" s="15"/>
      <c r="CL531" s="15"/>
      <c r="CM531" s="15"/>
      <c r="CN531" s="15"/>
      <c r="CO531" s="15"/>
      <c r="CP531" s="15"/>
      <c r="CQ531" s="15"/>
      <c r="CR531" s="15"/>
      <c r="CS531" s="15"/>
      <c r="CT531" s="15"/>
      <c r="CU531" s="15"/>
      <c r="CV531" s="15"/>
      <c r="CW531" s="15"/>
      <c r="CX531" s="15"/>
      <c r="CY531" s="15"/>
      <c r="CZ531" s="15"/>
      <c r="DA531" s="15"/>
      <c r="DB531" s="15">
        <v>0</v>
      </c>
    </row>
    <row r="532" spans="1:106" x14ac:dyDescent="0.25">
      <c r="A532" t="s">
        <v>485</v>
      </c>
      <c r="B532" t="s">
        <v>151</v>
      </c>
      <c r="C532">
        <v>2014</v>
      </c>
      <c r="D532" s="16" t="s">
        <v>487</v>
      </c>
      <c r="E532">
        <v>0</v>
      </c>
      <c r="F532" s="15">
        <v>31</v>
      </c>
      <c r="G532" s="15"/>
      <c r="H532" s="15"/>
      <c r="I532" s="15">
        <v>50</v>
      </c>
      <c r="J532" s="15">
        <v>8</v>
      </c>
      <c r="K532" s="15"/>
      <c r="L532" s="15">
        <f>IF(Table2[[#This Row],[Lipids wt%]]+Table2[[#This Row],[Protein wt%]]+Table2[[#This Row],[Carbs wt%]] =0,"",SUM(Table2[[#This Row],[Lipids wt%]],Table2[[#This Row],[Protein wt%]],Table2[[#This Row],[Carbs wt%]]))</f>
        <v>89</v>
      </c>
      <c r="M532" s="15">
        <v>11</v>
      </c>
      <c r="U532">
        <v>89</v>
      </c>
      <c r="V532">
        <v>8.1999999999999993</v>
      </c>
      <c r="W532">
        <v>2.78</v>
      </c>
      <c r="Z532" s="15"/>
      <c r="AA532" s="15"/>
      <c r="AB532" s="15"/>
      <c r="AC532" s="15"/>
      <c r="AD532" s="15"/>
      <c r="AE532" s="15"/>
      <c r="AF532" s="15"/>
      <c r="AG532" s="15">
        <v>4.1000000000000003E-3</v>
      </c>
      <c r="AH532" s="15"/>
      <c r="AI532" s="15"/>
      <c r="AJ532" s="15">
        <v>15</v>
      </c>
      <c r="AM532" s="13"/>
      <c r="AO532" s="15"/>
      <c r="AP532" s="15" t="e">
        <f>LN(25/Table2[[#This Row],[Temperature (C)]]/(1-SQRT((Table2[[#This Row],[Temperature (C)]]-5)/Table2[[#This Row],[Temperature (C)]])))/Table2[[#This Row],[b]]</f>
        <v>#DIV/0!</v>
      </c>
      <c r="AQ532" s="15">
        <f>IF(Table2[[#This Row],[b]]&lt;&gt;"",Table2[[#This Row],[T-5]], 0)</f>
        <v>0</v>
      </c>
      <c r="AR532">
        <v>60</v>
      </c>
      <c r="AT532" t="s">
        <v>503</v>
      </c>
      <c r="AU532">
        <v>300</v>
      </c>
      <c r="AV532" s="15">
        <v>9.5</v>
      </c>
      <c r="AW532" s="15">
        <v>34</v>
      </c>
      <c r="AX532" s="15">
        <v>49</v>
      </c>
      <c r="AY532" s="15">
        <v>7.7</v>
      </c>
      <c r="AZ532" s="15"/>
      <c r="BA532" s="15"/>
      <c r="BB532" s="15">
        <f>IF(OR(Table2[[#This Row],[Gas wt%]]&lt;&gt;"",Table2[[#This Row],[Loss]]&lt;&gt;""),Table2[[#This Row],[Gas wt%]]+Table2[[#This Row],[Loss]],"")</f>
        <v>7.7</v>
      </c>
      <c r="BC532" s="15"/>
      <c r="BD532" s="15"/>
      <c r="BE532" s="15"/>
      <c r="BF532" s="15"/>
      <c r="BG532" s="15"/>
      <c r="BH532" s="15"/>
      <c r="BI532" s="15"/>
      <c r="BJ532" s="15"/>
      <c r="BK532" s="15"/>
      <c r="BL532" s="15"/>
      <c r="BM532" s="15"/>
      <c r="BN532" s="15"/>
      <c r="BO532" s="15"/>
      <c r="BP532" s="15"/>
      <c r="BQ532" s="15"/>
      <c r="BR532" s="15"/>
      <c r="BS532" s="15"/>
      <c r="BT532" s="15"/>
      <c r="BU532" s="15"/>
      <c r="BV532" s="15"/>
      <c r="BW532" s="15"/>
      <c r="BX532" s="15"/>
      <c r="BY532" s="15"/>
      <c r="BZ532" s="15"/>
      <c r="CA532" s="15"/>
      <c r="CB532" s="15"/>
      <c r="CC532" s="15"/>
      <c r="CD532" s="15"/>
      <c r="CE532" s="15"/>
      <c r="CF532" s="15"/>
      <c r="CG532" s="15"/>
      <c r="CH532" s="15"/>
      <c r="CI532" s="15"/>
      <c r="CJ532" s="15"/>
      <c r="CK532" s="15"/>
      <c r="CL532" s="15"/>
      <c r="CM532" s="15"/>
      <c r="CN532" s="15"/>
      <c r="CO532" s="15"/>
      <c r="CP532" s="15"/>
      <c r="CQ532" s="15"/>
      <c r="CR532" s="15"/>
      <c r="CS532" s="15"/>
      <c r="CT532" s="15"/>
      <c r="CU532" s="15"/>
      <c r="CV532" s="15"/>
      <c r="CW532" s="15"/>
      <c r="CX532" s="15"/>
      <c r="CY532" s="15"/>
      <c r="CZ532" s="15"/>
      <c r="DA532" s="15"/>
      <c r="DB532" s="15">
        <v>0</v>
      </c>
    </row>
    <row r="533" spans="1:106" x14ac:dyDescent="0.25">
      <c r="A533" t="s">
        <v>485</v>
      </c>
      <c r="B533" t="s">
        <v>151</v>
      </c>
      <c r="C533">
        <v>2014</v>
      </c>
      <c r="D533" s="16" t="s">
        <v>487</v>
      </c>
      <c r="E533">
        <v>0</v>
      </c>
      <c r="F533" s="15">
        <v>31</v>
      </c>
      <c r="G533" s="15"/>
      <c r="H533" s="15"/>
      <c r="I533" s="15">
        <v>50</v>
      </c>
      <c r="J533" s="15">
        <v>8</v>
      </c>
      <c r="K533" s="15"/>
      <c r="L533" s="15">
        <f>IF(Table2[[#This Row],[Lipids wt%]]+Table2[[#This Row],[Protein wt%]]+Table2[[#This Row],[Carbs wt%]] =0,"",SUM(Table2[[#This Row],[Lipids wt%]],Table2[[#This Row],[Protein wt%]],Table2[[#This Row],[Carbs wt%]]))</f>
        <v>89</v>
      </c>
      <c r="M533" s="15">
        <v>11</v>
      </c>
      <c r="U533">
        <v>89</v>
      </c>
      <c r="V533">
        <v>8.1999999999999993</v>
      </c>
      <c r="W533">
        <v>2.78</v>
      </c>
      <c r="Z533" s="15"/>
      <c r="AA533" s="15"/>
      <c r="AB533" s="15"/>
      <c r="AC533" s="15"/>
      <c r="AD533" s="15"/>
      <c r="AE533" s="15"/>
      <c r="AF533" s="15"/>
      <c r="AG533" s="15">
        <v>4.1000000000000003E-3</v>
      </c>
      <c r="AH533" s="15"/>
      <c r="AI533" s="15"/>
      <c r="AJ533" s="15">
        <v>15</v>
      </c>
      <c r="AM533" s="13"/>
      <c r="AO533" s="15"/>
      <c r="AP533" s="15" t="e">
        <f>LN(25/Table2[[#This Row],[Temperature (C)]]/(1-SQRT((Table2[[#This Row],[Temperature (C)]]-5)/Table2[[#This Row],[Temperature (C)]])))/Table2[[#This Row],[b]]</f>
        <v>#DIV/0!</v>
      </c>
      <c r="AQ533" s="15">
        <f>IF(Table2[[#This Row],[b]]&lt;&gt;"",Table2[[#This Row],[T-5]], 0)</f>
        <v>0</v>
      </c>
      <c r="AR533">
        <v>10</v>
      </c>
      <c r="AT533" t="s">
        <v>503</v>
      </c>
      <c r="AU533">
        <v>350</v>
      </c>
      <c r="AV533" s="15">
        <v>9.6</v>
      </c>
      <c r="AW533" s="15">
        <v>41</v>
      </c>
      <c r="AX533" s="15">
        <v>48</v>
      </c>
      <c r="AY533" s="15">
        <v>1.9</v>
      </c>
      <c r="AZ533" s="15"/>
      <c r="BA533" s="15"/>
      <c r="BB533" s="15">
        <f>IF(OR(Table2[[#This Row],[Gas wt%]]&lt;&gt;"",Table2[[#This Row],[Loss]]&lt;&gt;""),Table2[[#This Row],[Gas wt%]]+Table2[[#This Row],[Loss]],"")</f>
        <v>1.9</v>
      </c>
      <c r="BC533" s="15"/>
      <c r="BD533" s="15"/>
      <c r="BE533" s="15"/>
      <c r="BF533" s="15"/>
      <c r="BG533" s="15"/>
      <c r="BH533" s="15"/>
      <c r="BI533" s="15"/>
      <c r="BJ533" s="15"/>
      <c r="BK533" s="15"/>
      <c r="BL533" s="15"/>
      <c r="BM533" s="15"/>
      <c r="BN533" s="15"/>
      <c r="BO533" s="15"/>
      <c r="BP533" s="15"/>
      <c r="BQ533" s="15"/>
      <c r="BR533" s="15"/>
      <c r="BS533" s="15"/>
      <c r="BT533" s="15"/>
      <c r="BU533" s="15"/>
      <c r="BV533" s="15"/>
      <c r="BW533" s="15"/>
      <c r="BX533" s="15"/>
      <c r="BY533" s="15"/>
      <c r="BZ533" s="15"/>
      <c r="CA533" s="15"/>
      <c r="CB533" s="15"/>
      <c r="CC533" s="15"/>
      <c r="CD533" s="15"/>
      <c r="CE533" s="15"/>
      <c r="CF533" s="15"/>
      <c r="CG533" s="15"/>
      <c r="CH533" s="15"/>
      <c r="CI533" s="15"/>
      <c r="CJ533" s="15"/>
      <c r="CK533" s="15"/>
      <c r="CL533" s="15"/>
      <c r="CM533" s="15"/>
      <c r="CN533" s="15"/>
      <c r="CO533" s="15"/>
      <c r="CP533" s="15"/>
      <c r="CQ533" s="15"/>
      <c r="CR533" s="15"/>
      <c r="CS533" s="15"/>
      <c r="CT533" s="15"/>
      <c r="CU533" s="15"/>
      <c r="CV533" s="15"/>
      <c r="CW533" s="15"/>
      <c r="CX533" s="15"/>
      <c r="CY533" s="15"/>
      <c r="CZ533" s="15"/>
      <c r="DA533" s="15"/>
      <c r="DB533" s="15">
        <v>0</v>
      </c>
    </row>
    <row r="534" spans="1:106" x14ac:dyDescent="0.25">
      <c r="A534" t="s">
        <v>485</v>
      </c>
      <c r="B534" t="s">
        <v>151</v>
      </c>
      <c r="C534">
        <v>2014</v>
      </c>
      <c r="D534" s="16" t="s">
        <v>487</v>
      </c>
      <c r="E534">
        <v>0</v>
      </c>
      <c r="F534" s="15">
        <v>31</v>
      </c>
      <c r="G534" s="15"/>
      <c r="H534" s="15"/>
      <c r="I534" s="15">
        <v>50</v>
      </c>
      <c r="J534" s="15">
        <v>8</v>
      </c>
      <c r="K534" s="15"/>
      <c r="L534" s="15">
        <f>IF(Table2[[#This Row],[Lipids wt%]]+Table2[[#This Row],[Protein wt%]]+Table2[[#This Row],[Carbs wt%]] =0,"",SUM(Table2[[#This Row],[Lipids wt%]],Table2[[#This Row],[Protein wt%]],Table2[[#This Row],[Carbs wt%]]))</f>
        <v>89</v>
      </c>
      <c r="M534" s="15">
        <v>11</v>
      </c>
      <c r="U534">
        <v>89</v>
      </c>
      <c r="V534">
        <v>8.1999999999999993</v>
      </c>
      <c r="W534">
        <v>2.78</v>
      </c>
      <c r="Z534" s="15"/>
      <c r="AA534" s="15"/>
      <c r="AB534" s="15"/>
      <c r="AC534" s="15"/>
      <c r="AD534" s="15"/>
      <c r="AE534" s="15"/>
      <c r="AF534" s="15"/>
      <c r="AG534" s="15">
        <v>4.1000000000000003E-3</v>
      </c>
      <c r="AH534" s="15"/>
      <c r="AI534" s="15"/>
      <c r="AJ534" s="15">
        <v>15</v>
      </c>
      <c r="AM534" s="13"/>
      <c r="AO534" s="15"/>
      <c r="AP534" s="15" t="e">
        <f>LN(25/Table2[[#This Row],[Temperature (C)]]/(1-SQRT((Table2[[#This Row],[Temperature (C)]]-5)/Table2[[#This Row],[Temperature (C)]])))/Table2[[#This Row],[b]]</f>
        <v>#DIV/0!</v>
      </c>
      <c r="AQ534" s="15">
        <f>IF(Table2[[#This Row],[b]]&lt;&gt;"",Table2[[#This Row],[T-5]], 0)</f>
        <v>0</v>
      </c>
      <c r="AR534">
        <v>20</v>
      </c>
      <c r="AT534" t="s">
        <v>503</v>
      </c>
      <c r="AU534">
        <v>350</v>
      </c>
      <c r="AV534" s="15">
        <v>10</v>
      </c>
      <c r="AW534" s="15">
        <v>35</v>
      </c>
      <c r="AX534" s="15">
        <v>51</v>
      </c>
      <c r="AY534" s="15">
        <v>3.3</v>
      </c>
      <c r="AZ534" s="15"/>
      <c r="BA534" s="15"/>
      <c r="BB534" s="15">
        <f>IF(OR(Table2[[#This Row],[Gas wt%]]&lt;&gt;"",Table2[[#This Row],[Loss]]&lt;&gt;""),Table2[[#This Row],[Gas wt%]]+Table2[[#This Row],[Loss]],"")</f>
        <v>3.3</v>
      </c>
      <c r="BC534" s="15"/>
      <c r="BD534" s="15"/>
      <c r="BE534" s="15"/>
      <c r="BF534" s="15"/>
      <c r="BG534" s="15"/>
      <c r="BH534" s="15"/>
      <c r="BI534" s="15"/>
      <c r="BJ534" s="15"/>
      <c r="BK534" s="15"/>
      <c r="BL534" s="15"/>
      <c r="BM534" s="15"/>
      <c r="BN534" s="15"/>
      <c r="BO534" s="15"/>
      <c r="BP534" s="15"/>
      <c r="BQ534" s="15"/>
      <c r="BR534" s="15"/>
      <c r="BS534" s="15"/>
      <c r="BT534" s="15"/>
      <c r="BU534" s="15"/>
      <c r="BV534" s="15"/>
      <c r="BW534" s="15"/>
      <c r="BX534" s="15"/>
      <c r="BY534" s="15"/>
      <c r="BZ534" s="15"/>
      <c r="CA534" s="15"/>
      <c r="CB534" s="15"/>
      <c r="CC534" s="15"/>
      <c r="CD534" s="15"/>
      <c r="CE534" s="15"/>
      <c r="CF534" s="15"/>
      <c r="CG534" s="15"/>
      <c r="CH534" s="15"/>
      <c r="CI534" s="15"/>
      <c r="CJ534" s="15"/>
      <c r="CK534" s="15"/>
      <c r="CL534" s="15"/>
      <c r="CM534" s="15"/>
      <c r="CN534" s="15"/>
      <c r="CO534" s="15"/>
      <c r="CP534" s="15"/>
      <c r="CQ534" s="15"/>
      <c r="CR534" s="15"/>
      <c r="CS534" s="15"/>
      <c r="CT534" s="15"/>
      <c r="CU534" s="15"/>
      <c r="CV534" s="15"/>
      <c r="CW534" s="15"/>
      <c r="CX534" s="15"/>
      <c r="CY534" s="15"/>
      <c r="CZ534" s="15"/>
      <c r="DA534" s="15"/>
      <c r="DB534" s="15">
        <v>0</v>
      </c>
    </row>
    <row r="535" spans="1:106" x14ac:dyDescent="0.25">
      <c r="A535" t="s">
        <v>485</v>
      </c>
      <c r="B535" t="s">
        <v>151</v>
      </c>
      <c r="C535">
        <v>2014</v>
      </c>
      <c r="D535" s="16" t="s">
        <v>487</v>
      </c>
      <c r="E535">
        <v>0</v>
      </c>
      <c r="F535" s="15">
        <v>31</v>
      </c>
      <c r="G535" s="15"/>
      <c r="H535" s="15"/>
      <c r="I535" s="15">
        <v>50</v>
      </c>
      <c r="J535" s="15">
        <v>8</v>
      </c>
      <c r="K535" s="15"/>
      <c r="L535" s="15">
        <f>IF(Table2[[#This Row],[Lipids wt%]]+Table2[[#This Row],[Protein wt%]]+Table2[[#This Row],[Carbs wt%]] =0,"",SUM(Table2[[#This Row],[Lipids wt%]],Table2[[#This Row],[Protein wt%]],Table2[[#This Row],[Carbs wt%]]))</f>
        <v>89</v>
      </c>
      <c r="M535" s="15">
        <v>11</v>
      </c>
      <c r="U535">
        <v>89</v>
      </c>
      <c r="V535">
        <v>8.1999999999999993</v>
      </c>
      <c r="W535">
        <v>2.78</v>
      </c>
      <c r="Z535" s="15"/>
      <c r="AA535" s="15"/>
      <c r="AB535" s="15"/>
      <c r="AC535" s="15"/>
      <c r="AD535" s="15"/>
      <c r="AE535" s="15"/>
      <c r="AF535" s="15"/>
      <c r="AG535" s="15">
        <v>4.1000000000000003E-3</v>
      </c>
      <c r="AH535" s="15"/>
      <c r="AI535" s="15"/>
      <c r="AJ535" s="15">
        <v>15</v>
      </c>
      <c r="AM535" s="13"/>
      <c r="AO535" s="15"/>
      <c r="AP535" s="15" t="e">
        <f>LN(25/Table2[[#This Row],[Temperature (C)]]/(1-SQRT((Table2[[#This Row],[Temperature (C)]]-5)/Table2[[#This Row],[Temperature (C)]])))/Table2[[#This Row],[b]]</f>
        <v>#DIV/0!</v>
      </c>
      <c r="AQ535" s="15">
        <f>IF(Table2[[#This Row],[b]]&lt;&gt;"",Table2[[#This Row],[T-5]], 0)</f>
        <v>0</v>
      </c>
      <c r="AR535">
        <v>40</v>
      </c>
      <c r="AT535" t="s">
        <v>503</v>
      </c>
      <c r="AU535">
        <v>350</v>
      </c>
      <c r="AV535" s="15">
        <v>8.4</v>
      </c>
      <c r="AW535" s="15">
        <v>37</v>
      </c>
      <c r="AX535" s="15">
        <v>53</v>
      </c>
      <c r="AY535" s="15">
        <v>1.9</v>
      </c>
      <c r="AZ535" s="15"/>
      <c r="BA535" s="15"/>
      <c r="BB535" s="15">
        <f>IF(OR(Table2[[#This Row],[Gas wt%]]&lt;&gt;"",Table2[[#This Row],[Loss]]&lt;&gt;""),Table2[[#This Row],[Gas wt%]]+Table2[[#This Row],[Loss]],"")</f>
        <v>1.9</v>
      </c>
      <c r="BC535" s="15"/>
      <c r="BD535" s="15"/>
      <c r="BE535" s="15"/>
      <c r="BF535" s="15"/>
      <c r="BG535" s="15"/>
      <c r="BH535" s="15"/>
      <c r="BI535" s="15"/>
      <c r="BJ535" s="15"/>
      <c r="BK535" s="15"/>
      <c r="BL535" s="15"/>
      <c r="BM535" s="15"/>
      <c r="BN535" s="15"/>
      <c r="BO535" s="15"/>
      <c r="BP535" s="15"/>
      <c r="BQ535" s="15"/>
      <c r="BR535" s="15"/>
      <c r="BS535" s="15"/>
      <c r="BT535" s="15"/>
      <c r="BU535" s="15"/>
      <c r="BV535" s="15"/>
      <c r="BW535" s="15"/>
      <c r="BX535" s="15"/>
      <c r="BY535" s="15"/>
      <c r="BZ535" s="15"/>
      <c r="CA535" s="15"/>
      <c r="CB535" s="15"/>
      <c r="CC535" s="15"/>
      <c r="CD535" s="15"/>
      <c r="CE535" s="15"/>
      <c r="CF535" s="15"/>
      <c r="CG535" s="15"/>
      <c r="CH535" s="15"/>
      <c r="CI535" s="15"/>
      <c r="CJ535" s="15"/>
      <c r="CK535" s="15"/>
      <c r="CL535" s="15"/>
      <c r="CM535" s="15"/>
      <c r="CN535" s="15"/>
      <c r="CO535" s="15"/>
      <c r="CP535" s="15"/>
      <c r="CQ535" s="15"/>
      <c r="CR535" s="15"/>
      <c r="CS535" s="15"/>
      <c r="CT535" s="15"/>
      <c r="CU535" s="15"/>
      <c r="CV535" s="15"/>
      <c r="CW535" s="15"/>
      <c r="CX535" s="15"/>
      <c r="CY535" s="15"/>
      <c r="CZ535" s="15"/>
      <c r="DA535" s="15"/>
      <c r="DB535" s="15">
        <v>0</v>
      </c>
    </row>
    <row r="536" spans="1:106" x14ac:dyDescent="0.25">
      <c r="A536" t="s">
        <v>485</v>
      </c>
      <c r="B536" t="s">
        <v>151</v>
      </c>
      <c r="C536">
        <v>2014</v>
      </c>
      <c r="D536" s="16" t="s">
        <v>487</v>
      </c>
      <c r="E536">
        <v>0</v>
      </c>
      <c r="F536" s="15">
        <v>31</v>
      </c>
      <c r="G536" s="15"/>
      <c r="H536" s="15"/>
      <c r="I536" s="15">
        <v>50</v>
      </c>
      <c r="J536" s="15">
        <v>8</v>
      </c>
      <c r="K536" s="15"/>
      <c r="L536" s="15">
        <f>IF(Table2[[#This Row],[Lipids wt%]]+Table2[[#This Row],[Protein wt%]]+Table2[[#This Row],[Carbs wt%]] =0,"",SUM(Table2[[#This Row],[Lipids wt%]],Table2[[#This Row],[Protein wt%]],Table2[[#This Row],[Carbs wt%]]))</f>
        <v>89</v>
      </c>
      <c r="M536" s="15">
        <v>11</v>
      </c>
      <c r="U536">
        <v>89</v>
      </c>
      <c r="V536">
        <v>8.1999999999999993</v>
      </c>
      <c r="W536">
        <v>2.78</v>
      </c>
      <c r="Z536" s="15"/>
      <c r="AA536" s="15"/>
      <c r="AB536" s="15"/>
      <c r="AC536" s="15"/>
      <c r="AD536" s="15"/>
      <c r="AE536" s="15"/>
      <c r="AF536" s="15"/>
      <c r="AG536" s="15">
        <v>4.1000000000000003E-3</v>
      </c>
      <c r="AH536" s="15"/>
      <c r="AI536" s="15"/>
      <c r="AJ536" s="15">
        <v>15</v>
      </c>
      <c r="AM536" s="13"/>
      <c r="AO536" s="15"/>
      <c r="AP536" s="15" t="e">
        <f>LN(25/Table2[[#This Row],[Temperature (C)]]/(1-SQRT((Table2[[#This Row],[Temperature (C)]]-5)/Table2[[#This Row],[Temperature (C)]])))/Table2[[#This Row],[b]]</f>
        <v>#DIV/0!</v>
      </c>
      <c r="AQ536" s="15">
        <f>IF(Table2[[#This Row],[b]]&lt;&gt;"",Table2[[#This Row],[T-5]], 0)</f>
        <v>0</v>
      </c>
      <c r="AR536">
        <v>60</v>
      </c>
      <c r="AT536" t="s">
        <v>503</v>
      </c>
      <c r="AU536">
        <v>350</v>
      </c>
      <c r="AV536" s="15">
        <v>11</v>
      </c>
      <c r="AW536" s="15">
        <v>42</v>
      </c>
      <c r="AX536" s="15">
        <v>44</v>
      </c>
      <c r="AY536" s="15">
        <v>3.7</v>
      </c>
      <c r="AZ536" s="15"/>
      <c r="BA536" s="15"/>
      <c r="BB536" s="15">
        <f>IF(OR(Table2[[#This Row],[Gas wt%]]&lt;&gt;"",Table2[[#This Row],[Loss]]&lt;&gt;""),Table2[[#This Row],[Gas wt%]]+Table2[[#This Row],[Loss]],"")</f>
        <v>3.7</v>
      </c>
      <c r="BC536" s="15"/>
      <c r="BD536" s="15"/>
      <c r="BE536" s="15"/>
      <c r="BF536" s="15"/>
      <c r="BG536" s="15"/>
      <c r="BH536" s="15"/>
      <c r="BI536" s="15"/>
      <c r="BJ536" s="15"/>
      <c r="BK536" s="15"/>
      <c r="BL536" s="15"/>
      <c r="BM536" s="15"/>
      <c r="BN536" s="15"/>
      <c r="BO536" s="15"/>
      <c r="BP536" s="15"/>
      <c r="BQ536" s="15"/>
      <c r="BR536" s="15"/>
      <c r="BS536" s="15"/>
      <c r="BT536" s="15"/>
      <c r="BU536" s="15"/>
      <c r="BV536" s="15"/>
      <c r="BW536" s="15"/>
      <c r="BX536" s="15"/>
      <c r="BY536" s="15"/>
      <c r="BZ536" s="15"/>
      <c r="CA536" s="15"/>
      <c r="CB536" s="15"/>
      <c r="CC536" s="15"/>
      <c r="CD536" s="15"/>
      <c r="CE536" s="15"/>
      <c r="CF536" s="15"/>
      <c r="CG536" s="15"/>
      <c r="CH536" s="15"/>
      <c r="CI536" s="15"/>
      <c r="CJ536" s="15"/>
      <c r="CK536" s="15"/>
      <c r="CL536" s="15"/>
      <c r="CM536" s="15"/>
      <c r="CN536" s="15"/>
      <c r="CO536" s="15"/>
      <c r="CP536" s="15"/>
      <c r="CQ536" s="15"/>
      <c r="CR536" s="15"/>
      <c r="CS536" s="15"/>
      <c r="CT536" s="15"/>
      <c r="CU536" s="15"/>
      <c r="CV536" s="15"/>
      <c r="CW536" s="15"/>
      <c r="CX536" s="15"/>
      <c r="CY536" s="15"/>
      <c r="CZ536" s="15"/>
      <c r="DA536" s="15"/>
      <c r="DB536" s="15">
        <v>0</v>
      </c>
    </row>
    <row r="537" spans="1:106" x14ac:dyDescent="0.25">
      <c r="A537" t="s">
        <v>485</v>
      </c>
      <c r="B537" t="s">
        <v>151</v>
      </c>
      <c r="C537">
        <v>2014</v>
      </c>
      <c r="D537" s="16" t="s">
        <v>487</v>
      </c>
      <c r="E537">
        <v>0</v>
      </c>
      <c r="F537" s="15">
        <v>31</v>
      </c>
      <c r="G537" s="15"/>
      <c r="H537" s="15"/>
      <c r="I537" s="15">
        <v>50</v>
      </c>
      <c r="J537" s="15">
        <v>8</v>
      </c>
      <c r="K537" s="15"/>
      <c r="L537" s="15">
        <f>IF(Table2[[#This Row],[Lipids wt%]]+Table2[[#This Row],[Protein wt%]]+Table2[[#This Row],[Carbs wt%]] =0,"",SUM(Table2[[#This Row],[Lipids wt%]],Table2[[#This Row],[Protein wt%]],Table2[[#This Row],[Carbs wt%]]))</f>
        <v>89</v>
      </c>
      <c r="M537" s="15">
        <v>11</v>
      </c>
      <c r="U537">
        <v>89</v>
      </c>
      <c r="V537">
        <v>8.1999999999999993</v>
      </c>
      <c r="W537">
        <v>2.78</v>
      </c>
      <c r="Z537" s="15"/>
      <c r="AA537" s="15"/>
      <c r="AB537" s="15"/>
      <c r="AC537" s="15"/>
      <c r="AD537" s="15"/>
      <c r="AE537" s="15"/>
      <c r="AF537" s="15"/>
      <c r="AG537" s="15">
        <v>4.1000000000000003E-3</v>
      </c>
      <c r="AH537" s="15"/>
      <c r="AI537" s="15"/>
      <c r="AJ537" s="15">
        <v>15</v>
      </c>
      <c r="AM537" s="13"/>
      <c r="AO537" s="15"/>
      <c r="AP537" s="15" t="e">
        <f>LN(25/Table2[[#This Row],[Temperature (C)]]/(1-SQRT((Table2[[#This Row],[Temperature (C)]]-5)/Table2[[#This Row],[Temperature (C)]])))/Table2[[#This Row],[b]]</f>
        <v>#DIV/0!</v>
      </c>
      <c r="AQ537" s="15">
        <f>IF(Table2[[#This Row],[b]]&lt;&gt;"",Table2[[#This Row],[T-5]], 0)</f>
        <v>0</v>
      </c>
      <c r="AR537">
        <v>10</v>
      </c>
      <c r="AT537" t="s">
        <v>503</v>
      </c>
      <c r="AU537">
        <v>400</v>
      </c>
      <c r="AV537" s="15">
        <v>6.1</v>
      </c>
      <c r="AW537" s="15">
        <v>34</v>
      </c>
      <c r="AX537" s="15">
        <v>52</v>
      </c>
      <c r="AY537" s="15">
        <v>8.4</v>
      </c>
      <c r="AZ537" s="15"/>
      <c r="BA537" s="15"/>
      <c r="BB537" s="15">
        <f>IF(OR(Table2[[#This Row],[Gas wt%]]&lt;&gt;"",Table2[[#This Row],[Loss]]&lt;&gt;""),Table2[[#This Row],[Gas wt%]]+Table2[[#This Row],[Loss]],"")</f>
        <v>8.4</v>
      </c>
      <c r="BC537" s="15"/>
      <c r="BD537" s="15"/>
      <c r="BE537" s="15"/>
      <c r="BF537" s="15"/>
      <c r="BG537" s="15"/>
      <c r="BH537" s="15"/>
      <c r="BI537" s="15"/>
      <c r="BJ537" s="15"/>
      <c r="BK537" s="15"/>
      <c r="BL537" s="15"/>
      <c r="BM537" s="15"/>
      <c r="BN537" s="15"/>
      <c r="BO537" s="15"/>
      <c r="BP537" s="15"/>
      <c r="BQ537" s="15"/>
      <c r="BR537" s="15"/>
      <c r="BS537" s="15"/>
      <c r="BT537" s="15"/>
      <c r="BU537" s="15"/>
      <c r="BV537" s="15"/>
      <c r="BW537" s="15"/>
      <c r="BX537" s="15"/>
      <c r="BY537" s="15"/>
      <c r="BZ537" s="15"/>
      <c r="CA537" s="15"/>
      <c r="CB537" s="15"/>
      <c r="CC537" s="15"/>
      <c r="CD537" s="15"/>
      <c r="CE537" s="15"/>
      <c r="CF537" s="15"/>
      <c r="CG537" s="15"/>
      <c r="CH537" s="15"/>
      <c r="CI537" s="15"/>
      <c r="CJ537" s="15"/>
      <c r="CK537" s="15"/>
      <c r="CL537" s="15"/>
      <c r="CM537" s="15"/>
      <c r="CN537" s="15"/>
      <c r="CO537" s="15"/>
      <c r="CP537" s="15"/>
      <c r="CQ537" s="15"/>
      <c r="CR537" s="15"/>
      <c r="CS537" s="15"/>
      <c r="CT537" s="15"/>
      <c r="CU537" s="15"/>
      <c r="CV537" s="15"/>
      <c r="CW537" s="15"/>
      <c r="CX537" s="15"/>
      <c r="CY537" s="15"/>
      <c r="CZ537" s="15"/>
      <c r="DA537" s="15"/>
      <c r="DB537" s="15">
        <v>0</v>
      </c>
    </row>
    <row r="538" spans="1:106" x14ac:dyDescent="0.25">
      <c r="A538" t="s">
        <v>485</v>
      </c>
      <c r="B538" t="s">
        <v>151</v>
      </c>
      <c r="C538">
        <v>2014</v>
      </c>
      <c r="D538" s="16" t="s">
        <v>487</v>
      </c>
      <c r="E538">
        <v>0</v>
      </c>
      <c r="F538" s="15">
        <v>31</v>
      </c>
      <c r="G538" s="15"/>
      <c r="H538" s="15"/>
      <c r="I538" s="15">
        <v>50</v>
      </c>
      <c r="J538" s="15">
        <v>8</v>
      </c>
      <c r="K538" s="15"/>
      <c r="L538" s="15">
        <f>IF(Table2[[#This Row],[Lipids wt%]]+Table2[[#This Row],[Protein wt%]]+Table2[[#This Row],[Carbs wt%]] =0,"",SUM(Table2[[#This Row],[Lipids wt%]],Table2[[#This Row],[Protein wt%]],Table2[[#This Row],[Carbs wt%]]))</f>
        <v>89</v>
      </c>
      <c r="M538" s="15">
        <v>11</v>
      </c>
      <c r="U538">
        <v>89</v>
      </c>
      <c r="V538">
        <v>8.1999999999999993</v>
      </c>
      <c r="W538">
        <v>2.78</v>
      </c>
      <c r="Z538" s="15"/>
      <c r="AA538" s="15"/>
      <c r="AB538" s="15"/>
      <c r="AC538" s="15"/>
      <c r="AD538" s="15"/>
      <c r="AE538" s="15"/>
      <c r="AF538" s="15"/>
      <c r="AG538" s="15">
        <v>4.1000000000000003E-3</v>
      </c>
      <c r="AH538" s="15"/>
      <c r="AI538" s="15"/>
      <c r="AJ538" s="15">
        <v>15</v>
      </c>
      <c r="AM538" s="13"/>
      <c r="AO538" s="15"/>
      <c r="AP538" s="15" t="e">
        <f>LN(25/Table2[[#This Row],[Temperature (C)]]/(1-SQRT((Table2[[#This Row],[Temperature (C)]]-5)/Table2[[#This Row],[Temperature (C)]])))/Table2[[#This Row],[b]]</f>
        <v>#DIV/0!</v>
      </c>
      <c r="AQ538" s="15">
        <f>IF(Table2[[#This Row],[b]]&lt;&gt;"",Table2[[#This Row],[T-5]], 0)</f>
        <v>0</v>
      </c>
      <c r="AR538">
        <v>20</v>
      </c>
      <c r="AT538" t="s">
        <v>503</v>
      </c>
      <c r="AU538">
        <v>400</v>
      </c>
      <c r="AV538" s="15">
        <v>11</v>
      </c>
      <c r="AW538" s="15">
        <v>31</v>
      </c>
      <c r="AX538" s="15">
        <v>49</v>
      </c>
      <c r="AY538" s="15">
        <v>9.6999999999999993</v>
      </c>
      <c r="AZ538" s="15"/>
      <c r="BA538" s="15"/>
      <c r="BB538" s="15">
        <f>IF(OR(Table2[[#This Row],[Gas wt%]]&lt;&gt;"",Table2[[#This Row],[Loss]]&lt;&gt;""),Table2[[#This Row],[Gas wt%]]+Table2[[#This Row],[Loss]],"")</f>
        <v>9.6999999999999993</v>
      </c>
      <c r="BC538" s="15"/>
      <c r="BD538" s="15"/>
      <c r="BE538" s="15"/>
      <c r="BF538" s="15"/>
      <c r="BG538" s="15"/>
      <c r="BH538" s="15"/>
      <c r="BI538" s="15"/>
      <c r="BJ538" s="15"/>
      <c r="BK538" s="15"/>
      <c r="BL538" s="15"/>
      <c r="BM538" s="15"/>
      <c r="BN538" s="15"/>
      <c r="BO538" s="15"/>
      <c r="BP538" s="15"/>
      <c r="BQ538" s="15"/>
      <c r="BR538" s="15"/>
      <c r="BS538" s="15"/>
      <c r="BT538" s="15"/>
      <c r="BU538" s="15"/>
      <c r="BV538" s="15"/>
      <c r="BW538" s="15"/>
      <c r="BX538" s="15"/>
      <c r="BY538" s="15"/>
      <c r="BZ538" s="15"/>
      <c r="CA538" s="15"/>
      <c r="CB538" s="15"/>
      <c r="CC538" s="15"/>
      <c r="CD538" s="15"/>
      <c r="CE538" s="15"/>
      <c r="CF538" s="15"/>
      <c r="CG538" s="15"/>
      <c r="CH538" s="15"/>
      <c r="CI538" s="15"/>
      <c r="CJ538" s="15"/>
      <c r="CK538" s="15"/>
      <c r="CL538" s="15"/>
      <c r="CM538" s="15"/>
      <c r="CN538" s="15"/>
      <c r="CO538" s="15"/>
      <c r="CP538" s="15"/>
      <c r="CQ538" s="15"/>
      <c r="CR538" s="15"/>
      <c r="CS538" s="15"/>
      <c r="CT538" s="15"/>
      <c r="CU538" s="15"/>
      <c r="CV538" s="15"/>
      <c r="CW538" s="15"/>
      <c r="CX538" s="15"/>
      <c r="CY538" s="15"/>
      <c r="CZ538" s="15"/>
      <c r="DA538" s="15"/>
      <c r="DB538" s="15">
        <v>0</v>
      </c>
    </row>
    <row r="539" spans="1:106" x14ac:dyDescent="0.25">
      <c r="A539" t="s">
        <v>485</v>
      </c>
      <c r="B539" t="s">
        <v>151</v>
      </c>
      <c r="C539">
        <v>2014</v>
      </c>
      <c r="D539" s="16" t="s">
        <v>487</v>
      </c>
      <c r="E539">
        <v>0</v>
      </c>
      <c r="F539" s="15">
        <v>31</v>
      </c>
      <c r="G539" s="15"/>
      <c r="H539" s="15"/>
      <c r="I539" s="15">
        <v>50</v>
      </c>
      <c r="J539" s="15">
        <v>8</v>
      </c>
      <c r="K539" s="15"/>
      <c r="L539" s="15">
        <f>IF(Table2[[#This Row],[Lipids wt%]]+Table2[[#This Row],[Protein wt%]]+Table2[[#This Row],[Carbs wt%]] =0,"",SUM(Table2[[#This Row],[Lipids wt%]],Table2[[#This Row],[Protein wt%]],Table2[[#This Row],[Carbs wt%]]))</f>
        <v>89</v>
      </c>
      <c r="M539" s="15">
        <v>11</v>
      </c>
      <c r="U539">
        <v>89</v>
      </c>
      <c r="V539">
        <v>8.1999999999999993</v>
      </c>
      <c r="W539">
        <v>2.78</v>
      </c>
      <c r="Z539" s="15"/>
      <c r="AA539" s="15"/>
      <c r="AB539" s="15"/>
      <c r="AC539" s="15"/>
      <c r="AD539" s="15"/>
      <c r="AE539" s="15"/>
      <c r="AF539" s="15"/>
      <c r="AG539" s="15">
        <v>4.1000000000000003E-3</v>
      </c>
      <c r="AH539" s="15"/>
      <c r="AI539" s="15"/>
      <c r="AJ539" s="15">
        <v>15</v>
      </c>
      <c r="AM539" s="13"/>
      <c r="AO539" s="15"/>
      <c r="AP539" s="15" t="e">
        <f>LN(25/Table2[[#This Row],[Temperature (C)]]/(1-SQRT((Table2[[#This Row],[Temperature (C)]]-5)/Table2[[#This Row],[Temperature (C)]])))/Table2[[#This Row],[b]]</f>
        <v>#DIV/0!</v>
      </c>
      <c r="AQ539" s="15">
        <f>IF(Table2[[#This Row],[b]]&lt;&gt;"",Table2[[#This Row],[T-5]], 0)</f>
        <v>0</v>
      </c>
      <c r="AR539">
        <v>30</v>
      </c>
      <c r="AT539" t="s">
        <v>503</v>
      </c>
      <c r="AU539">
        <v>400</v>
      </c>
      <c r="AV539" s="15">
        <v>6.3</v>
      </c>
      <c r="AW539" s="15">
        <v>30</v>
      </c>
      <c r="AX539" s="15">
        <v>62</v>
      </c>
      <c r="AY539" s="15">
        <v>0.92</v>
      </c>
      <c r="AZ539" s="15"/>
      <c r="BA539" s="15"/>
      <c r="BB539" s="15">
        <f>IF(OR(Table2[[#This Row],[Gas wt%]]&lt;&gt;"",Table2[[#This Row],[Loss]]&lt;&gt;""),Table2[[#This Row],[Gas wt%]]+Table2[[#This Row],[Loss]],"")</f>
        <v>0.92</v>
      </c>
      <c r="BC539" s="15"/>
      <c r="BD539" s="15"/>
      <c r="BE539" s="15"/>
      <c r="BF539" s="15"/>
      <c r="BG539" s="15"/>
      <c r="BH539" s="15"/>
      <c r="BI539" s="15"/>
      <c r="BJ539" s="15"/>
      <c r="BK539" s="15"/>
      <c r="BL539" s="15"/>
      <c r="BM539" s="15"/>
      <c r="BN539" s="15"/>
      <c r="BO539" s="15"/>
      <c r="BP539" s="15"/>
      <c r="BQ539" s="15"/>
      <c r="BR539" s="15"/>
      <c r="BS539" s="15"/>
      <c r="BT539" s="15"/>
      <c r="BU539" s="15"/>
      <c r="BV539" s="15"/>
      <c r="BW539" s="15"/>
      <c r="BX539" s="15"/>
      <c r="BY539" s="15"/>
      <c r="BZ539" s="15"/>
      <c r="CA539" s="15"/>
      <c r="CB539" s="15"/>
      <c r="CC539" s="15"/>
      <c r="CD539" s="15"/>
      <c r="CE539" s="15"/>
      <c r="CF539" s="15"/>
      <c r="CG539" s="15"/>
      <c r="CH539" s="15"/>
      <c r="CI539" s="15"/>
      <c r="CJ539" s="15"/>
      <c r="CK539" s="15"/>
      <c r="CL539" s="15"/>
      <c r="CM539" s="15"/>
      <c r="CN539" s="15"/>
      <c r="CO539" s="15"/>
      <c r="CP539" s="15"/>
      <c r="CQ539" s="15"/>
      <c r="CR539" s="15"/>
      <c r="CS539" s="15"/>
      <c r="CT539" s="15"/>
      <c r="CU539" s="15"/>
      <c r="CV539" s="15"/>
      <c r="CW539" s="15"/>
      <c r="CX539" s="15"/>
      <c r="CY539" s="15"/>
      <c r="CZ539" s="15"/>
      <c r="DA539" s="15"/>
      <c r="DB539" s="15">
        <v>0</v>
      </c>
    </row>
    <row r="540" spans="1:106" x14ac:dyDescent="0.25">
      <c r="A540" t="s">
        <v>485</v>
      </c>
      <c r="B540" t="s">
        <v>151</v>
      </c>
      <c r="C540">
        <v>2014</v>
      </c>
      <c r="D540" s="16" t="s">
        <v>487</v>
      </c>
      <c r="E540">
        <v>0</v>
      </c>
      <c r="F540" s="15">
        <v>31</v>
      </c>
      <c r="G540" s="15"/>
      <c r="H540" s="15"/>
      <c r="I540" s="15">
        <v>50</v>
      </c>
      <c r="J540" s="15">
        <v>8</v>
      </c>
      <c r="K540" s="15"/>
      <c r="L540" s="15">
        <f>IF(Table2[[#This Row],[Lipids wt%]]+Table2[[#This Row],[Protein wt%]]+Table2[[#This Row],[Carbs wt%]] =0,"",SUM(Table2[[#This Row],[Lipids wt%]],Table2[[#This Row],[Protein wt%]],Table2[[#This Row],[Carbs wt%]]))</f>
        <v>89</v>
      </c>
      <c r="M540" s="15">
        <v>11</v>
      </c>
      <c r="U540">
        <v>89</v>
      </c>
      <c r="V540">
        <v>8.1999999999999993</v>
      </c>
      <c r="W540">
        <v>2.78</v>
      </c>
      <c r="Z540" s="15"/>
      <c r="AA540" s="15"/>
      <c r="AB540" s="15"/>
      <c r="AC540" s="15"/>
      <c r="AD540" s="15"/>
      <c r="AE540" s="15"/>
      <c r="AF540" s="15"/>
      <c r="AG540" s="15">
        <v>4.1000000000000003E-3</v>
      </c>
      <c r="AH540" s="15"/>
      <c r="AI540" s="15"/>
      <c r="AJ540" s="15">
        <v>15</v>
      </c>
      <c r="AM540" s="13"/>
      <c r="AO540" s="15"/>
      <c r="AP540" s="15" t="e">
        <f>LN(25/Table2[[#This Row],[Temperature (C)]]/(1-SQRT((Table2[[#This Row],[Temperature (C)]]-5)/Table2[[#This Row],[Temperature (C)]])))/Table2[[#This Row],[b]]</f>
        <v>#DIV/0!</v>
      </c>
      <c r="AQ540" s="15">
        <f>IF(Table2[[#This Row],[b]]&lt;&gt;"",Table2[[#This Row],[T-5]], 0)</f>
        <v>0</v>
      </c>
      <c r="AR540">
        <v>40</v>
      </c>
      <c r="AT540" t="s">
        <v>503</v>
      </c>
      <c r="AU540">
        <v>400</v>
      </c>
      <c r="AV540" s="15">
        <v>8.1</v>
      </c>
      <c r="AW540" s="15">
        <v>29</v>
      </c>
      <c r="AX540" s="15">
        <v>62</v>
      </c>
      <c r="AY540" s="15">
        <v>0.18</v>
      </c>
      <c r="AZ540" s="15"/>
      <c r="BA540" s="15"/>
      <c r="BB540" s="15">
        <f>IF(OR(Table2[[#This Row],[Gas wt%]]&lt;&gt;"",Table2[[#This Row],[Loss]]&lt;&gt;""),Table2[[#This Row],[Gas wt%]]+Table2[[#This Row],[Loss]],"")</f>
        <v>0.18</v>
      </c>
      <c r="BC540" s="15"/>
      <c r="BD540" s="15"/>
      <c r="BE540" s="15"/>
      <c r="BF540" s="15"/>
      <c r="BG540" s="15"/>
      <c r="BH540" s="15"/>
      <c r="BI540" s="15"/>
      <c r="BJ540" s="15"/>
      <c r="BK540" s="15"/>
      <c r="BL540" s="15"/>
      <c r="BM540" s="15"/>
      <c r="BN540" s="15"/>
      <c r="BO540" s="15"/>
      <c r="BP540" s="15"/>
      <c r="BQ540" s="15"/>
      <c r="BR540" s="15"/>
      <c r="BS540" s="15"/>
      <c r="BT540" s="15"/>
      <c r="BU540" s="15"/>
      <c r="BV540" s="15"/>
      <c r="BW540" s="15"/>
      <c r="BX540" s="15"/>
      <c r="BY540" s="15"/>
      <c r="BZ540" s="15"/>
      <c r="CA540" s="15"/>
      <c r="CB540" s="15"/>
      <c r="CC540" s="15"/>
      <c r="CD540" s="15"/>
      <c r="CE540" s="15"/>
      <c r="CF540" s="15"/>
      <c r="CG540" s="15"/>
      <c r="CH540" s="15"/>
      <c r="CI540" s="15"/>
      <c r="CJ540" s="15"/>
      <c r="CK540" s="15"/>
      <c r="CL540" s="15"/>
      <c r="CM540" s="15"/>
      <c r="CN540" s="15"/>
      <c r="CO540" s="15"/>
      <c r="CP540" s="15"/>
      <c r="CQ540" s="15"/>
      <c r="CR540" s="15"/>
      <c r="CS540" s="15"/>
      <c r="CT540" s="15"/>
      <c r="CU540" s="15"/>
      <c r="CV540" s="15"/>
      <c r="CW540" s="15"/>
      <c r="CX540" s="15"/>
      <c r="CY540" s="15"/>
      <c r="CZ540" s="15"/>
      <c r="DA540" s="15"/>
      <c r="DB540" s="15">
        <v>0</v>
      </c>
    </row>
    <row r="541" spans="1:106" x14ac:dyDescent="0.25">
      <c r="A541" t="s">
        <v>488</v>
      </c>
      <c r="B541" t="s">
        <v>483</v>
      </c>
      <c r="C541">
        <v>2017</v>
      </c>
      <c r="D541" s="16" t="s">
        <v>189</v>
      </c>
      <c r="E541">
        <v>0</v>
      </c>
      <c r="F541" s="15">
        <v>18.5</v>
      </c>
      <c r="G541" s="15"/>
      <c r="H541" s="15"/>
      <c r="I541" s="15">
        <v>37.5</v>
      </c>
      <c r="J541" s="15">
        <v>14</v>
      </c>
      <c r="K541" s="15"/>
      <c r="L541" s="15">
        <f>IF(Table2[[#This Row],[Lipids wt%]]+Table2[[#This Row],[Protein wt%]]+Table2[[#This Row],[Carbs wt%]] =0,"",SUM(Table2[[#This Row],[Lipids wt%]],Table2[[#This Row],[Protein wt%]],Table2[[#This Row],[Carbs wt%]]))</f>
        <v>70</v>
      </c>
      <c r="M541" s="15">
        <v>30</v>
      </c>
      <c r="U541">
        <v>91.41</v>
      </c>
      <c r="W541">
        <v>6.24</v>
      </c>
      <c r="X541">
        <v>0.96</v>
      </c>
      <c r="Y541">
        <v>1.38</v>
      </c>
      <c r="Z541" s="15"/>
      <c r="AA541" s="15"/>
      <c r="AB541" s="15"/>
      <c r="AC541" s="15"/>
      <c r="AD541" s="15"/>
      <c r="AE541" s="15"/>
      <c r="AF541" s="15"/>
      <c r="AG541" s="15">
        <v>7.4999999999999997E-3</v>
      </c>
      <c r="AH541" s="15">
        <v>1</v>
      </c>
      <c r="AI541" s="15">
        <v>6</v>
      </c>
      <c r="AJ541" s="15">
        <v>14</v>
      </c>
      <c r="AM541" s="13"/>
      <c r="AO541" s="15"/>
      <c r="AP541" s="15" t="e">
        <f>LN(25/Table2[[#This Row],[Temperature (C)]]/(1-SQRT((Table2[[#This Row],[Temperature (C)]]-5)/Table2[[#This Row],[Temperature (C)]])))/Table2[[#This Row],[b]]</f>
        <v>#DIV/0!</v>
      </c>
      <c r="AQ541" s="15">
        <f>IF(Table2[[#This Row],[b]]&lt;&gt;"",Table2[[#This Row],[T-5]], 0)</f>
        <v>0</v>
      </c>
      <c r="AR541">
        <v>10</v>
      </c>
      <c r="AT541" t="s">
        <v>503</v>
      </c>
      <c r="AU541">
        <v>250</v>
      </c>
      <c r="AV541" s="15">
        <v>58.4</v>
      </c>
      <c r="AW541" s="15">
        <f>Table2[[#This Row],[Light Biocrude wt%]]+Table2[[#This Row],[Heavy Biocrude wt%]]</f>
        <v>20.98</v>
      </c>
      <c r="AX541" s="15">
        <v>20.62</v>
      </c>
      <c r="AY541" s="15"/>
      <c r="AZ541" s="15"/>
      <c r="BA541" s="15"/>
      <c r="BB541" s="15" t="str">
        <f>IF(OR(Table2[[#This Row],[Gas wt%]]&lt;&gt;"",Table2[[#This Row],[Loss]]&lt;&gt;""),Table2[[#This Row],[Gas wt%]]+Table2[[#This Row],[Loss]],"")</f>
        <v/>
      </c>
      <c r="BC541" s="15"/>
      <c r="BD541" s="15">
        <v>7.13</v>
      </c>
      <c r="BE541" s="15">
        <v>13.85</v>
      </c>
      <c r="BF541" s="15"/>
      <c r="BG541" s="15"/>
      <c r="BH541" s="15"/>
      <c r="BI541" s="15"/>
      <c r="BJ541" s="15"/>
      <c r="BK541" s="15"/>
      <c r="BL541" s="15"/>
      <c r="BM541" s="15"/>
      <c r="BN541" s="15"/>
      <c r="BO541" s="15"/>
      <c r="BP541" s="15"/>
      <c r="BQ541" s="15"/>
      <c r="BR541" s="15"/>
      <c r="BS541" s="15"/>
      <c r="BT541" s="15"/>
      <c r="BU541" s="15"/>
      <c r="BV541" s="15"/>
      <c r="BW541" s="15"/>
      <c r="BX541" s="15"/>
      <c r="BY541" s="15"/>
      <c r="BZ541" s="15"/>
      <c r="CA541" s="15"/>
      <c r="CB541" s="15"/>
      <c r="CC541" s="15"/>
      <c r="CD541" s="15"/>
      <c r="CE541" s="15"/>
      <c r="CF541" s="15"/>
      <c r="CG541" s="15"/>
      <c r="CH541" s="15"/>
      <c r="CI541" s="15"/>
      <c r="CJ541" s="15"/>
      <c r="CK541" s="15"/>
      <c r="CL541" s="15"/>
      <c r="CM541" s="15"/>
      <c r="CN541" s="15"/>
      <c r="CO541" s="15"/>
      <c r="CP541" s="15"/>
      <c r="CQ541" s="15"/>
      <c r="CR541" s="15"/>
      <c r="CS541" s="15"/>
      <c r="CT541" s="15"/>
      <c r="CU541" s="15"/>
      <c r="CV541" s="15"/>
      <c r="CW541" s="15"/>
      <c r="CX541" s="15"/>
      <c r="CY541" s="15"/>
      <c r="CZ541" s="15"/>
      <c r="DA541" s="15"/>
      <c r="DB541" s="15">
        <v>0</v>
      </c>
    </row>
    <row r="542" spans="1:106" x14ac:dyDescent="0.25">
      <c r="A542" t="s">
        <v>488</v>
      </c>
      <c r="B542" t="s">
        <v>483</v>
      </c>
      <c r="C542">
        <v>2017</v>
      </c>
      <c r="D542" s="16" t="s">
        <v>189</v>
      </c>
      <c r="E542">
        <v>0</v>
      </c>
      <c r="F542" s="15">
        <v>18.5</v>
      </c>
      <c r="G542" s="15"/>
      <c r="H542" s="15"/>
      <c r="I542" s="15">
        <v>37.5</v>
      </c>
      <c r="J542" s="15">
        <v>14</v>
      </c>
      <c r="K542" s="15"/>
      <c r="L542" s="15">
        <f>IF(Table2[[#This Row],[Lipids wt%]]+Table2[[#This Row],[Protein wt%]]+Table2[[#This Row],[Carbs wt%]] =0,"",SUM(Table2[[#This Row],[Lipids wt%]],Table2[[#This Row],[Protein wt%]],Table2[[#This Row],[Carbs wt%]]))</f>
        <v>70</v>
      </c>
      <c r="M542" s="15">
        <v>30</v>
      </c>
      <c r="U542">
        <v>91.41</v>
      </c>
      <c r="W542">
        <v>6.24</v>
      </c>
      <c r="X542">
        <v>0.96</v>
      </c>
      <c r="Y542">
        <v>1.38</v>
      </c>
      <c r="Z542" s="15"/>
      <c r="AA542" s="15"/>
      <c r="AB542" s="15"/>
      <c r="AC542" s="15"/>
      <c r="AD542" s="15"/>
      <c r="AE542" s="15"/>
      <c r="AF542" s="15"/>
      <c r="AG542" s="15">
        <v>7.4999999999999997E-3</v>
      </c>
      <c r="AH542" s="15">
        <v>1</v>
      </c>
      <c r="AI542" s="15">
        <v>6</v>
      </c>
      <c r="AJ542" s="15">
        <v>14</v>
      </c>
      <c r="AM542" s="13"/>
      <c r="AO542" s="15"/>
      <c r="AP542" s="15" t="e">
        <f>LN(25/Table2[[#This Row],[Temperature (C)]]/(1-SQRT((Table2[[#This Row],[Temperature (C)]]-5)/Table2[[#This Row],[Temperature (C)]])))/Table2[[#This Row],[b]]</f>
        <v>#DIV/0!</v>
      </c>
      <c r="AQ542" s="15">
        <f>IF(Table2[[#This Row],[b]]&lt;&gt;"",Table2[[#This Row],[T-5]], 0)</f>
        <v>0</v>
      </c>
      <c r="AR542">
        <v>20</v>
      </c>
      <c r="AT542" t="s">
        <v>503</v>
      </c>
      <c r="AU542">
        <v>250</v>
      </c>
      <c r="AV542" s="15">
        <v>48.92</v>
      </c>
      <c r="AW542" s="15">
        <f>Table2[[#This Row],[Light Biocrude wt%]]+Table2[[#This Row],[Heavy Biocrude wt%]]</f>
        <v>24.479999999999997</v>
      </c>
      <c r="AX542" s="15">
        <v>24.39</v>
      </c>
      <c r="AY542" s="15">
        <v>0.47</v>
      </c>
      <c r="AZ542" s="15"/>
      <c r="BA542" s="15"/>
      <c r="BB542" s="15">
        <f>IF(OR(Table2[[#This Row],[Gas wt%]]&lt;&gt;"",Table2[[#This Row],[Loss]]&lt;&gt;""),Table2[[#This Row],[Gas wt%]]+Table2[[#This Row],[Loss]],"")</f>
        <v>0.47</v>
      </c>
      <c r="BC542" s="15"/>
      <c r="BD542" s="15">
        <v>9.44</v>
      </c>
      <c r="BE542" s="15">
        <v>15.04</v>
      </c>
      <c r="BF542" s="15"/>
      <c r="BG542" s="15"/>
      <c r="BH542" s="15"/>
      <c r="BI542" s="15"/>
      <c r="BJ542" s="15"/>
      <c r="BK542" s="15"/>
      <c r="BL542" s="15"/>
      <c r="BM542" s="15"/>
      <c r="BN542" s="15"/>
      <c r="BO542" s="15"/>
      <c r="BP542" s="15"/>
      <c r="BQ542" s="15"/>
      <c r="BR542" s="15"/>
      <c r="BS542" s="15"/>
      <c r="BT542" s="15"/>
      <c r="BU542" s="15"/>
      <c r="BV542" s="15"/>
      <c r="BW542" s="15"/>
      <c r="BX542" s="15"/>
      <c r="BY542" s="15"/>
      <c r="BZ542" s="15"/>
      <c r="CA542" s="15"/>
      <c r="CB542" s="15"/>
      <c r="CC542" s="15"/>
      <c r="CD542" s="15"/>
      <c r="CE542" s="15"/>
      <c r="CF542" s="15"/>
      <c r="CG542" s="15"/>
      <c r="CH542" s="15"/>
      <c r="CI542" s="15"/>
      <c r="CJ542" s="15"/>
      <c r="CK542" s="15"/>
      <c r="CL542" s="15"/>
      <c r="CM542" s="15"/>
      <c r="CN542" s="15"/>
      <c r="CO542" s="15"/>
      <c r="CP542" s="15"/>
      <c r="CQ542" s="15"/>
      <c r="CR542" s="15"/>
      <c r="CS542" s="15"/>
      <c r="CT542" s="15"/>
      <c r="CU542" s="15"/>
      <c r="CV542" s="15"/>
      <c r="CW542" s="15"/>
      <c r="CX542" s="15"/>
      <c r="CY542" s="15"/>
      <c r="CZ542" s="15"/>
      <c r="DA542" s="15"/>
      <c r="DB542" s="15">
        <v>0</v>
      </c>
    </row>
    <row r="543" spans="1:106" x14ac:dyDescent="0.25">
      <c r="A543" t="s">
        <v>488</v>
      </c>
      <c r="B543" t="s">
        <v>483</v>
      </c>
      <c r="C543">
        <v>2017</v>
      </c>
      <c r="D543" s="16" t="s">
        <v>189</v>
      </c>
      <c r="E543">
        <v>0</v>
      </c>
      <c r="F543" s="15">
        <v>18.5</v>
      </c>
      <c r="G543" s="15"/>
      <c r="H543" s="15"/>
      <c r="I543" s="15">
        <v>37.5</v>
      </c>
      <c r="J543" s="15">
        <v>14</v>
      </c>
      <c r="K543" s="15"/>
      <c r="L543" s="15">
        <f>IF(Table2[[#This Row],[Lipids wt%]]+Table2[[#This Row],[Protein wt%]]+Table2[[#This Row],[Carbs wt%]] =0,"",SUM(Table2[[#This Row],[Lipids wt%]],Table2[[#This Row],[Protein wt%]],Table2[[#This Row],[Carbs wt%]]))</f>
        <v>70</v>
      </c>
      <c r="M543" s="15">
        <v>30</v>
      </c>
      <c r="U543">
        <v>91.41</v>
      </c>
      <c r="W543">
        <v>6.24</v>
      </c>
      <c r="X543">
        <v>0.96</v>
      </c>
      <c r="Y543">
        <v>1.38</v>
      </c>
      <c r="Z543" s="15"/>
      <c r="AA543" s="15"/>
      <c r="AB543" s="15"/>
      <c r="AC543" s="15"/>
      <c r="AD543" s="15"/>
      <c r="AE543" s="15"/>
      <c r="AF543" s="15"/>
      <c r="AG543" s="15">
        <v>7.4999999999999997E-3</v>
      </c>
      <c r="AH543" s="15">
        <v>1</v>
      </c>
      <c r="AI543" s="15">
        <v>6</v>
      </c>
      <c r="AJ543" s="15">
        <v>14</v>
      </c>
      <c r="AM543" s="13"/>
      <c r="AO543" s="15"/>
      <c r="AP543" s="15" t="e">
        <f>LN(25/Table2[[#This Row],[Temperature (C)]]/(1-SQRT((Table2[[#This Row],[Temperature (C)]]-5)/Table2[[#This Row],[Temperature (C)]])))/Table2[[#This Row],[b]]</f>
        <v>#DIV/0!</v>
      </c>
      <c r="AQ543" s="15">
        <f>IF(Table2[[#This Row],[b]]&lt;&gt;"",Table2[[#This Row],[T-5]], 0)</f>
        <v>0</v>
      </c>
      <c r="AR543">
        <v>30</v>
      </c>
      <c r="AT543" t="s">
        <v>503</v>
      </c>
      <c r="AU543">
        <v>250</v>
      </c>
      <c r="AV543" s="15">
        <v>40.159999999999997</v>
      </c>
      <c r="AW543" s="15">
        <f>Table2[[#This Row],[Light Biocrude wt%]]+Table2[[#This Row],[Heavy Biocrude wt%]]</f>
        <v>30.71</v>
      </c>
      <c r="AX543" s="15">
        <v>26.2</v>
      </c>
      <c r="AY543" s="15">
        <v>2.93</v>
      </c>
      <c r="AZ543" s="15"/>
      <c r="BA543" s="15"/>
      <c r="BB543" s="15">
        <f>IF(OR(Table2[[#This Row],[Gas wt%]]&lt;&gt;"",Table2[[#This Row],[Loss]]&lt;&gt;""),Table2[[#This Row],[Gas wt%]]+Table2[[#This Row],[Loss]],"")</f>
        <v>2.93</v>
      </c>
      <c r="BC543" s="15"/>
      <c r="BD543" s="15">
        <v>12.2</v>
      </c>
      <c r="BE543" s="15">
        <v>18.510000000000002</v>
      </c>
      <c r="BF543" s="15"/>
      <c r="BG543" s="15"/>
      <c r="BH543" s="15"/>
      <c r="BI543" s="15"/>
      <c r="BJ543" s="15"/>
      <c r="BK543" s="15"/>
      <c r="BL543" s="15"/>
      <c r="BM543" s="15"/>
      <c r="BN543" s="15"/>
      <c r="BO543" s="15"/>
      <c r="BP543" s="15"/>
      <c r="BQ543" s="15"/>
      <c r="BR543" s="15"/>
      <c r="BS543" s="15"/>
      <c r="BT543" s="15"/>
      <c r="BU543" s="15"/>
      <c r="BV543" s="15"/>
      <c r="BW543" s="15"/>
      <c r="BX543" s="15"/>
      <c r="BY543" s="15"/>
      <c r="BZ543" s="15"/>
      <c r="CA543" s="15"/>
      <c r="CB543" s="15"/>
      <c r="CC543" s="15"/>
      <c r="CD543" s="15"/>
      <c r="CE543" s="15"/>
      <c r="CF543" s="15"/>
      <c r="CG543" s="15"/>
      <c r="CH543" s="15"/>
      <c r="CI543" s="15"/>
      <c r="CJ543" s="15"/>
      <c r="CK543" s="15"/>
      <c r="CL543" s="15"/>
      <c r="CM543" s="15"/>
      <c r="CN543" s="15"/>
      <c r="CO543" s="15"/>
      <c r="CP543" s="15"/>
      <c r="CQ543" s="15"/>
      <c r="CR543" s="15"/>
      <c r="CS543" s="15"/>
      <c r="CT543" s="15"/>
      <c r="CU543" s="15"/>
      <c r="CV543" s="15"/>
      <c r="CW543" s="15"/>
      <c r="CX543" s="15"/>
      <c r="CY543" s="15"/>
      <c r="CZ543" s="15"/>
      <c r="DA543" s="15"/>
      <c r="DB543" s="15">
        <v>0</v>
      </c>
    </row>
    <row r="544" spans="1:106" x14ac:dyDescent="0.25">
      <c r="A544" t="s">
        <v>488</v>
      </c>
      <c r="B544" t="s">
        <v>483</v>
      </c>
      <c r="C544">
        <v>2017</v>
      </c>
      <c r="D544" s="16" t="s">
        <v>189</v>
      </c>
      <c r="E544">
        <v>0</v>
      </c>
      <c r="F544" s="15">
        <v>18.5</v>
      </c>
      <c r="G544" s="15"/>
      <c r="H544" s="15"/>
      <c r="I544" s="15">
        <v>37.5</v>
      </c>
      <c r="J544" s="15">
        <v>14</v>
      </c>
      <c r="K544" s="15"/>
      <c r="L544" s="15">
        <f>IF(Table2[[#This Row],[Lipids wt%]]+Table2[[#This Row],[Protein wt%]]+Table2[[#This Row],[Carbs wt%]] =0,"",SUM(Table2[[#This Row],[Lipids wt%]],Table2[[#This Row],[Protein wt%]],Table2[[#This Row],[Carbs wt%]]))</f>
        <v>70</v>
      </c>
      <c r="M544" s="15">
        <v>30</v>
      </c>
      <c r="U544">
        <v>91.41</v>
      </c>
      <c r="W544">
        <v>6.24</v>
      </c>
      <c r="X544">
        <v>0.96</v>
      </c>
      <c r="Y544">
        <v>1.38</v>
      </c>
      <c r="Z544" s="15"/>
      <c r="AA544" s="15"/>
      <c r="AB544" s="15"/>
      <c r="AC544" s="15"/>
      <c r="AD544" s="15"/>
      <c r="AE544" s="15"/>
      <c r="AF544" s="15"/>
      <c r="AG544" s="15">
        <v>7.4999999999999997E-3</v>
      </c>
      <c r="AH544" s="15">
        <v>1</v>
      </c>
      <c r="AI544" s="15">
        <v>6</v>
      </c>
      <c r="AJ544" s="15">
        <v>14</v>
      </c>
      <c r="AM544" s="13"/>
      <c r="AO544" s="15"/>
      <c r="AP544" s="15" t="e">
        <f>LN(25/Table2[[#This Row],[Temperature (C)]]/(1-SQRT((Table2[[#This Row],[Temperature (C)]]-5)/Table2[[#This Row],[Temperature (C)]])))/Table2[[#This Row],[b]]</f>
        <v>#DIV/0!</v>
      </c>
      <c r="AQ544" s="15">
        <f>IF(Table2[[#This Row],[b]]&lt;&gt;"",Table2[[#This Row],[T-5]], 0)</f>
        <v>0</v>
      </c>
      <c r="AR544">
        <v>40</v>
      </c>
      <c r="AT544" t="s">
        <v>503</v>
      </c>
      <c r="AU544">
        <v>250</v>
      </c>
      <c r="AV544" s="15">
        <v>36.31</v>
      </c>
      <c r="AW544" s="15">
        <f>Table2[[#This Row],[Light Biocrude wt%]]+Table2[[#This Row],[Heavy Biocrude wt%]]</f>
        <v>34.33</v>
      </c>
      <c r="AX544" s="15">
        <v>25.35</v>
      </c>
      <c r="AY544" s="15">
        <v>4</v>
      </c>
      <c r="AZ544" s="15"/>
      <c r="BA544" s="15"/>
      <c r="BB544" s="15">
        <f>IF(OR(Table2[[#This Row],[Gas wt%]]&lt;&gt;"",Table2[[#This Row],[Loss]]&lt;&gt;""),Table2[[#This Row],[Gas wt%]]+Table2[[#This Row],[Loss]],"")</f>
        <v>4</v>
      </c>
      <c r="BC544" s="15"/>
      <c r="BD544" s="15">
        <v>13.46</v>
      </c>
      <c r="BE544" s="15">
        <v>20.87</v>
      </c>
      <c r="BF544" s="15"/>
      <c r="BG544" s="15"/>
      <c r="BH544" s="15"/>
      <c r="BI544" s="15"/>
      <c r="BJ544" s="15"/>
      <c r="BK544" s="15"/>
      <c r="BL544" s="15"/>
      <c r="BM544" s="15"/>
      <c r="BN544" s="15"/>
      <c r="BO544" s="15"/>
      <c r="BP544" s="15"/>
      <c r="BQ544" s="15"/>
      <c r="BR544" s="15"/>
      <c r="BS544" s="15"/>
      <c r="BT544" s="15"/>
      <c r="BU544" s="15"/>
      <c r="BV544" s="15"/>
      <c r="BW544" s="15"/>
      <c r="BX544" s="15"/>
      <c r="BY544" s="15"/>
      <c r="BZ544" s="15"/>
      <c r="CA544" s="15"/>
      <c r="CB544" s="15"/>
      <c r="CC544" s="15"/>
      <c r="CD544" s="15"/>
      <c r="CE544" s="15"/>
      <c r="CF544" s="15"/>
      <c r="CG544" s="15"/>
      <c r="CH544" s="15"/>
      <c r="CI544" s="15"/>
      <c r="CJ544" s="15"/>
      <c r="CK544" s="15"/>
      <c r="CL544" s="15"/>
      <c r="CM544" s="15"/>
      <c r="CN544" s="15"/>
      <c r="CO544" s="15"/>
      <c r="CP544" s="15"/>
      <c r="CQ544" s="15"/>
      <c r="CR544" s="15"/>
      <c r="CS544" s="15"/>
      <c r="CT544" s="15"/>
      <c r="CU544" s="15"/>
      <c r="CV544" s="15"/>
      <c r="CW544" s="15"/>
      <c r="CX544" s="15"/>
      <c r="CY544" s="15"/>
      <c r="CZ544" s="15"/>
      <c r="DA544" s="15"/>
      <c r="DB544" s="15">
        <v>0</v>
      </c>
    </row>
    <row r="545" spans="1:106" x14ac:dyDescent="0.25">
      <c r="A545" t="s">
        <v>488</v>
      </c>
      <c r="B545" t="s">
        <v>483</v>
      </c>
      <c r="C545">
        <v>2017</v>
      </c>
      <c r="D545" s="16" t="s">
        <v>189</v>
      </c>
      <c r="E545">
        <v>0</v>
      </c>
      <c r="F545" s="15">
        <v>18.5</v>
      </c>
      <c r="G545" s="15"/>
      <c r="H545" s="15"/>
      <c r="I545" s="15">
        <v>37.5</v>
      </c>
      <c r="J545" s="15">
        <v>14</v>
      </c>
      <c r="K545" s="15"/>
      <c r="L545" s="15">
        <f>IF(Table2[[#This Row],[Lipids wt%]]+Table2[[#This Row],[Protein wt%]]+Table2[[#This Row],[Carbs wt%]] =0,"",SUM(Table2[[#This Row],[Lipids wt%]],Table2[[#This Row],[Protein wt%]],Table2[[#This Row],[Carbs wt%]]))</f>
        <v>70</v>
      </c>
      <c r="M545" s="15">
        <v>30</v>
      </c>
      <c r="U545">
        <v>91.41</v>
      </c>
      <c r="W545">
        <v>6.24</v>
      </c>
      <c r="X545">
        <v>0.96</v>
      </c>
      <c r="Y545">
        <v>1.38</v>
      </c>
      <c r="Z545" s="15"/>
      <c r="AA545" s="15"/>
      <c r="AB545" s="15"/>
      <c r="AC545" s="15"/>
      <c r="AD545" s="15"/>
      <c r="AE545" s="15"/>
      <c r="AF545" s="15"/>
      <c r="AG545" s="15">
        <v>7.4999999999999997E-3</v>
      </c>
      <c r="AH545" s="15">
        <v>1</v>
      </c>
      <c r="AI545" s="15">
        <v>6</v>
      </c>
      <c r="AJ545" s="15">
        <v>14</v>
      </c>
      <c r="AM545" s="13"/>
      <c r="AO545" s="15"/>
      <c r="AP545" s="15" t="e">
        <f>LN(25/Table2[[#This Row],[Temperature (C)]]/(1-SQRT((Table2[[#This Row],[Temperature (C)]]-5)/Table2[[#This Row],[Temperature (C)]])))/Table2[[#This Row],[b]]</f>
        <v>#DIV/0!</v>
      </c>
      <c r="AQ545" s="15">
        <f>IF(Table2[[#This Row],[b]]&lt;&gt;"",Table2[[#This Row],[T-5]], 0)</f>
        <v>0</v>
      </c>
      <c r="AR545">
        <v>60</v>
      </c>
      <c r="AT545" t="s">
        <v>503</v>
      </c>
      <c r="AU545">
        <v>250</v>
      </c>
      <c r="AV545" s="15">
        <v>32.590000000000003</v>
      </c>
      <c r="AW545" s="15">
        <f>Table2[[#This Row],[Light Biocrude wt%]]+Table2[[#This Row],[Heavy Biocrude wt%]]</f>
        <v>34.17</v>
      </c>
      <c r="AX545" s="15">
        <v>27.44</v>
      </c>
      <c r="AY545" s="15">
        <v>5.8</v>
      </c>
      <c r="AZ545" s="15"/>
      <c r="BA545" s="15"/>
      <c r="BB545" s="15">
        <f>IF(OR(Table2[[#This Row],[Gas wt%]]&lt;&gt;"",Table2[[#This Row],[Loss]]&lt;&gt;""),Table2[[#This Row],[Gas wt%]]+Table2[[#This Row],[Loss]],"")</f>
        <v>5.8</v>
      </c>
      <c r="BC545" s="15"/>
      <c r="BD545" s="15">
        <v>13.18</v>
      </c>
      <c r="BE545" s="15">
        <v>20.99</v>
      </c>
      <c r="BF545" s="15"/>
      <c r="BG545" s="15"/>
      <c r="BH545" s="15"/>
      <c r="BI545" s="15"/>
      <c r="BJ545" s="15"/>
      <c r="BK545" s="15"/>
      <c r="BL545" s="15"/>
      <c r="BM545" s="15"/>
      <c r="BN545" s="15"/>
      <c r="BO545" s="15"/>
      <c r="BP545" s="15"/>
      <c r="BQ545" s="15"/>
      <c r="BR545" s="15"/>
      <c r="BS545" s="15"/>
      <c r="BT545" s="15"/>
      <c r="BU545" s="15"/>
      <c r="BV545" s="15"/>
      <c r="BW545" s="15"/>
      <c r="BX545" s="15"/>
      <c r="BY545" s="15"/>
      <c r="BZ545" s="15"/>
      <c r="CA545" s="15"/>
      <c r="CB545" s="15"/>
      <c r="CC545" s="15"/>
      <c r="CD545" s="15"/>
      <c r="CE545" s="15"/>
      <c r="CF545" s="15"/>
      <c r="CG545" s="15"/>
      <c r="CH545" s="15"/>
      <c r="CI545" s="15"/>
      <c r="CJ545" s="15"/>
      <c r="CK545" s="15"/>
      <c r="CL545" s="15"/>
      <c r="CM545" s="15"/>
      <c r="CN545" s="15"/>
      <c r="CO545" s="15"/>
      <c r="CP545" s="15"/>
      <c r="CQ545" s="15"/>
      <c r="CR545" s="15"/>
      <c r="CS545" s="15"/>
      <c r="CT545" s="15"/>
      <c r="CU545" s="15"/>
      <c r="CV545" s="15"/>
      <c r="CW545" s="15"/>
      <c r="CX545" s="15"/>
      <c r="CY545" s="15"/>
      <c r="CZ545" s="15"/>
      <c r="DA545" s="15"/>
      <c r="DB545" s="15">
        <v>0</v>
      </c>
    </row>
    <row r="546" spans="1:106" x14ac:dyDescent="0.25">
      <c r="A546" t="s">
        <v>488</v>
      </c>
      <c r="B546" t="s">
        <v>483</v>
      </c>
      <c r="C546">
        <v>2017</v>
      </c>
      <c r="D546" s="16" t="s">
        <v>189</v>
      </c>
      <c r="E546">
        <v>0</v>
      </c>
      <c r="F546" s="15">
        <v>18.5</v>
      </c>
      <c r="G546" s="15"/>
      <c r="H546" s="15"/>
      <c r="I546" s="15">
        <v>37.5</v>
      </c>
      <c r="J546" s="15">
        <v>14</v>
      </c>
      <c r="K546" s="15"/>
      <c r="L546" s="15">
        <f>IF(Table2[[#This Row],[Lipids wt%]]+Table2[[#This Row],[Protein wt%]]+Table2[[#This Row],[Carbs wt%]] =0,"",SUM(Table2[[#This Row],[Lipids wt%]],Table2[[#This Row],[Protein wt%]],Table2[[#This Row],[Carbs wt%]]))</f>
        <v>70</v>
      </c>
      <c r="M546" s="15">
        <v>30</v>
      </c>
      <c r="U546">
        <v>91.41</v>
      </c>
      <c r="W546">
        <v>6.24</v>
      </c>
      <c r="X546">
        <v>0.96</v>
      </c>
      <c r="Y546">
        <v>1.38</v>
      </c>
      <c r="Z546" s="15"/>
      <c r="AA546" s="15"/>
      <c r="AB546" s="15"/>
      <c r="AC546" s="15"/>
      <c r="AD546" s="15"/>
      <c r="AE546" s="15"/>
      <c r="AF546" s="15"/>
      <c r="AG546" s="15">
        <v>7.4999999999999997E-3</v>
      </c>
      <c r="AH546" s="15">
        <v>1</v>
      </c>
      <c r="AI546" s="15">
        <v>6</v>
      </c>
      <c r="AJ546" s="15">
        <v>14</v>
      </c>
      <c r="AM546" s="13"/>
      <c r="AO546" s="15"/>
      <c r="AP546" s="15" t="e">
        <f>LN(25/Table2[[#This Row],[Temperature (C)]]/(1-SQRT((Table2[[#This Row],[Temperature (C)]]-5)/Table2[[#This Row],[Temperature (C)]])))/Table2[[#This Row],[b]]</f>
        <v>#DIV/0!</v>
      </c>
      <c r="AQ546" s="15">
        <f>IF(Table2[[#This Row],[b]]&lt;&gt;"",Table2[[#This Row],[T-5]], 0)</f>
        <v>0</v>
      </c>
      <c r="AR546">
        <v>10</v>
      </c>
      <c r="AT546" t="s">
        <v>503</v>
      </c>
      <c r="AU546">
        <v>300</v>
      </c>
      <c r="AV546" s="15">
        <v>50.29</v>
      </c>
      <c r="AW546" s="15">
        <f>Table2[[#This Row],[Light Biocrude wt%]]+Table2[[#This Row],[Heavy Biocrude wt%]]</f>
        <v>28.22</v>
      </c>
      <c r="AX546" s="15">
        <v>20.94</v>
      </c>
      <c r="AY546" s="15">
        <v>0.55000000000000004</v>
      </c>
      <c r="AZ546" s="15"/>
      <c r="BA546" s="15"/>
      <c r="BB546" s="15">
        <f>IF(OR(Table2[[#This Row],[Gas wt%]]&lt;&gt;"",Table2[[#This Row],[Loss]]&lt;&gt;""),Table2[[#This Row],[Gas wt%]]+Table2[[#This Row],[Loss]],"")</f>
        <v>0.55000000000000004</v>
      </c>
      <c r="BC546" s="15"/>
      <c r="BD546" s="15">
        <v>12.48</v>
      </c>
      <c r="BE546" s="15">
        <v>15.74</v>
      </c>
      <c r="BF546" s="15"/>
      <c r="BG546" s="15"/>
      <c r="BH546" s="15"/>
      <c r="BI546" s="15"/>
      <c r="BJ546" s="15"/>
      <c r="BK546" s="15"/>
      <c r="BL546" s="15"/>
      <c r="BM546" s="15"/>
      <c r="BN546" s="15"/>
      <c r="BO546" s="15"/>
      <c r="BP546" s="15"/>
      <c r="BQ546" s="15"/>
      <c r="BR546" s="15"/>
      <c r="BS546" s="15"/>
      <c r="BT546" s="15"/>
      <c r="BU546" s="15"/>
      <c r="BV546" s="15"/>
      <c r="BW546" s="15"/>
      <c r="BX546" s="15"/>
      <c r="BY546" s="15"/>
      <c r="BZ546" s="15"/>
      <c r="CA546" s="15"/>
      <c r="CB546" s="15"/>
      <c r="CC546" s="15"/>
      <c r="CD546" s="15"/>
      <c r="CE546" s="15"/>
      <c r="CF546" s="15"/>
      <c r="CG546" s="15"/>
      <c r="CH546" s="15"/>
      <c r="CI546" s="15"/>
      <c r="CJ546" s="15"/>
      <c r="CK546" s="15"/>
      <c r="CL546" s="15"/>
      <c r="CM546" s="15"/>
      <c r="CN546" s="15"/>
      <c r="CO546" s="15"/>
      <c r="CP546" s="15"/>
      <c r="CQ546" s="15"/>
      <c r="CR546" s="15"/>
      <c r="CS546" s="15"/>
      <c r="CT546" s="15"/>
      <c r="CU546" s="15"/>
      <c r="CV546" s="15"/>
      <c r="CW546" s="15"/>
      <c r="CX546" s="15"/>
      <c r="CY546" s="15"/>
      <c r="CZ546" s="15"/>
      <c r="DA546" s="15"/>
      <c r="DB546" s="15">
        <v>0</v>
      </c>
    </row>
    <row r="547" spans="1:106" x14ac:dyDescent="0.25">
      <c r="A547" t="s">
        <v>488</v>
      </c>
      <c r="B547" t="s">
        <v>483</v>
      </c>
      <c r="C547">
        <v>2017</v>
      </c>
      <c r="D547" s="16" t="s">
        <v>189</v>
      </c>
      <c r="E547">
        <v>0</v>
      </c>
      <c r="F547" s="15">
        <v>18.5</v>
      </c>
      <c r="G547" s="15"/>
      <c r="H547" s="15"/>
      <c r="I547" s="15">
        <v>37.5</v>
      </c>
      <c r="J547" s="15">
        <v>14</v>
      </c>
      <c r="K547" s="15"/>
      <c r="L547" s="15">
        <f>IF(Table2[[#This Row],[Lipids wt%]]+Table2[[#This Row],[Protein wt%]]+Table2[[#This Row],[Carbs wt%]] =0,"",SUM(Table2[[#This Row],[Lipids wt%]],Table2[[#This Row],[Protein wt%]],Table2[[#This Row],[Carbs wt%]]))</f>
        <v>70</v>
      </c>
      <c r="M547" s="15">
        <v>30</v>
      </c>
      <c r="U547">
        <v>91.41</v>
      </c>
      <c r="W547">
        <v>6.24</v>
      </c>
      <c r="X547">
        <v>0.96</v>
      </c>
      <c r="Y547">
        <v>1.38</v>
      </c>
      <c r="Z547" s="15"/>
      <c r="AA547" s="15"/>
      <c r="AB547" s="15"/>
      <c r="AC547" s="15"/>
      <c r="AD547" s="15"/>
      <c r="AE547" s="15"/>
      <c r="AF547" s="15"/>
      <c r="AG547" s="15">
        <v>7.4999999999999997E-3</v>
      </c>
      <c r="AH547" s="15">
        <v>1</v>
      </c>
      <c r="AI547" s="15">
        <v>6</v>
      </c>
      <c r="AJ547" s="15">
        <v>14</v>
      </c>
      <c r="AM547" s="13"/>
      <c r="AO547" s="15"/>
      <c r="AP547" s="15" t="e">
        <f>LN(25/Table2[[#This Row],[Temperature (C)]]/(1-SQRT((Table2[[#This Row],[Temperature (C)]]-5)/Table2[[#This Row],[Temperature (C)]])))/Table2[[#This Row],[b]]</f>
        <v>#DIV/0!</v>
      </c>
      <c r="AQ547" s="15">
        <f>IF(Table2[[#This Row],[b]]&lt;&gt;"",Table2[[#This Row],[T-5]], 0)</f>
        <v>0</v>
      </c>
      <c r="AR547">
        <v>20</v>
      </c>
      <c r="AT547" t="s">
        <v>503</v>
      </c>
      <c r="AU547">
        <v>300</v>
      </c>
      <c r="AV547" s="15">
        <v>39.86</v>
      </c>
      <c r="AW547" s="15">
        <f>Table2[[#This Row],[Light Biocrude wt%]]+Table2[[#This Row],[Heavy Biocrude wt%]]</f>
        <v>33.700000000000003</v>
      </c>
      <c r="AX547" s="15">
        <v>24.6</v>
      </c>
      <c r="AY547" s="15">
        <v>1.84</v>
      </c>
      <c r="AZ547" s="15"/>
      <c r="BA547" s="15"/>
      <c r="BB547" s="15">
        <f>IF(OR(Table2[[#This Row],[Gas wt%]]&lt;&gt;"",Table2[[#This Row],[Loss]]&lt;&gt;""),Table2[[#This Row],[Gas wt%]]+Table2[[#This Row],[Loss]],"")</f>
        <v>1.84</v>
      </c>
      <c r="BC547" s="15"/>
      <c r="BD547" s="15">
        <v>15.03</v>
      </c>
      <c r="BE547" s="15">
        <v>18.670000000000002</v>
      </c>
      <c r="BF547" s="15"/>
      <c r="BG547" s="15"/>
      <c r="BH547" s="15"/>
      <c r="BI547" s="15"/>
      <c r="BJ547" s="15"/>
      <c r="BK547" s="15"/>
      <c r="BL547" s="15"/>
      <c r="BM547" s="15"/>
      <c r="BN547" s="15"/>
      <c r="BO547" s="15"/>
      <c r="BP547" s="15"/>
      <c r="BQ547" s="15"/>
      <c r="BR547" s="15"/>
      <c r="BS547" s="15"/>
      <c r="BT547" s="15"/>
      <c r="BU547" s="15"/>
      <c r="BV547" s="15"/>
      <c r="BW547" s="15"/>
      <c r="BX547" s="15"/>
      <c r="BY547" s="15"/>
      <c r="BZ547" s="15"/>
      <c r="CA547" s="15"/>
      <c r="CB547" s="15"/>
      <c r="CC547" s="15"/>
      <c r="CD547" s="15"/>
      <c r="CE547" s="15"/>
      <c r="CF547" s="15"/>
      <c r="CG547" s="15"/>
      <c r="CH547" s="15"/>
      <c r="CI547" s="15"/>
      <c r="CJ547" s="15"/>
      <c r="CK547" s="15"/>
      <c r="CL547" s="15"/>
      <c r="CM547" s="15"/>
      <c r="CN547" s="15"/>
      <c r="CO547" s="15"/>
      <c r="CP547" s="15"/>
      <c r="CQ547" s="15"/>
      <c r="CR547" s="15"/>
      <c r="CS547" s="15"/>
      <c r="CT547" s="15"/>
      <c r="CU547" s="15"/>
      <c r="CV547" s="15"/>
      <c r="CW547" s="15"/>
      <c r="CX547" s="15"/>
      <c r="CY547" s="15"/>
      <c r="CZ547" s="15"/>
      <c r="DA547" s="15"/>
      <c r="DB547" s="15">
        <v>0</v>
      </c>
    </row>
    <row r="548" spans="1:106" x14ac:dyDescent="0.25">
      <c r="A548" t="s">
        <v>488</v>
      </c>
      <c r="B548" t="s">
        <v>483</v>
      </c>
      <c r="C548">
        <v>2017</v>
      </c>
      <c r="D548" s="16" t="s">
        <v>189</v>
      </c>
      <c r="E548">
        <v>0</v>
      </c>
      <c r="F548" s="15">
        <v>18.5</v>
      </c>
      <c r="G548" s="15"/>
      <c r="H548" s="15"/>
      <c r="I548" s="15">
        <v>37.5</v>
      </c>
      <c r="J548" s="15">
        <v>14</v>
      </c>
      <c r="K548" s="15"/>
      <c r="L548" s="15">
        <f>IF(Table2[[#This Row],[Lipids wt%]]+Table2[[#This Row],[Protein wt%]]+Table2[[#This Row],[Carbs wt%]] =0,"",SUM(Table2[[#This Row],[Lipids wt%]],Table2[[#This Row],[Protein wt%]],Table2[[#This Row],[Carbs wt%]]))</f>
        <v>70</v>
      </c>
      <c r="M548" s="15">
        <v>30</v>
      </c>
      <c r="U548">
        <v>91.41</v>
      </c>
      <c r="W548">
        <v>6.24</v>
      </c>
      <c r="X548">
        <v>0.96</v>
      </c>
      <c r="Y548">
        <v>1.38</v>
      </c>
      <c r="Z548" s="15"/>
      <c r="AA548" s="15"/>
      <c r="AB548" s="15"/>
      <c r="AC548" s="15"/>
      <c r="AD548" s="15"/>
      <c r="AE548" s="15"/>
      <c r="AF548" s="15"/>
      <c r="AG548" s="15">
        <v>7.4999999999999997E-3</v>
      </c>
      <c r="AH548" s="15">
        <v>1</v>
      </c>
      <c r="AI548" s="15">
        <v>6</v>
      </c>
      <c r="AJ548" s="15">
        <v>14</v>
      </c>
      <c r="AM548" s="13"/>
      <c r="AO548" s="15"/>
      <c r="AP548" s="15" t="e">
        <f>LN(25/Table2[[#This Row],[Temperature (C)]]/(1-SQRT((Table2[[#This Row],[Temperature (C)]]-5)/Table2[[#This Row],[Temperature (C)]])))/Table2[[#This Row],[b]]</f>
        <v>#DIV/0!</v>
      </c>
      <c r="AQ548" s="15">
        <f>IF(Table2[[#This Row],[b]]&lt;&gt;"",Table2[[#This Row],[T-5]], 0)</f>
        <v>0</v>
      </c>
      <c r="AR548">
        <v>30</v>
      </c>
      <c r="AT548" t="s">
        <v>503</v>
      </c>
      <c r="AU548">
        <v>300</v>
      </c>
      <c r="AV548" s="15">
        <v>35.869999999999997</v>
      </c>
      <c r="AW548" s="15">
        <f>Table2[[#This Row],[Light Biocrude wt%]]+Table2[[#This Row],[Heavy Biocrude wt%]]</f>
        <v>35.700000000000003</v>
      </c>
      <c r="AX548" s="15">
        <v>24.95</v>
      </c>
      <c r="AY548" s="15">
        <v>3.47</v>
      </c>
      <c r="AZ548" s="15"/>
      <c r="BA548" s="15"/>
      <c r="BB548" s="15">
        <f>IF(OR(Table2[[#This Row],[Gas wt%]]&lt;&gt;"",Table2[[#This Row],[Loss]]&lt;&gt;""),Table2[[#This Row],[Gas wt%]]+Table2[[#This Row],[Loss]],"")</f>
        <v>3.47</v>
      </c>
      <c r="BC548" s="15"/>
      <c r="BD548" s="15">
        <v>15.97</v>
      </c>
      <c r="BE548" s="15">
        <v>19.73</v>
      </c>
      <c r="BF548" s="15"/>
      <c r="BG548" s="15"/>
      <c r="BH548" s="15"/>
      <c r="BI548" s="15"/>
      <c r="BJ548" s="15"/>
      <c r="BK548" s="15"/>
      <c r="BL548" s="15"/>
      <c r="BM548" s="15"/>
      <c r="BN548" s="15"/>
      <c r="BO548" s="15"/>
      <c r="BP548" s="15"/>
      <c r="BQ548" s="15"/>
      <c r="BR548" s="15"/>
      <c r="BS548" s="15"/>
      <c r="BT548" s="15"/>
      <c r="BU548" s="15"/>
      <c r="BV548" s="15"/>
      <c r="BW548" s="15"/>
      <c r="BX548" s="15"/>
      <c r="BY548" s="15"/>
      <c r="BZ548" s="15"/>
      <c r="CA548" s="15"/>
      <c r="CB548" s="15"/>
      <c r="CC548" s="15"/>
      <c r="CD548" s="15"/>
      <c r="CE548" s="15"/>
      <c r="CF548" s="15"/>
      <c r="CG548" s="15"/>
      <c r="CH548" s="15"/>
      <c r="CI548" s="15"/>
      <c r="CJ548" s="15"/>
      <c r="CK548" s="15"/>
      <c r="CL548" s="15"/>
      <c r="CM548" s="15"/>
      <c r="CN548" s="15"/>
      <c r="CO548" s="15"/>
      <c r="CP548" s="15"/>
      <c r="CQ548" s="15"/>
      <c r="CR548" s="15"/>
      <c r="CS548" s="15"/>
      <c r="CT548" s="15"/>
      <c r="CU548" s="15"/>
      <c r="CV548" s="15"/>
      <c r="CW548" s="15"/>
      <c r="CX548" s="15"/>
      <c r="CY548" s="15"/>
      <c r="CZ548" s="15"/>
      <c r="DA548" s="15"/>
      <c r="DB548" s="15">
        <v>0</v>
      </c>
    </row>
    <row r="549" spans="1:106" x14ac:dyDescent="0.25">
      <c r="A549" t="s">
        <v>488</v>
      </c>
      <c r="B549" t="s">
        <v>483</v>
      </c>
      <c r="C549">
        <v>2017</v>
      </c>
      <c r="D549" s="16" t="s">
        <v>189</v>
      </c>
      <c r="E549">
        <v>0</v>
      </c>
      <c r="F549" s="15">
        <v>18.5</v>
      </c>
      <c r="G549" s="15"/>
      <c r="H549" s="15"/>
      <c r="I549" s="15">
        <v>37.5</v>
      </c>
      <c r="J549" s="15">
        <v>14</v>
      </c>
      <c r="K549" s="15"/>
      <c r="L549" s="15">
        <f>IF(Table2[[#This Row],[Lipids wt%]]+Table2[[#This Row],[Protein wt%]]+Table2[[#This Row],[Carbs wt%]] =0,"",SUM(Table2[[#This Row],[Lipids wt%]],Table2[[#This Row],[Protein wt%]],Table2[[#This Row],[Carbs wt%]]))</f>
        <v>70</v>
      </c>
      <c r="M549" s="15">
        <v>30</v>
      </c>
      <c r="U549">
        <v>91.41</v>
      </c>
      <c r="W549">
        <v>6.24</v>
      </c>
      <c r="X549">
        <v>0.96</v>
      </c>
      <c r="Y549">
        <v>1.38</v>
      </c>
      <c r="Z549" s="15"/>
      <c r="AA549" s="15"/>
      <c r="AB549" s="15"/>
      <c r="AC549" s="15"/>
      <c r="AD549" s="15"/>
      <c r="AE549" s="15"/>
      <c r="AF549" s="15"/>
      <c r="AG549" s="15">
        <v>7.4999999999999997E-3</v>
      </c>
      <c r="AH549" s="15">
        <v>1</v>
      </c>
      <c r="AI549" s="15">
        <v>6</v>
      </c>
      <c r="AJ549" s="15">
        <v>14</v>
      </c>
      <c r="AM549" s="13"/>
      <c r="AO549" s="15"/>
      <c r="AP549" s="15" t="e">
        <f>LN(25/Table2[[#This Row],[Temperature (C)]]/(1-SQRT((Table2[[#This Row],[Temperature (C)]]-5)/Table2[[#This Row],[Temperature (C)]])))/Table2[[#This Row],[b]]</f>
        <v>#DIV/0!</v>
      </c>
      <c r="AQ549" s="15">
        <f>IF(Table2[[#This Row],[b]]&lt;&gt;"",Table2[[#This Row],[T-5]], 0)</f>
        <v>0</v>
      </c>
      <c r="AR549">
        <v>40</v>
      </c>
      <c r="AT549" t="s">
        <v>503</v>
      </c>
      <c r="AU549">
        <v>300</v>
      </c>
      <c r="AV549" s="15">
        <v>31.89</v>
      </c>
      <c r="AW549" s="15">
        <f>Table2[[#This Row],[Light Biocrude wt%]]+Table2[[#This Row],[Heavy Biocrude wt%]]</f>
        <v>41.59</v>
      </c>
      <c r="AX549" s="15">
        <v>21.71</v>
      </c>
      <c r="AY549" s="15">
        <v>4.76</v>
      </c>
      <c r="AZ549" s="15"/>
      <c r="BA549" s="15"/>
      <c r="BB549" s="15">
        <f>IF(OR(Table2[[#This Row],[Gas wt%]]&lt;&gt;"",Table2[[#This Row],[Loss]]&lt;&gt;""),Table2[[#This Row],[Gas wt%]]+Table2[[#This Row],[Loss]],"")</f>
        <v>4.76</v>
      </c>
      <c r="BC549" s="15"/>
      <c r="BD549" s="15">
        <v>18.239999999999998</v>
      </c>
      <c r="BE549" s="15">
        <v>23.35</v>
      </c>
      <c r="BF549" s="15"/>
      <c r="BG549" s="15"/>
      <c r="BH549" s="15"/>
      <c r="BI549" s="15"/>
      <c r="BJ549" s="15"/>
      <c r="BK549" s="15"/>
      <c r="BL549" s="15"/>
      <c r="BM549" s="15"/>
      <c r="BN549" s="15"/>
      <c r="BO549" s="15"/>
      <c r="BP549" s="15"/>
      <c r="BQ549" s="15"/>
      <c r="BR549" s="15"/>
      <c r="BS549" s="15"/>
      <c r="BT549" s="15"/>
      <c r="BU549" s="15"/>
      <c r="BV549" s="15"/>
      <c r="BW549" s="15"/>
      <c r="BX549" s="15"/>
      <c r="BY549" s="15"/>
      <c r="BZ549" s="15"/>
      <c r="CA549" s="15"/>
      <c r="CB549" s="15"/>
      <c r="CC549" s="15"/>
      <c r="CD549" s="15"/>
      <c r="CE549" s="15"/>
      <c r="CF549" s="15"/>
      <c r="CG549" s="15"/>
      <c r="CH549" s="15"/>
      <c r="CI549" s="15"/>
      <c r="CJ549" s="15"/>
      <c r="CK549" s="15"/>
      <c r="CL549" s="15"/>
      <c r="CM549" s="15"/>
      <c r="CN549" s="15"/>
      <c r="CO549" s="15"/>
      <c r="CP549" s="15"/>
      <c r="CQ549" s="15"/>
      <c r="CR549" s="15"/>
      <c r="CS549" s="15"/>
      <c r="CT549" s="15"/>
      <c r="CU549" s="15"/>
      <c r="CV549" s="15"/>
      <c r="CW549" s="15"/>
      <c r="CX549" s="15"/>
      <c r="CY549" s="15"/>
      <c r="CZ549" s="15"/>
      <c r="DA549" s="15"/>
      <c r="DB549" s="15">
        <v>0</v>
      </c>
    </row>
    <row r="550" spans="1:106" x14ac:dyDescent="0.25">
      <c r="A550" t="s">
        <v>488</v>
      </c>
      <c r="B550" t="s">
        <v>483</v>
      </c>
      <c r="C550">
        <v>2017</v>
      </c>
      <c r="D550" s="16" t="s">
        <v>189</v>
      </c>
      <c r="E550">
        <v>0</v>
      </c>
      <c r="F550" s="15">
        <v>18.5</v>
      </c>
      <c r="G550" s="15"/>
      <c r="H550" s="15"/>
      <c r="I550" s="15">
        <v>37.5</v>
      </c>
      <c r="J550" s="15">
        <v>14</v>
      </c>
      <c r="K550" s="15"/>
      <c r="L550" s="15">
        <f>IF(Table2[[#This Row],[Lipids wt%]]+Table2[[#This Row],[Protein wt%]]+Table2[[#This Row],[Carbs wt%]] =0,"",SUM(Table2[[#This Row],[Lipids wt%]],Table2[[#This Row],[Protein wt%]],Table2[[#This Row],[Carbs wt%]]))</f>
        <v>70</v>
      </c>
      <c r="M550" s="15">
        <v>30</v>
      </c>
      <c r="U550">
        <v>91.41</v>
      </c>
      <c r="W550">
        <v>6.24</v>
      </c>
      <c r="X550">
        <v>0.96</v>
      </c>
      <c r="Y550">
        <v>1.38</v>
      </c>
      <c r="Z550" s="15"/>
      <c r="AA550" s="15"/>
      <c r="AB550" s="15"/>
      <c r="AC550" s="15"/>
      <c r="AD550" s="15"/>
      <c r="AE550" s="15"/>
      <c r="AF550" s="15"/>
      <c r="AG550" s="15">
        <v>7.4999999999999997E-3</v>
      </c>
      <c r="AH550" s="15">
        <v>1</v>
      </c>
      <c r="AI550" s="15">
        <v>6</v>
      </c>
      <c r="AJ550" s="15">
        <v>14</v>
      </c>
      <c r="AM550" s="13"/>
      <c r="AO550" s="15"/>
      <c r="AP550" s="15" t="e">
        <f>LN(25/Table2[[#This Row],[Temperature (C)]]/(1-SQRT((Table2[[#This Row],[Temperature (C)]]-5)/Table2[[#This Row],[Temperature (C)]])))/Table2[[#This Row],[b]]</f>
        <v>#DIV/0!</v>
      </c>
      <c r="AQ550" s="15">
        <f>IF(Table2[[#This Row],[b]]&lt;&gt;"",Table2[[#This Row],[T-5]], 0)</f>
        <v>0</v>
      </c>
      <c r="AR550">
        <v>60</v>
      </c>
      <c r="AT550" t="s">
        <v>503</v>
      </c>
      <c r="AU550">
        <v>300</v>
      </c>
      <c r="AV550" s="15">
        <v>30.55</v>
      </c>
      <c r="AW550" s="15">
        <f>Table2[[#This Row],[Light Biocrude wt%]]+Table2[[#This Row],[Heavy Biocrude wt%]]</f>
        <v>40.94</v>
      </c>
      <c r="AX550" s="15">
        <v>21.49</v>
      </c>
      <c r="AY550" s="15">
        <v>7.36</v>
      </c>
      <c r="AZ550" s="15"/>
      <c r="BA550" s="15"/>
      <c r="BB550" s="15">
        <f>IF(OR(Table2[[#This Row],[Gas wt%]]&lt;&gt;"",Table2[[#This Row],[Loss]]&lt;&gt;""),Table2[[#This Row],[Gas wt%]]+Table2[[#This Row],[Loss]],"")</f>
        <v>7.36</v>
      </c>
      <c r="BC550" s="15"/>
      <c r="BD550" s="15">
        <v>16.850000000000001</v>
      </c>
      <c r="BE550" s="15">
        <v>24.09</v>
      </c>
      <c r="BF550" s="15"/>
      <c r="BG550" s="15"/>
      <c r="BH550" s="15"/>
      <c r="BI550" s="15"/>
      <c r="BJ550" s="15"/>
      <c r="BK550" s="15"/>
      <c r="BL550" s="15"/>
      <c r="BM550" s="15"/>
      <c r="BN550" s="15"/>
      <c r="BO550" s="15"/>
      <c r="BP550" s="15"/>
      <c r="BQ550" s="15"/>
      <c r="BR550" s="15"/>
      <c r="BS550" s="15"/>
      <c r="BT550" s="15"/>
      <c r="BU550" s="15"/>
      <c r="BV550" s="15"/>
      <c r="BW550" s="15"/>
      <c r="BX550" s="15"/>
      <c r="BY550" s="15"/>
      <c r="BZ550" s="15"/>
      <c r="CA550" s="15"/>
      <c r="CB550" s="15"/>
      <c r="CC550" s="15"/>
      <c r="CD550" s="15"/>
      <c r="CE550" s="15"/>
      <c r="CF550" s="15"/>
      <c r="CG550" s="15"/>
      <c r="CH550" s="15"/>
      <c r="CI550" s="15"/>
      <c r="CJ550" s="15"/>
      <c r="CK550" s="15"/>
      <c r="CL550" s="15"/>
      <c r="CM550" s="15"/>
      <c r="CN550" s="15"/>
      <c r="CO550" s="15"/>
      <c r="CP550" s="15"/>
      <c r="CQ550" s="15"/>
      <c r="CR550" s="15"/>
      <c r="CS550" s="15"/>
      <c r="CT550" s="15"/>
      <c r="CU550" s="15"/>
      <c r="CV550" s="15"/>
      <c r="CW550" s="15"/>
      <c r="CX550" s="15"/>
      <c r="CY550" s="15"/>
      <c r="CZ550" s="15"/>
      <c r="DA550" s="15"/>
      <c r="DB550" s="15">
        <v>0</v>
      </c>
    </row>
    <row r="551" spans="1:106" x14ac:dyDescent="0.25">
      <c r="A551" t="s">
        <v>488</v>
      </c>
      <c r="B551" t="s">
        <v>483</v>
      </c>
      <c r="C551">
        <v>2017</v>
      </c>
      <c r="D551" s="16" t="s">
        <v>189</v>
      </c>
      <c r="E551">
        <v>0</v>
      </c>
      <c r="F551" s="15">
        <v>18.5</v>
      </c>
      <c r="G551" s="15"/>
      <c r="H551" s="15"/>
      <c r="I551" s="15">
        <v>37.5</v>
      </c>
      <c r="J551" s="15">
        <v>14</v>
      </c>
      <c r="K551" s="15"/>
      <c r="L551" s="15">
        <f>IF(Table2[[#This Row],[Lipids wt%]]+Table2[[#This Row],[Protein wt%]]+Table2[[#This Row],[Carbs wt%]] =0,"",SUM(Table2[[#This Row],[Lipids wt%]],Table2[[#This Row],[Protein wt%]],Table2[[#This Row],[Carbs wt%]]))</f>
        <v>70</v>
      </c>
      <c r="M551" s="15">
        <v>30</v>
      </c>
      <c r="U551">
        <v>91.41</v>
      </c>
      <c r="W551">
        <v>6.24</v>
      </c>
      <c r="X551">
        <v>0.96</v>
      </c>
      <c r="Y551">
        <v>1.38</v>
      </c>
      <c r="Z551" s="15"/>
      <c r="AA551" s="15"/>
      <c r="AB551" s="15"/>
      <c r="AC551" s="15"/>
      <c r="AD551" s="15"/>
      <c r="AE551" s="15"/>
      <c r="AF551" s="15"/>
      <c r="AG551" s="15">
        <v>7.4999999999999997E-3</v>
      </c>
      <c r="AH551" s="15">
        <v>1</v>
      </c>
      <c r="AI551" s="15">
        <v>6</v>
      </c>
      <c r="AJ551" s="15">
        <v>14</v>
      </c>
      <c r="AM551" s="13"/>
      <c r="AO551" s="15"/>
      <c r="AP551" s="15" t="e">
        <f>LN(25/Table2[[#This Row],[Temperature (C)]]/(1-SQRT((Table2[[#This Row],[Temperature (C)]]-5)/Table2[[#This Row],[Temperature (C)]])))/Table2[[#This Row],[b]]</f>
        <v>#DIV/0!</v>
      </c>
      <c r="AQ551" s="15">
        <f>IF(Table2[[#This Row],[b]]&lt;&gt;"",Table2[[#This Row],[T-5]], 0)</f>
        <v>0</v>
      </c>
      <c r="AR551">
        <v>10</v>
      </c>
      <c r="AT551" t="s">
        <v>503</v>
      </c>
      <c r="AU551">
        <v>350</v>
      </c>
      <c r="AV551" s="15">
        <v>38.69</v>
      </c>
      <c r="AW551" s="15">
        <f>Table2[[#This Row],[Light Biocrude wt%]]+Table2[[#This Row],[Heavy Biocrude wt%]]</f>
        <v>45.42</v>
      </c>
      <c r="AX551" s="15">
        <v>15.19</v>
      </c>
      <c r="AY551" s="15">
        <v>0.71</v>
      </c>
      <c r="AZ551" s="15"/>
      <c r="BA551" s="15"/>
      <c r="BB551" s="15">
        <f>IF(OR(Table2[[#This Row],[Gas wt%]]&lt;&gt;"",Table2[[#This Row],[Loss]]&lt;&gt;""),Table2[[#This Row],[Gas wt%]]+Table2[[#This Row],[Loss]],"")</f>
        <v>0.71</v>
      </c>
      <c r="BC551" s="15"/>
      <c r="BD551" s="15">
        <v>15.07</v>
      </c>
      <c r="BE551" s="15">
        <v>30.35</v>
      </c>
      <c r="BF551" s="15"/>
      <c r="BG551" s="15"/>
      <c r="BH551" s="15"/>
      <c r="BI551" s="15"/>
      <c r="BJ551" s="15"/>
      <c r="BK551" s="15"/>
      <c r="BL551" s="15"/>
      <c r="BM551" s="15"/>
      <c r="BN551" s="15"/>
      <c r="BO551" s="15"/>
      <c r="BP551" s="15"/>
      <c r="BQ551" s="15"/>
      <c r="BR551" s="15"/>
      <c r="BS551" s="15"/>
      <c r="BT551" s="15"/>
      <c r="BU551" s="15"/>
      <c r="BV551" s="15"/>
      <c r="BW551" s="15"/>
      <c r="BX551" s="15"/>
      <c r="BY551" s="15"/>
      <c r="BZ551" s="15"/>
      <c r="CA551" s="15"/>
      <c r="CB551" s="15"/>
      <c r="CC551" s="15"/>
      <c r="CD551" s="15"/>
      <c r="CE551" s="15"/>
      <c r="CF551" s="15"/>
      <c r="CG551" s="15"/>
      <c r="CH551" s="15"/>
      <c r="CI551" s="15"/>
      <c r="CJ551" s="15"/>
      <c r="CK551" s="15"/>
      <c r="CL551" s="15"/>
      <c r="CM551" s="15"/>
      <c r="CN551" s="15"/>
      <c r="CO551" s="15"/>
      <c r="CP551" s="15"/>
      <c r="CQ551" s="15"/>
      <c r="CR551" s="15"/>
      <c r="CS551" s="15"/>
      <c r="CT551" s="15"/>
      <c r="CU551" s="15"/>
      <c r="CV551" s="15"/>
      <c r="CW551" s="15"/>
      <c r="CX551" s="15"/>
      <c r="CY551" s="15"/>
      <c r="CZ551" s="15"/>
      <c r="DA551" s="15"/>
      <c r="DB551" s="15">
        <v>0</v>
      </c>
    </row>
    <row r="552" spans="1:106" x14ac:dyDescent="0.25">
      <c r="A552" t="s">
        <v>488</v>
      </c>
      <c r="B552" t="s">
        <v>483</v>
      </c>
      <c r="C552">
        <v>2017</v>
      </c>
      <c r="D552" s="16" t="s">
        <v>189</v>
      </c>
      <c r="E552">
        <v>0</v>
      </c>
      <c r="F552" s="15">
        <v>18.5</v>
      </c>
      <c r="G552" s="15"/>
      <c r="H552" s="15"/>
      <c r="I552" s="15">
        <v>37.5</v>
      </c>
      <c r="J552" s="15">
        <v>14</v>
      </c>
      <c r="K552" s="15"/>
      <c r="L552" s="15">
        <f>IF(Table2[[#This Row],[Lipids wt%]]+Table2[[#This Row],[Protein wt%]]+Table2[[#This Row],[Carbs wt%]] =0,"",SUM(Table2[[#This Row],[Lipids wt%]],Table2[[#This Row],[Protein wt%]],Table2[[#This Row],[Carbs wt%]]))</f>
        <v>70</v>
      </c>
      <c r="M552" s="15">
        <v>30</v>
      </c>
      <c r="U552">
        <v>91.41</v>
      </c>
      <c r="W552">
        <v>6.24</v>
      </c>
      <c r="X552">
        <v>0.96</v>
      </c>
      <c r="Y552">
        <v>1.38</v>
      </c>
      <c r="Z552" s="15"/>
      <c r="AA552" s="15"/>
      <c r="AB552" s="15"/>
      <c r="AC552" s="15"/>
      <c r="AD552" s="15"/>
      <c r="AE552" s="15"/>
      <c r="AF552" s="15"/>
      <c r="AG552" s="15">
        <v>7.4999999999999997E-3</v>
      </c>
      <c r="AH552" s="15">
        <v>1</v>
      </c>
      <c r="AI552" s="15">
        <v>6</v>
      </c>
      <c r="AJ552" s="15">
        <v>14</v>
      </c>
      <c r="AM552" s="13"/>
      <c r="AO552" s="15"/>
      <c r="AP552" s="15" t="e">
        <f>LN(25/Table2[[#This Row],[Temperature (C)]]/(1-SQRT((Table2[[#This Row],[Temperature (C)]]-5)/Table2[[#This Row],[Temperature (C)]])))/Table2[[#This Row],[b]]</f>
        <v>#DIV/0!</v>
      </c>
      <c r="AQ552" s="15">
        <f>IF(Table2[[#This Row],[b]]&lt;&gt;"",Table2[[#This Row],[T-5]], 0)</f>
        <v>0</v>
      </c>
      <c r="AR552">
        <v>20</v>
      </c>
      <c r="AT552" t="s">
        <v>503</v>
      </c>
      <c r="AU552">
        <v>350</v>
      </c>
      <c r="AV552" s="15">
        <v>34.950000000000003</v>
      </c>
      <c r="AW552" s="15">
        <f>Table2[[#This Row],[Light Biocrude wt%]]+Table2[[#This Row],[Heavy Biocrude wt%]]</f>
        <v>42.370000000000005</v>
      </c>
      <c r="AX552" s="15">
        <v>19.149999999999999</v>
      </c>
      <c r="AY552" s="15">
        <v>3.54</v>
      </c>
      <c r="AZ552" s="15"/>
      <c r="BA552" s="15"/>
      <c r="BB552" s="15">
        <f>IF(OR(Table2[[#This Row],[Gas wt%]]&lt;&gt;"",Table2[[#This Row],[Loss]]&lt;&gt;""),Table2[[#This Row],[Gas wt%]]+Table2[[#This Row],[Loss]],"")</f>
        <v>3.54</v>
      </c>
      <c r="BC552" s="15"/>
      <c r="BD552" s="15">
        <v>20.16</v>
      </c>
      <c r="BE552" s="15">
        <v>22.21</v>
      </c>
      <c r="BF552" s="15"/>
      <c r="BG552" s="15"/>
      <c r="BH552" s="15"/>
      <c r="BI552" s="15"/>
      <c r="BJ552" s="15"/>
      <c r="BK552" s="15"/>
      <c r="BL552" s="15"/>
      <c r="BM552" s="15"/>
      <c r="BN552" s="15"/>
      <c r="BO552" s="15"/>
      <c r="BP552" s="15"/>
      <c r="BQ552" s="15"/>
      <c r="BR552" s="15"/>
      <c r="BS552" s="15"/>
      <c r="BT552" s="15"/>
      <c r="BU552" s="15"/>
      <c r="BV552" s="15"/>
      <c r="BW552" s="15"/>
      <c r="BX552" s="15"/>
      <c r="BY552" s="15"/>
      <c r="BZ552" s="15"/>
      <c r="CA552" s="15"/>
      <c r="CB552" s="15"/>
      <c r="CC552" s="15"/>
      <c r="CD552" s="15"/>
      <c r="CE552" s="15"/>
      <c r="CF552" s="15"/>
      <c r="CG552" s="15"/>
      <c r="CH552" s="15"/>
      <c r="CI552" s="15"/>
      <c r="CJ552" s="15"/>
      <c r="CK552" s="15"/>
      <c r="CL552" s="15"/>
      <c r="CM552" s="15"/>
      <c r="CN552" s="15"/>
      <c r="CO552" s="15"/>
      <c r="CP552" s="15"/>
      <c r="CQ552" s="15"/>
      <c r="CR552" s="15"/>
      <c r="CS552" s="15"/>
      <c r="CT552" s="15"/>
      <c r="CU552" s="15"/>
      <c r="CV552" s="15"/>
      <c r="CW552" s="15"/>
      <c r="CX552" s="15"/>
      <c r="CY552" s="15"/>
      <c r="CZ552" s="15"/>
      <c r="DA552" s="15"/>
      <c r="DB552" s="15">
        <v>0</v>
      </c>
    </row>
    <row r="553" spans="1:106" x14ac:dyDescent="0.25">
      <c r="A553" t="s">
        <v>488</v>
      </c>
      <c r="B553" t="s">
        <v>483</v>
      </c>
      <c r="C553">
        <v>2017</v>
      </c>
      <c r="D553" s="16" t="s">
        <v>189</v>
      </c>
      <c r="E553">
        <v>0</v>
      </c>
      <c r="F553" s="15">
        <v>18.5</v>
      </c>
      <c r="G553" s="15"/>
      <c r="H553" s="15"/>
      <c r="I553" s="15">
        <v>37.5</v>
      </c>
      <c r="J553" s="15">
        <v>14</v>
      </c>
      <c r="K553" s="15"/>
      <c r="L553" s="15">
        <f>IF(Table2[[#This Row],[Lipids wt%]]+Table2[[#This Row],[Protein wt%]]+Table2[[#This Row],[Carbs wt%]] =0,"",SUM(Table2[[#This Row],[Lipids wt%]],Table2[[#This Row],[Protein wt%]],Table2[[#This Row],[Carbs wt%]]))</f>
        <v>70</v>
      </c>
      <c r="M553" s="15">
        <v>30</v>
      </c>
      <c r="U553">
        <v>91.41</v>
      </c>
      <c r="W553">
        <v>6.24</v>
      </c>
      <c r="X553">
        <v>0.96</v>
      </c>
      <c r="Y553">
        <v>1.38</v>
      </c>
      <c r="Z553" s="15"/>
      <c r="AA553" s="15"/>
      <c r="AB553" s="15"/>
      <c r="AC553" s="15"/>
      <c r="AD553" s="15"/>
      <c r="AE553" s="15"/>
      <c r="AF553" s="15"/>
      <c r="AG553" s="15">
        <v>7.4999999999999997E-3</v>
      </c>
      <c r="AH553" s="15">
        <v>1</v>
      </c>
      <c r="AI553" s="15">
        <v>6</v>
      </c>
      <c r="AJ553" s="15">
        <v>14</v>
      </c>
      <c r="AM553" s="13"/>
      <c r="AO553" s="15"/>
      <c r="AP553" s="15" t="e">
        <f>LN(25/Table2[[#This Row],[Temperature (C)]]/(1-SQRT((Table2[[#This Row],[Temperature (C)]]-5)/Table2[[#This Row],[Temperature (C)]])))/Table2[[#This Row],[b]]</f>
        <v>#DIV/0!</v>
      </c>
      <c r="AQ553" s="15">
        <f>IF(Table2[[#This Row],[b]]&lt;&gt;"",Table2[[#This Row],[T-5]], 0)</f>
        <v>0</v>
      </c>
      <c r="AR553">
        <v>30</v>
      </c>
      <c r="AT553" t="s">
        <v>503</v>
      </c>
      <c r="AU553">
        <v>350</v>
      </c>
      <c r="AV553" s="15">
        <v>32.119999999999997</v>
      </c>
      <c r="AW553" s="15">
        <f>Table2[[#This Row],[Light Biocrude wt%]]+Table2[[#This Row],[Heavy Biocrude wt%]]</f>
        <v>44.980000000000004</v>
      </c>
      <c r="AX553" s="15">
        <v>16.3</v>
      </c>
      <c r="AY553" s="15">
        <v>6.6</v>
      </c>
      <c r="AZ553" s="15"/>
      <c r="BA553" s="15"/>
      <c r="BB553" s="15">
        <f>IF(OR(Table2[[#This Row],[Gas wt%]]&lt;&gt;"",Table2[[#This Row],[Loss]]&lt;&gt;""),Table2[[#This Row],[Gas wt%]]+Table2[[#This Row],[Loss]],"")</f>
        <v>6.6</v>
      </c>
      <c r="BC553" s="15"/>
      <c r="BD553" s="15">
        <v>23.21</v>
      </c>
      <c r="BE553" s="15">
        <v>21.77</v>
      </c>
      <c r="BF553" s="15"/>
      <c r="BG553" s="15"/>
      <c r="BH553" s="15"/>
      <c r="BI553" s="15"/>
      <c r="BJ553" s="15"/>
      <c r="BK553" s="15"/>
      <c r="BL553" s="15"/>
      <c r="BM553" s="15"/>
      <c r="BN553" s="15"/>
      <c r="BO553" s="15"/>
      <c r="BP553" s="15"/>
      <c r="BQ553" s="15"/>
      <c r="BR553" s="15"/>
      <c r="BS553" s="15"/>
      <c r="BT553" s="15"/>
      <c r="BU553" s="15"/>
      <c r="BV553" s="15"/>
      <c r="BW553" s="15"/>
      <c r="BX553" s="15"/>
      <c r="BY553" s="15"/>
      <c r="BZ553" s="15"/>
      <c r="CA553" s="15"/>
      <c r="CB553" s="15"/>
      <c r="CC553" s="15"/>
      <c r="CD553" s="15"/>
      <c r="CE553" s="15"/>
      <c r="CF553" s="15"/>
      <c r="CG553" s="15"/>
      <c r="CH553" s="15"/>
      <c r="CI553" s="15"/>
      <c r="CJ553" s="15"/>
      <c r="CK553" s="15"/>
      <c r="CL553" s="15"/>
      <c r="CM553" s="15"/>
      <c r="CN553" s="15"/>
      <c r="CO553" s="15"/>
      <c r="CP553" s="15"/>
      <c r="CQ553" s="15"/>
      <c r="CR553" s="15"/>
      <c r="CS553" s="15"/>
      <c r="CT553" s="15"/>
      <c r="CU553" s="15"/>
      <c r="CV553" s="15"/>
      <c r="CW553" s="15"/>
      <c r="CX553" s="15"/>
      <c r="CY553" s="15"/>
      <c r="CZ553" s="15"/>
      <c r="DA553" s="15"/>
      <c r="DB553" s="15">
        <v>0</v>
      </c>
    </row>
    <row r="554" spans="1:106" x14ac:dyDescent="0.25">
      <c r="A554" t="s">
        <v>488</v>
      </c>
      <c r="B554" t="s">
        <v>483</v>
      </c>
      <c r="C554">
        <v>2017</v>
      </c>
      <c r="D554" s="16" t="s">
        <v>189</v>
      </c>
      <c r="E554">
        <v>0</v>
      </c>
      <c r="F554" s="15">
        <v>18.5</v>
      </c>
      <c r="G554" s="15"/>
      <c r="H554" s="15"/>
      <c r="I554" s="15">
        <v>37.5</v>
      </c>
      <c r="J554" s="15">
        <v>14</v>
      </c>
      <c r="K554" s="15"/>
      <c r="L554" s="15">
        <f>IF(Table2[[#This Row],[Lipids wt%]]+Table2[[#This Row],[Protein wt%]]+Table2[[#This Row],[Carbs wt%]] =0,"",SUM(Table2[[#This Row],[Lipids wt%]],Table2[[#This Row],[Protein wt%]],Table2[[#This Row],[Carbs wt%]]))</f>
        <v>70</v>
      </c>
      <c r="M554" s="15">
        <v>30</v>
      </c>
      <c r="U554">
        <v>91.41</v>
      </c>
      <c r="W554">
        <v>6.24</v>
      </c>
      <c r="X554">
        <v>0.96</v>
      </c>
      <c r="Y554">
        <v>1.38</v>
      </c>
      <c r="Z554" s="15"/>
      <c r="AA554" s="15"/>
      <c r="AB554" s="15"/>
      <c r="AC554" s="15"/>
      <c r="AD554" s="15"/>
      <c r="AE554" s="15"/>
      <c r="AF554" s="15"/>
      <c r="AG554" s="15">
        <v>7.4999999999999997E-3</v>
      </c>
      <c r="AH554" s="15">
        <v>1</v>
      </c>
      <c r="AI554" s="15">
        <v>6</v>
      </c>
      <c r="AJ554" s="15">
        <v>14</v>
      </c>
      <c r="AM554" s="13"/>
      <c r="AO554" s="15"/>
      <c r="AP554" s="15" t="e">
        <f>LN(25/Table2[[#This Row],[Temperature (C)]]/(1-SQRT((Table2[[#This Row],[Temperature (C)]]-5)/Table2[[#This Row],[Temperature (C)]])))/Table2[[#This Row],[b]]</f>
        <v>#DIV/0!</v>
      </c>
      <c r="AQ554" s="15">
        <f>IF(Table2[[#This Row],[b]]&lt;&gt;"",Table2[[#This Row],[T-5]], 0)</f>
        <v>0</v>
      </c>
      <c r="AR554">
        <v>40</v>
      </c>
      <c r="AT554" t="s">
        <v>503</v>
      </c>
      <c r="AU554">
        <v>350</v>
      </c>
      <c r="AV554" s="15">
        <v>28.4</v>
      </c>
      <c r="AW554" s="15">
        <f>Table2[[#This Row],[Light Biocrude wt%]]+Table2[[#This Row],[Heavy Biocrude wt%]]</f>
        <v>46.06</v>
      </c>
      <c r="AX554" s="15">
        <v>16.89</v>
      </c>
      <c r="AY554" s="15">
        <v>9.65</v>
      </c>
      <c r="AZ554" s="15"/>
      <c r="BA554" s="15"/>
      <c r="BB554" s="15">
        <f>IF(OR(Table2[[#This Row],[Gas wt%]]&lt;&gt;"",Table2[[#This Row],[Loss]]&lt;&gt;""),Table2[[#This Row],[Gas wt%]]+Table2[[#This Row],[Loss]],"")</f>
        <v>9.65</v>
      </c>
      <c r="BC554" s="15"/>
      <c r="BD554" s="15">
        <v>24.65</v>
      </c>
      <c r="BE554" s="15">
        <v>21.41</v>
      </c>
      <c r="BF554" s="15"/>
      <c r="BG554" s="15"/>
      <c r="BH554" s="15"/>
      <c r="BI554" s="15"/>
      <c r="BJ554" s="15"/>
      <c r="BK554" s="15"/>
      <c r="BL554" s="15"/>
      <c r="BM554" s="15"/>
      <c r="BN554" s="15"/>
      <c r="BO554" s="15"/>
      <c r="BP554" s="15"/>
      <c r="BQ554" s="15"/>
      <c r="BR554" s="15"/>
      <c r="BS554" s="15"/>
      <c r="BT554" s="15"/>
      <c r="BU554" s="15"/>
      <c r="BV554" s="15"/>
      <c r="BW554" s="15"/>
      <c r="BX554" s="15"/>
      <c r="BY554" s="15"/>
      <c r="BZ554" s="15"/>
      <c r="CA554" s="15"/>
      <c r="CB554" s="15"/>
      <c r="CC554" s="15"/>
      <c r="CD554" s="15"/>
      <c r="CE554" s="15"/>
      <c r="CF554" s="15"/>
      <c r="CG554" s="15"/>
      <c r="CH554" s="15"/>
      <c r="CI554" s="15"/>
      <c r="CJ554" s="15"/>
      <c r="CK554" s="15"/>
      <c r="CL554" s="15"/>
      <c r="CM554" s="15"/>
      <c r="CN554" s="15"/>
      <c r="CO554" s="15"/>
      <c r="CP554" s="15"/>
      <c r="CQ554" s="15"/>
      <c r="CR554" s="15"/>
      <c r="CS554" s="15"/>
      <c r="CT554" s="15"/>
      <c r="CU554" s="15"/>
      <c r="CV554" s="15"/>
      <c r="CW554" s="15"/>
      <c r="CX554" s="15"/>
      <c r="CY554" s="15"/>
      <c r="CZ554" s="15"/>
      <c r="DA554" s="15"/>
      <c r="DB554" s="15">
        <v>0</v>
      </c>
    </row>
    <row r="555" spans="1:106" x14ac:dyDescent="0.25">
      <c r="A555" t="s">
        <v>488</v>
      </c>
      <c r="B555" t="s">
        <v>483</v>
      </c>
      <c r="C555">
        <v>2017</v>
      </c>
      <c r="D555" s="16" t="s">
        <v>189</v>
      </c>
      <c r="E555">
        <v>0</v>
      </c>
      <c r="F555" s="15">
        <v>18.5</v>
      </c>
      <c r="G555" s="15"/>
      <c r="H555" s="15"/>
      <c r="I555" s="15">
        <v>37.5</v>
      </c>
      <c r="J555" s="15">
        <v>14</v>
      </c>
      <c r="K555" s="15"/>
      <c r="L555" s="15">
        <f>IF(Table2[[#This Row],[Lipids wt%]]+Table2[[#This Row],[Protein wt%]]+Table2[[#This Row],[Carbs wt%]] =0,"",SUM(Table2[[#This Row],[Lipids wt%]],Table2[[#This Row],[Protein wt%]],Table2[[#This Row],[Carbs wt%]]))</f>
        <v>70</v>
      </c>
      <c r="M555" s="15">
        <v>30</v>
      </c>
      <c r="U555">
        <v>91.41</v>
      </c>
      <c r="W555">
        <v>6.24</v>
      </c>
      <c r="X555">
        <v>0.96</v>
      </c>
      <c r="Y555">
        <v>1.38</v>
      </c>
      <c r="Z555" s="15"/>
      <c r="AA555" s="15"/>
      <c r="AB555" s="15"/>
      <c r="AC555" s="15"/>
      <c r="AD555" s="15"/>
      <c r="AE555" s="15"/>
      <c r="AF555" s="15"/>
      <c r="AG555" s="15">
        <v>7.4999999999999997E-3</v>
      </c>
      <c r="AH555" s="15">
        <v>1</v>
      </c>
      <c r="AI555" s="15">
        <v>6</v>
      </c>
      <c r="AJ555" s="15">
        <v>14</v>
      </c>
      <c r="AM555" s="13"/>
      <c r="AO555" s="15"/>
      <c r="AP555" s="15" t="e">
        <f>LN(25/Table2[[#This Row],[Temperature (C)]]/(1-SQRT((Table2[[#This Row],[Temperature (C)]]-5)/Table2[[#This Row],[Temperature (C)]])))/Table2[[#This Row],[b]]</f>
        <v>#DIV/0!</v>
      </c>
      <c r="AQ555" s="15">
        <f>IF(Table2[[#This Row],[b]]&lt;&gt;"",Table2[[#This Row],[T-5]], 0)</f>
        <v>0</v>
      </c>
      <c r="AR555">
        <v>60</v>
      </c>
      <c r="AT555" t="s">
        <v>503</v>
      </c>
      <c r="AU555">
        <v>350</v>
      </c>
      <c r="AV555" s="15">
        <v>29.66</v>
      </c>
      <c r="AW555" s="15">
        <f>Table2[[#This Row],[Light Biocrude wt%]]+Table2[[#This Row],[Heavy Biocrude wt%]]</f>
        <v>44.15</v>
      </c>
      <c r="AX555" s="15">
        <v>15.78</v>
      </c>
      <c r="AY555" s="15">
        <v>10.41</v>
      </c>
      <c r="AZ555" s="15"/>
      <c r="BA555" s="15"/>
      <c r="BB555" s="15">
        <f>IF(OR(Table2[[#This Row],[Gas wt%]]&lt;&gt;"",Table2[[#This Row],[Loss]]&lt;&gt;""),Table2[[#This Row],[Gas wt%]]+Table2[[#This Row],[Loss]],"")</f>
        <v>10.41</v>
      </c>
      <c r="BC555" s="15"/>
      <c r="BD555" s="15">
        <v>23.04</v>
      </c>
      <c r="BE555" s="15">
        <v>21.11</v>
      </c>
      <c r="BF555" s="15"/>
      <c r="BG555" s="15"/>
      <c r="BH555" s="15"/>
      <c r="BI555" s="15"/>
      <c r="BJ555" s="15"/>
      <c r="BK555" s="15"/>
      <c r="BL555" s="15"/>
      <c r="BM555" s="15"/>
      <c r="BN555" s="15"/>
      <c r="BO555" s="15"/>
      <c r="BP555" s="15"/>
      <c r="BQ555" s="15"/>
      <c r="BR555" s="15"/>
      <c r="BS555" s="15"/>
      <c r="BT555" s="15"/>
      <c r="BU555" s="15"/>
      <c r="BV555" s="15"/>
      <c r="BW555" s="15"/>
      <c r="BX555" s="15"/>
      <c r="BY555" s="15"/>
      <c r="BZ555" s="15"/>
      <c r="CA555" s="15"/>
      <c r="CB555" s="15"/>
      <c r="CC555" s="15"/>
      <c r="CD555" s="15"/>
      <c r="CE555" s="15"/>
      <c r="CF555" s="15"/>
      <c r="CG555" s="15"/>
      <c r="CH555" s="15"/>
      <c r="CI555" s="15"/>
      <c r="CJ555" s="15"/>
      <c r="CK555" s="15"/>
      <c r="CL555" s="15"/>
      <c r="CM555" s="15"/>
      <c r="CN555" s="15"/>
      <c r="CO555" s="15"/>
      <c r="CP555" s="15"/>
      <c r="CQ555" s="15"/>
      <c r="CR555" s="15"/>
      <c r="CS555" s="15"/>
      <c r="CT555" s="15"/>
      <c r="CU555" s="15"/>
      <c r="CV555" s="15"/>
      <c r="CW555" s="15"/>
      <c r="CX555" s="15"/>
      <c r="CY555" s="15"/>
      <c r="CZ555" s="15"/>
      <c r="DA555" s="15"/>
      <c r="DB555" s="15">
        <v>0</v>
      </c>
    </row>
    <row r="556" spans="1:106" x14ac:dyDescent="0.25">
      <c r="A556" t="s">
        <v>489</v>
      </c>
      <c r="B556" t="s">
        <v>157</v>
      </c>
      <c r="C556">
        <v>2015</v>
      </c>
      <c r="D556" s="16" t="s">
        <v>118</v>
      </c>
      <c r="E556">
        <v>0</v>
      </c>
      <c r="F556" s="15">
        <v>20</v>
      </c>
      <c r="G556" s="15"/>
      <c r="H556" s="15"/>
      <c r="I556" s="15">
        <v>59</v>
      </c>
      <c r="J556" s="15">
        <v>14</v>
      </c>
      <c r="K556" s="15"/>
      <c r="L556" s="15">
        <f>IF(Table2[[#This Row],[Lipids wt%]]+Table2[[#This Row],[Protein wt%]]+Table2[[#This Row],[Carbs wt%]] =0,"",SUM(Table2[[#This Row],[Lipids wt%]],Table2[[#This Row],[Protein wt%]],Table2[[#This Row],[Carbs wt%]]))</f>
        <v>93</v>
      </c>
      <c r="M556" s="15">
        <f>100-Table2[[#This Row],[Lipids wt%]]-Table2[[#This Row],[Protein wt%]]-Table2[[#This Row],[Carbs wt%]]</f>
        <v>7</v>
      </c>
      <c r="Z556" s="15">
        <v>52.56</v>
      </c>
      <c r="AA556" s="15">
        <v>7.35</v>
      </c>
      <c r="AB556" s="15">
        <f>100-(Table2[[#This Row],[C%]]+Table2[[#This Row],[H%]]+Table2[[#This Row],[N%]]+Table2[[#This Row],[S%]])</f>
        <v>30.939999999999998</v>
      </c>
      <c r="AC556" s="15">
        <v>8.58</v>
      </c>
      <c r="AD556" s="15">
        <v>0.56999999999999995</v>
      </c>
      <c r="AE556" s="15"/>
      <c r="AF556" s="15">
        <f>(33.5*Table2[[#This Row],[C%]]+142.3*Table2[[#This Row],[H%]]-15.4*Table2[[#This Row],[O%]]-14.5*Table2[[#This Row],[N%]])/100</f>
        <v>22.057790000000001</v>
      </c>
      <c r="AG556" s="15">
        <v>4.1000000000000003E-3</v>
      </c>
      <c r="AH556" s="15">
        <v>1.2370000000000001</v>
      </c>
      <c r="AI556" s="15">
        <v>1.403</v>
      </c>
      <c r="AJ556" s="15">
        <v>14.1</v>
      </c>
      <c r="AM556" s="13">
        <v>1.33</v>
      </c>
      <c r="AN556">
        <v>3</v>
      </c>
      <c r="AO556" s="15">
        <f>Table2[[#This Row],[Total time (min)]]-Table2[[#This Row],[Time to reach temp min]]</f>
        <v>7</v>
      </c>
      <c r="AP556" s="15">
        <f>LN(25/Table2[[#This Row],[Temperature (C)]]/(1-SQRT((Table2[[#This Row],[Temperature (C)]]-5)/Table2[[#This Row],[Temperature (C)]])))/Table2[[#This Row],[b]]</f>
        <v>1.7285672018682325</v>
      </c>
      <c r="AQ556" s="15">
        <f>IF(Table2[[#This Row],[b]]&lt;&gt;"",Table2[[#This Row],[T-5]], 0)</f>
        <v>1.7285672018682325</v>
      </c>
      <c r="AR556">
        <v>10</v>
      </c>
      <c r="AT556" t="s">
        <v>503</v>
      </c>
      <c r="AU556">
        <v>350</v>
      </c>
      <c r="AV556" s="15"/>
      <c r="AW556" s="15">
        <v>38.200000000000003</v>
      </c>
      <c r="AX556" s="15">
        <v>6.4</v>
      </c>
      <c r="AY556" s="15"/>
      <c r="AZ556" s="15"/>
      <c r="BA556" s="15"/>
      <c r="BB556" s="15" t="str">
        <f>IF(OR(Table2[[#This Row],[Gas wt%]]&lt;&gt;"",Table2[[#This Row],[Loss]]&lt;&gt;""),Table2[[#This Row],[Gas wt%]]+Table2[[#This Row],[Loss]],"")</f>
        <v/>
      </c>
      <c r="BC556" s="15"/>
      <c r="BD556" s="15"/>
      <c r="BE556" s="15"/>
      <c r="BF556" s="15"/>
      <c r="BG556" s="15"/>
      <c r="BH556" s="15"/>
      <c r="BI556" s="15">
        <v>77.5</v>
      </c>
      <c r="BJ556" s="15">
        <v>10</v>
      </c>
      <c r="BK556" s="15">
        <v>7.08</v>
      </c>
      <c r="BL556" s="15">
        <v>4.8499999999999996</v>
      </c>
      <c r="BM556" s="15">
        <v>0.56000000000000005</v>
      </c>
      <c r="BN556" s="15">
        <v>39.299999999999997</v>
      </c>
      <c r="BO556" s="15"/>
      <c r="BP556" s="15"/>
      <c r="BQ556" s="15">
        <f>Table2[[#This Row],[H% B]]/Table2[[#This Row],[C% B]]*100</f>
        <v>12.903225806451612</v>
      </c>
      <c r="BR556" s="15">
        <v>63</v>
      </c>
      <c r="BS556" s="15">
        <v>8.0399999999999991</v>
      </c>
      <c r="BT556" s="15">
        <v>17.100000000000001</v>
      </c>
      <c r="BU556" s="15">
        <v>11.1</v>
      </c>
      <c r="BV556" s="15">
        <v>0.72</v>
      </c>
      <c r="BW556" s="15">
        <v>29.8</v>
      </c>
      <c r="BX556" s="15"/>
      <c r="BY556" s="15">
        <v>72.599999999999994</v>
      </c>
      <c r="BZ556" s="15">
        <v>8.49</v>
      </c>
      <c r="CA556" s="15">
        <v>12.2</v>
      </c>
      <c r="CB556" s="15">
        <v>6.11</v>
      </c>
      <c r="CC556" s="15">
        <v>0.63</v>
      </c>
      <c r="CD556" s="15">
        <v>34.5</v>
      </c>
      <c r="CE556" s="15"/>
      <c r="CF556" s="15">
        <v>77.5</v>
      </c>
      <c r="CG556" s="15">
        <v>10</v>
      </c>
      <c r="CH556" s="15">
        <v>7.08</v>
      </c>
      <c r="CI556" s="15">
        <v>4.8499999999999996</v>
      </c>
      <c r="CJ556" s="15">
        <v>0.56000000000000005</v>
      </c>
      <c r="CK556" s="15">
        <v>39.299999999999997</v>
      </c>
      <c r="CL556" s="15"/>
      <c r="CM556" s="15">
        <v>63.4</v>
      </c>
      <c r="CN556" s="15">
        <v>8.76</v>
      </c>
      <c r="CO556" s="15">
        <v>17.5</v>
      </c>
      <c r="CP556" s="15">
        <v>10.199999999999999</v>
      </c>
      <c r="CQ556" s="15">
        <v>0.2</v>
      </c>
      <c r="CR556" s="15">
        <v>30.8</v>
      </c>
      <c r="CS556" s="15"/>
      <c r="CT556" s="15"/>
      <c r="CU556" s="15"/>
      <c r="CV556" s="15"/>
      <c r="CW556" s="15"/>
      <c r="CX556" s="15"/>
      <c r="CY556" s="15"/>
      <c r="CZ556" s="15"/>
      <c r="DA556" s="15"/>
      <c r="DB556" s="15">
        <v>0</v>
      </c>
    </row>
    <row r="557" spans="1:106" x14ac:dyDescent="0.25">
      <c r="A557" t="s">
        <v>489</v>
      </c>
      <c r="B557" t="s">
        <v>157</v>
      </c>
      <c r="C557">
        <v>2015</v>
      </c>
      <c r="D557" s="16" t="s">
        <v>118</v>
      </c>
      <c r="E557">
        <v>0</v>
      </c>
      <c r="F557" s="15">
        <v>20</v>
      </c>
      <c r="G557" s="15"/>
      <c r="H557" s="15"/>
      <c r="I557" s="15">
        <v>59</v>
      </c>
      <c r="J557" s="15">
        <v>14</v>
      </c>
      <c r="K557" s="15"/>
      <c r="L557" s="15">
        <f>IF(Table2[[#This Row],[Lipids wt%]]+Table2[[#This Row],[Protein wt%]]+Table2[[#This Row],[Carbs wt%]] =0,"",SUM(Table2[[#This Row],[Lipids wt%]],Table2[[#This Row],[Protein wt%]],Table2[[#This Row],[Carbs wt%]]))</f>
        <v>93</v>
      </c>
      <c r="M557" s="15">
        <f>100-Table2[[#This Row],[Lipids wt%]]-Table2[[#This Row],[Protein wt%]]-Table2[[#This Row],[Carbs wt%]]</f>
        <v>7</v>
      </c>
      <c r="Z557" s="15">
        <v>52.56</v>
      </c>
      <c r="AA557" s="15">
        <v>7.35</v>
      </c>
      <c r="AB557" s="15">
        <f>100-(Table2[[#This Row],[C%]]+Table2[[#This Row],[H%]]+Table2[[#This Row],[N%]]+Table2[[#This Row],[S%]])</f>
        <v>30.939999999999998</v>
      </c>
      <c r="AC557" s="15">
        <v>8.58</v>
      </c>
      <c r="AD557" s="15">
        <v>0.56999999999999995</v>
      </c>
      <c r="AE557" s="15"/>
      <c r="AF557" s="15">
        <f>(33.5*Table2[[#This Row],[C%]]+142.3*Table2[[#This Row],[H%]]-15.4*Table2[[#This Row],[O%]]-14.5*Table2[[#This Row],[N%]])/100</f>
        <v>22.057790000000001</v>
      </c>
      <c r="AG557" s="15">
        <v>4.1000000000000003E-3</v>
      </c>
      <c r="AH557" s="15">
        <v>1.2370000000000001</v>
      </c>
      <c r="AI557" s="15">
        <v>1.403</v>
      </c>
      <c r="AJ557" s="15">
        <v>14.1</v>
      </c>
      <c r="AM557" s="13">
        <v>1.33</v>
      </c>
      <c r="AN557">
        <v>3</v>
      </c>
      <c r="AO557" s="15">
        <f>Table2[[#This Row],[Total time (min)]]-Table2[[#This Row],[Time to reach temp min]]</f>
        <v>27</v>
      </c>
      <c r="AP557" s="15">
        <f>LN(25/Table2[[#This Row],[Temperature (C)]]/(1-SQRT((Table2[[#This Row],[Temperature (C)]]-5)/Table2[[#This Row],[Temperature (C)]])))/Table2[[#This Row],[b]]</f>
        <v>1.7285672018682325</v>
      </c>
      <c r="AQ557" s="15">
        <f>IF(Table2[[#This Row],[b]]&lt;&gt;"",Table2[[#This Row],[T-5]], 0)</f>
        <v>1.7285672018682325</v>
      </c>
      <c r="AR557">
        <v>30</v>
      </c>
      <c r="AT557" t="s">
        <v>503</v>
      </c>
      <c r="AU557">
        <v>350</v>
      </c>
      <c r="AV557" s="15"/>
      <c r="AW557" s="15">
        <v>39.200000000000003</v>
      </c>
      <c r="AX557" s="15">
        <v>4.5</v>
      </c>
      <c r="AY557" s="15"/>
      <c r="AZ557" s="15"/>
      <c r="BA557" s="15"/>
      <c r="BB557" s="15" t="str">
        <f>IF(OR(Table2[[#This Row],[Gas wt%]]&lt;&gt;"",Table2[[#This Row],[Loss]]&lt;&gt;""),Table2[[#This Row],[Gas wt%]]+Table2[[#This Row],[Loss]],"")</f>
        <v/>
      </c>
      <c r="BC557" s="15"/>
      <c r="BD557" s="15"/>
      <c r="BE557" s="15"/>
      <c r="BF557" s="15"/>
      <c r="BG557" s="15"/>
      <c r="BH557" s="15"/>
      <c r="BI557" s="15">
        <v>77.5</v>
      </c>
      <c r="BJ557" s="15">
        <v>10</v>
      </c>
      <c r="BK557" s="15">
        <v>7.36</v>
      </c>
      <c r="BL557" s="15">
        <v>4.5999999999999996</v>
      </c>
      <c r="BM557" s="15">
        <v>0.48</v>
      </c>
      <c r="BN557" s="15">
        <v>39.299999999999997</v>
      </c>
      <c r="BO557" s="15"/>
      <c r="BP557" s="15"/>
      <c r="BQ557" s="15">
        <f>Table2[[#This Row],[H% B]]/Table2[[#This Row],[C% B]]*100</f>
        <v>12.903225806451612</v>
      </c>
      <c r="BR557" s="15">
        <v>63.5</v>
      </c>
      <c r="BS557" s="15">
        <v>7.72</v>
      </c>
      <c r="BT557" s="15">
        <v>18.100000000000001</v>
      </c>
      <c r="BU557" s="15">
        <v>9.52</v>
      </c>
      <c r="BV557" s="15">
        <v>1.18</v>
      </c>
      <c r="BW557" s="15">
        <v>29.4</v>
      </c>
      <c r="BX557" s="15"/>
      <c r="BY557" s="15">
        <v>74.2</v>
      </c>
      <c r="BZ557" s="15">
        <v>8.6</v>
      </c>
      <c r="CA557" s="15">
        <v>10.4</v>
      </c>
      <c r="CB557" s="15">
        <v>6.16</v>
      </c>
      <c r="CC557" s="15">
        <v>0.64</v>
      </c>
      <c r="CD557" s="15">
        <v>35.5</v>
      </c>
      <c r="CE557" s="15"/>
      <c r="CF557" s="15">
        <v>77.5</v>
      </c>
      <c r="CG557" s="15">
        <v>10</v>
      </c>
      <c r="CH557" s="15">
        <v>7.36</v>
      </c>
      <c r="CI557" s="15">
        <v>4.5999999999999996</v>
      </c>
      <c r="CJ557" s="15">
        <v>0.48</v>
      </c>
      <c r="CK557" s="15">
        <v>39.299999999999997</v>
      </c>
      <c r="CL557" s="15"/>
      <c r="CM557" s="15">
        <v>62.6</v>
      </c>
      <c r="CN557" s="15">
        <v>8.7200000000000006</v>
      </c>
      <c r="CO557" s="15">
        <v>17.8</v>
      </c>
      <c r="CP557" s="15">
        <v>10.7</v>
      </c>
      <c r="CQ557" s="15">
        <v>0.1</v>
      </c>
      <c r="CR557" s="15">
        <v>30.4</v>
      </c>
      <c r="CS557" s="15"/>
      <c r="CT557" s="15"/>
      <c r="CU557" s="15"/>
      <c r="CV557" s="15"/>
      <c r="CW557" s="15"/>
      <c r="CX557" s="15"/>
      <c r="CY557" s="15"/>
      <c r="CZ557" s="15"/>
      <c r="DA557" s="15"/>
      <c r="DB557" s="15">
        <v>0</v>
      </c>
    </row>
    <row r="558" spans="1:106" x14ac:dyDescent="0.25">
      <c r="A558" t="s">
        <v>489</v>
      </c>
      <c r="B558" t="s">
        <v>157</v>
      </c>
      <c r="C558">
        <v>2015</v>
      </c>
      <c r="D558" s="16" t="s">
        <v>118</v>
      </c>
      <c r="E558">
        <v>0</v>
      </c>
      <c r="F558" s="15">
        <v>20</v>
      </c>
      <c r="G558" s="15"/>
      <c r="H558" s="15"/>
      <c r="I558" s="15">
        <v>59</v>
      </c>
      <c r="J558" s="15">
        <v>14</v>
      </c>
      <c r="K558" s="15"/>
      <c r="L558" s="15">
        <f>IF(Table2[[#This Row],[Lipids wt%]]+Table2[[#This Row],[Protein wt%]]+Table2[[#This Row],[Carbs wt%]] =0,"",SUM(Table2[[#This Row],[Lipids wt%]],Table2[[#This Row],[Protein wt%]],Table2[[#This Row],[Carbs wt%]]))</f>
        <v>93</v>
      </c>
      <c r="M558" s="15">
        <f>100-Table2[[#This Row],[Lipids wt%]]-Table2[[#This Row],[Protein wt%]]-Table2[[#This Row],[Carbs wt%]]</f>
        <v>7</v>
      </c>
      <c r="Z558" s="15">
        <v>52.56</v>
      </c>
      <c r="AA558" s="15">
        <v>7.35</v>
      </c>
      <c r="AB558" s="15">
        <f>100-(Table2[[#This Row],[C%]]+Table2[[#This Row],[H%]]+Table2[[#This Row],[N%]]+Table2[[#This Row],[S%]])</f>
        <v>30.939999999999998</v>
      </c>
      <c r="AC558" s="15">
        <v>8.58</v>
      </c>
      <c r="AD558" s="15">
        <v>0.56999999999999995</v>
      </c>
      <c r="AE558" s="15"/>
      <c r="AF558" s="15">
        <f>(33.5*Table2[[#This Row],[C%]]+142.3*Table2[[#This Row],[H%]]-15.4*Table2[[#This Row],[O%]]-14.5*Table2[[#This Row],[N%]])/100</f>
        <v>22.057790000000001</v>
      </c>
      <c r="AG558" s="15">
        <v>4.1000000000000003E-3</v>
      </c>
      <c r="AH558" s="15">
        <v>1.2370000000000001</v>
      </c>
      <c r="AI558" s="15">
        <v>1.403</v>
      </c>
      <c r="AJ558" s="15">
        <v>14.1</v>
      </c>
      <c r="AM558" s="13">
        <v>1.33</v>
      </c>
      <c r="AN558">
        <v>3</v>
      </c>
      <c r="AO558" s="15">
        <f>Table2[[#This Row],[Total time (min)]]-Table2[[#This Row],[Time to reach temp min]]</f>
        <v>42</v>
      </c>
      <c r="AP558" s="15">
        <f>LN(25/Table2[[#This Row],[Temperature (C)]]/(1-SQRT((Table2[[#This Row],[Temperature (C)]]-5)/Table2[[#This Row],[Temperature (C)]])))/Table2[[#This Row],[b]]</f>
        <v>1.7285672018682325</v>
      </c>
      <c r="AQ558" s="15">
        <f>IF(Table2[[#This Row],[b]]&lt;&gt;"",Table2[[#This Row],[T-5]], 0)</f>
        <v>1.7285672018682325</v>
      </c>
      <c r="AR558">
        <v>45</v>
      </c>
      <c r="AT558" t="s">
        <v>503</v>
      </c>
      <c r="AU558">
        <v>350</v>
      </c>
      <c r="AV558" s="15"/>
      <c r="AW558" s="15">
        <v>40.1</v>
      </c>
      <c r="AX558" s="15">
        <v>4.5999999999999996</v>
      </c>
      <c r="AY558" s="15"/>
      <c r="AZ558" s="15"/>
      <c r="BA558" s="15"/>
      <c r="BB558" s="15" t="str">
        <f>IF(OR(Table2[[#This Row],[Gas wt%]]&lt;&gt;"",Table2[[#This Row],[Loss]]&lt;&gt;""),Table2[[#This Row],[Gas wt%]]+Table2[[#This Row],[Loss]],"")</f>
        <v/>
      </c>
      <c r="BC558" s="15"/>
      <c r="BD558" s="15"/>
      <c r="BE558" s="15"/>
      <c r="BF558" s="15"/>
      <c r="BG558" s="15"/>
      <c r="BH558" s="15"/>
      <c r="BI558" s="15">
        <v>78.3</v>
      </c>
      <c r="BJ558" s="15">
        <v>10</v>
      </c>
      <c r="BK558" s="15">
        <v>6.64</v>
      </c>
      <c r="BL558" s="15">
        <v>4.54</v>
      </c>
      <c r="BM558" s="15">
        <v>0.48</v>
      </c>
      <c r="BN558" s="15">
        <v>39.6</v>
      </c>
      <c r="BO558" s="15"/>
      <c r="BP558" s="15"/>
      <c r="BQ558" s="15">
        <f>Table2[[#This Row],[H% B]]/Table2[[#This Row],[C% B]]*100</f>
        <v>12.771392081736909</v>
      </c>
      <c r="BR558" s="15">
        <v>63.7</v>
      </c>
      <c r="BS558" s="15">
        <v>7.81</v>
      </c>
      <c r="BT558" s="15">
        <v>17.3</v>
      </c>
      <c r="BU558" s="15">
        <v>9.98</v>
      </c>
      <c r="BV558" s="15">
        <v>1.19</v>
      </c>
      <c r="BW558" s="15">
        <v>29.7</v>
      </c>
      <c r="BX558" s="15"/>
      <c r="BY558" s="15">
        <v>74.5</v>
      </c>
      <c r="BZ558" s="15">
        <v>8.5299999999999994</v>
      </c>
      <c r="CA558" s="15">
        <v>10.5</v>
      </c>
      <c r="CB558" s="15">
        <v>5.86</v>
      </c>
      <c r="CC558" s="15">
        <v>0.57999999999999996</v>
      </c>
      <c r="CD558" s="15">
        <v>35.6</v>
      </c>
      <c r="CE558" s="15"/>
      <c r="CF558" s="15">
        <v>78.3</v>
      </c>
      <c r="CG558" s="15">
        <v>10</v>
      </c>
      <c r="CH558" s="15">
        <v>6.64</v>
      </c>
      <c r="CI558" s="15">
        <v>4.54</v>
      </c>
      <c r="CJ558" s="15">
        <v>0.48</v>
      </c>
      <c r="CK558" s="15">
        <v>39.6</v>
      </c>
      <c r="CL558" s="15"/>
      <c r="CM558" s="15">
        <v>64.400000000000006</v>
      </c>
      <c r="CN558" s="15">
        <v>9.07</v>
      </c>
      <c r="CO558" s="15">
        <v>16.3</v>
      </c>
      <c r="CP558" s="15">
        <v>10</v>
      </c>
      <c r="CQ558" s="15">
        <v>0.2</v>
      </c>
      <c r="CR558" s="15">
        <v>31.8</v>
      </c>
      <c r="CS558" s="15"/>
      <c r="CT558" s="15"/>
      <c r="CU558" s="15"/>
      <c r="CV558" s="15"/>
      <c r="CW558" s="15"/>
      <c r="CX558" s="15"/>
      <c r="CY558" s="15"/>
      <c r="CZ558" s="15"/>
      <c r="DA558" s="15"/>
      <c r="DB558" s="15">
        <v>0</v>
      </c>
    </row>
    <row r="559" spans="1:106" x14ac:dyDescent="0.25">
      <c r="A559" t="s">
        <v>489</v>
      </c>
      <c r="B559" t="s">
        <v>157</v>
      </c>
      <c r="C559">
        <v>2015</v>
      </c>
      <c r="D559" s="16" t="s">
        <v>118</v>
      </c>
      <c r="E559">
        <v>0</v>
      </c>
      <c r="F559" s="15">
        <v>20</v>
      </c>
      <c r="G559" s="15"/>
      <c r="H559" s="15"/>
      <c r="I559" s="15">
        <v>59</v>
      </c>
      <c r="J559" s="15">
        <v>14</v>
      </c>
      <c r="K559" s="15"/>
      <c r="L559" s="15">
        <f>IF(Table2[[#This Row],[Lipids wt%]]+Table2[[#This Row],[Protein wt%]]+Table2[[#This Row],[Carbs wt%]] =0,"",SUM(Table2[[#This Row],[Lipids wt%]],Table2[[#This Row],[Protein wt%]],Table2[[#This Row],[Carbs wt%]]))</f>
        <v>93</v>
      </c>
      <c r="M559" s="15">
        <f>100-Table2[[#This Row],[Lipids wt%]]-Table2[[#This Row],[Protein wt%]]-Table2[[#This Row],[Carbs wt%]]</f>
        <v>7</v>
      </c>
      <c r="Z559" s="15">
        <v>52.56</v>
      </c>
      <c r="AA559" s="15">
        <v>7.35</v>
      </c>
      <c r="AB559" s="15">
        <f>100-(Table2[[#This Row],[C%]]+Table2[[#This Row],[H%]]+Table2[[#This Row],[N%]]+Table2[[#This Row],[S%]])</f>
        <v>30.939999999999998</v>
      </c>
      <c r="AC559" s="15">
        <v>8.58</v>
      </c>
      <c r="AD559" s="15">
        <v>0.56999999999999995</v>
      </c>
      <c r="AE559" s="15"/>
      <c r="AF559" s="15">
        <f>(33.5*Table2[[#This Row],[C%]]+142.3*Table2[[#This Row],[H%]]-15.4*Table2[[#This Row],[O%]]-14.5*Table2[[#This Row],[N%]])/100</f>
        <v>22.057790000000001</v>
      </c>
      <c r="AG559" s="15">
        <v>4.1000000000000003E-3</v>
      </c>
      <c r="AH559" s="15">
        <v>1.2370000000000001</v>
      </c>
      <c r="AI559" s="15">
        <v>1.403</v>
      </c>
      <c r="AJ559" s="15">
        <v>14.1</v>
      </c>
      <c r="AM559" s="13">
        <v>1.33</v>
      </c>
      <c r="AN559">
        <v>3</v>
      </c>
      <c r="AO559" s="15">
        <f>Table2[[#This Row],[Total time (min)]]-Table2[[#This Row],[Time to reach temp min]]</f>
        <v>57</v>
      </c>
      <c r="AP559" s="15">
        <f>LN(25/Table2[[#This Row],[Temperature (C)]]/(1-SQRT((Table2[[#This Row],[Temperature (C)]]-5)/Table2[[#This Row],[Temperature (C)]])))/Table2[[#This Row],[b]]</f>
        <v>1.7285672018682325</v>
      </c>
      <c r="AQ559" s="15">
        <f>IF(Table2[[#This Row],[b]]&lt;&gt;"",Table2[[#This Row],[T-5]], 0)</f>
        <v>1.7285672018682325</v>
      </c>
      <c r="AR559">
        <v>60</v>
      </c>
      <c r="AT559" t="s">
        <v>503</v>
      </c>
      <c r="AU559">
        <v>350</v>
      </c>
      <c r="AV559" s="15"/>
      <c r="AW559" s="15">
        <v>40.5</v>
      </c>
      <c r="AX559" s="15">
        <v>3.6</v>
      </c>
      <c r="AY559" s="15"/>
      <c r="AZ559" s="15"/>
      <c r="BA559" s="15"/>
      <c r="BB559" s="15" t="str">
        <f>IF(OR(Table2[[#This Row],[Gas wt%]]&lt;&gt;"",Table2[[#This Row],[Loss]]&lt;&gt;""),Table2[[#This Row],[Gas wt%]]+Table2[[#This Row],[Loss]],"")</f>
        <v/>
      </c>
      <c r="BC559" s="15"/>
      <c r="BD559" s="15"/>
      <c r="BE559" s="15"/>
      <c r="BF559" s="15"/>
      <c r="BG559" s="15"/>
      <c r="BH559" s="15"/>
      <c r="BI559" s="15">
        <v>78.099999999999994</v>
      </c>
      <c r="BJ559" s="15">
        <v>10</v>
      </c>
      <c r="BK559" s="15">
        <v>6.96</v>
      </c>
      <c r="BL559" s="15">
        <v>4.4800000000000004</v>
      </c>
      <c r="BM559" s="15">
        <v>0.5</v>
      </c>
      <c r="BN559" s="15">
        <v>39.5</v>
      </c>
      <c r="BO559" s="15"/>
      <c r="BP559" s="15"/>
      <c r="BQ559" s="15">
        <f>Table2[[#This Row],[H% B]]/Table2[[#This Row],[C% B]]*100</f>
        <v>12.804097311139564</v>
      </c>
      <c r="BR559" s="15">
        <v>63.8</v>
      </c>
      <c r="BS559" s="15">
        <v>7.62</v>
      </c>
      <c r="BT559" s="15">
        <v>17.600000000000001</v>
      </c>
      <c r="BU559" s="15">
        <v>9.77</v>
      </c>
      <c r="BV559" s="15">
        <v>1.17</v>
      </c>
      <c r="BW559" s="15">
        <v>29.4</v>
      </c>
      <c r="BX559" s="15"/>
      <c r="BY559" s="15">
        <v>75.8</v>
      </c>
      <c r="BZ559" s="15">
        <v>8.66</v>
      </c>
      <c r="CA559" s="15">
        <v>9.09</v>
      </c>
      <c r="CB559" s="15">
        <v>5.91</v>
      </c>
      <c r="CC559" s="15">
        <v>0.52</v>
      </c>
      <c r="CD559" s="15">
        <v>36.4</v>
      </c>
      <c r="CE559" s="15"/>
      <c r="CF559" s="15">
        <v>78.099999999999994</v>
      </c>
      <c r="CG559" s="15">
        <v>10</v>
      </c>
      <c r="CH559" s="15">
        <v>6.96</v>
      </c>
      <c r="CI559" s="15">
        <v>4.4800000000000004</v>
      </c>
      <c r="CJ559" s="15">
        <v>0.5</v>
      </c>
      <c r="CK559" s="15">
        <v>39.5</v>
      </c>
      <c r="CL559" s="15"/>
      <c r="CM559" s="15">
        <v>63.1</v>
      </c>
      <c r="CN559" s="15">
        <v>8.8800000000000008</v>
      </c>
      <c r="CO559" s="15">
        <v>17.5</v>
      </c>
      <c r="CP559" s="15">
        <v>10.4</v>
      </c>
      <c r="CQ559" s="15">
        <v>0.16</v>
      </c>
      <c r="CR559" s="15">
        <v>30.9</v>
      </c>
      <c r="CS559" s="15"/>
      <c r="CT559" s="15"/>
      <c r="CU559" s="15"/>
      <c r="CV559" s="15"/>
      <c r="CW559" s="15"/>
      <c r="CX559" s="15"/>
      <c r="CY559" s="15"/>
      <c r="CZ559" s="15"/>
      <c r="DA559" s="15"/>
      <c r="DB559" s="15">
        <v>0</v>
      </c>
    </row>
    <row r="560" spans="1:106" x14ac:dyDescent="0.25">
      <c r="A560" t="s">
        <v>489</v>
      </c>
      <c r="B560" t="s">
        <v>157</v>
      </c>
      <c r="C560">
        <v>2015</v>
      </c>
      <c r="D560" s="16" t="s">
        <v>118</v>
      </c>
      <c r="E560">
        <v>0</v>
      </c>
      <c r="F560" s="15">
        <v>20</v>
      </c>
      <c r="G560" s="15"/>
      <c r="H560" s="15"/>
      <c r="I560" s="15">
        <v>59</v>
      </c>
      <c r="J560" s="15">
        <v>14</v>
      </c>
      <c r="K560" s="15"/>
      <c r="L560" s="15">
        <f>IF(Table2[[#This Row],[Lipids wt%]]+Table2[[#This Row],[Protein wt%]]+Table2[[#This Row],[Carbs wt%]] =0,"",SUM(Table2[[#This Row],[Lipids wt%]],Table2[[#This Row],[Protein wt%]],Table2[[#This Row],[Carbs wt%]]))</f>
        <v>93</v>
      </c>
      <c r="M560" s="15">
        <f>100-Table2[[#This Row],[Lipids wt%]]-Table2[[#This Row],[Protein wt%]]-Table2[[#This Row],[Carbs wt%]]</f>
        <v>7</v>
      </c>
      <c r="Z560" s="15">
        <v>52.56</v>
      </c>
      <c r="AA560" s="15">
        <v>7.35</v>
      </c>
      <c r="AB560" s="15">
        <f>100-(Table2[[#This Row],[C%]]+Table2[[#This Row],[H%]]+Table2[[#This Row],[N%]]+Table2[[#This Row],[S%]])</f>
        <v>30.939999999999998</v>
      </c>
      <c r="AC560" s="15">
        <v>8.58</v>
      </c>
      <c r="AD560" s="15">
        <v>0.56999999999999995</v>
      </c>
      <c r="AE560" s="15"/>
      <c r="AF560" s="15">
        <f>(33.5*Table2[[#This Row],[C%]]+142.3*Table2[[#This Row],[H%]]-15.4*Table2[[#This Row],[O%]]-14.5*Table2[[#This Row],[N%]])/100</f>
        <v>22.057790000000001</v>
      </c>
      <c r="AG560" s="15">
        <v>4.1000000000000003E-3</v>
      </c>
      <c r="AH560" s="15"/>
      <c r="AI560" s="15"/>
      <c r="AJ560" s="15">
        <v>8.6</v>
      </c>
      <c r="AM560" s="13">
        <v>1.33</v>
      </c>
      <c r="AN560">
        <v>3</v>
      </c>
      <c r="AO560" s="15">
        <f>Table2[[#This Row],[Total time (min)]]-Table2[[#This Row],[Time to reach temp min]]</f>
        <v>17</v>
      </c>
      <c r="AP560" s="15">
        <f>LN(25/Table2[[#This Row],[Temperature (C)]]/(1-SQRT((Table2[[#This Row],[Temperature (C)]]-5)/Table2[[#This Row],[Temperature (C)]])))/Table2[[#This Row],[b]]</f>
        <v>1.7285672018682325</v>
      </c>
      <c r="AQ560" s="15">
        <f>IF(Table2[[#This Row],[b]]&lt;&gt;"",Table2[[#This Row],[T-5]], 0)</f>
        <v>1.7285672018682325</v>
      </c>
      <c r="AR560">
        <v>20</v>
      </c>
      <c r="AT560" t="s">
        <v>503</v>
      </c>
      <c r="AU560">
        <v>350</v>
      </c>
      <c r="AV560" s="15"/>
      <c r="AW560" s="15">
        <v>29.2</v>
      </c>
      <c r="AX560" s="15">
        <v>5.6</v>
      </c>
      <c r="AY560" s="15"/>
      <c r="AZ560" s="15"/>
      <c r="BA560" s="15"/>
      <c r="BB560" s="15" t="str">
        <f>IF(OR(Table2[[#This Row],[Gas wt%]]&lt;&gt;"",Table2[[#This Row],[Loss]]&lt;&gt;""),Table2[[#This Row],[Gas wt%]]+Table2[[#This Row],[Loss]],"")</f>
        <v/>
      </c>
      <c r="BC560" s="15"/>
      <c r="BD560" s="15"/>
      <c r="BE560" s="15"/>
      <c r="BF560" s="15"/>
      <c r="BG560" s="15"/>
      <c r="BH560" s="15"/>
      <c r="BI560" s="15">
        <v>76.8</v>
      </c>
      <c r="BJ560" s="15">
        <v>10</v>
      </c>
      <c r="BK560" s="15">
        <v>8.11</v>
      </c>
      <c r="BL560" s="15">
        <v>4.4400000000000004</v>
      </c>
      <c r="BM560" s="15">
        <v>0.62</v>
      </c>
      <c r="BN560" s="15">
        <v>38.9</v>
      </c>
      <c r="BO560" s="15"/>
      <c r="BP560" s="15"/>
      <c r="BQ560" s="15">
        <f>Table2[[#This Row],[H% B]]/Table2[[#This Row],[C% B]]*100</f>
        <v>13.020833333333334</v>
      </c>
      <c r="BR560" s="15">
        <v>63.1</v>
      </c>
      <c r="BS560" s="15">
        <v>8.0500000000000007</v>
      </c>
      <c r="BT560" s="15">
        <v>17.3</v>
      </c>
      <c r="BU560" s="15">
        <v>10.8</v>
      </c>
      <c r="BV560" s="15">
        <v>0.79</v>
      </c>
      <c r="BW560" s="15">
        <v>29.8</v>
      </c>
      <c r="BX560" s="15"/>
      <c r="BY560" s="15">
        <v>74.5</v>
      </c>
      <c r="BZ560" s="15">
        <v>8.77</v>
      </c>
      <c r="CA560" s="15">
        <v>9.92</v>
      </c>
      <c r="CB560" s="15">
        <v>6.11</v>
      </c>
      <c r="CC560" s="15">
        <v>0.73</v>
      </c>
      <c r="CD560" s="15">
        <v>36</v>
      </c>
      <c r="CE560" s="15"/>
      <c r="CF560" s="15">
        <v>76.8</v>
      </c>
      <c r="CG560" s="15">
        <v>10</v>
      </c>
      <c r="CH560" s="15">
        <v>8.11</v>
      </c>
      <c r="CI560" s="15">
        <v>4.4400000000000004</v>
      </c>
      <c r="CJ560" s="15">
        <v>0.62</v>
      </c>
      <c r="CK560" s="15">
        <v>38.9</v>
      </c>
      <c r="CL560" s="15"/>
      <c r="CM560" s="15">
        <v>63.5</v>
      </c>
      <c r="CN560" s="15">
        <v>8.3800000000000008</v>
      </c>
      <c r="CO560" s="15">
        <v>16.899999999999999</v>
      </c>
      <c r="CP560" s="15">
        <v>10.9</v>
      </c>
      <c r="CQ560" s="15">
        <v>0.28000000000000003</v>
      </c>
      <c r="CR560" s="15">
        <v>30.4</v>
      </c>
      <c r="CS560" s="15"/>
      <c r="CT560" s="15"/>
      <c r="CU560" s="15"/>
      <c r="CV560" s="15"/>
      <c r="CW560" s="15"/>
      <c r="CX560" s="15"/>
      <c r="CY560" s="15"/>
      <c r="CZ560" s="15"/>
      <c r="DA560" s="15"/>
      <c r="DB560" s="15">
        <v>0</v>
      </c>
    </row>
    <row r="561" spans="1:106" x14ac:dyDescent="0.25">
      <c r="A561" t="s">
        <v>489</v>
      </c>
      <c r="B561" t="s">
        <v>157</v>
      </c>
      <c r="C561">
        <v>2015</v>
      </c>
      <c r="D561" s="16" t="s">
        <v>118</v>
      </c>
      <c r="E561">
        <v>0</v>
      </c>
      <c r="F561" s="15">
        <v>20</v>
      </c>
      <c r="G561" s="15"/>
      <c r="H561" s="15"/>
      <c r="I561" s="15">
        <v>59</v>
      </c>
      <c r="J561" s="15">
        <v>14</v>
      </c>
      <c r="K561" s="15"/>
      <c r="L561" s="15">
        <f>IF(Table2[[#This Row],[Lipids wt%]]+Table2[[#This Row],[Protein wt%]]+Table2[[#This Row],[Carbs wt%]] =0,"",SUM(Table2[[#This Row],[Lipids wt%]],Table2[[#This Row],[Protein wt%]],Table2[[#This Row],[Carbs wt%]]))</f>
        <v>93</v>
      </c>
      <c r="M561" s="15">
        <f>100-Table2[[#This Row],[Lipids wt%]]-Table2[[#This Row],[Protein wt%]]-Table2[[#This Row],[Carbs wt%]]</f>
        <v>7</v>
      </c>
      <c r="Z561" s="15">
        <v>52.56</v>
      </c>
      <c r="AA561" s="15">
        <v>7.35</v>
      </c>
      <c r="AB561" s="15">
        <f>100-(Table2[[#This Row],[C%]]+Table2[[#This Row],[H%]]+Table2[[#This Row],[N%]]+Table2[[#This Row],[S%]])</f>
        <v>30.939999999999998</v>
      </c>
      <c r="AC561" s="15">
        <v>8.58</v>
      </c>
      <c r="AD561" s="15">
        <v>0.56999999999999995</v>
      </c>
      <c r="AE561" s="15"/>
      <c r="AF561" s="15">
        <f>(33.5*Table2[[#This Row],[C%]]+142.3*Table2[[#This Row],[H%]]-15.4*Table2[[#This Row],[O%]]-14.5*Table2[[#This Row],[N%]])/100</f>
        <v>22.057790000000001</v>
      </c>
      <c r="AG561" s="15">
        <v>4.1000000000000003E-3</v>
      </c>
      <c r="AH561" s="15"/>
      <c r="AI561" s="15"/>
      <c r="AJ561" s="15">
        <v>11.4</v>
      </c>
      <c r="AM561" s="13">
        <v>1.33</v>
      </c>
      <c r="AN561">
        <v>3</v>
      </c>
      <c r="AO561" s="15">
        <f>Table2[[#This Row],[Total time (min)]]-Table2[[#This Row],[Time to reach temp min]]</f>
        <v>17</v>
      </c>
      <c r="AP561" s="15">
        <f>LN(25/Table2[[#This Row],[Temperature (C)]]/(1-SQRT((Table2[[#This Row],[Temperature (C)]]-5)/Table2[[#This Row],[Temperature (C)]])))/Table2[[#This Row],[b]]</f>
        <v>1.7285672018682325</v>
      </c>
      <c r="AQ561" s="15">
        <f>IF(Table2[[#This Row],[b]]&lt;&gt;"",Table2[[#This Row],[T-5]], 0)</f>
        <v>1.7285672018682325</v>
      </c>
      <c r="AR561">
        <v>20</v>
      </c>
      <c r="AT561" t="s">
        <v>503</v>
      </c>
      <c r="AU561">
        <v>350</v>
      </c>
      <c r="AV561" s="15"/>
      <c r="AW561" s="15">
        <v>38.1</v>
      </c>
      <c r="AX561" s="15">
        <v>6.6</v>
      </c>
      <c r="AY561" s="15"/>
      <c r="AZ561" s="15"/>
      <c r="BA561" s="15"/>
      <c r="BB561" s="15" t="str">
        <f>IF(OR(Table2[[#This Row],[Gas wt%]]&lt;&gt;"",Table2[[#This Row],[Loss]]&lt;&gt;""),Table2[[#This Row],[Gas wt%]]+Table2[[#This Row],[Loss]],"")</f>
        <v/>
      </c>
      <c r="BC561" s="15"/>
      <c r="BD561" s="15"/>
      <c r="BE561" s="15"/>
      <c r="BF561" s="15"/>
      <c r="BG561" s="15"/>
      <c r="BH561" s="15"/>
      <c r="BI561" s="15">
        <v>76.400000000000006</v>
      </c>
      <c r="BJ561" s="15">
        <v>10.1</v>
      </c>
      <c r="BK561" s="15">
        <v>8.33</v>
      </c>
      <c r="BL561" s="15">
        <v>4.6399999999999997</v>
      </c>
      <c r="BM561" s="15">
        <v>0.59</v>
      </c>
      <c r="BN561" s="15">
        <v>38.700000000000003</v>
      </c>
      <c r="BO561" s="15"/>
      <c r="BP561" s="15"/>
      <c r="BQ561" s="15">
        <f>Table2[[#This Row],[H% B]]/Table2[[#This Row],[C% B]]*100</f>
        <v>13.219895287958114</v>
      </c>
      <c r="BR561" s="15">
        <v>61</v>
      </c>
      <c r="BS561" s="15">
        <v>8.25</v>
      </c>
      <c r="BT561" s="15">
        <v>19.600000000000001</v>
      </c>
      <c r="BU561" s="15">
        <v>10.3</v>
      </c>
      <c r="BV561" s="15">
        <v>0.83</v>
      </c>
      <c r="BW561" s="15">
        <v>29</v>
      </c>
      <c r="BX561" s="15"/>
      <c r="BY561" s="15">
        <v>74.7</v>
      </c>
      <c r="BZ561" s="15">
        <v>8.92</v>
      </c>
      <c r="CA561" s="15">
        <v>9.42</v>
      </c>
      <c r="CB561" s="15">
        <v>6.2</v>
      </c>
      <c r="CC561" s="15">
        <v>0.72</v>
      </c>
      <c r="CD561" s="15">
        <v>36.4</v>
      </c>
      <c r="CE561" s="15"/>
      <c r="CF561" s="15">
        <v>76.400000000000006</v>
      </c>
      <c r="CG561" s="15">
        <v>10.1</v>
      </c>
      <c r="CH561" s="15">
        <v>8.33</v>
      </c>
      <c r="CI561" s="15">
        <v>4.6399999999999997</v>
      </c>
      <c r="CJ561" s="15">
        <v>0.59</v>
      </c>
      <c r="CK561" s="15">
        <v>38.700000000000003</v>
      </c>
      <c r="CL561" s="15"/>
      <c r="CM561" s="15">
        <v>63.7</v>
      </c>
      <c r="CN561" s="15">
        <v>8.2799999999999994</v>
      </c>
      <c r="CO561" s="15">
        <v>16.5</v>
      </c>
      <c r="CP561" s="15">
        <v>11.2</v>
      </c>
      <c r="CQ561" s="15">
        <v>0.31</v>
      </c>
      <c r="CR561" s="15">
        <v>30.4</v>
      </c>
      <c r="CS561" s="15"/>
      <c r="CT561" s="15"/>
      <c r="CU561" s="15"/>
      <c r="CV561" s="15"/>
      <c r="CW561" s="15"/>
      <c r="CX561" s="15"/>
      <c r="CY561" s="15"/>
      <c r="CZ561" s="15"/>
      <c r="DA561" s="15"/>
      <c r="DB561" s="15">
        <v>0</v>
      </c>
    </row>
    <row r="562" spans="1:106" x14ac:dyDescent="0.25">
      <c r="A562" t="s">
        <v>489</v>
      </c>
      <c r="B562" t="s">
        <v>157</v>
      </c>
      <c r="C562">
        <v>2015</v>
      </c>
      <c r="D562" s="16" t="s">
        <v>118</v>
      </c>
      <c r="E562">
        <v>0</v>
      </c>
      <c r="F562" s="15">
        <v>20</v>
      </c>
      <c r="G562" s="15"/>
      <c r="H562" s="15"/>
      <c r="I562" s="15">
        <v>59</v>
      </c>
      <c r="J562" s="15">
        <v>14</v>
      </c>
      <c r="K562" s="15"/>
      <c r="L562" s="15">
        <f>IF(Table2[[#This Row],[Lipids wt%]]+Table2[[#This Row],[Protein wt%]]+Table2[[#This Row],[Carbs wt%]] =0,"",SUM(Table2[[#This Row],[Lipids wt%]],Table2[[#This Row],[Protein wt%]],Table2[[#This Row],[Carbs wt%]]))</f>
        <v>93</v>
      </c>
      <c r="M562" s="15">
        <f>100-Table2[[#This Row],[Lipids wt%]]-Table2[[#This Row],[Protein wt%]]-Table2[[#This Row],[Carbs wt%]]</f>
        <v>7</v>
      </c>
      <c r="Z562" s="15">
        <v>52.56</v>
      </c>
      <c r="AA562" s="15">
        <v>7.35</v>
      </c>
      <c r="AB562" s="15">
        <f>100-(Table2[[#This Row],[C%]]+Table2[[#This Row],[H%]]+Table2[[#This Row],[N%]]+Table2[[#This Row],[S%]])</f>
        <v>30.939999999999998</v>
      </c>
      <c r="AC562" s="15">
        <v>8.58</v>
      </c>
      <c r="AD562" s="15">
        <v>0.56999999999999995</v>
      </c>
      <c r="AE562" s="15"/>
      <c r="AF562" s="15">
        <f>(33.5*Table2[[#This Row],[C%]]+142.3*Table2[[#This Row],[H%]]-15.4*Table2[[#This Row],[O%]]-14.5*Table2[[#This Row],[N%]])/100</f>
        <v>22.057790000000001</v>
      </c>
      <c r="AG562" s="15">
        <v>4.1000000000000003E-3</v>
      </c>
      <c r="AH562" s="15"/>
      <c r="AI562" s="15"/>
      <c r="AJ562" s="15">
        <v>16.5</v>
      </c>
      <c r="AM562" s="13">
        <v>1.33</v>
      </c>
      <c r="AN562">
        <v>3</v>
      </c>
      <c r="AO562" s="15">
        <f>Table2[[#This Row],[Total time (min)]]-Table2[[#This Row],[Time to reach temp min]]</f>
        <v>17</v>
      </c>
      <c r="AP562" s="15">
        <f>LN(25/Table2[[#This Row],[Temperature (C)]]/(1-SQRT((Table2[[#This Row],[Temperature (C)]]-5)/Table2[[#This Row],[Temperature (C)]])))/Table2[[#This Row],[b]]</f>
        <v>1.7285672018682325</v>
      </c>
      <c r="AQ562" s="15">
        <f>IF(Table2[[#This Row],[b]]&lt;&gt;"",Table2[[#This Row],[T-5]], 0)</f>
        <v>1.7285672018682325</v>
      </c>
      <c r="AR562">
        <v>20</v>
      </c>
      <c r="AT562" t="s">
        <v>503</v>
      </c>
      <c r="AU562">
        <v>350</v>
      </c>
      <c r="AV562" s="15"/>
      <c r="AW562" s="15">
        <v>41.1</v>
      </c>
      <c r="AX562" s="15">
        <v>3.7</v>
      </c>
      <c r="AY562" s="15"/>
      <c r="AZ562" s="15"/>
      <c r="BA562" s="15"/>
      <c r="BB562" s="15" t="str">
        <f>IF(OR(Table2[[#This Row],[Gas wt%]]&lt;&gt;"",Table2[[#This Row],[Loss]]&lt;&gt;""),Table2[[#This Row],[Gas wt%]]+Table2[[#This Row],[Loss]],"")</f>
        <v/>
      </c>
      <c r="BC562" s="15"/>
      <c r="BD562" s="15"/>
      <c r="BE562" s="15"/>
      <c r="BF562" s="15"/>
      <c r="BG562" s="15"/>
      <c r="BH562" s="15"/>
      <c r="BI562" s="15">
        <v>77.400000000000006</v>
      </c>
      <c r="BJ562" s="15">
        <v>10.3</v>
      </c>
      <c r="BK562" s="15">
        <v>7.22</v>
      </c>
      <c r="BL562" s="15">
        <v>4.6399999999999997</v>
      </c>
      <c r="BM562" s="15">
        <v>0.45</v>
      </c>
      <c r="BN562" s="15">
        <v>39.6</v>
      </c>
      <c r="BO562" s="15"/>
      <c r="BP562" s="15"/>
      <c r="BQ562" s="15">
        <f>Table2[[#This Row],[H% B]]/Table2[[#This Row],[C% B]]*100</f>
        <v>13.307493540051679</v>
      </c>
      <c r="BR562" s="15">
        <v>63.8</v>
      </c>
      <c r="BS562" s="15">
        <v>8.26</v>
      </c>
      <c r="BT562" s="15">
        <v>16.5</v>
      </c>
      <c r="BU562" s="15">
        <v>10.6</v>
      </c>
      <c r="BV562" s="15">
        <v>0.79</v>
      </c>
      <c r="BW562" s="15">
        <v>30.5</v>
      </c>
      <c r="BX562" s="15"/>
      <c r="BY562" s="15">
        <v>76.7</v>
      </c>
      <c r="BZ562" s="15">
        <v>9.1300000000000008</v>
      </c>
      <c r="CA562" s="15">
        <v>7.63</v>
      </c>
      <c r="CB562" s="15">
        <v>6.07</v>
      </c>
      <c r="CC562" s="15">
        <v>0.46</v>
      </c>
      <c r="CD562" s="15">
        <v>37.6</v>
      </c>
      <c r="CE562" s="15"/>
      <c r="CF562" s="15">
        <v>77.400000000000006</v>
      </c>
      <c r="CG562" s="15">
        <v>10.3</v>
      </c>
      <c r="CH562" s="15">
        <v>7.22</v>
      </c>
      <c r="CI562" s="15">
        <v>4.6399999999999997</v>
      </c>
      <c r="CJ562" s="15">
        <v>0.45</v>
      </c>
      <c r="CK562" s="15">
        <v>39.6</v>
      </c>
      <c r="CL562" s="15"/>
      <c r="CM562" s="15">
        <v>68.2</v>
      </c>
      <c r="CN562" s="15">
        <v>8.69</v>
      </c>
      <c r="CO562" s="15">
        <v>12.9</v>
      </c>
      <c r="CP562" s="15">
        <v>9.94</v>
      </c>
      <c r="CQ562" s="15">
        <v>0.32</v>
      </c>
      <c r="CR562" s="15">
        <v>33.200000000000003</v>
      </c>
      <c r="CS562" s="15"/>
      <c r="CT562" s="15"/>
      <c r="CU562" s="15"/>
      <c r="CV562" s="15"/>
      <c r="CW562" s="15"/>
      <c r="CX562" s="15"/>
      <c r="CY562" s="15"/>
      <c r="CZ562" s="15"/>
      <c r="DA562" s="15"/>
      <c r="DB562" s="15">
        <v>0</v>
      </c>
    </row>
    <row r="563" spans="1:106" x14ac:dyDescent="0.25">
      <c r="A563" t="s">
        <v>489</v>
      </c>
      <c r="B563" t="s">
        <v>157</v>
      </c>
      <c r="C563">
        <v>2015</v>
      </c>
      <c r="D563" s="16" t="s">
        <v>118</v>
      </c>
      <c r="E563">
        <v>0</v>
      </c>
      <c r="F563" s="15">
        <v>20</v>
      </c>
      <c r="G563" s="15"/>
      <c r="H563" s="15"/>
      <c r="I563" s="15">
        <v>59</v>
      </c>
      <c r="J563" s="15">
        <v>14</v>
      </c>
      <c r="K563" s="15"/>
      <c r="L563" s="15">
        <f>IF(Table2[[#This Row],[Lipids wt%]]+Table2[[#This Row],[Protein wt%]]+Table2[[#This Row],[Carbs wt%]] =0,"",SUM(Table2[[#This Row],[Lipids wt%]],Table2[[#This Row],[Protein wt%]],Table2[[#This Row],[Carbs wt%]]))</f>
        <v>93</v>
      </c>
      <c r="M563" s="15">
        <f>100-Table2[[#This Row],[Lipids wt%]]-Table2[[#This Row],[Protein wt%]]-Table2[[#This Row],[Carbs wt%]]</f>
        <v>7</v>
      </c>
      <c r="Z563" s="15">
        <v>52.56</v>
      </c>
      <c r="AA563" s="15">
        <v>7.35</v>
      </c>
      <c r="AB563" s="15">
        <f>100-(Table2[[#This Row],[C%]]+Table2[[#This Row],[H%]]+Table2[[#This Row],[N%]]+Table2[[#This Row],[S%]])</f>
        <v>30.939999999999998</v>
      </c>
      <c r="AC563" s="15">
        <v>8.58</v>
      </c>
      <c r="AD563" s="15">
        <v>0.56999999999999995</v>
      </c>
      <c r="AE563" s="15"/>
      <c r="AF563" s="15">
        <f>(33.5*Table2[[#This Row],[C%]]+142.3*Table2[[#This Row],[H%]]-15.4*Table2[[#This Row],[O%]]-14.5*Table2[[#This Row],[N%]])/100</f>
        <v>22.057790000000001</v>
      </c>
      <c r="AG563" s="15">
        <v>4.1000000000000003E-3</v>
      </c>
      <c r="AH563" s="15"/>
      <c r="AI563" s="15"/>
      <c r="AJ563" s="15">
        <v>18.7</v>
      </c>
      <c r="AM563" s="13">
        <v>1.33</v>
      </c>
      <c r="AN563">
        <v>3</v>
      </c>
      <c r="AO563" s="15">
        <f>Table2[[#This Row],[Total time (min)]]-Table2[[#This Row],[Time to reach temp min]]</f>
        <v>17</v>
      </c>
      <c r="AP563" s="15">
        <f>LN(25/Table2[[#This Row],[Temperature (C)]]/(1-SQRT((Table2[[#This Row],[Temperature (C)]]-5)/Table2[[#This Row],[Temperature (C)]])))/Table2[[#This Row],[b]]</f>
        <v>1.7285672018682325</v>
      </c>
      <c r="AQ563" s="15">
        <f>IF(Table2[[#This Row],[b]]&lt;&gt;"",Table2[[#This Row],[T-5]], 0)</f>
        <v>1.7285672018682325</v>
      </c>
      <c r="AR563">
        <v>20</v>
      </c>
      <c r="AT563" t="s">
        <v>503</v>
      </c>
      <c r="AU563">
        <v>350</v>
      </c>
      <c r="AV563" s="15"/>
      <c r="AW563" s="15">
        <v>44</v>
      </c>
      <c r="AX563" s="15">
        <v>3</v>
      </c>
      <c r="AY563" s="15"/>
      <c r="AZ563" s="15"/>
      <c r="BA563" s="15"/>
      <c r="BB563" s="15" t="str">
        <f>IF(OR(Table2[[#This Row],[Gas wt%]]&lt;&gt;"",Table2[[#This Row],[Loss]]&lt;&gt;""),Table2[[#This Row],[Gas wt%]]+Table2[[#This Row],[Loss]],"")</f>
        <v/>
      </c>
      <c r="BC563" s="15"/>
      <c r="BD563" s="15"/>
      <c r="BE563" s="15"/>
      <c r="BF563" s="15"/>
      <c r="BG563" s="15"/>
      <c r="BH563" s="15"/>
      <c r="BI563" s="15">
        <v>77.7</v>
      </c>
      <c r="BJ563" s="15">
        <v>10.199999999999999</v>
      </c>
      <c r="BK563" s="15">
        <v>6.9</v>
      </c>
      <c r="BL563" s="15">
        <v>4.8099999999999996</v>
      </c>
      <c r="BM563" s="15">
        <v>0.39</v>
      </c>
      <c r="BN563" s="15">
        <v>39.6</v>
      </c>
      <c r="BO563" s="15"/>
      <c r="BP563" s="15"/>
      <c r="BQ563" s="15">
        <f>Table2[[#This Row],[H% B]]/Table2[[#This Row],[C% B]]*100</f>
        <v>13.127413127413126</v>
      </c>
      <c r="BR563" s="15">
        <v>63.2</v>
      </c>
      <c r="BS563" s="15">
        <v>8.19</v>
      </c>
      <c r="BT563" s="15">
        <v>17.399999999999999</v>
      </c>
      <c r="BU563" s="15">
        <v>10.3</v>
      </c>
      <c r="BV563" s="15">
        <v>0.91</v>
      </c>
      <c r="BW563" s="15">
        <v>30</v>
      </c>
      <c r="BX563" s="15"/>
      <c r="BY563" s="15">
        <v>76.900000000000006</v>
      </c>
      <c r="BZ563" s="15">
        <v>9.0399999999999991</v>
      </c>
      <c r="CA563" s="15">
        <v>7.76</v>
      </c>
      <c r="CB563" s="15">
        <v>5.91</v>
      </c>
      <c r="CC563" s="15">
        <v>0.37</v>
      </c>
      <c r="CD563" s="15">
        <v>37.6</v>
      </c>
      <c r="CE563" s="15"/>
      <c r="CF563" s="15">
        <v>77.7</v>
      </c>
      <c r="CG563" s="15">
        <v>10.199999999999999</v>
      </c>
      <c r="CH563" s="15">
        <v>6.9</v>
      </c>
      <c r="CI563" s="15">
        <v>4.8099999999999996</v>
      </c>
      <c r="CJ563" s="15">
        <v>0.39</v>
      </c>
      <c r="CK563" s="15">
        <v>39.6</v>
      </c>
      <c r="CL563" s="15"/>
      <c r="CM563" s="15">
        <v>65.2</v>
      </c>
      <c r="CN563" s="15">
        <v>8.74</v>
      </c>
      <c r="CO563" s="15">
        <v>15</v>
      </c>
      <c r="CP563" s="15">
        <v>10.8</v>
      </c>
      <c r="CQ563" s="15">
        <v>0.34</v>
      </c>
      <c r="CR563" s="15">
        <v>31.9</v>
      </c>
      <c r="CS563" s="15"/>
      <c r="CT563" s="15"/>
      <c r="CU563" s="15"/>
      <c r="CV563" s="15"/>
      <c r="CW563" s="15"/>
      <c r="CX563" s="15"/>
      <c r="CY563" s="15"/>
      <c r="CZ563" s="15"/>
      <c r="DA563" s="15"/>
      <c r="DB563" s="15">
        <v>0</v>
      </c>
    </row>
  </sheetData>
  <phoneticPr fontId="2" type="noConversion"/>
  <conditionalFormatting sqref="AS2">
    <cfRule type="cellIs" priority="9" operator="lessThanOrEqual">
      <formula>0</formula>
    </cfRule>
  </conditionalFormatting>
  <conditionalFormatting sqref="AU2 BA2:BB2">
    <cfRule type="cellIs" priority="10" operator="lessThanOrEqual">
      <formula>0</formula>
    </cfRule>
  </conditionalFormatting>
  <conditionalFormatting sqref="AV2:AZ2">
    <cfRule type="cellIs" priority="8" operator="lessThanOrEqual">
      <formula>0</formula>
    </cfRule>
  </conditionalFormatting>
  <conditionalFormatting sqref="BD2:BE2">
    <cfRule type="cellIs" priority="6" operator="lessThanOrEqual">
      <formula>0</formula>
    </cfRule>
  </conditionalFormatting>
  <conditionalFormatting sqref="BI2:BN2">
    <cfRule type="cellIs" priority="5" operator="lessThanOrEqual">
      <formula>0</formula>
    </cfRule>
  </conditionalFormatting>
  <conditionalFormatting sqref="BO2">
    <cfRule type="cellIs" priority="4" operator="lessThanOrEqual">
      <formula>0</formula>
    </cfRule>
  </conditionalFormatting>
  <conditionalFormatting sqref="BP2:BQ2">
    <cfRule type="cellIs" priority="3" operator="lessThanOrEqual">
      <formula>0</formula>
    </cfRule>
  </conditionalFormatting>
  <conditionalFormatting sqref="BR2:BW2">
    <cfRule type="cellIs" priority="2" operator="lessThanOrEqual">
      <formula>0</formula>
    </cfRule>
  </conditionalFormatting>
  <conditionalFormatting sqref="CF2:CK2">
    <cfRule type="cellIs" priority="1" operator="lessThanOrEqual">
      <formula>0</formula>
    </cfRule>
  </conditionalFormatting>
  <hyperlinks>
    <hyperlink ref="A3" r:id="rId1" xr:uid="{B9DB24E8-0D00-43B5-8DE7-3FF7D4BD6115}"/>
    <hyperlink ref="A4" r:id="rId2" xr:uid="{C7F8CAF0-CF1E-4CB4-9024-503663665E48}"/>
    <hyperlink ref="A6" r:id="rId3" xr:uid="{B3B4A761-1093-49BC-8E01-11CE345F00F4}"/>
    <hyperlink ref="A8" r:id="rId4" xr:uid="{70908ADB-4E5D-41FA-9CE8-111F4BF816DA}"/>
    <hyperlink ref="A14" r:id="rId5" xr:uid="{24C62090-39AF-4F49-A93F-139CF905C666}"/>
    <hyperlink ref="A22" r:id="rId6" xr:uid="{EF7652E6-2FF0-4881-8E11-3A8DA9800346}"/>
    <hyperlink ref="A44" r:id="rId7" xr:uid="{FB4EFD05-F8C2-4BBF-8672-77A3BA5EF499}"/>
    <hyperlink ref="A237" r:id="rId8" xr:uid="{3E7072EC-2FAB-4D3A-B79E-D30A6180382A}"/>
    <hyperlink ref="A279" r:id="rId9" xr:uid="{9020EAC0-7F37-4F8A-A163-1AEE7C935A92}"/>
    <hyperlink ref="A479" r:id="rId10" xr:uid="{3EBC39A5-C4D7-4279-9601-476C71091441}"/>
    <hyperlink ref="A11" r:id="rId11" xr:uid="{5E31DD0E-0A7C-41D8-9E11-7B035EBC6063}"/>
    <hyperlink ref="A232" r:id="rId12" xr:uid="{61E1491F-3340-43B9-808F-61812FE95B0B}"/>
    <hyperlink ref="A386" r:id="rId13" xr:uid="{85231400-9A7D-46FB-A3DD-349338AF0526}"/>
  </hyperlinks>
  <pageMargins left="0.7" right="0.7" top="0.75" bottom="0.75" header="0.3" footer="0.3"/>
  <pageSetup orientation="portrait" horizontalDpi="1200" verticalDpi="1200" r:id="rId14"/>
  <tableParts count="1">
    <tablePart r:id="rId1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0D450-9B01-4D89-B722-01397C56EA83}">
  <dimension ref="A1:CV796"/>
  <sheetViews>
    <sheetView tabSelected="1" topLeftCell="AJ1" zoomScaleNormal="100" workbookViewId="0">
      <selection activeCell="AU3" sqref="AU3"/>
    </sheetView>
  </sheetViews>
  <sheetFormatPr defaultRowHeight="15" x14ac:dyDescent="0.25"/>
  <cols>
    <col min="4" max="4" width="36.42578125" bestFit="1" customWidth="1"/>
    <col min="5" max="5" width="36.42578125" customWidth="1"/>
    <col min="6" max="6" width="12.5703125" style="13" bestFit="1" customWidth="1"/>
    <col min="7" max="7" width="16.140625" style="13" bestFit="1" customWidth="1"/>
    <col min="8" max="8" width="16.140625" style="13" customWidth="1"/>
    <col min="9" max="9" width="13.85546875" style="13" customWidth="1"/>
    <col min="10" max="10" width="14.5703125" style="13" customWidth="1"/>
    <col min="11" max="14" width="9.28515625" style="13" bestFit="1" customWidth="1"/>
    <col min="15" max="15" width="12" style="13" customWidth="1"/>
    <col min="16" max="16" width="13" style="13" bestFit="1" customWidth="1"/>
    <col min="17" max="18" width="9.28515625" style="13" bestFit="1" customWidth="1"/>
    <col min="19" max="19" width="15.5703125" style="13" bestFit="1" customWidth="1"/>
    <col min="20" max="20" width="15.42578125" style="13" bestFit="1" customWidth="1"/>
    <col min="21" max="21" width="21.5703125" style="13" bestFit="1" customWidth="1"/>
    <col min="22" max="22" width="16.5703125" style="13" bestFit="1" customWidth="1"/>
    <col min="23" max="25" width="9.28515625" style="13" bestFit="1" customWidth="1"/>
    <col min="26" max="27" width="9.140625" style="13"/>
    <col min="28" max="32" width="9.28515625" style="13" bestFit="1" customWidth="1"/>
    <col min="33" max="33" width="14.85546875" style="13" bestFit="1" customWidth="1"/>
    <col min="34" max="34" width="14.7109375" style="13" bestFit="1" customWidth="1"/>
    <col min="35" max="35" width="16.5703125" style="13" customWidth="1"/>
    <col min="36" max="36" width="13.140625" style="13" customWidth="1"/>
    <col min="37" max="37" width="9.28515625" style="13" bestFit="1" customWidth="1"/>
    <col min="38" max="38" width="20.42578125" style="13" bestFit="1" customWidth="1"/>
    <col min="39" max="39" width="9.28515625" style="13" bestFit="1" customWidth="1"/>
    <col min="40" max="40" width="24.85546875" style="13" bestFit="1" customWidth="1"/>
    <col min="41" max="43" width="9.28515625" style="13" bestFit="1" customWidth="1"/>
    <col min="44" max="44" width="20.7109375" style="13" bestFit="1" customWidth="1"/>
    <col min="45" max="47" width="9.28515625" style="13" bestFit="1" customWidth="1"/>
    <col min="48" max="48" width="18.140625" style="13" bestFit="1" customWidth="1"/>
    <col min="49" max="50" width="9.28515625" style="13" bestFit="1" customWidth="1"/>
    <col min="51" max="51" width="9.28515625" style="13" customWidth="1"/>
    <col min="52" max="90" width="9.28515625" style="13" bestFit="1" customWidth="1"/>
    <col min="91" max="91" width="9.5703125" style="13" bestFit="1" customWidth="1"/>
    <col min="92" max="97" width="9.28515625" style="13" bestFit="1" customWidth="1"/>
    <col min="98" max="98" width="9.140625" style="13"/>
    <col min="99" max="100" width="9.28515625" style="13" bestFit="1" customWidth="1"/>
    <col min="101" max="16384" width="9.140625" style="13"/>
  </cols>
  <sheetData>
    <row r="1" spans="1:100" x14ac:dyDescent="0.25">
      <c r="D1" t="s">
        <v>0</v>
      </c>
      <c r="BG1" s="13" t="s">
        <v>1</v>
      </c>
      <c r="BR1" s="13" t="s">
        <v>104</v>
      </c>
      <c r="BV1" s="13" t="s">
        <v>111</v>
      </c>
      <c r="CB1" s="13" t="s">
        <v>2</v>
      </c>
      <c r="CK1" s="13" t="s">
        <v>55</v>
      </c>
    </row>
    <row r="2" spans="1:100" x14ac:dyDescent="0.25">
      <c r="A2" t="s">
        <v>4</v>
      </c>
      <c r="B2" t="s">
        <v>145</v>
      </c>
      <c r="C2" t="s">
        <v>153</v>
      </c>
      <c r="D2" t="s">
        <v>3</v>
      </c>
      <c r="E2" t="s">
        <v>498</v>
      </c>
      <c r="F2" s="13" t="s">
        <v>5</v>
      </c>
      <c r="G2" s="13" t="s">
        <v>500</v>
      </c>
      <c r="H2" s="13" t="s">
        <v>502</v>
      </c>
      <c r="I2" s="13" t="s">
        <v>73</v>
      </c>
      <c r="J2" s="13" t="s">
        <v>74</v>
      </c>
      <c r="K2" s="13" t="s">
        <v>6</v>
      </c>
      <c r="L2" s="13" t="s">
        <v>7</v>
      </c>
      <c r="M2" s="13" t="s">
        <v>39</v>
      </c>
      <c r="N2" s="13" t="s">
        <v>8</v>
      </c>
      <c r="O2" s="13" t="s">
        <v>499</v>
      </c>
      <c r="P2" s="13" t="s">
        <v>125</v>
      </c>
      <c r="Q2" s="13" t="s">
        <v>75</v>
      </c>
      <c r="R2" s="13" t="s">
        <v>135</v>
      </c>
      <c r="S2" s="13" t="s">
        <v>33</v>
      </c>
      <c r="T2" s="13" t="s">
        <v>82</v>
      </c>
      <c r="U2" s="13" t="s">
        <v>37</v>
      </c>
      <c r="V2" s="13" t="s">
        <v>40</v>
      </c>
      <c r="W2" s="13" t="s">
        <v>195</v>
      </c>
      <c r="X2" s="13" t="s">
        <v>196</v>
      </c>
      <c r="Y2" s="13" t="s">
        <v>197</v>
      </c>
      <c r="Z2" s="13" t="s">
        <v>198</v>
      </c>
      <c r="AA2" s="13" t="s">
        <v>199</v>
      </c>
      <c r="AB2" s="13" t="s">
        <v>9</v>
      </c>
      <c r="AC2" s="13" t="s">
        <v>10</v>
      </c>
      <c r="AD2" s="13" t="s">
        <v>11</v>
      </c>
      <c r="AE2" s="13" t="s">
        <v>12</v>
      </c>
      <c r="AF2" s="13" t="s">
        <v>13</v>
      </c>
      <c r="AG2" s="13" t="s">
        <v>193</v>
      </c>
      <c r="AH2" s="13" t="s">
        <v>41</v>
      </c>
      <c r="AI2" s="13" t="s">
        <v>16</v>
      </c>
      <c r="AJ2" s="13" t="s">
        <v>143</v>
      </c>
      <c r="AK2" s="13" t="s">
        <v>144</v>
      </c>
      <c r="AL2" s="13" t="s">
        <v>14</v>
      </c>
      <c r="AM2" s="13" t="s">
        <v>459</v>
      </c>
      <c r="AN2" s="13" t="s">
        <v>460</v>
      </c>
      <c r="AO2" s="13" t="s">
        <v>194</v>
      </c>
      <c r="AP2" s="13" t="s">
        <v>490</v>
      </c>
      <c r="AQ2" s="13" t="s">
        <v>491</v>
      </c>
      <c r="AR2" s="13" t="s">
        <v>15</v>
      </c>
      <c r="AS2" s="13" t="s">
        <v>257</v>
      </c>
      <c r="AT2" s="13" t="s">
        <v>494</v>
      </c>
      <c r="AU2" s="13" t="s">
        <v>495</v>
      </c>
      <c r="AV2" s="13" t="s">
        <v>259</v>
      </c>
      <c r="AW2" s="13" t="s">
        <v>501</v>
      </c>
      <c r="AX2" s="13" t="s">
        <v>76</v>
      </c>
      <c r="AY2" s="13" t="s">
        <v>505</v>
      </c>
      <c r="AZ2" s="13" t="s">
        <v>17</v>
      </c>
      <c r="BA2" s="13" t="s">
        <v>18</v>
      </c>
      <c r="BB2" s="13" t="s">
        <v>19</v>
      </c>
      <c r="BC2" s="13" t="s">
        <v>20</v>
      </c>
      <c r="BD2" s="13" t="s">
        <v>126</v>
      </c>
      <c r="BE2" s="13" t="s">
        <v>493</v>
      </c>
      <c r="BF2" s="13" t="s">
        <v>102</v>
      </c>
      <c r="BG2" s="13" t="s">
        <v>103</v>
      </c>
      <c r="BH2" s="13" t="s">
        <v>89</v>
      </c>
      <c r="BI2" s="13" t="s">
        <v>21</v>
      </c>
      <c r="BJ2" s="13" t="s">
        <v>22</v>
      </c>
      <c r="BK2" s="13" t="s">
        <v>23</v>
      </c>
      <c r="BL2" s="13" t="s">
        <v>24</v>
      </c>
      <c r="BM2" s="13" t="s">
        <v>25</v>
      </c>
      <c r="BN2" s="13" t="s">
        <v>26</v>
      </c>
      <c r="BO2" s="13" t="s">
        <v>90</v>
      </c>
      <c r="BP2" s="13" t="s">
        <v>122</v>
      </c>
      <c r="BQ2" s="13" t="s">
        <v>496</v>
      </c>
      <c r="BR2" s="13" t="s">
        <v>105</v>
      </c>
      <c r="BS2" s="13" t="s">
        <v>106</v>
      </c>
      <c r="BT2" s="13" t="s">
        <v>107</v>
      </c>
      <c r="BU2" s="13" t="s">
        <v>108</v>
      </c>
      <c r="BV2" s="13" t="s">
        <v>109</v>
      </c>
      <c r="BW2" s="13" t="s">
        <v>110</v>
      </c>
      <c r="BX2" s="13" t="s">
        <v>112</v>
      </c>
      <c r="BY2" s="13" t="s">
        <v>113</v>
      </c>
      <c r="BZ2" s="13" t="s">
        <v>114</v>
      </c>
      <c r="CA2" s="13" t="s">
        <v>115</v>
      </c>
      <c r="CB2" s="13" t="s">
        <v>116</v>
      </c>
      <c r="CC2" s="13" t="s">
        <v>117</v>
      </c>
      <c r="CD2" s="13" t="s">
        <v>27</v>
      </c>
      <c r="CE2" s="13" t="s">
        <v>28</v>
      </c>
      <c r="CF2" s="13" t="s">
        <v>29</v>
      </c>
      <c r="CG2" s="13" t="s">
        <v>30</v>
      </c>
      <c r="CH2" s="13" t="s">
        <v>31</v>
      </c>
      <c r="CI2" s="13" t="s">
        <v>32</v>
      </c>
      <c r="CJ2" s="13" t="s">
        <v>127</v>
      </c>
      <c r="CK2" s="13" t="s">
        <v>128</v>
      </c>
      <c r="CL2" s="13" t="s">
        <v>172</v>
      </c>
      <c r="CM2" s="13" t="s">
        <v>68</v>
      </c>
      <c r="CN2" s="13" t="s">
        <v>69</v>
      </c>
      <c r="CO2" s="13" t="s">
        <v>240</v>
      </c>
      <c r="CP2" s="13" t="s">
        <v>83</v>
      </c>
      <c r="CQ2" s="13" t="s">
        <v>84</v>
      </c>
      <c r="CR2" s="13" t="s">
        <v>85</v>
      </c>
      <c r="CS2" s="13" t="s">
        <v>86</v>
      </c>
      <c r="CT2" s="13" t="s">
        <v>87</v>
      </c>
      <c r="CU2" s="13" t="s">
        <v>88</v>
      </c>
      <c r="CV2" s="13" t="s">
        <v>492</v>
      </c>
    </row>
    <row r="3" spans="1:100" x14ac:dyDescent="0.25">
      <c r="A3" t="s">
        <v>34</v>
      </c>
      <c r="B3" t="s">
        <v>146</v>
      </c>
      <c r="C3">
        <v>2011</v>
      </c>
      <c r="D3" t="s">
        <v>36</v>
      </c>
      <c r="E3">
        <v>1</v>
      </c>
      <c r="F3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37</v>
      </c>
      <c r="G3" s="13">
        <v>37</v>
      </c>
      <c r="K3" s="13">
        <v>25</v>
      </c>
      <c r="L3" s="13">
        <v>22</v>
      </c>
      <c r="M3" s="13">
        <v>3</v>
      </c>
      <c r="N3" s="13">
        <v>16</v>
      </c>
      <c r="O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87</v>
      </c>
      <c r="U3" s="13">
        <v>44</v>
      </c>
      <c r="V3" s="13">
        <v>14</v>
      </c>
      <c r="AI3" s="13">
        <v>2</v>
      </c>
      <c r="AL3" s="13">
        <v>20</v>
      </c>
      <c r="AR3" s="13" t="s">
        <v>70</v>
      </c>
      <c r="AS3" s="13">
        <v>30</v>
      </c>
      <c r="AT3" s="13" t="e">
        <f>LN(25/Table26[[#This Row],[Temperature (C)]]/(1-SQRT((Table26[[#This Row],[Temperature (C)]]-5)/Table26[[#This Row],[Temperature (C)]])))/Table26[[#This Row],[b]]</f>
        <v>#DIV/0!</v>
      </c>
      <c r="AU3" s="13">
        <f>IF(Table26[[#This Row],[b]]&lt;&gt;"",Table26[[#This Row],[T-5]], 0)</f>
        <v>0</v>
      </c>
      <c r="AV3" s="13">
        <f>Table26[[#This Row],[Holding Time (min)]]+Table26[[#This Row],[Heating time]]</f>
        <v>30</v>
      </c>
      <c r="AW3" s="13">
        <v>300</v>
      </c>
      <c r="AY3" t="s">
        <v>503</v>
      </c>
      <c r="BA3" s="13">
        <v>30.2</v>
      </c>
      <c r="BE3" s="13" t="s">
        <v>506</v>
      </c>
      <c r="BI3" s="13">
        <v>71.2</v>
      </c>
      <c r="BJ3" s="13">
        <v>9.5</v>
      </c>
      <c r="BK3" s="13">
        <v>3.7</v>
      </c>
      <c r="BL3" s="13">
        <v>15.6</v>
      </c>
      <c r="BM3" s="13">
        <v>0.12</v>
      </c>
      <c r="BN3" s="13">
        <v>34.700000000000003</v>
      </c>
      <c r="BQ3" s="13">
        <v>13.342696629213483</v>
      </c>
      <c r="CV3" s="13">
        <v>0</v>
      </c>
    </row>
    <row r="4" spans="1:100" x14ac:dyDescent="0.25">
      <c r="A4" t="s">
        <v>34</v>
      </c>
      <c r="B4" t="s">
        <v>146</v>
      </c>
      <c r="C4">
        <v>2011</v>
      </c>
      <c r="D4" t="s">
        <v>38</v>
      </c>
      <c r="E4">
        <v>1</v>
      </c>
      <c r="F4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54</v>
      </c>
      <c r="G4" s="13">
        <v>54</v>
      </c>
      <c r="K4" s="13">
        <v>42</v>
      </c>
      <c r="L4" s="13">
        <v>1</v>
      </c>
      <c r="M4" s="13">
        <v>10</v>
      </c>
      <c r="N4" s="13">
        <v>31</v>
      </c>
      <c r="O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107</v>
      </c>
      <c r="U4" s="13">
        <v>51</v>
      </c>
      <c r="V4" s="13">
        <v>36</v>
      </c>
      <c r="AI4" s="13">
        <v>2</v>
      </c>
      <c r="AL4" s="13">
        <v>20</v>
      </c>
      <c r="AR4" s="13" t="s">
        <v>70</v>
      </c>
      <c r="AS4" s="13">
        <v>30</v>
      </c>
      <c r="AT4" s="13" t="e">
        <f>LN(25/Table26[[#This Row],[Temperature (C)]]/(1-SQRT((Table26[[#This Row],[Temperature (C)]]-5)/Table26[[#This Row],[Temperature (C)]])))/Table26[[#This Row],[b]]</f>
        <v>#DIV/0!</v>
      </c>
      <c r="AU4" s="13">
        <f>IF(Table26[[#This Row],[b]]&lt;&gt;"",Table26[[#This Row],[T-5]], 0)</f>
        <v>0</v>
      </c>
      <c r="AV4" s="13">
        <f>Table26[[#This Row],[Holding Time (min)]]+Table26[[#This Row],[Heating time]]</f>
        <v>30</v>
      </c>
      <c r="AW4" s="13">
        <v>300</v>
      </c>
      <c r="AY4" t="s">
        <v>503</v>
      </c>
      <c r="BA4" s="13">
        <v>9.4</v>
      </c>
      <c r="BE4" s="13" t="s">
        <v>506</v>
      </c>
      <c r="BI4" s="13">
        <v>66.599999999999994</v>
      </c>
      <c r="BJ4" s="13">
        <v>9.1999999999999993</v>
      </c>
      <c r="BK4" s="13">
        <v>4.3</v>
      </c>
      <c r="BL4" s="13">
        <v>18.899999999999999</v>
      </c>
      <c r="BM4" s="13">
        <v>0.97</v>
      </c>
      <c r="BN4" s="13">
        <v>32</v>
      </c>
      <c r="BQ4" s="13">
        <v>13.813813813813812</v>
      </c>
      <c r="CV4" s="13">
        <v>0</v>
      </c>
    </row>
    <row r="5" spans="1:100" x14ac:dyDescent="0.25">
      <c r="A5" s="1" t="s">
        <v>71</v>
      </c>
      <c r="B5" t="s">
        <v>159</v>
      </c>
      <c r="C5">
        <v>2016</v>
      </c>
      <c r="D5" t="s">
        <v>72</v>
      </c>
      <c r="E5">
        <v>0</v>
      </c>
      <c r="F5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66.78</v>
      </c>
      <c r="I5" s="13">
        <v>47.14</v>
      </c>
      <c r="J5" s="13">
        <v>19.64</v>
      </c>
      <c r="M5" s="13">
        <v>22.11</v>
      </c>
      <c r="N5" s="13">
        <v>0.46</v>
      </c>
      <c r="O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88.89</v>
      </c>
      <c r="Q5" s="13">
        <v>6.63</v>
      </c>
      <c r="AB5" s="13">
        <v>50.39</v>
      </c>
      <c r="AC5" s="13">
        <v>6.19</v>
      </c>
      <c r="AD5" s="13">
        <v>43.23</v>
      </c>
      <c r="AE5" s="13">
        <v>0.19</v>
      </c>
      <c r="AI5" s="13">
        <v>10</v>
      </c>
      <c r="AL5" s="13">
        <v>16.899999999999999</v>
      </c>
      <c r="AM5" s="13">
        <v>300</v>
      </c>
      <c r="AP5" s="13">
        <v>3.0659999999999998</v>
      </c>
      <c r="AS5" s="13">
        <v>30</v>
      </c>
      <c r="AT5" s="13">
        <f>LN(25/Table26[[#This Row],[Temperature (C)]]/(1-SQRT((Table26[[#This Row],[Temperature (C)]]-5)/Table26[[#This Row],[Temperature (C)]])))/Table26[[#This Row],[b]]</f>
        <v>0.74998217286015745</v>
      </c>
      <c r="AU5" s="13">
        <f>IF(Table26[[#This Row],[b]]&lt;&gt;"",Table26[[#This Row],[T-5]], 0)</f>
        <v>0.74998217286015745</v>
      </c>
      <c r="AV5" s="13">
        <f>Table26[[#This Row],[Holding Time (min)]]+Table26[[#This Row],[Heating time]]</f>
        <v>30.749982172860157</v>
      </c>
      <c r="AW5" s="13">
        <v>400</v>
      </c>
      <c r="AX5" s="13">
        <v>9</v>
      </c>
      <c r="AY5" t="s">
        <v>503</v>
      </c>
      <c r="BA5" s="13">
        <v>15.8</v>
      </c>
      <c r="BE5" s="13" t="s">
        <v>506</v>
      </c>
      <c r="BI5" s="13">
        <v>75.2</v>
      </c>
      <c r="BJ5" s="13">
        <v>8.1999999999999993</v>
      </c>
      <c r="BK5" s="13">
        <v>15.8</v>
      </c>
      <c r="BL5" s="13">
        <v>0.5</v>
      </c>
      <c r="BM5" s="13">
        <v>0.3</v>
      </c>
      <c r="BN5" s="13">
        <v>34.299999999999997</v>
      </c>
      <c r="BQ5" s="13">
        <v>10.904255319148936</v>
      </c>
      <c r="CM5" s="13">
        <v>54100</v>
      </c>
      <c r="CV5" s="13">
        <v>0</v>
      </c>
    </row>
    <row r="6" spans="1:100" x14ac:dyDescent="0.25">
      <c r="A6" t="s">
        <v>71</v>
      </c>
      <c r="B6" t="s">
        <v>159</v>
      </c>
      <c r="C6">
        <v>2016</v>
      </c>
      <c r="D6" t="s">
        <v>72</v>
      </c>
      <c r="E6">
        <v>0</v>
      </c>
      <c r="F6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66.78</v>
      </c>
      <c r="I6" s="13">
        <v>47.14</v>
      </c>
      <c r="J6" s="13">
        <v>19.64</v>
      </c>
      <c r="M6" s="13">
        <v>22.11</v>
      </c>
      <c r="N6" s="13">
        <v>0.46</v>
      </c>
      <c r="O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88.89</v>
      </c>
      <c r="Q6" s="13">
        <v>6.63</v>
      </c>
      <c r="AB6" s="13">
        <v>50.39</v>
      </c>
      <c r="AC6" s="13">
        <v>6.19</v>
      </c>
      <c r="AD6" s="13">
        <v>43.23</v>
      </c>
      <c r="AE6" s="13">
        <v>0.19</v>
      </c>
      <c r="AI6" s="13">
        <v>10</v>
      </c>
      <c r="AL6" s="13">
        <v>16.899999999999999</v>
      </c>
      <c r="AM6" s="13">
        <v>300</v>
      </c>
      <c r="AP6" s="13">
        <v>3.0659999999999998</v>
      </c>
      <c r="AS6" s="13">
        <v>30</v>
      </c>
      <c r="AT6" s="13">
        <f>LN(25/Table26[[#This Row],[Temperature (C)]]/(1-SQRT((Table26[[#This Row],[Temperature (C)]]-5)/Table26[[#This Row],[Temperature (C)]])))/Table26[[#This Row],[b]]</f>
        <v>0.74998217286015745</v>
      </c>
      <c r="AU6" s="13">
        <f>IF(Table26[[#This Row],[b]]&lt;&gt;"",Table26[[#This Row],[T-5]], 0)</f>
        <v>0.74998217286015745</v>
      </c>
      <c r="AV6" s="13">
        <f>Table26[[#This Row],[Holding Time (min)]]+Table26[[#This Row],[Heating time]]</f>
        <v>30.749982172860157</v>
      </c>
      <c r="AW6" s="13">
        <v>400</v>
      </c>
      <c r="AX6" s="13">
        <v>14</v>
      </c>
      <c r="AY6" t="s">
        <v>503</v>
      </c>
      <c r="BA6" s="13">
        <v>15.8</v>
      </c>
      <c r="BE6" s="13" t="s">
        <v>506</v>
      </c>
      <c r="BI6" s="13">
        <v>75.2</v>
      </c>
      <c r="BJ6" s="13">
        <v>8.1999999999999993</v>
      </c>
      <c r="BK6" s="13">
        <v>15.8</v>
      </c>
      <c r="BL6" s="13">
        <v>0.5</v>
      </c>
      <c r="BM6" s="13">
        <v>0.3</v>
      </c>
      <c r="BN6" s="13">
        <v>34.299999999999997</v>
      </c>
      <c r="BQ6" s="13">
        <v>10.904255319148936</v>
      </c>
      <c r="CM6" s="13">
        <v>96900</v>
      </c>
      <c r="CV6" s="13">
        <v>0</v>
      </c>
    </row>
    <row r="7" spans="1:100" x14ac:dyDescent="0.25">
      <c r="A7" t="s">
        <v>71</v>
      </c>
      <c r="B7" t="s">
        <v>159</v>
      </c>
      <c r="C7">
        <v>2016</v>
      </c>
      <c r="D7" t="s">
        <v>72</v>
      </c>
      <c r="E7">
        <v>0</v>
      </c>
      <c r="F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66.78</v>
      </c>
      <c r="I7" s="13">
        <v>47.14</v>
      </c>
      <c r="J7" s="13">
        <v>19.64</v>
      </c>
      <c r="M7" s="13">
        <v>22.11</v>
      </c>
      <c r="N7" s="13">
        <v>0.46</v>
      </c>
      <c r="O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88.89</v>
      </c>
      <c r="Q7" s="13">
        <v>6.63</v>
      </c>
      <c r="AB7" s="13">
        <v>50.39</v>
      </c>
      <c r="AC7" s="13">
        <v>6.19</v>
      </c>
      <c r="AD7" s="13">
        <v>43.23</v>
      </c>
      <c r="AE7" s="13">
        <v>0.19</v>
      </c>
      <c r="AI7" s="13">
        <v>10</v>
      </c>
      <c r="AL7" s="13">
        <v>16.899999999999999</v>
      </c>
      <c r="AM7" s="13">
        <v>300</v>
      </c>
      <c r="AP7" s="13">
        <v>3.0659999999999998</v>
      </c>
      <c r="AS7" s="13">
        <v>30</v>
      </c>
      <c r="AT7" s="13">
        <f>LN(25/Table26[[#This Row],[Temperature (C)]]/(1-SQRT((Table26[[#This Row],[Temperature (C)]]-5)/Table26[[#This Row],[Temperature (C)]])))/Table26[[#This Row],[b]]</f>
        <v>0.74998217286015745</v>
      </c>
      <c r="AU7" s="13">
        <f>IF(Table26[[#This Row],[b]]&lt;&gt;"",Table26[[#This Row],[T-5]], 0)</f>
        <v>0.74998217286015745</v>
      </c>
      <c r="AV7" s="13">
        <f>Table26[[#This Row],[Holding Time (min)]]+Table26[[#This Row],[Heating time]]</f>
        <v>30.749982172860157</v>
      </c>
      <c r="AW7" s="13">
        <v>400</v>
      </c>
      <c r="AX7" s="13">
        <v>14</v>
      </c>
      <c r="AY7" t="s">
        <v>503</v>
      </c>
      <c r="BA7" s="13">
        <v>15.8</v>
      </c>
      <c r="BE7" s="13" t="s">
        <v>506</v>
      </c>
      <c r="BI7" s="13">
        <v>75.2</v>
      </c>
      <c r="BJ7" s="13">
        <v>8.1999999999999993</v>
      </c>
      <c r="BK7" s="13">
        <v>15.8</v>
      </c>
      <c r="BL7" s="13">
        <v>0.5</v>
      </c>
      <c r="BM7" s="13">
        <v>0.3</v>
      </c>
      <c r="BN7" s="13">
        <v>34.299999999999997</v>
      </c>
      <c r="BQ7" s="13">
        <v>10.904255319148936</v>
      </c>
      <c r="CM7" s="13">
        <v>106300</v>
      </c>
      <c r="CV7" s="13">
        <v>0</v>
      </c>
    </row>
    <row r="8" spans="1:100" x14ac:dyDescent="0.25">
      <c r="A8" t="s">
        <v>71</v>
      </c>
      <c r="B8" t="s">
        <v>159</v>
      </c>
      <c r="C8">
        <v>2016</v>
      </c>
      <c r="D8" t="s">
        <v>72</v>
      </c>
      <c r="E8">
        <v>0</v>
      </c>
      <c r="F8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66.78</v>
      </c>
      <c r="I8" s="13">
        <v>47.14</v>
      </c>
      <c r="J8" s="13">
        <v>19.64</v>
      </c>
      <c r="M8" s="13">
        <v>22.11</v>
      </c>
      <c r="N8" s="13">
        <v>0.46</v>
      </c>
      <c r="O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88.89</v>
      </c>
      <c r="Q8" s="13">
        <v>6.63</v>
      </c>
      <c r="AB8" s="13">
        <v>50.39</v>
      </c>
      <c r="AC8" s="13">
        <v>6.19</v>
      </c>
      <c r="AD8" s="13">
        <v>43.23</v>
      </c>
      <c r="AE8" s="13">
        <v>0.19</v>
      </c>
      <c r="AI8" s="13">
        <v>10</v>
      </c>
      <c r="AL8" s="13">
        <v>16.899999999999999</v>
      </c>
      <c r="AM8" s="13">
        <v>300</v>
      </c>
      <c r="AP8" s="13">
        <v>3.0659999999999998</v>
      </c>
      <c r="AS8" s="13">
        <v>30</v>
      </c>
      <c r="AT8" s="13">
        <f>LN(25/Table26[[#This Row],[Temperature (C)]]/(1-SQRT((Table26[[#This Row],[Temperature (C)]]-5)/Table26[[#This Row],[Temperature (C)]])))/Table26[[#This Row],[b]]</f>
        <v>0.74998217286015745</v>
      </c>
      <c r="AU8" s="13">
        <f>IF(Table26[[#This Row],[b]]&lt;&gt;"",Table26[[#This Row],[T-5]], 0)</f>
        <v>0.74998217286015745</v>
      </c>
      <c r="AV8" s="13">
        <f>Table26[[#This Row],[Holding Time (min)]]+Table26[[#This Row],[Heating time]]</f>
        <v>30.749982172860157</v>
      </c>
      <c r="AW8" s="13">
        <v>400</v>
      </c>
      <c r="AX8" s="13">
        <v>14</v>
      </c>
      <c r="AY8" t="s">
        <v>503</v>
      </c>
      <c r="BA8" s="13">
        <v>15.8</v>
      </c>
      <c r="BE8" s="13" t="s">
        <v>506</v>
      </c>
      <c r="BI8" s="13">
        <v>75.2</v>
      </c>
      <c r="BJ8" s="13">
        <v>8.1999999999999993</v>
      </c>
      <c r="BK8" s="13">
        <v>15.8</v>
      </c>
      <c r="BL8" s="13">
        <v>0.5</v>
      </c>
      <c r="BM8" s="13">
        <v>0.3</v>
      </c>
      <c r="BN8" s="13">
        <v>34.299999999999997</v>
      </c>
      <c r="BQ8" s="13">
        <v>10.904255319148936</v>
      </c>
      <c r="CM8" s="13">
        <v>136200</v>
      </c>
      <c r="CV8" s="13">
        <v>0</v>
      </c>
    </row>
    <row r="9" spans="1:100" x14ac:dyDescent="0.25">
      <c r="A9" s="1" t="s">
        <v>78</v>
      </c>
      <c r="B9" t="s">
        <v>146</v>
      </c>
      <c r="C9">
        <v>2012</v>
      </c>
      <c r="D9" t="s">
        <v>77</v>
      </c>
      <c r="E9">
        <v>0</v>
      </c>
      <c r="F9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25</v>
      </c>
      <c r="G9" s="13">
        <v>25</v>
      </c>
      <c r="K9" s="13">
        <v>56</v>
      </c>
      <c r="L9" s="13">
        <v>13</v>
      </c>
      <c r="M9" s="13">
        <v>11</v>
      </c>
      <c r="N9" s="13">
        <v>6</v>
      </c>
      <c r="O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105</v>
      </c>
      <c r="U9" s="13">
        <v>32</v>
      </c>
      <c r="V9" s="13">
        <v>17</v>
      </c>
      <c r="AB9" s="13">
        <v>52.1</v>
      </c>
      <c r="AC9" s="13">
        <v>7.4</v>
      </c>
      <c r="AD9" s="13">
        <v>31.1</v>
      </c>
      <c r="AE9" s="13">
        <v>8.8000000000000007</v>
      </c>
      <c r="AF9" s="13">
        <v>0.48</v>
      </c>
      <c r="AH9" s="13">
        <v>22.6</v>
      </c>
      <c r="AI9" s="13">
        <v>0.5</v>
      </c>
      <c r="AL9" s="13">
        <v>20</v>
      </c>
      <c r="AM9" s="13">
        <v>50</v>
      </c>
      <c r="AP9" s="13">
        <v>0.67800000000000005</v>
      </c>
      <c r="AR9" s="13" t="s">
        <v>70</v>
      </c>
      <c r="AS9" s="13">
        <v>30</v>
      </c>
      <c r="AT9" s="13">
        <f>LN(25/Table26[[#This Row],[Temperature (C)]]/(1-SQRT((Table26[[#This Row],[Temperature (C)]]-5)/Table26[[#This Row],[Temperature (C)]])))/Table26[[#This Row],[b]]</f>
        <v>3.3899589098300615</v>
      </c>
      <c r="AU9" s="13">
        <f>IF(Table26[[#This Row],[b]]&lt;&gt;"",Table26[[#This Row],[T-5]], 0)</f>
        <v>3.3899589098300615</v>
      </c>
      <c r="AV9" s="13">
        <f>Table26[[#This Row],[Holding Time (min)]]+Table26[[#This Row],[Heating time]]</f>
        <v>33.389958909830064</v>
      </c>
      <c r="AW9" s="13">
        <v>300</v>
      </c>
      <c r="AY9" t="s">
        <v>503</v>
      </c>
      <c r="AZ9" s="13">
        <v>7</v>
      </c>
      <c r="BA9" s="13">
        <v>45</v>
      </c>
      <c r="BB9" s="13">
        <v>17</v>
      </c>
      <c r="BC9" s="13">
        <v>30</v>
      </c>
      <c r="BE9" s="13">
        <v>30</v>
      </c>
      <c r="BI9" s="13">
        <v>72.599999999999994</v>
      </c>
      <c r="BJ9" s="13">
        <v>9</v>
      </c>
      <c r="BK9" s="13">
        <v>10.5</v>
      </c>
      <c r="BL9" s="13">
        <v>6.5</v>
      </c>
      <c r="BM9" s="13">
        <v>1.35</v>
      </c>
      <c r="BN9" s="13">
        <v>35.5</v>
      </c>
      <c r="BQ9" s="13">
        <v>12.396694214876034</v>
      </c>
      <c r="CV9" s="13">
        <v>0</v>
      </c>
    </row>
    <row r="10" spans="1:100" x14ac:dyDescent="0.25">
      <c r="A10" t="s">
        <v>78</v>
      </c>
      <c r="B10" t="s">
        <v>146</v>
      </c>
      <c r="C10">
        <v>2012</v>
      </c>
      <c r="D10" t="s">
        <v>80</v>
      </c>
      <c r="E10">
        <v>1</v>
      </c>
      <c r="F10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21</v>
      </c>
      <c r="G10" s="13">
        <v>21</v>
      </c>
      <c r="K10" s="13">
        <v>72</v>
      </c>
      <c r="L10" s="13">
        <v>1</v>
      </c>
      <c r="M10" s="13">
        <v>13</v>
      </c>
      <c r="N10" s="13">
        <v>7</v>
      </c>
      <c r="O1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107</v>
      </c>
      <c r="U10" s="13">
        <v>21</v>
      </c>
      <c r="V10" s="13">
        <v>16</v>
      </c>
      <c r="AB10" s="13">
        <v>49.9</v>
      </c>
      <c r="AC10" s="13">
        <v>7.1</v>
      </c>
      <c r="AD10" s="13">
        <v>32.1</v>
      </c>
      <c r="AE10" s="13">
        <v>9.9</v>
      </c>
      <c r="AF10" s="13">
        <v>0.96</v>
      </c>
      <c r="AH10" s="13">
        <v>21.3</v>
      </c>
      <c r="AI10" s="13">
        <v>0.5</v>
      </c>
      <c r="AL10" s="13">
        <v>20</v>
      </c>
      <c r="AM10" s="13">
        <v>50</v>
      </c>
      <c r="AP10" s="13">
        <v>0.67800000000000005</v>
      </c>
      <c r="AR10" s="13" t="s">
        <v>70</v>
      </c>
      <c r="AS10" s="13">
        <v>30</v>
      </c>
      <c r="AT10" s="13">
        <f>LN(25/Table26[[#This Row],[Temperature (C)]]/(1-SQRT((Table26[[#This Row],[Temperature (C)]]-5)/Table26[[#This Row],[Temperature (C)]])))/Table26[[#This Row],[b]]</f>
        <v>3.3899589098300615</v>
      </c>
      <c r="AU10" s="13">
        <f>IF(Table26[[#This Row],[b]]&lt;&gt;"",Table26[[#This Row],[T-5]], 0)</f>
        <v>3.3899589098300615</v>
      </c>
      <c r="AV10" s="13">
        <f>Table26[[#This Row],[Holding Time (min)]]+Table26[[#This Row],[Heating time]]</f>
        <v>33.389958909830064</v>
      </c>
      <c r="AW10" s="13">
        <v>300</v>
      </c>
      <c r="AY10" t="s">
        <v>503</v>
      </c>
      <c r="AZ10" s="13">
        <v>6</v>
      </c>
      <c r="BA10" s="13">
        <v>36</v>
      </c>
      <c r="BB10" s="13">
        <v>17</v>
      </c>
      <c r="BC10" s="13">
        <v>41</v>
      </c>
      <c r="BE10" s="13">
        <v>41</v>
      </c>
      <c r="BI10" s="13">
        <v>72.2</v>
      </c>
      <c r="BJ10" s="13">
        <v>8.9</v>
      </c>
      <c r="BK10" s="13">
        <v>10.5</v>
      </c>
      <c r="BL10" s="13">
        <v>7.8</v>
      </c>
      <c r="BM10" s="13">
        <v>0.9</v>
      </c>
      <c r="BN10" s="13">
        <v>35.299999999999997</v>
      </c>
      <c r="BQ10" s="13">
        <v>12.326869806094184</v>
      </c>
      <c r="CV10" s="13">
        <v>0</v>
      </c>
    </row>
    <row r="11" spans="1:100" x14ac:dyDescent="0.25">
      <c r="A11" t="s">
        <v>101</v>
      </c>
      <c r="B11" t="s">
        <v>156</v>
      </c>
      <c r="C11">
        <v>2013</v>
      </c>
      <c r="D11" t="s">
        <v>100</v>
      </c>
      <c r="E11">
        <v>1</v>
      </c>
      <c r="F11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12</v>
      </c>
      <c r="G11" s="13">
        <v>12</v>
      </c>
      <c r="K11" s="13">
        <v>35</v>
      </c>
      <c r="L11" s="13">
        <v>41</v>
      </c>
      <c r="N11" s="13">
        <v>6</v>
      </c>
      <c r="O1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88</v>
      </c>
      <c r="AB11" s="13">
        <v>59.6</v>
      </c>
      <c r="AC11" s="13">
        <v>9.3000000000000007</v>
      </c>
      <c r="AD11" s="13">
        <v>15.4</v>
      </c>
      <c r="AE11" s="13">
        <v>1.7</v>
      </c>
      <c r="AH11" s="13">
        <v>30.2</v>
      </c>
      <c r="AI11" s="13">
        <v>2.5000000000000001E-2</v>
      </c>
      <c r="AS11" s="13">
        <v>60</v>
      </c>
      <c r="AT11" s="13" t="e">
        <f>LN(25/Table26[[#This Row],[Temperature (C)]]/(1-SQRT((Table26[[#This Row],[Temperature (C)]]-5)/Table26[[#This Row],[Temperature (C)]])))/Table26[[#This Row],[b]]</f>
        <v>#DIV/0!</v>
      </c>
      <c r="AU11" s="13">
        <f>IF(Table26[[#This Row],[b]]&lt;&gt;"",Table26[[#This Row],[T-5]], 0)</f>
        <v>0</v>
      </c>
      <c r="AV11" s="13">
        <f>Table26[[#This Row],[Holding Time (min)]]+Table26[[#This Row],[Heating time]]</f>
        <v>60</v>
      </c>
      <c r="AW11" s="13">
        <v>400</v>
      </c>
      <c r="AY11" t="s">
        <v>503</v>
      </c>
      <c r="BE11" s="13" t="s">
        <v>506</v>
      </c>
      <c r="BI11" s="13">
        <v>76.2</v>
      </c>
      <c r="BJ11" s="13">
        <v>11.9</v>
      </c>
      <c r="BK11" s="13">
        <v>10.4</v>
      </c>
      <c r="BL11" s="13">
        <v>1.6</v>
      </c>
      <c r="BN11" s="13">
        <v>40.799999999999997</v>
      </c>
      <c r="BO11" s="13">
        <v>0.1</v>
      </c>
      <c r="BQ11" s="13">
        <v>9.9719101123595504</v>
      </c>
      <c r="CV11" s="13">
        <v>0</v>
      </c>
    </row>
    <row r="12" spans="1:100" x14ac:dyDescent="0.25">
      <c r="A12" t="s">
        <v>131</v>
      </c>
      <c r="B12" t="s">
        <v>152</v>
      </c>
      <c r="C12">
        <v>2011</v>
      </c>
      <c r="D12" t="s">
        <v>136</v>
      </c>
      <c r="E12">
        <v>1</v>
      </c>
      <c r="F12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12" s="13">
        <v>100</v>
      </c>
      <c r="N12" s="13">
        <v>5.3</v>
      </c>
      <c r="O1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12" s="13">
        <v>8.5</v>
      </c>
      <c r="AB12" s="13">
        <v>44.6</v>
      </c>
      <c r="AC12" s="13">
        <v>6.4</v>
      </c>
      <c r="AD12" s="13">
        <v>36.4</v>
      </c>
      <c r="AE12" s="13">
        <v>12.6</v>
      </c>
      <c r="AF12" s="13">
        <v>0.2</v>
      </c>
      <c r="AH12" s="13">
        <v>23.3</v>
      </c>
      <c r="AI12" s="13">
        <v>7.4999999999999997E-2</v>
      </c>
      <c r="AJ12" s="13">
        <v>3</v>
      </c>
      <c r="AK12" s="13">
        <v>27</v>
      </c>
      <c r="AL12" s="13">
        <f>Table26[[#This Row],[Solids (g)]]/(Table26[[#This Row],[Solids (g)]]+Table26[[#This Row],[Water mL]])*100</f>
        <v>10</v>
      </c>
      <c r="AM12" s="13">
        <v>10</v>
      </c>
      <c r="AP12" s="13">
        <v>0.14499999999999999</v>
      </c>
      <c r="AS12" s="13">
        <v>60</v>
      </c>
      <c r="AT12" s="13">
        <f>LN(25/Table26[[#This Row],[Temperature (C)]]/(1-SQRT((Table26[[#This Row],[Temperature (C)]]-5)/Table26[[#This Row],[Temperature (C)]])))/Table26[[#This Row],[b]]</f>
        <v>15.855133644722411</v>
      </c>
      <c r="AU12" s="13">
        <f>IF(Table26[[#This Row],[b]]&lt;&gt;"",Table26[[#This Row],[T-5]], 0)</f>
        <v>15.855133644722411</v>
      </c>
      <c r="AV12" s="13">
        <f>Table26[[#This Row],[Holding Time (min)]]+Table26[[#This Row],[Heating time]]</f>
        <v>75.855133644722414</v>
      </c>
      <c r="AW12" s="13">
        <v>350</v>
      </c>
      <c r="AY12" t="s">
        <v>503</v>
      </c>
      <c r="AZ12" s="13">
        <v>5.4325955734405973</v>
      </c>
      <c r="BA12" s="13">
        <v>18.309859154929601</v>
      </c>
      <c r="BB12" s="13">
        <v>71.026156941649901</v>
      </c>
      <c r="BC12" s="13">
        <v>5.2313883299799002</v>
      </c>
      <c r="BE12" s="13">
        <v>35</v>
      </c>
      <c r="BI12" s="13">
        <v>71.400000000000006</v>
      </c>
      <c r="BJ12" s="13">
        <v>9.4</v>
      </c>
      <c r="BK12" s="13">
        <v>11.5</v>
      </c>
      <c r="BL12" s="13">
        <v>7.7</v>
      </c>
      <c r="BN12" s="13">
        <v>36.299999999999997</v>
      </c>
      <c r="BP12" s="13">
        <v>29</v>
      </c>
      <c r="BQ12" s="13">
        <v>8.7737704918032797</v>
      </c>
      <c r="CV12" s="13">
        <v>0</v>
      </c>
    </row>
    <row r="13" spans="1:100" x14ac:dyDescent="0.25">
      <c r="A13" t="s">
        <v>131</v>
      </c>
      <c r="B13" t="s">
        <v>152</v>
      </c>
      <c r="C13">
        <v>2011</v>
      </c>
      <c r="D13" t="s">
        <v>137</v>
      </c>
      <c r="E13">
        <v>1</v>
      </c>
      <c r="F13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13" s="13">
        <v>100</v>
      </c>
      <c r="N13" s="13">
        <v>3.6</v>
      </c>
      <c r="O1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13" s="13">
        <v>5.2</v>
      </c>
      <c r="AB13" s="13">
        <v>46.9</v>
      </c>
      <c r="AC13" s="13">
        <v>6.5</v>
      </c>
      <c r="AD13" s="13">
        <v>33.1</v>
      </c>
      <c r="AE13" s="13">
        <v>13.6</v>
      </c>
      <c r="AF13" s="13">
        <v>0</v>
      </c>
      <c r="AH13" s="13">
        <v>24.2</v>
      </c>
      <c r="AI13" s="13">
        <v>7.4999999999999997E-2</v>
      </c>
      <c r="AJ13" s="13">
        <v>3</v>
      </c>
      <c r="AK13" s="13">
        <v>27</v>
      </c>
      <c r="AL13" s="13">
        <f>Table26[[#This Row],[Solids (g)]]/(Table26[[#This Row],[Solids (g)]]+Table26[[#This Row],[Water mL]])*100</f>
        <v>10</v>
      </c>
      <c r="AM13" s="13">
        <v>10</v>
      </c>
      <c r="AP13" s="13">
        <v>0.14499999999999999</v>
      </c>
      <c r="AS13" s="13">
        <v>60</v>
      </c>
      <c r="AT13" s="13">
        <f>LN(25/Table26[[#This Row],[Temperature (C)]]/(1-SQRT((Table26[[#This Row],[Temperature (C)]]-5)/Table26[[#This Row],[Temperature (C)]])))/Table26[[#This Row],[b]]</f>
        <v>15.855133644722411</v>
      </c>
      <c r="AU13" s="13">
        <f>IF(Table26[[#This Row],[b]]&lt;&gt;"",Table26[[#This Row],[T-5]], 0)</f>
        <v>15.855133644722411</v>
      </c>
      <c r="AV13" s="13">
        <f>Table26[[#This Row],[Holding Time (min)]]+Table26[[#This Row],[Heating time]]</f>
        <v>75.855133644722414</v>
      </c>
      <c r="AW13" s="13">
        <v>350</v>
      </c>
      <c r="AY13" t="s">
        <v>503</v>
      </c>
      <c r="AZ13" s="13">
        <v>11.468812877263499</v>
      </c>
      <c r="BA13" s="13">
        <v>18.309859154929601</v>
      </c>
      <c r="BB13" s="13">
        <v>65.392354124748493</v>
      </c>
      <c r="BC13" s="13">
        <v>4.8289738430583995</v>
      </c>
      <c r="BE13" s="13">
        <v>35.700000000000003</v>
      </c>
      <c r="BI13" s="13">
        <v>73</v>
      </c>
      <c r="BJ13" s="13">
        <v>8.6</v>
      </c>
      <c r="BK13" s="13">
        <v>11.3</v>
      </c>
      <c r="BL13" s="13">
        <v>6.8</v>
      </c>
      <c r="BM13" s="13">
        <v>0.3</v>
      </c>
      <c r="BN13" s="13">
        <v>35.9</v>
      </c>
      <c r="BP13" s="13">
        <v>30.5</v>
      </c>
      <c r="BQ13" s="13" t="s">
        <v>506</v>
      </c>
      <c r="CV13" s="13">
        <v>0</v>
      </c>
    </row>
    <row r="14" spans="1:100" x14ac:dyDescent="0.25">
      <c r="A14" t="s">
        <v>131</v>
      </c>
      <c r="B14" t="s">
        <v>152</v>
      </c>
      <c r="C14">
        <v>2011</v>
      </c>
      <c r="D14" t="s">
        <v>138</v>
      </c>
      <c r="E14">
        <v>1</v>
      </c>
      <c r="F14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14" s="13">
        <v>100</v>
      </c>
      <c r="O1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14" s="13">
        <v>5.0999999999999996</v>
      </c>
      <c r="AB14" s="13">
        <v>32.200000000000003</v>
      </c>
      <c r="AC14" s="13">
        <v>6.6</v>
      </c>
      <c r="AD14" s="13">
        <v>42.5</v>
      </c>
      <c r="AE14" s="13">
        <v>18.7</v>
      </c>
      <c r="AF14" s="13">
        <v>0</v>
      </c>
      <c r="AH14" s="13">
        <v>19.3</v>
      </c>
      <c r="AI14" s="13">
        <v>7.4999999999999997E-2</v>
      </c>
      <c r="AJ14" s="13">
        <v>3</v>
      </c>
      <c r="AK14" s="13">
        <v>27</v>
      </c>
      <c r="AL14" s="13">
        <f>Table26[[#This Row],[Solids (g)]]/(Table26[[#This Row],[Solids (g)]]+Table26[[#This Row],[Water mL]])*100</f>
        <v>10</v>
      </c>
      <c r="AM14" s="13">
        <v>10</v>
      </c>
      <c r="AP14" s="13">
        <v>0.14499999999999999</v>
      </c>
      <c r="AS14" s="13">
        <v>60</v>
      </c>
      <c r="AT14" s="13">
        <f>LN(25/Table26[[#This Row],[Temperature (C)]]/(1-SQRT((Table26[[#This Row],[Temperature (C)]]-5)/Table26[[#This Row],[Temperature (C)]])))/Table26[[#This Row],[b]]</f>
        <v>15.855133644722411</v>
      </c>
      <c r="AU14" s="13">
        <f>IF(Table26[[#This Row],[b]]&lt;&gt;"",Table26[[#This Row],[T-5]], 0)</f>
        <v>15.855133644722411</v>
      </c>
      <c r="AV14" s="13">
        <f>Table26[[#This Row],[Holding Time (min)]]+Table26[[#This Row],[Heating time]]</f>
        <v>75.855133644722414</v>
      </c>
      <c r="AW14" s="13">
        <v>350</v>
      </c>
      <c r="AY14" t="s">
        <v>503</v>
      </c>
      <c r="AZ14" s="13">
        <v>3.8229376257544398</v>
      </c>
      <c r="BA14" s="13">
        <v>8.2494969818913599</v>
      </c>
      <c r="BB14" s="13">
        <v>85.915492957746494</v>
      </c>
      <c r="BC14" s="13">
        <v>2.0120724346077008</v>
      </c>
      <c r="BE14" s="13">
        <v>35.900000000000006</v>
      </c>
      <c r="BI14" s="13">
        <v>69.7</v>
      </c>
      <c r="BJ14" s="13">
        <v>7.5</v>
      </c>
      <c r="BK14" s="13">
        <v>15.2</v>
      </c>
      <c r="BL14" s="13">
        <v>7.6</v>
      </c>
      <c r="BN14" s="13">
        <v>33.299999999999997</v>
      </c>
      <c r="BP14" s="13">
        <v>13.4</v>
      </c>
      <c r="BQ14" s="13" t="s">
        <v>506</v>
      </c>
      <c r="CV14" s="13">
        <v>0</v>
      </c>
    </row>
    <row r="15" spans="1:100" x14ac:dyDescent="0.25">
      <c r="A15" t="s">
        <v>131</v>
      </c>
      <c r="B15" t="s">
        <v>152</v>
      </c>
      <c r="C15">
        <v>2011</v>
      </c>
      <c r="D15" t="s">
        <v>139</v>
      </c>
      <c r="E15">
        <v>1</v>
      </c>
      <c r="F15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15" s="13">
        <v>100</v>
      </c>
      <c r="O1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15" s="13">
        <v>4.2</v>
      </c>
      <c r="AB15" s="13">
        <v>40.5</v>
      </c>
      <c r="AC15" s="13">
        <v>6.7</v>
      </c>
      <c r="AD15" s="13">
        <v>33.700000000000003</v>
      </c>
      <c r="AE15" s="13">
        <v>19.100000000000001</v>
      </c>
      <c r="AF15" s="13">
        <v>0</v>
      </c>
      <c r="AH15" s="13">
        <v>22.3</v>
      </c>
      <c r="AI15" s="13">
        <v>7.4999999999999997E-2</v>
      </c>
      <c r="AJ15" s="13">
        <v>3</v>
      </c>
      <c r="AK15" s="13">
        <v>27</v>
      </c>
      <c r="AL15" s="13">
        <f>Table26[[#This Row],[Solids (g)]]/(Table26[[#This Row],[Solids (g)]]+Table26[[#This Row],[Water mL]])*100</f>
        <v>10</v>
      </c>
      <c r="AM15" s="13">
        <v>10</v>
      </c>
      <c r="AP15" s="13">
        <v>0.14499999999999999</v>
      </c>
      <c r="AS15" s="13">
        <v>60</v>
      </c>
      <c r="AT15" s="13">
        <f>LN(25/Table26[[#This Row],[Temperature (C)]]/(1-SQRT((Table26[[#This Row],[Temperature (C)]]-5)/Table26[[#This Row],[Temperature (C)]])))/Table26[[#This Row],[b]]</f>
        <v>15.855133644722411</v>
      </c>
      <c r="AU15" s="13">
        <f>IF(Table26[[#This Row],[b]]&lt;&gt;"",Table26[[#This Row],[T-5]], 0)</f>
        <v>15.855133644722411</v>
      </c>
      <c r="AV15" s="13">
        <f>Table26[[#This Row],[Holding Time (min)]]+Table26[[#This Row],[Heating time]]</f>
        <v>75.855133644722414</v>
      </c>
      <c r="AW15" s="13">
        <v>350</v>
      </c>
      <c r="AY15" t="s">
        <v>503</v>
      </c>
      <c r="AZ15" s="13">
        <v>18.10865191146879</v>
      </c>
      <c r="BA15" s="13">
        <v>7.2434607645875104</v>
      </c>
      <c r="BB15" s="13">
        <v>69.818913480885399</v>
      </c>
      <c r="BC15" s="13">
        <v>4.8289738430583</v>
      </c>
      <c r="BE15" s="13">
        <v>32.299999999999997</v>
      </c>
      <c r="BI15" s="13">
        <v>70.599999999999994</v>
      </c>
      <c r="BJ15" s="13">
        <v>7.9</v>
      </c>
      <c r="BK15" s="13">
        <v>9.6</v>
      </c>
      <c r="BL15" s="13">
        <v>11.9</v>
      </c>
      <c r="BN15" s="13">
        <v>34.200000000000003</v>
      </c>
      <c r="BP15" s="13">
        <v>10.7</v>
      </c>
      <c r="BQ15" s="13" t="s">
        <v>506</v>
      </c>
      <c r="CV15" s="13">
        <v>0</v>
      </c>
    </row>
    <row r="16" spans="1:100" x14ac:dyDescent="0.25">
      <c r="A16" t="s">
        <v>131</v>
      </c>
      <c r="B16" t="s">
        <v>152</v>
      </c>
      <c r="C16">
        <v>2011</v>
      </c>
      <c r="D16" t="s">
        <v>140</v>
      </c>
      <c r="E16">
        <v>1</v>
      </c>
      <c r="F16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G16" s="13">
        <v>100</v>
      </c>
      <c r="O1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16" s="13">
        <v>0</v>
      </c>
      <c r="AB16" s="13">
        <v>34.4</v>
      </c>
      <c r="AC16" s="13">
        <v>5.9</v>
      </c>
      <c r="AD16" s="13">
        <v>59.8</v>
      </c>
      <c r="AE16" s="13">
        <v>0</v>
      </c>
      <c r="AF16" s="13">
        <v>0</v>
      </c>
      <c r="AH16" s="13">
        <v>19.2</v>
      </c>
      <c r="AI16" s="13">
        <v>7.4999999999999997E-2</v>
      </c>
      <c r="AJ16" s="13">
        <v>3</v>
      </c>
      <c r="AK16" s="13">
        <v>27</v>
      </c>
      <c r="AL16" s="13">
        <f>Table26[[#This Row],[Solids (g)]]/(Table26[[#This Row],[Solids (g)]]+Table26[[#This Row],[Water mL]])*100</f>
        <v>10</v>
      </c>
      <c r="AM16" s="13">
        <v>10</v>
      </c>
      <c r="AP16" s="13">
        <v>0.14499999999999999</v>
      </c>
      <c r="AS16" s="13">
        <v>60</v>
      </c>
      <c r="AT16" s="13">
        <f>LN(25/Table26[[#This Row],[Temperature (C)]]/(1-SQRT((Table26[[#This Row],[Temperature (C)]]-5)/Table26[[#This Row],[Temperature (C)]])))/Table26[[#This Row],[b]]</f>
        <v>15.855133644722411</v>
      </c>
      <c r="AU16" s="13">
        <f>IF(Table26[[#This Row],[b]]&lt;&gt;"",Table26[[#This Row],[T-5]], 0)</f>
        <v>15.855133644722411</v>
      </c>
      <c r="AV16" s="13">
        <f>Table26[[#This Row],[Holding Time (min)]]+Table26[[#This Row],[Heating time]]</f>
        <v>75.855133644722414</v>
      </c>
      <c r="AW16" s="13">
        <v>350</v>
      </c>
      <c r="AY16" t="s">
        <v>503</v>
      </c>
      <c r="AZ16" s="13">
        <v>21.529175050301721</v>
      </c>
      <c r="BA16" s="13">
        <v>5.2313883299798798</v>
      </c>
      <c r="BB16" s="13">
        <v>61.971830985915503</v>
      </c>
      <c r="BC16" s="13">
        <v>11.267605633802898</v>
      </c>
      <c r="BE16" s="13">
        <v>34.099999999999994</v>
      </c>
      <c r="BI16" s="13">
        <v>74.099999999999994</v>
      </c>
      <c r="BJ16" s="13">
        <v>6.9</v>
      </c>
      <c r="BK16" s="13">
        <v>18.8</v>
      </c>
      <c r="BL16" s="13">
        <v>0.3</v>
      </c>
      <c r="BN16" s="13">
        <v>34.1</v>
      </c>
      <c r="BP16" s="13">
        <v>9.1</v>
      </c>
      <c r="BQ16" s="13">
        <v>7.9893475366178439</v>
      </c>
      <c r="CV16" s="13">
        <v>0</v>
      </c>
    </row>
    <row r="17" spans="1:100" x14ac:dyDescent="0.25">
      <c r="A17" t="s">
        <v>131</v>
      </c>
      <c r="B17" t="s">
        <v>152</v>
      </c>
      <c r="C17">
        <v>2011</v>
      </c>
      <c r="D17" t="s">
        <v>141</v>
      </c>
      <c r="E17">
        <v>1</v>
      </c>
      <c r="F1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17" s="13">
        <v>100</v>
      </c>
      <c r="N17" s="13">
        <v>0.1</v>
      </c>
      <c r="O1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17" s="13">
        <v>10.3</v>
      </c>
      <c r="AB17" s="13">
        <v>38.5</v>
      </c>
      <c r="AC17" s="13">
        <v>6</v>
      </c>
      <c r="AD17" s="13">
        <v>55.5</v>
      </c>
      <c r="AE17" s="13">
        <v>0</v>
      </c>
      <c r="AF17" s="13">
        <v>0</v>
      </c>
      <c r="AH17" s="13">
        <v>20.7</v>
      </c>
      <c r="AI17" s="13">
        <v>7.4999999999999997E-2</v>
      </c>
      <c r="AJ17" s="13">
        <v>3</v>
      </c>
      <c r="AK17" s="13">
        <v>27</v>
      </c>
      <c r="AL17" s="13">
        <f>Table26[[#This Row],[Solids (g)]]/(Table26[[#This Row],[Solids (g)]]+Table26[[#This Row],[Water mL]])*100</f>
        <v>10</v>
      </c>
      <c r="AM17" s="13">
        <v>10</v>
      </c>
      <c r="AP17" s="13">
        <v>0.14499999999999999</v>
      </c>
      <c r="AS17" s="13">
        <v>60</v>
      </c>
      <c r="AT17" s="13">
        <f>LN(25/Table26[[#This Row],[Temperature (C)]]/(1-SQRT((Table26[[#This Row],[Temperature (C)]]-5)/Table26[[#This Row],[Temperature (C)]])))/Table26[[#This Row],[b]]</f>
        <v>15.855133644722411</v>
      </c>
      <c r="AU17" s="13">
        <f>IF(Table26[[#This Row],[b]]&lt;&gt;"",Table26[[#This Row],[T-5]], 0)</f>
        <v>15.855133644722411</v>
      </c>
      <c r="AV17" s="13">
        <f>Table26[[#This Row],[Holding Time (min)]]+Table26[[#This Row],[Heating time]]</f>
        <v>75.855133644722414</v>
      </c>
      <c r="AW17" s="13">
        <v>350</v>
      </c>
      <c r="AY17" t="s">
        <v>503</v>
      </c>
      <c r="AZ17" s="13">
        <v>20.321931589537179</v>
      </c>
      <c r="BA17" s="13">
        <v>8.0482897384306202</v>
      </c>
      <c r="BB17" s="13">
        <v>61.971830985915503</v>
      </c>
      <c r="BC17" s="13">
        <v>9.657947686116696</v>
      </c>
      <c r="BE17" s="13">
        <v>26.800000000000011</v>
      </c>
      <c r="BI17" s="13">
        <v>71.7</v>
      </c>
      <c r="BJ17" s="13">
        <v>7.9</v>
      </c>
      <c r="BK17" s="13">
        <v>20.100000000000001</v>
      </c>
      <c r="BL17" s="13">
        <v>0.3</v>
      </c>
      <c r="BN17" s="13">
        <v>34.5</v>
      </c>
      <c r="BP17" s="13">
        <v>13.7</v>
      </c>
      <c r="BQ17" s="13" t="s">
        <v>506</v>
      </c>
      <c r="CV17" s="13">
        <v>0</v>
      </c>
    </row>
    <row r="18" spans="1:100" x14ac:dyDescent="0.25">
      <c r="A18" s="1" t="s">
        <v>131</v>
      </c>
      <c r="B18" t="s">
        <v>152</v>
      </c>
      <c r="C18">
        <v>2011</v>
      </c>
      <c r="D18" t="s">
        <v>142</v>
      </c>
      <c r="E18">
        <v>1</v>
      </c>
      <c r="F18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L18" s="13">
        <v>100</v>
      </c>
      <c r="O1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18" s="13">
        <v>0</v>
      </c>
      <c r="AB18" s="13">
        <v>63.2</v>
      </c>
      <c r="AC18" s="13">
        <v>9.5</v>
      </c>
      <c r="AD18" s="13">
        <v>27.3</v>
      </c>
      <c r="AE18" s="13">
        <v>0.1</v>
      </c>
      <c r="AF18" s="13">
        <v>0</v>
      </c>
      <c r="AH18" s="13">
        <v>33.6</v>
      </c>
      <c r="AI18" s="13">
        <v>7.4999999999999997E-2</v>
      </c>
      <c r="AJ18" s="13">
        <v>3</v>
      </c>
      <c r="AK18" s="13">
        <v>27</v>
      </c>
      <c r="AL18" s="13">
        <f>Table26[[#This Row],[Solids (g)]]/(Table26[[#This Row],[Solids (g)]]+Table26[[#This Row],[Water mL]])*100</f>
        <v>10</v>
      </c>
      <c r="AM18" s="13">
        <v>10</v>
      </c>
      <c r="AP18" s="13">
        <v>0.14499999999999999</v>
      </c>
      <c r="AS18" s="13">
        <v>60</v>
      </c>
      <c r="AT18" s="13">
        <f>LN(25/Table26[[#This Row],[Temperature (C)]]/(1-SQRT((Table26[[#This Row],[Temperature (C)]]-5)/Table26[[#This Row],[Temperature (C)]])))/Table26[[#This Row],[b]]</f>
        <v>15.855133644722411</v>
      </c>
      <c r="AU18" s="13">
        <f>IF(Table26[[#This Row],[b]]&lt;&gt;"",Table26[[#This Row],[T-5]], 0)</f>
        <v>15.855133644722411</v>
      </c>
      <c r="AV18" s="13">
        <f>Table26[[#This Row],[Holding Time (min)]]+Table26[[#This Row],[Heating time]]</f>
        <v>75.855133644722414</v>
      </c>
      <c r="AW18" s="13">
        <v>350</v>
      </c>
      <c r="AY18" t="s">
        <v>503</v>
      </c>
      <c r="AZ18" s="13">
        <v>5.0301810865191072</v>
      </c>
      <c r="BA18" s="13">
        <v>78.873239436619698</v>
      </c>
      <c r="BB18" s="13">
        <v>11.871227364185202</v>
      </c>
      <c r="BC18" s="13">
        <v>4.2253521126759921</v>
      </c>
      <c r="BE18" s="13">
        <v>44.499999999999993</v>
      </c>
      <c r="BI18" s="13">
        <v>68.7</v>
      </c>
      <c r="BJ18" s="13">
        <v>10.6</v>
      </c>
      <c r="BK18" s="13">
        <v>20.6</v>
      </c>
      <c r="BL18" s="13">
        <v>0.1</v>
      </c>
      <c r="BN18" s="13">
        <v>36.9</v>
      </c>
      <c r="BP18" s="13">
        <v>86.7</v>
      </c>
      <c r="BQ18" s="13" t="s">
        <v>506</v>
      </c>
      <c r="CV18" s="13">
        <v>0</v>
      </c>
    </row>
    <row r="19" spans="1:100" x14ac:dyDescent="0.25">
      <c r="A19" t="s">
        <v>131</v>
      </c>
      <c r="B19" t="s">
        <v>165</v>
      </c>
      <c r="C19">
        <v>2014</v>
      </c>
      <c r="D19" t="s">
        <v>164</v>
      </c>
      <c r="E19">
        <v>0</v>
      </c>
      <c r="F19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19" s="13">
        <v>16.579999999999998</v>
      </c>
      <c r="O19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S19" s="13">
        <v>14.1</v>
      </c>
      <c r="T19" s="13">
        <v>69.319999999999993</v>
      </c>
      <c r="AB19" s="13">
        <v>39.44</v>
      </c>
      <c r="AC19" s="13">
        <v>5.14</v>
      </c>
      <c r="AD19" s="13">
        <v>52.03</v>
      </c>
      <c r="AE19" s="13">
        <v>2.99</v>
      </c>
      <c r="AF19" s="13">
        <v>0.6</v>
      </c>
      <c r="AH19" s="13">
        <v>14.46</v>
      </c>
      <c r="AI19" s="13">
        <v>6.2830000000000004E-4</v>
      </c>
      <c r="AL19" s="13">
        <v>10</v>
      </c>
      <c r="AM19" s="13">
        <v>585</v>
      </c>
      <c r="AP19" s="13">
        <v>6.62</v>
      </c>
      <c r="AS19" s="13">
        <v>15</v>
      </c>
      <c r="AT19" s="13">
        <f>LN(25/Table26[[#This Row],[Temperature (C)]]/(1-SQRT((Table26[[#This Row],[Temperature (C)]]-5)/Table26[[#This Row],[Temperature (C)]])))/Table26[[#This Row],[b]]</f>
        <v>0.34728011759588356</v>
      </c>
      <c r="AU19" s="13">
        <f>IF(Table26[[#This Row],[b]]&lt;&gt;"",Table26[[#This Row],[T-5]], 0)</f>
        <v>0.34728011759588356</v>
      </c>
      <c r="AV19" s="13">
        <f>Table26[[#This Row],[Holding Time (min)]]+Table26[[#This Row],[Heating time]]</f>
        <v>15.347280117595883</v>
      </c>
      <c r="AW19" s="13">
        <v>350</v>
      </c>
      <c r="AY19" t="s">
        <v>503</v>
      </c>
      <c r="AZ19" s="13">
        <v>22.8535353535353</v>
      </c>
      <c r="BA19" s="13">
        <v>52.651515151515099</v>
      </c>
      <c r="BB19" s="13">
        <v>13.383838383838301</v>
      </c>
      <c r="BC19" s="13">
        <v>19.949494949494898</v>
      </c>
      <c r="BE19" s="13">
        <v>45.5</v>
      </c>
      <c r="BI19" s="13">
        <v>75.540000000000006</v>
      </c>
      <c r="BJ19" s="13">
        <v>9.16</v>
      </c>
      <c r="BK19" s="13">
        <v>3.65</v>
      </c>
      <c r="BL19" s="13">
        <v>0.62</v>
      </c>
      <c r="BM19" s="13">
        <v>11.66</v>
      </c>
      <c r="BN19" s="13">
        <v>35.97</v>
      </c>
      <c r="BQ19" s="13" t="s">
        <v>506</v>
      </c>
      <c r="CV19" s="13">
        <v>0</v>
      </c>
    </row>
    <row r="20" spans="1:100" x14ac:dyDescent="0.25">
      <c r="A20" s="1" t="s">
        <v>131</v>
      </c>
      <c r="B20" t="s">
        <v>165</v>
      </c>
      <c r="C20">
        <v>2014</v>
      </c>
      <c r="D20" t="s">
        <v>164</v>
      </c>
      <c r="E20">
        <v>0</v>
      </c>
      <c r="F20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20" s="13">
        <v>16.579999999999998</v>
      </c>
      <c r="O20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S20" s="13">
        <v>14.1</v>
      </c>
      <c r="T20" s="13">
        <v>69.319999999999993</v>
      </c>
      <c r="AB20" s="13">
        <v>39.44</v>
      </c>
      <c r="AC20" s="13">
        <v>5.14</v>
      </c>
      <c r="AD20" s="13">
        <v>52.03</v>
      </c>
      <c r="AE20" s="13">
        <v>2.99</v>
      </c>
      <c r="AF20" s="13">
        <v>0.6</v>
      </c>
      <c r="AH20" s="13">
        <v>14.46</v>
      </c>
      <c r="AI20" s="13">
        <v>6.2830000000000004E-4</v>
      </c>
      <c r="AL20" s="13">
        <v>10</v>
      </c>
      <c r="AM20" s="13">
        <v>321</v>
      </c>
      <c r="AP20" s="13">
        <v>3.64</v>
      </c>
      <c r="AS20" s="13">
        <v>15</v>
      </c>
      <c r="AT20" s="13">
        <f>LN(25/Table26[[#This Row],[Temperature (C)]]/(1-SQRT((Table26[[#This Row],[Temperature (C)]]-5)/Table26[[#This Row],[Temperature (C)]])))/Table26[[#This Row],[b]]</f>
        <v>0.63159186222108499</v>
      </c>
      <c r="AU20" s="13">
        <f>IF(Table26[[#This Row],[b]]&lt;&gt;"",Table26[[#This Row],[T-5]], 0)</f>
        <v>0.63159186222108499</v>
      </c>
      <c r="AV20" s="13">
        <f>Table26[[#This Row],[Holding Time (min)]]+Table26[[#This Row],[Heating time]]</f>
        <v>15.631591862221086</v>
      </c>
      <c r="AW20" s="13">
        <v>350</v>
      </c>
      <c r="AY20" t="s">
        <v>503</v>
      </c>
      <c r="AZ20" s="13">
        <v>17.803030303030202</v>
      </c>
      <c r="BA20" s="13">
        <v>64.898989898989896</v>
      </c>
      <c r="BB20" s="13">
        <v>15.656565656565601</v>
      </c>
      <c r="BC20" s="13">
        <v>13.1313131313131</v>
      </c>
      <c r="BE20" s="13">
        <v>42.6</v>
      </c>
      <c r="BI20" s="13">
        <v>73.23</v>
      </c>
      <c r="BJ20" s="13">
        <v>8.8800000000000008</v>
      </c>
      <c r="BK20" s="13">
        <v>4.2699999999999996</v>
      </c>
      <c r="BL20" s="13">
        <v>0.56000000000000005</v>
      </c>
      <c r="BM20" s="13">
        <v>13.62</v>
      </c>
      <c r="BN20" s="13">
        <v>34.61</v>
      </c>
      <c r="BQ20" s="13" t="s">
        <v>506</v>
      </c>
      <c r="CV20" s="13">
        <v>0</v>
      </c>
    </row>
    <row r="21" spans="1:100" x14ac:dyDescent="0.25">
      <c r="A21" t="s">
        <v>131</v>
      </c>
      <c r="B21" t="s">
        <v>165</v>
      </c>
      <c r="C21">
        <v>2014</v>
      </c>
      <c r="D21" t="s">
        <v>164</v>
      </c>
      <c r="E21">
        <v>0</v>
      </c>
      <c r="F21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21" s="13">
        <v>16.579999999999998</v>
      </c>
      <c r="O21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S21" s="13">
        <v>14.1</v>
      </c>
      <c r="T21" s="13">
        <v>69.319999999999993</v>
      </c>
      <c r="AB21" s="13">
        <v>39.44</v>
      </c>
      <c r="AC21" s="13">
        <v>5.14</v>
      </c>
      <c r="AD21" s="13">
        <v>52.03</v>
      </c>
      <c r="AE21" s="13">
        <v>2.99</v>
      </c>
      <c r="AF21" s="13">
        <v>0.6</v>
      </c>
      <c r="AH21" s="13">
        <v>14.46</v>
      </c>
      <c r="AI21" s="13">
        <v>6.2830000000000004E-4</v>
      </c>
      <c r="AL21" s="13">
        <v>10</v>
      </c>
      <c r="AM21" s="13">
        <v>146</v>
      </c>
      <c r="AP21" s="13">
        <v>1.67</v>
      </c>
      <c r="AS21" s="13">
        <v>15</v>
      </c>
      <c r="AT21" s="13">
        <f>LN(25/Table26[[#This Row],[Temperature (C)]]/(1-SQRT((Table26[[#This Row],[Temperature (C)]]-5)/Table26[[#This Row],[Temperature (C)]])))/Table26[[#This Row],[b]]</f>
        <v>1.3766433404100296</v>
      </c>
      <c r="AU21" s="13">
        <f>IF(Table26[[#This Row],[b]]&lt;&gt;"",Table26[[#This Row],[T-5]], 0)</f>
        <v>1.3766433404100296</v>
      </c>
      <c r="AV21" s="13">
        <f>Table26[[#This Row],[Holding Time (min)]]+Table26[[#This Row],[Heating time]]</f>
        <v>16.37664334041003</v>
      </c>
      <c r="AW21" s="13">
        <v>350</v>
      </c>
      <c r="AY21" t="s">
        <v>503</v>
      </c>
      <c r="AZ21" s="13">
        <v>15.151515151515101</v>
      </c>
      <c r="BA21" s="13">
        <v>79.292929292929202</v>
      </c>
      <c r="BB21" s="13">
        <v>11.2373737373737</v>
      </c>
      <c r="BC21" s="13">
        <v>7.8282828282827897</v>
      </c>
      <c r="BE21" s="13">
        <v>43.8</v>
      </c>
      <c r="BQ21" s="13">
        <v>8.0901856763925721</v>
      </c>
      <c r="CV21" s="13">
        <v>0</v>
      </c>
    </row>
    <row r="22" spans="1:100" x14ac:dyDescent="0.25">
      <c r="A22" t="s">
        <v>131</v>
      </c>
      <c r="B22" t="s">
        <v>165</v>
      </c>
      <c r="C22">
        <v>2014</v>
      </c>
      <c r="D22" t="s">
        <v>164</v>
      </c>
      <c r="E22">
        <v>0</v>
      </c>
      <c r="F22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22" s="13">
        <v>16.579999999999998</v>
      </c>
      <c r="O22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S22" s="13">
        <v>14.1</v>
      </c>
      <c r="T22" s="13">
        <v>69.319999999999993</v>
      </c>
      <c r="AB22" s="13">
        <v>39.44</v>
      </c>
      <c r="AC22" s="13">
        <v>5.14</v>
      </c>
      <c r="AD22" s="13">
        <v>52.03</v>
      </c>
      <c r="AE22" s="13">
        <v>2.99</v>
      </c>
      <c r="AF22" s="13">
        <v>0.6</v>
      </c>
      <c r="AH22" s="13">
        <v>14.46</v>
      </c>
      <c r="AI22" s="13">
        <v>6.2830000000000004E-4</v>
      </c>
      <c r="AL22" s="13">
        <v>10</v>
      </c>
      <c r="AM22" s="13">
        <v>585</v>
      </c>
      <c r="AP22" s="13">
        <v>6.62</v>
      </c>
      <c r="AS22" s="13">
        <v>15</v>
      </c>
      <c r="AT22" s="13">
        <f>LN(25/Table26[[#This Row],[Temperature (C)]]/(1-SQRT((Table26[[#This Row],[Temperature (C)]]-5)/Table26[[#This Row],[Temperature (C)]])))/Table26[[#This Row],[b]]</f>
        <v>0.34728011759588356</v>
      </c>
      <c r="AU22" s="13">
        <f>IF(Table26[[#This Row],[b]]&lt;&gt;"",Table26[[#This Row],[T-5]], 0)</f>
        <v>0.34728011759588356</v>
      </c>
      <c r="AV22" s="13">
        <f>Table26[[#This Row],[Holding Time (min)]]+Table26[[#This Row],[Heating time]]</f>
        <v>15.347280117595883</v>
      </c>
      <c r="AW22" s="13">
        <v>350</v>
      </c>
      <c r="AY22" t="s">
        <v>503</v>
      </c>
      <c r="AZ22" s="13">
        <v>22.942643391521099</v>
      </c>
      <c r="BA22" s="13">
        <v>60.099750623441302</v>
      </c>
      <c r="BB22" s="13">
        <v>19.077306733166999</v>
      </c>
      <c r="BC22" s="13">
        <v>7.9800498753116997</v>
      </c>
      <c r="BE22" s="13">
        <v>36.5</v>
      </c>
      <c r="BQ22" s="13" t="s">
        <v>506</v>
      </c>
      <c r="CV22" s="13">
        <v>0</v>
      </c>
    </row>
    <row r="23" spans="1:100" x14ac:dyDescent="0.25">
      <c r="A23" t="s">
        <v>131</v>
      </c>
      <c r="B23" t="s">
        <v>165</v>
      </c>
      <c r="C23">
        <v>2014</v>
      </c>
      <c r="D23" t="s">
        <v>164</v>
      </c>
      <c r="E23">
        <v>0</v>
      </c>
      <c r="F23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23" s="13">
        <v>16.579999999999998</v>
      </c>
      <c r="O23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S23" s="13">
        <v>14.1</v>
      </c>
      <c r="T23" s="13">
        <v>69.319999999999993</v>
      </c>
      <c r="AB23" s="13">
        <v>39.44</v>
      </c>
      <c r="AC23" s="13">
        <v>5.14</v>
      </c>
      <c r="AD23" s="13">
        <v>52.03</v>
      </c>
      <c r="AE23" s="13">
        <v>2.99</v>
      </c>
      <c r="AF23" s="13">
        <v>0.6</v>
      </c>
      <c r="AH23" s="13">
        <v>14.46</v>
      </c>
      <c r="AI23" s="13">
        <v>6.2830000000000004E-4</v>
      </c>
      <c r="AL23" s="13">
        <v>10</v>
      </c>
      <c r="AM23" s="13">
        <v>585</v>
      </c>
      <c r="AP23" s="13">
        <v>6.62</v>
      </c>
      <c r="AS23" s="13">
        <v>15</v>
      </c>
      <c r="AT23" s="13">
        <f>LN(25/Table26[[#This Row],[Temperature (C)]]/(1-SQRT((Table26[[#This Row],[Temperature (C)]]-5)/Table26[[#This Row],[Temperature (C)]])))/Table26[[#This Row],[b]]</f>
        <v>0.34728011759588356</v>
      </c>
      <c r="AU23" s="13">
        <f>IF(Table26[[#This Row],[b]]&lt;&gt;"",Table26[[#This Row],[T-5]], 0)</f>
        <v>0.34728011759588356</v>
      </c>
      <c r="AV23" s="13">
        <f>Table26[[#This Row],[Holding Time (min)]]+Table26[[#This Row],[Heating time]]</f>
        <v>15.347280117595883</v>
      </c>
      <c r="AW23" s="13">
        <v>350</v>
      </c>
      <c r="AY23" t="s">
        <v>503</v>
      </c>
      <c r="AZ23" s="13">
        <v>18.952618453865298</v>
      </c>
      <c r="BA23" s="13">
        <v>70.448877805486205</v>
      </c>
      <c r="BB23" s="13">
        <v>15.461346633416399</v>
      </c>
      <c r="BC23" s="13">
        <v>7.2319201995012401</v>
      </c>
      <c r="BE23" s="13">
        <v>45.5</v>
      </c>
      <c r="BQ23" s="13" t="s">
        <v>506</v>
      </c>
      <c r="CV23" s="13">
        <v>0</v>
      </c>
    </row>
    <row r="24" spans="1:100" x14ac:dyDescent="0.25">
      <c r="A24" t="s">
        <v>131</v>
      </c>
      <c r="B24" t="s">
        <v>165</v>
      </c>
      <c r="C24">
        <v>2014</v>
      </c>
      <c r="D24" t="s">
        <v>164</v>
      </c>
      <c r="E24">
        <v>0</v>
      </c>
      <c r="F24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24" s="13">
        <v>16.579999999999998</v>
      </c>
      <c r="O24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S24" s="13">
        <v>14.1</v>
      </c>
      <c r="T24" s="13">
        <v>69.319999999999993</v>
      </c>
      <c r="AB24" s="13">
        <v>39.44</v>
      </c>
      <c r="AC24" s="13">
        <v>5.14</v>
      </c>
      <c r="AD24" s="13">
        <v>52.03</v>
      </c>
      <c r="AE24" s="13">
        <v>2.99</v>
      </c>
      <c r="AF24" s="13">
        <v>0.6</v>
      </c>
      <c r="AH24" s="13">
        <v>14.46</v>
      </c>
      <c r="AI24" s="13">
        <v>6.2830000000000004E-4</v>
      </c>
      <c r="AL24" s="13">
        <v>10</v>
      </c>
      <c r="AM24" s="13">
        <v>585</v>
      </c>
      <c r="AP24" s="13">
        <v>6.62</v>
      </c>
      <c r="AS24" s="13">
        <v>15</v>
      </c>
      <c r="AT24" s="13">
        <f>LN(25/Table26[[#This Row],[Temperature (C)]]/(1-SQRT((Table26[[#This Row],[Temperature (C)]]-5)/Table26[[#This Row],[Temperature (C)]])))/Table26[[#This Row],[b]]</f>
        <v>0.34728011759588356</v>
      </c>
      <c r="AU24" s="13">
        <f>IF(Table26[[#This Row],[b]]&lt;&gt;"",Table26[[#This Row],[T-5]], 0)</f>
        <v>0.34728011759588356</v>
      </c>
      <c r="AV24" s="13">
        <f>Table26[[#This Row],[Holding Time (min)]]+Table26[[#This Row],[Heating time]]</f>
        <v>15.347280117595883</v>
      </c>
      <c r="AW24" s="13">
        <v>350</v>
      </c>
      <c r="AY24" t="s">
        <v>503</v>
      </c>
      <c r="AZ24" s="13">
        <v>15.336658354114601</v>
      </c>
      <c r="BA24" s="13">
        <v>79.301745635910194</v>
      </c>
      <c r="BB24" s="13">
        <v>11.346633416458801</v>
      </c>
      <c r="BC24" s="13">
        <v>7.73067331670822</v>
      </c>
      <c r="BE24" s="13">
        <v>42.900000000000006</v>
      </c>
      <c r="BQ24" s="13" t="s">
        <v>506</v>
      </c>
      <c r="CV24" s="13">
        <v>0</v>
      </c>
    </row>
    <row r="25" spans="1:100" x14ac:dyDescent="0.25">
      <c r="A25" t="s">
        <v>131</v>
      </c>
      <c r="B25" t="s">
        <v>165</v>
      </c>
      <c r="C25">
        <v>2014</v>
      </c>
      <c r="D25" t="s">
        <v>164</v>
      </c>
      <c r="E25">
        <v>0</v>
      </c>
      <c r="F25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25" s="13">
        <v>16.579999999999998</v>
      </c>
      <c r="O25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S25" s="13">
        <v>14.1</v>
      </c>
      <c r="T25" s="13">
        <v>69.319999999999993</v>
      </c>
      <c r="AB25" s="13">
        <v>39.44</v>
      </c>
      <c r="AC25" s="13">
        <v>5.14</v>
      </c>
      <c r="AD25" s="13">
        <v>52.03</v>
      </c>
      <c r="AE25" s="13">
        <v>2.99</v>
      </c>
      <c r="AF25" s="13">
        <v>0.6</v>
      </c>
      <c r="AH25" s="13">
        <v>14.46</v>
      </c>
      <c r="AI25" s="13">
        <v>6.2830000000000004E-4</v>
      </c>
      <c r="AL25" s="13">
        <v>10</v>
      </c>
      <c r="AM25" s="13">
        <v>585</v>
      </c>
      <c r="AP25" s="13">
        <v>6.62</v>
      </c>
      <c r="AS25" s="13">
        <v>15</v>
      </c>
      <c r="AT25" s="13">
        <f>LN(25/Table26[[#This Row],[Temperature (C)]]/(1-SQRT((Table26[[#This Row],[Temperature (C)]]-5)/Table26[[#This Row],[Temperature (C)]])))/Table26[[#This Row],[b]]</f>
        <v>0.34728011759588356</v>
      </c>
      <c r="AU25" s="13">
        <f>IF(Table26[[#This Row],[b]]&lt;&gt;"",Table26[[#This Row],[T-5]], 0)</f>
        <v>0.34728011759588356</v>
      </c>
      <c r="AV25" s="13">
        <f>Table26[[#This Row],[Holding Time (min)]]+Table26[[#This Row],[Heating time]]</f>
        <v>15.347280117595883</v>
      </c>
      <c r="AW25" s="13">
        <v>350</v>
      </c>
      <c r="AY25" t="s">
        <v>503</v>
      </c>
      <c r="AZ25" s="13">
        <v>19.700748129675699</v>
      </c>
      <c r="BA25" s="13">
        <v>74.937655860349096</v>
      </c>
      <c r="BB25" s="13">
        <v>10.3491271820448</v>
      </c>
      <c r="BC25" s="13">
        <v>8.1047381546134503</v>
      </c>
      <c r="BE25" s="13">
        <v>40.9</v>
      </c>
      <c r="BQ25" s="13" t="s">
        <v>506</v>
      </c>
      <c r="CV25" s="13">
        <v>0</v>
      </c>
    </row>
    <row r="26" spans="1:100" x14ac:dyDescent="0.25">
      <c r="A26" t="s">
        <v>166</v>
      </c>
      <c r="B26" t="s">
        <v>167</v>
      </c>
      <c r="C26">
        <v>2015</v>
      </c>
      <c r="D26" t="s">
        <v>168</v>
      </c>
      <c r="E26">
        <v>0</v>
      </c>
      <c r="F26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26" s="13">
        <v>23.9</v>
      </c>
      <c r="O26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26" s="13">
        <v>6.6</v>
      </c>
      <c r="AB26" s="13">
        <v>33.1</v>
      </c>
      <c r="AC26" s="13">
        <v>4.7</v>
      </c>
      <c r="AD26" s="13">
        <v>33.9</v>
      </c>
      <c r="AE26" s="13">
        <v>1.8</v>
      </c>
      <c r="AF26" s="13">
        <v>0.8</v>
      </c>
      <c r="AH26" s="13">
        <v>13.1</v>
      </c>
      <c r="AI26" s="13">
        <v>7.4999999999999997E-2</v>
      </c>
      <c r="AJ26" s="13">
        <v>8</v>
      </c>
      <c r="AK26" s="13">
        <v>30</v>
      </c>
      <c r="AL26" s="13">
        <f>Table26[[#This Row],[Solids (g)]]/(Table26[[#This Row],[Solids (g)]]+Table26[[#This Row],[Water mL]])*100</f>
        <v>21.052631578947366</v>
      </c>
      <c r="AM26" s="13">
        <v>25</v>
      </c>
      <c r="AP26" s="13">
        <v>0.313</v>
      </c>
      <c r="AS26" s="13">
        <v>15</v>
      </c>
      <c r="AT26" s="13">
        <f>LN(25/Table26[[#This Row],[Temperature (C)]]/(1-SQRT((Table26[[#This Row],[Temperature (C)]]-5)/Table26[[#This Row],[Temperature (C)]])))/Table26[[#This Row],[b]]</f>
        <v>7.3450299632100613</v>
      </c>
      <c r="AU26" s="13">
        <f>IF(Table26[[#This Row],[b]]&lt;&gt;"",Table26[[#This Row],[T-5]], 0)</f>
        <v>7.3450299632100613</v>
      </c>
      <c r="AV26" s="13">
        <f>Table26[[#This Row],[Holding Time (min)]]+Table26[[#This Row],[Heating time]]</f>
        <v>22.34502996321006</v>
      </c>
      <c r="AW26" s="13">
        <v>350</v>
      </c>
      <c r="AY26" t="s">
        <v>503</v>
      </c>
      <c r="AZ26" s="13">
        <v>10.9</v>
      </c>
      <c r="BA26" s="13">
        <v>17.600000000000001</v>
      </c>
      <c r="BB26" s="13">
        <v>35.343618513323996</v>
      </c>
      <c r="BC26" s="13">
        <v>7.8541374474053072</v>
      </c>
      <c r="BD26" s="13">
        <v>28.050490883590498</v>
      </c>
      <c r="BE26" s="13">
        <v>40</v>
      </c>
      <c r="BI26" s="13">
        <v>70.5</v>
      </c>
      <c r="BJ26" s="13">
        <v>7.8</v>
      </c>
      <c r="BK26" s="13">
        <v>17</v>
      </c>
      <c r="BL26" s="13">
        <v>4</v>
      </c>
      <c r="BM26" s="13">
        <v>0.7</v>
      </c>
      <c r="BN26" s="13">
        <v>32</v>
      </c>
      <c r="BP26" s="13">
        <v>49.1</v>
      </c>
      <c r="BQ26" s="13">
        <v>7.7127659574468082</v>
      </c>
      <c r="CD26" s="13">
        <v>39.1</v>
      </c>
      <c r="CE26" s="13">
        <v>3.1</v>
      </c>
      <c r="CF26" s="13">
        <v>8.4</v>
      </c>
      <c r="CG26" s="13">
        <v>2.2000000000000002</v>
      </c>
      <c r="CH26" s="13">
        <v>2.1</v>
      </c>
      <c r="CI26" s="13">
        <v>15.7</v>
      </c>
      <c r="CJ26" s="13">
        <v>38.6</v>
      </c>
      <c r="CL26" s="13">
        <v>3.3</v>
      </c>
      <c r="CV26" s="13">
        <v>0</v>
      </c>
    </row>
    <row r="27" spans="1:100" x14ac:dyDescent="0.25">
      <c r="A27" t="s">
        <v>166</v>
      </c>
      <c r="B27" t="s">
        <v>167</v>
      </c>
      <c r="C27">
        <v>2015</v>
      </c>
      <c r="D27" t="s">
        <v>169</v>
      </c>
      <c r="E27">
        <v>0</v>
      </c>
      <c r="F27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27" s="13">
        <v>16.600000000000001</v>
      </c>
      <c r="O27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27" s="13">
        <v>5.6</v>
      </c>
      <c r="AB27" s="13">
        <v>35.799999999999997</v>
      </c>
      <c r="AC27" s="13">
        <v>5.0999999999999996</v>
      </c>
      <c r="AD27" s="13">
        <v>39.1</v>
      </c>
      <c r="AE27" s="13">
        <v>1.5</v>
      </c>
      <c r="AF27" s="13">
        <v>0.9</v>
      </c>
      <c r="AH27" s="13">
        <v>14.2</v>
      </c>
      <c r="AI27" s="13">
        <v>7.4999999999999997E-2</v>
      </c>
      <c r="AJ27" s="13">
        <v>8</v>
      </c>
      <c r="AK27" s="13">
        <v>30</v>
      </c>
      <c r="AL27" s="13">
        <f>Table26[[#This Row],[Solids (g)]]/(Table26[[#This Row],[Solids (g)]]+Table26[[#This Row],[Water mL]])*100</f>
        <v>21.052631578947366</v>
      </c>
      <c r="AM27" s="13">
        <v>25</v>
      </c>
      <c r="AP27" s="13">
        <v>0.313</v>
      </c>
      <c r="AS27" s="13">
        <v>15</v>
      </c>
      <c r="AT27" s="13">
        <f>LN(25/Table26[[#This Row],[Temperature (C)]]/(1-SQRT((Table26[[#This Row],[Temperature (C)]]-5)/Table26[[#This Row],[Temperature (C)]])))/Table26[[#This Row],[b]]</f>
        <v>7.3450299632100613</v>
      </c>
      <c r="AU27" s="13">
        <f>IF(Table26[[#This Row],[b]]&lt;&gt;"",Table26[[#This Row],[T-5]], 0)</f>
        <v>7.3450299632100613</v>
      </c>
      <c r="AV27" s="13">
        <f>Table26[[#This Row],[Holding Time (min)]]+Table26[[#This Row],[Heating time]]</f>
        <v>22.34502996321006</v>
      </c>
      <c r="AW27" s="13">
        <v>350</v>
      </c>
      <c r="AY27" t="s">
        <v>503</v>
      </c>
      <c r="AZ27" s="13">
        <v>16.7</v>
      </c>
      <c r="BA27" s="13">
        <v>9.8000000000000007</v>
      </c>
      <c r="BB27" s="13">
        <v>36.1851332398317</v>
      </c>
      <c r="BC27" s="13">
        <v>7.0126227208975962</v>
      </c>
      <c r="BD27" s="13">
        <v>30.154277699859804</v>
      </c>
      <c r="BE27" s="13">
        <v>32.5</v>
      </c>
      <c r="BI27" s="13">
        <v>72.8</v>
      </c>
      <c r="BJ27" s="13">
        <v>7.7</v>
      </c>
      <c r="BK27" s="13">
        <v>14.9</v>
      </c>
      <c r="BL27" s="13">
        <v>3.7</v>
      </c>
      <c r="BM27" s="13">
        <v>0.8</v>
      </c>
      <c r="BN27" s="13">
        <v>33</v>
      </c>
      <c r="BP27" s="13">
        <v>58.6</v>
      </c>
      <c r="BQ27" s="13" t="s">
        <v>506</v>
      </c>
      <c r="CD27" s="13">
        <v>64.2</v>
      </c>
      <c r="CE27" s="13">
        <v>4.3</v>
      </c>
      <c r="CF27" s="13">
        <v>9.5</v>
      </c>
      <c r="CG27" s="13">
        <v>3</v>
      </c>
      <c r="CH27" s="13">
        <v>0.6</v>
      </c>
      <c r="CI27" s="13">
        <v>26.2</v>
      </c>
      <c r="CJ27" s="13">
        <v>14.5</v>
      </c>
      <c r="CL27" s="13">
        <v>1.9</v>
      </c>
      <c r="CV27" s="13">
        <v>0</v>
      </c>
    </row>
    <row r="28" spans="1:100" x14ac:dyDescent="0.25">
      <c r="A28" t="s">
        <v>166</v>
      </c>
      <c r="B28" t="s">
        <v>167</v>
      </c>
      <c r="C28">
        <v>2015</v>
      </c>
      <c r="D28" t="s">
        <v>170</v>
      </c>
      <c r="E28">
        <v>0</v>
      </c>
      <c r="F28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28" s="13">
        <v>21.8</v>
      </c>
      <c r="O28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28" s="13">
        <v>6.4</v>
      </c>
      <c r="AB28" s="13">
        <v>32.5</v>
      </c>
      <c r="AC28" s="13">
        <v>4.5</v>
      </c>
      <c r="AD28" s="13">
        <v>37.9</v>
      </c>
      <c r="AE28" s="13">
        <v>1.1000000000000001</v>
      </c>
      <c r="AF28" s="13">
        <v>0.6</v>
      </c>
      <c r="AH28" s="13">
        <v>12.2</v>
      </c>
      <c r="AI28" s="13">
        <v>7.4999999999999997E-2</v>
      </c>
      <c r="AJ28" s="13">
        <v>8</v>
      </c>
      <c r="AK28" s="13">
        <v>30</v>
      </c>
      <c r="AL28" s="13">
        <f>Table26[[#This Row],[Solids (g)]]/(Table26[[#This Row],[Solids (g)]]+Table26[[#This Row],[Water mL]])*100</f>
        <v>21.052631578947366</v>
      </c>
      <c r="AM28" s="13">
        <v>25</v>
      </c>
      <c r="AP28" s="13">
        <v>0.313</v>
      </c>
      <c r="AS28" s="13">
        <v>15</v>
      </c>
      <c r="AT28" s="13">
        <f>LN(25/Table26[[#This Row],[Temperature (C)]]/(1-SQRT((Table26[[#This Row],[Temperature (C)]]-5)/Table26[[#This Row],[Temperature (C)]])))/Table26[[#This Row],[b]]</f>
        <v>7.3450299632100613</v>
      </c>
      <c r="AU28" s="13">
        <f>IF(Table26[[#This Row],[b]]&lt;&gt;"",Table26[[#This Row],[T-5]], 0)</f>
        <v>7.3450299632100613</v>
      </c>
      <c r="AV28" s="13">
        <f>Table26[[#This Row],[Holding Time (min)]]+Table26[[#This Row],[Heating time]]</f>
        <v>22.34502996321006</v>
      </c>
      <c r="AW28" s="13">
        <v>350</v>
      </c>
      <c r="AY28" t="s">
        <v>503</v>
      </c>
      <c r="AZ28" s="13">
        <v>18.600000000000001</v>
      </c>
      <c r="BA28" s="13">
        <v>13</v>
      </c>
      <c r="BB28" s="13">
        <v>28.611500701262202</v>
      </c>
      <c r="BC28" s="13">
        <v>7.7138849929873956</v>
      </c>
      <c r="BD28" s="13">
        <v>31.977559607293202</v>
      </c>
      <c r="BE28" s="13">
        <v>44.900000000000006</v>
      </c>
      <c r="BI28" s="13">
        <v>74.5</v>
      </c>
      <c r="BJ28" s="13">
        <v>7.9</v>
      </c>
      <c r="BK28" s="13">
        <v>14</v>
      </c>
      <c r="BL28" s="13">
        <v>3</v>
      </c>
      <c r="BM28" s="13">
        <v>0.6</v>
      </c>
      <c r="BN28" s="13">
        <v>33.9</v>
      </c>
      <c r="BP28" s="13">
        <v>54.8</v>
      </c>
      <c r="BQ28" s="13" t="s">
        <v>506</v>
      </c>
      <c r="CD28" s="13">
        <v>44.2</v>
      </c>
      <c r="CE28" s="13">
        <v>3.1</v>
      </c>
      <c r="CF28" s="13">
        <v>10.7</v>
      </c>
      <c r="CG28" s="13">
        <v>1.8</v>
      </c>
      <c r="CH28" s="13">
        <v>0.3</v>
      </c>
      <c r="CI28" s="13">
        <v>17.2</v>
      </c>
      <c r="CJ28" s="13">
        <v>33.799999999999997</v>
      </c>
      <c r="CL28" s="13">
        <v>3.1</v>
      </c>
      <c r="CV28" s="13">
        <v>0</v>
      </c>
    </row>
    <row r="29" spans="1:100" x14ac:dyDescent="0.25">
      <c r="A29" t="s">
        <v>166</v>
      </c>
      <c r="B29" t="s">
        <v>167</v>
      </c>
      <c r="C29">
        <v>2015</v>
      </c>
      <c r="D29" t="s">
        <v>171</v>
      </c>
      <c r="E29">
        <v>0</v>
      </c>
      <c r="F29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29" s="13">
        <v>25.2</v>
      </c>
      <c r="O29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29" s="13">
        <v>6.8</v>
      </c>
      <c r="AB29" s="13">
        <v>34.6</v>
      </c>
      <c r="AC29" s="13">
        <v>4.7</v>
      </c>
      <c r="AD29" s="13">
        <v>31.1</v>
      </c>
      <c r="AE29" s="13">
        <v>1.9</v>
      </c>
      <c r="AF29" s="13">
        <v>0.6</v>
      </c>
      <c r="AH29" s="13">
        <v>13.9</v>
      </c>
      <c r="AI29" s="13">
        <v>7.4999999999999997E-2</v>
      </c>
      <c r="AJ29" s="13">
        <v>8</v>
      </c>
      <c r="AK29" s="13">
        <v>30</v>
      </c>
      <c r="AL29" s="13">
        <f>Table26[[#This Row],[Solids (g)]]/(Table26[[#This Row],[Solids (g)]]+Table26[[#This Row],[Water mL]])*100</f>
        <v>21.052631578947366</v>
      </c>
      <c r="AM29" s="13">
        <v>25</v>
      </c>
      <c r="AP29" s="13">
        <v>0.313</v>
      </c>
      <c r="AS29" s="13">
        <v>15</v>
      </c>
      <c r="AT29" s="13">
        <f>LN(25/Table26[[#This Row],[Temperature (C)]]/(1-SQRT((Table26[[#This Row],[Temperature (C)]]-5)/Table26[[#This Row],[Temperature (C)]])))/Table26[[#This Row],[b]]</f>
        <v>7.3450299632100613</v>
      </c>
      <c r="AU29" s="13">
        <f>IF(Table26[[#This Row],[b]]&lt;&gt;"",Table26[[#This Row],[T-5]], 0)</f>
        <v>7.3450299632100613</v>
      </c>
      <c r="AV29" s="13">
        <f>Table26[[#This Row],[Holding Time (min)]]+Table26[[#This Row],[Heating time]]</f>
        <v>22.34502996321006</v>
      </c>
      <c r="AW29" s="13">
        <v>350</v>
      </c>
      <c r="AY29" t="s">
        <v>503</v>
      </c>
      <c r="AZ29" s="13">
        <v>17.899999999999999</v>
      </c>
      <c r="BA29" s="13">
        <v>17.8</v>
      </c>
      <c r="BB29" s="13">
        <v>30.154277699859698</v>
      </c>
      <c r="BC29" s="13">
        <v>8.2748948106592053</v>
      </c>
      <c r="BD29" s="13">
        <v>25.525946704067394</v>
      </c>
      <c r="BE29" s="13">
        <v>43.400000000000006</v>
      </c>
      <c r="BI29" s="13">
        <v>73.8</v>
      </c>
      <c r="BJ29" s="13">
        <v>8</v>
      </c>
      <c r="BK29" s="13">
        <v>14</v>
      </c>
      <c r="BL29" s="13">
        <v>3.8</v>
      </c>
      <c r="BM29" s="13">
        <v>0.8</v>
      </c>
      <c r="BN29" s="13">
        <v>33.799999999999997</v>
      </c>
      <c r="BP29" s="13">
        <v>63.8</v>
      </c>
      <c r="BQ29" s="13" t="s">
        <v>506</v>
      </c>
      <c r="CD29" s="13">
        <v>45.3</v>
      </c>
      <c r="CE29" s="13">
        <v>3.3</v>
      </c>
      <c r="CF29" s="13">
        <v>6</v>
      </c>
      <c r="CG29" s="13">
        <v>2.2999999999999998</v>
      </c>
      <c r="CH29" s="13">
        <v>0.8</v>
      </c>
      <c r="CI29" s="13">
        <v>18.3</v>
      </c>
      <c r="CJ29" s="13">
        <v>35.1</v>
      </c>
      <c r="CL29" s="13">
        <v>3.6</v>
      </c>
      <c r="CV29" s="13">
        <v>0</v>
      </c>
    </row>
    <row r="30" spans="1:100" x14ac:dyDescent="0.25">
      <c r="A30" t="s">
        <v>182</v>
      </c>
      <c r="B30" t="s">
        <v>183</v>
      </c>
      <c r="C30">
        <v>2016</v>
      </c>
      <c r="D30" t="s">
        <v>180</v>
      </c>
      <c r="E30">
        <v>1</v>
      </c>
      <c r="F30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L30" s="13">
        <v>100</v>
      </c>
      <c r="N30" s="13">
        <v>0.53</v>
      </c>
      <c r="O3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30" s="13">
        <v>0</v>
      </c>
      <c r="AB30" s="13">
        <v>77.45</v>
      </c>
      <c r="AC30" s="13">
        <v>13.37</v>
      </c>
      <c r="AD30" s="13">
        <f>100-Table26[[#This Row],[C%]]-Table26[[#This Row],[H%]]-Table26[[#This Row],[N%]]-Table26[[#This Row],[S%]]</f>
        <v>9.1799999999999979</v>
      </c>
      <c r="AE30" s="13">
        <v>0</v>
      </c>
      <c r="AH30" s="13">
        <v>39.369999999999997</v>
      </c>
      <c r="AI30" s="13">
        <v>0.05</v>
      </c>
      <c r="AJ30" s="13">
        <v>4</v>
      </c>
      <c r="AK30" s="13">
        <v>20</v>
      </c>
      <c r="AL30" s="13">
        <f>Table26[[#This Row],[Solids (g)]]/(Table26[[#This Row],[Solids (g)]]+Table26[[#This Row],[Water mL]])*100</f>
        <v>16.666666666666664</v>
      </c>
      <c r="AP30" s="13">
        <v>8.8400000000000006E-2</v>
      </c>
      <c r="AT30" s="13">
        <f>LN(25/Table26[[#This Row],[Temperature (C)]]/(1-SQRT((Table26[[#This Row],[Temperature (C)]]-5)/Table26[[#This Row],[Temperature (C)]])))/Table26[[#This Row],[b]]</f>
        <v>25.999911095755447</v>
      </c>
      <c r="AU30" s="13">
        <f>IF(Table26[[#This Row],[b]]&lt;&gt;"",Table26[[#This Row],[T-5]], 0)</f>
        <v>25.999911095755447</v>
      </c>
      <c r="AV30" s="13">
        <v>26</v>
      </c>
      <c r="AW30" s="13">
        <v>300</v>
      </c>
      <c r="AY30" t="s">
        <v>503</v>
      </c>
      <c r="AZ30" s="13">
        <v>2.5974025974026702</v>
      </c>
      <c r="BA30" s="13">
        <v>96.428571428571331</v>
      </c>
      <c r="BB30" s="13">
        <v>3.246753246753002</v>
      </c>
      <c r="BE30" s="13">
        <v>40.800000000000004</v>
      </c>
      <c r="BQ30" s="13" t="s">
        <v>506</v>
      </c>
      <c r="CV30" s="13">
        <v>0</v>
      </c>
    </row>
    <row r="31" spans="1:100" x14ac:dyDescent="0.25">
      <c r="A31" s="1" t="s">
        <v>182</v>
      </c>
      <c r="B31" t="s">
        <v>183</v>
      </c>
      <c r="C31">
        <v>2016</v>
      </c>
      <c r="D31" t="s">
        <v>180</v>
      </c>
      <c r="E31">
        <v>1</v>
      </c>
      <c r="F31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L31" s="13">
        <v>100</v>
      </c>
      <c r="N31" s="13">
        <v>0.53</v>
      </c>
      <c r="O3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31" s="13">
        <v>0</v>
      </c>
      <c r="AB31" s="13">
        <v>77.45</v>
      </c>
      <c r="AC31" s="13">
        <v>13.37</v>
      </c>
      <c r="AD31" s="13">
        <f>100-Table26[[#This Row],[C%]]-Table26[[#This Row],[H%]]-Table26[[#This Row],[N%]]-Table26[[#This Row],[S%]]</f>
        <v>9.1799999999999979</v>
      </c>
      <c r="AE31" s="13">
        <v>0</v>
      </c>
      <c r="AH31" s="13">
        <v>39.369999999999997</v>
      </c>
      <c r="AI31" s="13">
        <v>0.05</v>
      </c>
      <c r="AJ31" s="13">
        <v>4</v>
      </c>
      <c r="AK31" s="13">
        <v>20</v>
      </c>
      <c r="AL31" s="13">
        <f>Table26[[#This Row],[Solids (g)]]/(Table26[[#This Row],[Solids (g)]]+Table26[[#This Row],[Water mL]])*100</f>
        <v>16.666666666666664</v>
      </c>
      <c r="AP31" s="13">
        <v>5.6065104833690718E-2</v>
      </c>
      <c r="AT31" s="13">
        <f>LN(25/Table26[[#This Row],[Temperature (C)]]/(1-SQRT((Table26[[#This Row],[Temperature (C)]]-5)/Table26[[#This Row],[Temperature (C)]])))/Table26[[#This Row],[b]]</f>
        <v>40.999758421686444</v>
      </c>
      <c r="AU31" s="13">
        <f>IF(Table26[[#This Row],[b]]&lt;&gt;"",Table26[[#This Row],[T-5]], 0)</f>
        <v>40.999758421686444</v>
      </c>
      <c r="AV31" s="13">
        <v>41</v>
      </c>
      <c r="AW31" s="13">
        <v>320</v>
      </c>
      <c r="AY31" t="s">
        <v>503</v>
      </c>
      <c r="AZ31" s="13">
        <v>1.29870129870134</v>
      </c>
      <c r="BA31" s="13">
        <v>100.32467532467466</v>
      </c>
      <c r="BB31" s="13">
        <v>6.4935064935069988</v>
      </c>
      <c r="BE31" s="13">
        <v>39.400000000000006</v>
      </c>
      <c r="BQ31" s="13">
        <v>7.8212290502793298</v>
      </c>
      <c r="CV31" s="13">
        <v>0</v>
      </c>
    </row>
    <row r="32" spans="1:100" x14ac:dyDescent="0.25">
      <c r="A32" t="s">
        <v>182</v>
      </c>
      <c r="B32" t="s">
        <v>183</v>
      </c>
      <c r="C32">
        <v>2016</v>
      </c>
      <c r="D32" t="s">
        <v>180</v>
      </c>
      <c r="E32">
        <v>1</v>
      </c>
      <c r="F32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L32" s="13">
        <v>100</v>
      </c>
      <c r="N32" s="13">
        <v>0.53</v>
      </c>
      <c r="O3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32" s="13">
        <v>0</v>
      </c>
      <c r="AB32" s="13">
        <v>77.45</v>
      </c>
      <c r="AC32" s="13">
        <v>13.37</v>
      </c>
      <c r="AD32" s="13">
        <f>100-Table26[[#This Row],[C%]]-Table26[[#This Row],[H%]]-Table26[[#This Row],[N%]]-Table26[[#This Row],[S%]]</f>
        <v>9.1799999999999979</v>
      </c>
      <c r="AE32" s="13">
        <v>0</v>
      </c>
      <c r="AH32" s="13">
        <v>39.369999999999997</v>
      </c>
      <c r="AI32" s="13">
        <v>0.05</v>
      </c>
      <c r="AJ32" s="13">
        <v>4</v>
      </c>
      <c r="AK32" s="13">
        <v>20</v>
      </c>
      <c r="AL32" s="13">
        <f>Table26[[#This Row],[Solids (g)]]/(Table26[[#This Row],[Solids (g)]]+Table26[[#This Row],[Water mL]])*100</f>
        <v>16.666666666666664</v>
      </c>
      <c r="AP32" s="13">
        <v>4.1052014018780156E-2</v>
      </c>
      <c r="AT32" s="13">
        <f>LN(25/Table26[[#This Row],[Temperature (C)]]/(1-SQRT((Table26[[#This Row],[Temperature (C)]]-5)/Table26[[#This Row],[Temperature (C)]])))/Table26[[#This Row],[b]]</f>
        <v>55.999400649182988</v>
      </c>
      <c r="AU32" s="13">
        <f>IF(Table26[[#This Row],[b]]&lt;&gt;"",Table26[[#This Row],[T-5]], 0)</f>
        <v>55.999400649182988</v>
      </c>
      <c r="AV32" s="13">
        <v>56</v>
      </c>
      <c r="AW32" s="13">
        <v>340</v>
      </c>
      <c r="AY32" t="s">
        <v>503</v>
      </c>
      <c r="AZ32" s="13">
        <v>0.97402597402605295</v>
      </c>
      <c r="BA32" s="13">
        <v>101.29870129870095</v>
      </c>
      <c r="BB32" s="13">
        <v>1.2987012987010047</v>
      </c>
      <c r="BE32" s="13">
        <v>32.400000000000006</v>
      </c>
      <c r="BQ32" s="13" t="s">
        <v>506</v>
      </c>
      <c r="CV32" s="13">
        <v>0</v>
      </c>
    </row>
    <row r="33" spans="1:100" x14ac:dyDescent="0.25">
      <c r="A33" t="s">
        <v>182</v>
      </c>
      <c r="B33" t="s">
        <v>183</v>
      </c>
      <c r="C33">
        <v>2016</v>
      </c>
      <c r="D33" t="s">
        <v>180</v>
      </c>
      <c r="E33">
        <v>1</v>
      </c>
      <c r="F33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L33" s="13">
        <v>100</v>
      </c>
      <c r="N33" s="13">
        <v>0.53</v>
      </c>
      <c r="O3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33" s="13">
        <v>0</v>
      </c>
      <c r="AB33" s="13">
        <v>77.45</v>
      </c>
      <c r="AC33" s="13">
        <v>13.37</v>
      </c>
      <c r="AD33" s="13">
        <f>100-Table26[[#This Row],[C%]]-Table26[[#This Row],[H%]]-Table26[[#This Row],[N%]]-Table26[[#This Row],[S%]]</f>
        <v>9.1799999999999979</v>
      </c>
      <c r="AE33" s="13">
        <v>0</v>
      </c>
      <c r="AH33" s="13">
        <v>39.369999999999997</v>
      </c>
      <c r="AI33" s="13">
        <v>0.05</v>
      </c>
      <c r="AJ33" s="13">
        <v>4</v>
      </c>
      <c r="AK33" s="13">
        <v>20</v>
      </c>
      <c r="AL33" s="13">
        <f>Table26[[#This Row],[Solids (g)]]/(Table26[[#This Row],[Solids (g)]]+Table26[[#This Row],[Water mL]])*100</f>
        <v>16.666666666666664</v>
      </c>
      <c r="AP33" s="13">
        <v>3.2381676599318371E-2</v>
      </c>
      <c r="AT33" s="13">
        <f>LN(25/Table26[[#This Row],[Temperature (C)]]/(1-SQRT((Table26[[#This Row],[Temperature (C)]]-5)/Table26[[#This Row],[Temperature (C)]])))/Table26[[#This Row],[b]]</f>
        <v>70.999864333891651</v>
      </c>
      <c r="AU33" s="13">
        <f>IF(Table26[[#This Row],[b]]&lt;&gt;"",Table26[[#This Row],[T-5]], 0)</f>
        <v>70.999864333891651</v>
      </c>
      <c r="AV33" s="13">
        <v>71</v>
      </c>
      <c r="AW33" s="13">
        <v>360</v>
      </c>
      <c r="AY33" t="s">
        <v>503</v>
      </c>
      <c r="AZ33" s="13">
        <v>1.94805194805199</v>
      </c>
      <c r="BA33" s="13">
        <v>101.29870129870102</v>
      </c>
      <c r="BB33" s="13">
        <v>3.571428571428001</v>
      </c>
      <c r="BE33" s="13" t="s">
        <v>506</v>
      </c>
      <c r="BQ33" s="13" t="s">
        <v>506</v>
      </c>
      <c r="CV33" s="13">
        <v>0</v>
      </c>
    </row>
    <row r="34" spans="1:100" x14ac:dyDescent="0.25">
      <c r="A34" t="s">
        <v>182</v>
      </c>
      <c r="B34" t="s">
        <v>183</v>
      </c>
      <c r="C34">
        <v>2016</v>
      </c>
      <c r="D34" t="s">
        <v>181</v>
      </c>
      <c r="E34">
        <v>1</v>
      </c>
      <c r="F34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88</v>
      </c>
      <c r="G34" s="13">
        <v>88</v>
      </c>
      <c r="K34" s="13">
        <v>0.2</v>
      </c>
      <c r="L34" s="13">
        <v>0.1</v>
      </c>
      <c r="O3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88.3</v>
      </c>
      <c r="R34" s="13">
        <v>11.8</v>
      </c>
      <c r="AB34" s="13">
        <v>44.77</v>
      </c>
      <c r="AC34" s="13">
        <v>8.02</v>
      </c>
      <c r="AD34" s="13">
        <f>100-Table26[[#This Row],[C%]]-Table26[[#This Row],[H%]]-Table26[[#This Row],[N%]]-Table26[[#This Row],[S%]]</f>
        <v>47.209999999999994</v>
      </c>
      <c r="AE34" s="13">
        <v>0</v>
      </c>
      <c r="AH34" s="13">
        <v>15.09</v>
      </c>
      <c r="AI34" s="13">
        <v>0.05</v>
      </c>
      <c r="AJ34" s="13">
        <v>4</v>
      </c>
      <c r="AK34" s="13">
        <v>20</v>
      </c>
      <c r="AL34" s="13">
        <f>Table26[[#This Row],[Solids (g)]]/(Table26[[#This Row],[Solids (g)]]+Table26[[#This Row],[Water mL]])*100</f>
        <v>16.666666666666664</v>
      </c>
      <c r="AP34" s="13">
        <v>7.5359998744753423E-2</v>
      </c>
      <c r="AT34" s="13">
        <f>LN(25/Table26[[#This Row],[Temperature (C)]]/(1-SQRT((Table26[[#This Row],[Temperature (C)]]-5)/Table26[[#This Row],[Temperature (C)]])))/Table26[[#This Row],[b]]</f>
        <v>30.499932375760082</v>
      </c>
      <c r="AU34" s="13">
        <f>IF(Table26[[#This Row],[b]]&lt;&gt;"",Table26[[#This Row],[T-5]], 0)</f>
        <v>30.499932375760082</v>
      </c>
      <c r="AV34" s="13">
        <v>30.5</v>
      </c>
      <c r="AW34" s="13">
        <v>306</v>
      </c>
      <c r="AY34" t="s">
        <v>503</v>
      </c>
      <c r="AZ34" s="13">
        <v>44.805194805194802</v>
      </c>
      <c r="BA34" s="13">
        <v>3.246753246753201</v>
      </c>
      <c r="BB34" s="13">
        <v>3.8961038961038952</v>
      </c>
      <c r="BC34" s="13">
        <v>11.363636363636402</v>
      </c>
      <c r="BD34" s="13">
        <f>100-SUM(Table26[[#This Row],[Solids wt%]:[Gas wt%]])</f>
        <v>36.6883116883117</v>
      </c>
      <c r="BE34" s="13" t="s">
        <v>506</v>
      </c>
      <c r="BQ34" s="13" t="s">
        <v>506</v>
      </c>
      <c r="CV34" s="13">
        <v>0</v>
      </c>
    </row>
    <row r="35" spans="1:100" x14ac:dyDescent="0.25">
      <c r="A35" t="s">
        <v>182</v>
      </c>
      <c r="B35" t="s">
        <v>183</v>
      </c>
      <c r="C35">
        <v>2016</v>
      </c>
      <c r="D35" t="s">
        <v>181</v>
      </c>
      <c r="E35">
        <v>1</v>
      </c>
      <c r="F35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88</v>
      </c>
      <c r="G35" s="13">
        <v>88</v>
      </c>
      <c r="K35" s="13">
        <v>0.2</v>
      </c>
      <c r="L35" s="13">
        <v>0.1</v>
      </c>
      <c r="O3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88.3</v>
      </c>
      <c r="R35" s="13">
        <v>11.8</v>
      </c>
      <c r="AB35" s="13">
        <v>44.77</v>
      </c>
      <c r="AC35" s="13">
        <v>8.02</v>
      </c>
      <c r="AD35" s="13">
        <f>100-Table26[[#This Row],[C%]]-Table26[[#This Row],[H%]]-Table26[[#This Row],[N%]]-Table26[[#This Row],[S%]]</f>
        <v>47.209999999999994</v>
      </c>
      <c r="AE35" s="13">
        <v>0</v>
      </c>
      <c r="AH35" s="13">
        <v>15.09</v>
      </c>
      <c r="AI35" s="13">
        <v>0.05</v>
      </c>
      <c r="AJ35" s="13">
        <v>4</v>
      </c>
      <c r="AK35" s="13">
        <v>20</v>
      </c>
      <c r="AL35" s="13">
        <f>Table26[[#This Row],[Solids (g)]]/(Table26[[#This Row],[Solids (g)]]+Table26[[#This Row],[Water mL]])*100</f>
        <v>16.666666666666664</v>
      </c>
      <c r="AP35" s="13">
        <v>5.4086422470475008E-2</v>
      </c>
      <c r="AT35" s="13">
        <f>LN(25/Table26[[#This Row],[Temperature (C)]]/(1-SQRT((Table26[[#This Row],[Temperature (C)]]-5)/Table26[[#This Row],[Temperature (C)]])))/Table26[[#This Row],[b]]</f>
        <v>42.500135868985438</v>
      </c>
      <c r="AU35" s="13">
        <f>IF(Table26[[#This Row],[b]]&lt;&gt;"",Table26[[#This Row],[T-5]], 0)</f>
        <v>42.500135868985438</v>
      </c>
      <c r="AV35" s="13">
        <v>42.5</v>
      </c>
      <c r="AW35" s="13">
        <v>322</v>
      </c>
      <c r="AY35" t="s">
        <v>503</v>
      </c>
      <c r="AZ35" s="13">
        <v>46.103896103896098</v>
      </c>
      <c r="BA35" s="13">
        <v>3.246753246753201</v>
      </c>
      <c r="BB35" s="13">
        <v>3.5714285714285978</v>
      </c>
      <c r="BC35" s="13">
        <v>12.012987012987004</v>
      </c>
      <c r="BD35" s="13">
        <f>100-SUM(Table26[[#This Row],[Solids wt%]:[Gas wt%]])</f>
        <v>35.064935064935099</v>
      </c>
      <c r="BE35" s="13" t="s">
        <v>506</v>
      </c>
      <c r="BQ35" s="13" t="s">
        <v>506</v>
      </c>
      <c r="CV35" s="13">
        <v>0</v>
      </c>
    </row>
    <row r="36" spans="1:100" x14ac:dyDescent="0.25">
      <c r="A36" t="s">
        <v>182</v>
      </c>
      <c r="B36" t="s">
        <v>183</v>
      </c>
      <c r="C36">
        <v>2016</v>
      </c>
      <c r="D36" t="s">
        <v>181</v>
      </c>
      <c r="E36">
        <v>1</v>
      </c>
      <c r="F36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88</v>
      </c>
      <c r="G36" s="13">
        <v>88</v>
      </c>
      <c r="K36" s="13">
        <v>0.2</v>
      </c>
      <c r="L36" s="13">
        <v>0.1</v>
      </c>
      <c r="O3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88.3</v>
      </c>
      <c r="R36" s="13">
        <v>11.8</v>
      </c>
      <c r="AB36" s="13">
        <v>44.77</v>
      </c>
      <c r="AC36" s="13">
        <v>8.02</v>
      </c>
      <c r="AD36" s="13">
        <f>100-Table26[[#This Row],[C%]]-Table26[[#This Row],[H%]]-Table26[[#This Row],[N%]]-Table26[[#This Row],[S%]]</f>
        <v>47.209999999999994</v>
      </c>
      <c r="AE36" s="13">
        <v>0</v>
      </c>
      <c r="AH36" s="13">
        <v>15.09</v>
      </c>
      <c r="AI36" s="13">
        <v>0.05</v>
      </c>
      <c r="AJ36" s="13">
        <v>4</v>
      </c>
      <c r="AK36" s="13">
        <v>20</v>
      </c>
      <c r="AL36" s="13">
        <f>Table26[[#This Row],[Solids (g)]]/(Table26[[#This Row],[Solids (g)]]+Table26[[#This Row],[Water mL]])*100</f>
        <v>16.666666666666664</v>
      </c>
      <c r="AP36" s="13">
        <v>4.1052014018780156E-2</v>
      </c>
      <c r="AT36" s="13">
        <f>LN(25/Table26[[#This Row],[Temperature (C)]]/(1-SQRT((Table26[[#This Row],[Temperature (C)]]-5)/Table26[[#This Row],[Temperature (C)]])))/Table26[[#This Row],[b]]</f>
        <v>55.999400649182988</v>
      </c>
      <c r="AU36" s="13">
        <f>IF(Table26[[#This Row],[b]]&lt;&gt;"",Table26[[#This Row],[T-5]], 0)</f>
        <v>55.999400649182988</v>
      </c>
      <c r="AV36" s="13">
        <v>56</v>
      </c>
      <c r="AW36" s="13">
        <v>340</v>
      </c>
      <c r="AY36" t="s">
        <v>503</v>
      </c>
      <c r="AZ36" s="13">
        <v>41.558441558441501</v>
      </c>
      <c r="BA36" s="13">
        <v>4.5454545454545965</v>
      </c>
      <c r="BB36" s="13">
        <v>3.246753246753201</v>
      </c>
      <c r="BC36" s="13">
        <v>14.285714285714299</v>
      </c>
      <c r="BD36" s="13">
        <f>100-SUM(Table26[[#This Row],[Solids wt%]:[Gas wt%]])</f>
        <v>36.363636363636402</v>
      </c>
      <c r="BE36" s="13" t="s">
        <v>506</v>
      </c>
      <c r="BQ36" s="13">
        <v>13.447230642050151</v>
      </c>
      <c r="CV36" s="13">
        <v>0</v>
      </c>
    </row>
    <row r="37" spans="1:100" x14ac:dyDescent="0.25">
      <c r="A37" t="s">
        <v>182</v>
      </c>
      <c r="B37" t="s">
        <v>183</v>
      </c>
      <c r="C37">
        <v>2016</v>
      </c>
      <c r="D37" t="s">
        <v>181</v>
      </c>
      <c r="E37">
        <v>1</v>
      </c>
      <c r="F3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88</v>
      </c>
      <c r="G37" s="13">
        <v>88</v>
      </c>
      <c r="K37" s="13">
        <v>0.2</v>
      </c>
      <c r="L37" s="13">
        <v>0.1</v>
      </c>
      <c r="O3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88.3</v>
      </c>
      <c r="R37" s="13">
        <v>11.8</v>
      </c>
      <c r="AB37" s="13">
        <v>44.77</v>
      </c>
      <c r="AC37" s="13">
        <v>8.02</v>
      </c>
      <c r="AD37" s="13">
        <f>100-Table26[[#This Row],[C%]]-Table26[[#This Row],[H%]]-Table26[[#This Row],[N%]]-Table26[[#This Row],[S%]]</f>
        <v>47.209999999999994</v>
      </c>
      <c r="AE37" s="13">
        <v>0</v>
      </c>
      <c r="AH37" s="13">
        <v>15.09</v>
      </c>
      <c r="AI37" s="13">
        <v>0.05</v>
      </c>
      <c r="AJ37" s="13">
        <v>4</v>
      </c>
      <c r="AK37" s="13">
        <v>20</v>
      </c>
      <c r="AL37" s="13">
        <f>Table26[[#This Row],[Solids (g)]]/(Table26[[#This Row],[Solids (g)]]+Table26[[#This Row],[Water mL]])*100</f>
        <v>16.666666666666664</v>
      </c>
      <c r="AP37" s="13">
        <v>3.2381676599318371E-2</v>
      </c>
      <c r="AT37" s="13">
        <f>LN(25/Table26[[#This Row],[Temperature (C)]]/(1-SQRT((Table26[[#This Row],[Temperature (C)]]-5)/Table26[[#This Row],[Temperature (C)]])))/Table26[[#This Row],[b]]</f>
        <v>70.999864333891651</v>
      </c>
      <c r="AU37" s="13">
        <f>IF(Table26[[#This Row],[b]]&lt;&gt;"",Table26[[#This Row],[T-5]], 0)</f>
        <v>70.999864333891651</v>
      </c>
      <c r="AV37" s="13">
        <v>71</v>
      </c>
      <c r="AW37" s="13">
        <v>360</v>
      </c>
      <c r="AY37" t="s">
        <v>503</v>
      </c>
      <c r="AZ37" s="13">
        <v>41.558441558441501</v>
      </c>
      <c r="BA37" s="13">
        <v>3.8961038961039023</v>
      </c>
      <c r="BB37" s="13">
        <v>3.2467532467532934</v>
      </c>
      <c r="BC37" s="13">
        <v>14.285714285714306</v>
      </c>
      <c r="BD37" s="13">
        <f>100-SUM(Table26[[#This Row],[Solids wt%]:[Gas wt%]])</f>
        <v>37.012987012986997</v>
      </c>
      <c r="BE37" s="13" t="s">
        <v>506</v>
      </c>
      <c r="BQ37" s="13" t="s">
        <v>506</v>
      </c>
      <c r="CV37" s="13">
        <v>0</v>
      </c>
    </row>
    <row r="38" spans="1:100" x14ac:dyDescent="0.25">
      <c r="A38" t="s">
        <v>182</v>
      </c>
      <c r="B38" t="s">
        <v>183</v>
      </c>
      <c r="C38">
        <v>2016</v>
      </c>
      <c r="D38" t="s">
        <v>179</v>
      </c>
      <c r="E38">
        <v>1</v>
      </c>
      <c r="F38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38" s="13">
        <v>91</v>
      </c>
      <c r="L38" s="13">
        <v>3.3</v>
      </c>
      <c r="N38" s="13">
        <v>4.5</v>
      </c>
      <c r="O3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94.3</v>
      </c>
      <c r="R38" s="13">
        <v>6.8</v>
      </c>
      <c r="AB38" s="13">
        <v>53.28</v>
      </c>
      <c r="AC38" s="13">
        <v>8.32</v>
      </c>
      <c r="AD38" s="13">
        <f>100-Table26[[#This Row],[C%]]-Table26[[#This Row],[H%]]-Table26[[#This Row],[N%]]-Table26[[#This Row],[S%]]</f>
        <v>23.38</v>
      </c>
      <c r="AE38" s="13">
        <v>15.02</v>
      </c>
      <c r="AH38" s="13">
        <v>21.1</v>
      </c>
      <c r="AI38" s="13">
        <v>0.05</v>
      </c>
      <c r="AJ38" s="13">
        <v>4</v>
      </c>
      <c r="AK38" s="13">
        <v>20</v>
      </c>
      <c r="AL38" s="13">
        <f>Table26[[#This Row],[Solids (g)]]/(Table26[[#This Row],[Solids (g)]]+Table26[[#This Row],[Water mL]])*100</f>
        <v>16.666666666666664</v>
      </c>
      <c r="AP38" s="13">
        <v>8.8400000000000006E-2</v>
      </c>
      <c r="AT38" s="13">
        <f>LN(25/Table26[[#This Row],[Temperature (C)]]/(1-SQRT((Table26[[#This Row],[Temperature (C)]]-5)/Table26[[#This Row],[Temperature (C)]])))/Table26[[#This Row],[b]]</f>
        <v>25.999911095755447</v>
      </c>
      <c r="AU38" s="13">
        <f>IF(Table26[[#This Row],[b]]&lt;&gt;"",Table26[[#This Row],[T-5]], 0)</f>
        <v>25.999911095755447</v>
      </c>
      <c r="AV38" s="13">
        <v>26</v>
      </c>
      <c r="AW38" s="13">
        <v>300</v>
      </c>
      <c r="AY38" t="s">
        <v>503</v>
      </c>
      <c r="AZ38" s="13">
        <v>9.4155844155844406</v>
      </c>
      <c r="BA38" s="13">
        <v>16.233766233766158</v>
      </c>
      <c r="BB38" s="13">
        <v>61.6883116883117</v>
      </c>
      <c r="BC38" s="13">
        <v>12.012987012987011</v>
      </c>
      <c r="BD38" s="13">
        <f>100-SUM(Table26[[#This Row],[Solids wt%]:[Gas wt%]])</f>
        <v>0.6493506493506942</v>
      </c>
      <c r="BE38" s="13" t="s">
        <v>506</v>
      </c>
      <c r="BQ38" s="13" t="s">
        <v>506</v>
      </c>
      <c r="CV38" s="13">
        <v>0</v>
      </c>
    </row>
    <row r="39" spans="1:100" x14ac:dyDescent="0.25">
      <c r="A39" t="s">
        <v>182</v>
      </c>
      <c r="B39" t="s">
        <v>183</v>
      </c>
      <c r="C39">
        <v>2016</v>
      </c>
      <c r="D39" t="s">
        <v>179</v>
      </c>
      <c r="E39">
        <v>1</v>
      </c>
      <c r="F39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39" s="13">
        <v>91</v>
      </c>
      <c r="L39" s="13">
        <v>3.3</v>
      </c>
      <c r="N39" s="13">
        <v>4.5</v>
      </c>
      <c r="O3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94.3</v>
      </c>
      <c r="R39" s="13">
        <v>6.8</v>
      </c>
      <c r="AB39" s="13">
        <v>53.28</v>
      </c>
      <c r="AC39" s="13">
        <v>8.32</v>
      </c>
      <c r="AD39" s="13">
        <f>100-Table26[[#This Row],[C%]]-Table26[[#This Row],[H%]]-Table26[[#This Row],[N%]]-Table26[[#This Row],[S%]]</f>
        <v>23.38</v>
      </c>
      <c r="AE39" s="13">
        <v>15.02</v>
      </c>
      <c r="AH39" s="13">
        <v>21.1</v>
      </c>
      <c r="AI39" s="13">
        <v>0.05</v>
      </c>
      <c r="AJ39" s="13">
        <v>4</v>
      </c>
      <c r="AK39" s="13">
        <v>20</v>
      </c>
      <c r="AL39" s="13">
        <f>Table26[[#This Row],[Solids (g)]]/(Table26[[#This Row],[Solids (g)]]+Table26[[#This Row],[Water mL]])*100</f>
        <v>16.666666666666664</v>
      </c>
      <c r="AP39" s="13">
        <v>5.6064755128982062E-2</v>
      </c>
      <c r="AT39" s="13">
        <f>LN(25/Table26[[#This Row],[Temperature (C)]]/(1-SQRT((Table26[[#This Row],[Temperature (C)]]-5)/Table26[[#This Row],[Temperature (C)]])))/Table26[[#This Row],[b]]</f>
        <v>41.000014158263561</v>
      </c>
      <c r="AU39" s="13">
        <f>IF(Table26[[#This Row],[b]]&lt;&gt;"",Table26[[#This Row],[T-5]], 0)</f>
        <v>41.000014158263561</v>
      </c>
      <c r="AV39" s="13">
        <v>41</v>
      </c>
      <c r="AW39" s="13">
        <v>320</v>
      </c>
      <c r="AY39" t="s">
        <v>503</v>
      </c>
      <c r="AZ39" s="13">
        <v>4.2207792207792503</v>
      </c>
      <c r="BA39" s="13">
        <v>24.350649350649352</v>
      </c>
      <c r="BB39" s="13">
        <v>50.974025974025906</v>
      </c>
      <c r="BC39" s="13">
        <v>4.870129870129901</v>
      </c>
      <c r="BD39" s="13">
        <f>100-SUM(Table26[[#This Row],[Solids wt%]:[Gas wt%]])</f>
        <v>15.584415584415595</v>
      </c>
      <c r="BE39" s="13" t="s">
        <v>506</v>
      </c>
      <c r="BQ39" s="13" t="s">
        <v>506</v>
      </c>
      <c r="CV39" s="13">
        <v>0</v>
      </c>
    </row>
    <row r="40" spans="1:100" x14ac:dyDescent="0.25">
      <c r="A40" t="s">
        <v>182</v>
      </c>
      <c r="B40" t="s">
        <v>183</v>
      </c>
      <c r="C40">
        <v>2016</v>
      </c>
      <c r="D40" t="s">
        <v>179</v>
      </c>
      <c r="E40">
        <v>1</v>
      </c>
      <c r="F40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40" s="13">
        <v>91</v>
      </c>
      <c r="L40" s="13">
        <v>3.3</v>
      </c>
      <c r="N40" s="13">
        <v>4.5</v>
      </c>
      <c r="O4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94.3</v>
      </c>
      <c r="R40" s="13">
        <v>6.8</v>
      </c>
      <c r="AB40" s="13">
        <v>53.28</v>
      </c>
      <c r="AC40" s="13">
        <v>8.32</v>
      </c>
      <c r="AD40" s="13">
        <f>100-Table26[[#This Row],[C%]]-Table26[[#This Row],[H%]]-Table26[[#This Row],[N%]]-Table26[[#This Row],[S%]]</f>
        <v>23.38</v>
      </c>
      <c r="AE40" s="13">
        <v>15.02</v>
      </c>
      <c r="AH40" s="13">
        <v>21.1</v>
      </c>
      <c r="AI40" s="13">
        <v>0.05</v>
      </c>
      <c r="AJ40" s="13">
        <v>4</v>
      </c>
      <c r="AK40" s="13">
        <v>20</v>
      </c>
      <c r="AL40" s="13">
        <f>Table26[[#This Row],[Solids (g)]]/(Table26[[#This Row],[Solids (g)]]+Table26[[#This Row],[Water mL]])*100</f>
        <v>16.666666666666664</v>
      </c>
      <c r="AP40" s="13">
        <v>4.1052014018780156E-2</v>
      </c>
      <c r="AT40" s="13">
        <f>LN(25/Table26[[#This Row],[Temperature (C)]]/(1-SQRT((Table26[[#This Row],[Temperature (C)]]-5)/Table26[[#This Row],[Temperature (C)]])))/Table26[[#This Row],[b]]</f>
        <v>55.999400649182988</v>
      </c>
      <c r="AU40" s="13">
        <f>IF(Table26[[#This Row],[b]]&lt;&gt;"",Table26[[#This Row],[T-5]], 0)</f>
        <v>55.999400649182988</v>
      </c>
      <c r="AV40" s="13">
        <v>56</v>
      </c>
      <c r="AW40" s="13">
        <v>340</v>
      </c>
      <c r="AY40" t="s">
        <v>503</v>
      </c>
      <c r="AZ40" s="13">
        <v>4.5454545454545601</v>
      </c>
      <c r="BA40" s="13">
        <v>21.428571428571438</v>
      </c>
      <c r="BB40" s="13">
        <v>41.233766233766197</v>
      </c>
      <c r="BC40" s="13">
        <v>6.8181818181817988</v>
      </c>
      <c r="BD40" s="13">
        <f>100-SUM(Table26[[#This Row],[Solids wt%]:[Gas wt%]])</f>
        <v>25.974025974026006</v>
      </c>
      <c r="BE40" s="13" t="s">
        <v>506</v>
      </c>
      <c r="BQ40" s="13" t="s">
        <v>506</v>
      </c>
      <c r="CV40" s="13">
        <v>0</v>
      </c>
    </row>
    <row r="41" spans="1:100" x14ac:dyDescent="0.25">
      <c r="A41" t="s">
        <v>182</v>
      </c>
      <c r="B41" t="s">
        <v>183</v>
      </c>
      <c r="C41">
        <v>2016</v>
      </c>
      <c r="D41" t="s">
        <v>179</v>
      </c>
      <c r="E41">
        <v>1</v>
      </c>
      <c r="F41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41" s="13">
        <v>91</v>
      </c>
      <c r="L41" s="13">
        <v>3.3</v>
      </c>
      <c r="N41" s="13">
        <v>4.5</v>
      </c>
      <c r="O4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94.3</v>
      </c>
      <c r="R41" s="13">
        <v>6.8</v>
      </c>
      <c r="AB41" s="13">
        <v>53.28</v>
      </c>
      <c r="AC41" s="13">
        <v>8.32</v>
      </c>
      <c r="AD41" s="13">
        <f>100-Table26[[#This Row],[C%]]-Table26[[#This Row],[H%]]-Table26[[#This Row],[N%]]-Table26[[#This Row],[S%]]</f>
        <v>23.38</v>
      </c>
      <c r="AE41" s="13">
        <v>15.02</v>
      </c>
      <c r="AH41" s="13">
        <v>21.1</v>
      </c>
      <c r="AI41" s="13">
        <v>0.05</v>
      </c>
      <c r="AJ41" s="13">
        <v>4</v>
      </c>
      <c r="AK41" s="13">
        <v>20</v>
      </c>
      <c r="AL41" s="13">
        <f>Table26[[#This Row],[Solids (g)]]/(Table26[[#This Row],[Solids (g)]]+Table26[[#This Row],[Water mL]])*100</f>
        <v>16.666666666666664</v>
      </c>
      <c r="AP41" s="13">
        <v>3.2381676599318371E-2</v>
      </c>
      <c r="AT41" s="13">
        <f>LN(25/Table26[[#This Row],[Temperature (C)]]/(1-SQRT((Table26[[#This Row],[Temperature (C)]]-5)/Table26[[#This Row],[Temperature (C)]])))/Table26[[#This Row],[b]]</f>
        <v>70.999864333891651</v>
      </c>
      <c r="AU41" s="13">
        <f>IF(Table26[[#This Row],[b]]&lt;&gt;"",Table26[[#This Row],[T-5]], 0)</f>
        <v>70.999864333891651</v>
      </c>
      <c r="AV41" s="13">
        <v>71</v>
      </c>
      <c r="AW41" s="13">
        <v>360</v>
      </c>
      <c r="AY41" t="s">
        <v>503</v>
      </c>
      <c r="BA41" s="13">
        <v>28.896103896103856</v>
      </c>
      <c r="BB41" s="13">
        <v>35.389610389610411</v>
      </c>
      <c r="BC41" s="13">
        <v>5.5194805194804957</v>
      </c>
      <c r="BD41" s="13">
        <f>100-SUM(Table26[[#This Row],[Solids wt%]:[Gas wt%]])</f>
        <v>30.194805194805241</v>
      </c>
      <c r="BE41" s="13" t="s">
        <v>506</v>
      </c>
      <c r="BQ41" s="13" t="s">
        <v>506</v>
      </c>
      <c r="CV41" s="13">
        <v>0</v>
      </c>
    </row>
    <row r="42" spans="1:100" x14ac:dyDescent="0.25">
      <c r="A42" t="s">
        <v>185</v>
      </c>
      <c r="B42" t="s">
        <v>158</v>
      </c>
      <c r="C42">
        <v>2014</v>
      </c>
      <c r="D42" t="s">
        <v>184</v>
      </c>
      <c r="E42">
        <v>0</v>
      </c>
      <c r="F42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42" s="13">
        <v>15.91</v>
      </c>
      <c r="O42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42" s="13">
        <v>8.61</v>
      </c>
      <c r="S42" s="13">
        <v>6.81</v>
      </c>
      <c r="T42" s="13">
        <v>68.67</v>
      </c>
      <c r="AB42" s="13">
        <v>35.200000000000003</v>
      </c>
      <c r="AC42" s="13">
        <v>5.2</v>
      </c>
      <c r="AD42" s="13">
        <v>32.979999999999997</v>
      </c>
      <c r="AE42" s="13">
        <v>2.1</v>
      </c>
      <c r="AH42" s="13">
        <v>13.4</v>
      </c>
      <c r="AJ42" s="13">
        <v>30</v>
      </c>
      <c r="AK42" s="13">
        <v>0</v>
      </c>
      <c r="AL42" s="13">
        <f>Table26[[#This Row],[Solids (g)]]/(Table26[[#This Row],[Solids (g)]]+Table26[[#This Row],[Water mL]])*100</f>
        <v>100</v>
      </c>
      <c r="AS42" s="13">
        <v>20</v>
      </c>
      <c r="AT42" s="13" t="e">
        <f>LN(25/Table26[[#This Row],[Temperature (C)]]/(1-SQRT((Table26[[#This Row],[Temperature (C)]]-5)/Table26[[#This Row],[Temperature (C)]])))/Table26[[#This Row],[b]]</f>
        <v>#DIV/0!</v>
      </c>
      <c r="AU42" s="13">
        <f>IF(Table26[[#This Row],[b]]&lt;&gt;"",Table26[[#This Row],[T-5]], 0)</f>
        <v>0</v>
      </c>
      <c r="AV42" s="13">
        <f>Table26[[#This Row],[Holding Time (min)]]+Table26[[#This Row],[Heating time]]</f>
        <v>20</v>
      </c>
      <c r="AW42" s="13">
        <v>250</v>
      </c>
      <c r="AY42" t="s">
        <v>503</v>
      </c>
      <c r="AZ42" s="13">
        <v>32</v>
      </c>
      <c r="BA42" s="13">
        <v>9.8461538461538396</v>
      </c>
      <c r="BE42" s="13" t="s">
        <v>506</v>
      </c>
      <c r="BH42" s="13">
        <v>51.4188034188034</v>
      </c>
      <c r="BI42" s="13">
        <v>63.1</v>
      </c>
      <c r="BJ42" s="13">
        <v>6.9</v>
      </c>
      <c r="BK42" s="13">
        <v>26.1</v>
      </c>
      <c r="BL42" s="13">
        <v>4</v>
      </c>
      <c r="BN42" s="13">
        <v>26.5</v>
      </c>
      <c r="BQ42" s="13">
        <v>15.616797900262466</v>
      </c>
      <c r="CV42" s="13">
        <v>0</v>
      </c>
    </row>
    <row r="43" spans="1:100" x14ac:dyDescent="0.25">
      <c r="A43" t="s">
        <v>185</v>
      </c>
      <c r="B43" t="s">
        <v>158</v>
      </c>
      <c r="C43">
        <v>2014</v>
      </c>
      <c r="D43" t="s">
        <v>184</v>
      </c>
      <c r="E43">
        <v>0</v>
      </c>
      <c r="F43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43" s="13">
        <v>15.91</v>
      </c>
      <c r="O43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43" s="13">
        <v>8.61</v>
      </c>
      <c r="S43" s="13">
        <v>6.81</v>
      </c>
      <c r="T43" s="13">
        <v>68.67</v>
      </c>
      <c r="AB43" s="13">
        <v>35.200000000000003</v>
      </c>
      <c r="AC43" s="13">
        <v>5.2</v>
      </c>
      <c r="AD43" s="13">
        <v>32.979999999999997</v>
      </c>
      <c r="AE43" s="13">
        <v>2.1</v>
      </c>
      <c r="AH43" s="13">
        <v>13.4</v>
      </c>
      <c r="AJ43" s="13">
        <v>30</v>
      </c>
      <c r="AK43" s="13">
        <v>30</v>
      </c>
      <c r="AL43" s="13">
        <f>Table26[[#This Row],[Solids (g)]]/(Table26[[#This Row],[Solids (g)]]+Table26[[#This Row],[Water mL]])*100</f>
        <v>50</v>
      </c>
      <c r="AS43" s="13">
        <v>20</v>
      </c>
      <c r="AT43" s="13" t="e">
        <f>LN(25/Table26[[#This Row],[Temperature (C)]]/(1-SQRT((Table26[[#This Row],[Temperature (C)]]-5)/Table26[[#This Row],[Temperature (C)]])))/Table26[[#This Row],[b]]</f>
        <v>#DIV/0!</v>
      </c>
      <c r="AU43" s="13">
        <f>IF(Table26[[#This Row],[b]]&lt;&gt;"",Table26[[#This Row],[T-5]], 0)</f>
        <v>0</v>
      </c>
      <c r="AV43" s="13">
        <f>Table26[[#This Row],[Holding Time (min)]]+Table26[[#This Row],[Heating time]]</f>
        <v>20</v>
      </c>
      <c r="AW43" s="13">
        <v>250</v>
      </c>
      <c r="AY43" t="s">
        <v>503</v>
      </c>
      <c r="AZ43" s="13">
        <v>16.410256410256402</v>
      </c>
      <c r="BA43" s="13">
        <v>11.076923076923</v>
      </c>
      <c r="BE43" s="13" t="s">
        <v>506</v>
      </c>
      <c r="BH43" s="13">
        <v>71.658119658119602</v>
      </c>
      <c r="BI43" s="13">
        <v>60.9</v>
      </c>
      <c r="BJ43" s="13">
        <v>6.4</v>
      </c>
      <c r="BK43" s="13">
        <v>29.1</v>
      </c>
      <c r="BL43" s="13">
        <v>3.6</v>
      </c>
      <c r="BN43" s="13">
        <v>24.5</v>
      </c>
      <c r="BQ43" s="13" t="s">
        <v>506</v>
      </c>
      <c r="CV43" s="13">
        <v>0</v>
      </c>
    </row>
    <row r="44" spans="1:100" x14ac:dyDescent="0.25">
      <c r="A44" t="s">
        <v>185</v>
      </c>
      <c r="B44" t="s">
        <v>158</v>
      </c>
      <c r="C44">
        <v>2014</v>
      </c>
      <c r="D44" t="s">
        <v>184</v>
      </c>
      <c r="E44">
        <v>0</v>
      </c>
      <c r="F44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44" s="13">
        <v>15.91</v>
      </c>
      <c r="O44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44" s="13">
        <v>8.61</v>
      </c>
      <c r="S44" s="13">
        <v>6.81</v>
      </c>
      <c r="T44" s="13">
        <v>68.67</v>
      </c>
      <c r="AB44" s="13">
        <v>35.200000000000003</v>
      </c>
      <c r="AC44" s="13">
        <v>5.2</v>
      </c>
      <c r="AD44" s="13">
        <v>32.979999999999997</v>
      </c>
      <c r="AE44" s="13">
        <v>2.1</v>
      </c>
      <c r="AH44" s="13">
        <v>13.4</v>
      </c>
      <c r="AJ44" s="13">
        <v>30</v>
      </c>
      <c r="AK44" s="13">
        <v>60</v>
      </c>
      <c r="AL44" s="13">
        <f>Table26[[#This Row],[Solids (g)]]/(Table26[[#This Row],[Solids (g)]]+Table26[[#This Row],[Water mL]])*100</f>
        <v>33.333333333333329</v>
      </c>
      <c r="AS44" s="13">
        <v>20</v>
      </c>
      <c r="AT44" s="13" t="e">
        <f>LN(25/Table26[[#This Row],[Temperature (C)]]/(1-SQRT((Table26[[#This Row],[Temperature (C)]]-5)/Table26[[#This Row],[Temperature (C)]])))/Table26[[#This Row],[b]]</f>
        <v>#DIV/0!</v>
      </c>
      <c r="AU44" s="13">
        <f>IF(Table26[[#This Row],[b]]&lt;&gt;"",Table26[[#This Row],[T-5]], 0)</f>
        <v>0</v>
      </c>
      <c r="AV44" s="13">
        <f>Table26[[#This Row],[Holding Time (min)]]+Table26[[#This Row],[Heating time]]</f>
        <v>20</v>
      </c>
      <c r="AW44" s="13">
        <v>250</v>
      </c>
      <c r="AY44" t="s">
        <v>503</v>
      </c>
      <c r="AZ44" s="13">
        <v>16.410256410256402</v>
      </c>
      <c r="BA44" s="13">
        <v>13.2649572649572</v>
      </c>
      <c r="BE44" s="13" t="s">
        <v>506</v>
      </c>
      <c r="BH44" s="13">
        <v>68.649572649572605</v>
      </c>
      <c r="BI44" s="13">
        <v>69.3</v>
      </c>
      <c r="BJ44" s="13">
        <v>6.9</v>
      </c>
      <c r="BK44" s="13">
        <v>19.8</v>
      </c>
      <c r="BL44" s="13">
        <v>3.9</v>
      </c>
      <c r="BN44" s="13">
        <v>29.8</v>
      </c>
      <c r="BQ44" s="13" t="s">
        <v>506</v>
      </c>
      <c r="CV44" s="13">
        <v>0</v>
      </c>
    </row>
    <row r="45" spans="1:100" x14ac:dyDescent="0.25">
      <c r="A45" t="s">
        <v>185</v>
      </c>
      <c r="B45" t="s">
        <v>158</v>
      </c>
      <c r="C45">
        <v>2014</v>
      </c>
      <c r="D45" t="s">
        <v>184</v>
      </c>
      <c r="E45">
        <v>0</v>
      </c>
      <c r="F45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45" s="13">
        <v>15.91</v>
      </c>
      <c r="O45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45" s="13">
        <v>8.61</v>
      </c>
      <c r="S45" s="13">
        <v>6.81</v>
      </c>
      <c r="T45" s="13">
        <v>68.67</v>
      </c>
      <c r="AB45" s="13">
        <v>35.200000000000003</v>
      </c>
      <c r="AC45" s="13">
        <v>5.2</v>
      </c>
      <c r="AD45" s="13">
        <v>32.979999999999997</v>
      </c>
      <c r="AE45" s="13">
        <v>2.1</v>
      </c>
      <c r="AH45" s="13">
        <v>13.4</v>
      </c>
      <c r="AJ45" s="13">
        <v>30</v>
      </c>
      <c r="AK45" s="13">
        <v>90</v>
      </c>
      <c r="AL45" s="13">
        <f>Table26[[#This Row],[Solids (g)]]/(Table26[[#This Row],[Solids (g)]]+Table26[[#This Row],[Water mL]])*100</f>
        <v>25</v>
      </c>
      <c r="AS45" s="13">
        <v>20</v>
      </c>
      <c r="AT45" s="13" t="e">
        <f>LN(25/Table26[[#This Row],[Temperature (C)]]/(1-SQRT((Table26[[#This Row],[Temperature (C)]]-5)/Table26[[#This Row],[Temperature (C)]])))/Table26[[#This Row],[b]]</f>
        <v>#DIV/0!</v>
      </c>
      <c r="AU45" s="13">
        <f>IF(Table26[[#This Row],[b]]&lt;&gt;"",Table26[[#This Row],[T-5]], 0)</f>
        <v>0</v>
      </c>
      <c r="AV45" s="13">
        <f>Table26[[#This Row],[Holding Time (min)]]+Table26[[#This Row],[Heating time]]</f>
        <v>20</v>
      </c>
      <c r="AW45" s="13">
        <v>250</v>
      </c>
      <c r="AY45" t="s">
        <v>503</v>
      </c>
      <c r="AZ45" s="13">
        <v>14.4957264957264</v>
      </c>
      <c r="BA45" s="13">
        <v>16.6837606837606</v>
      </c>
      <c r="BE45" s="13" t="s">
        <v>506</v>
      </c>
      <c r="BH45" s="13">
        <v>66.598290598290603</v>
      </c>
      <c r="BI45" s="13">
        <v>70.400000000000006</v>
      </c>
      <c r="BJ45" s="13">
        <v>6.6</v>
      </c>
      <c r="BK45" s="13">
        <v>18.7</v>
      </c>
      <c r="BL45" s="13">
        <v>4.3</v>
      </c>
      <c r="BN45" s="13">
        <v>29.9</v>
      </c>
      <c r="BQ45" s="13" t="s">
        <v>506</v>
      </c>
      <c r="CV45" s="13">
        <v>0</v>
      </c>
    </row>
    <row r="46" spans="1:100" x14ac:dyDescent="0.25">
      <c r="A46" t="s">
        <v>185</v>
      </c>
      <c r="B46" t="s">
        <v>158</v>
      </c>
      <c r="C46">
        <v>2014</v>
      </c>
      <c r="D46" t="s">
        <v>184</v>
      </c>
      <c r="E46">
        <v>0</v>
      </c>
      <c r="F46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46" s="13">
        <v>15.91</v>
      </c>
      <c r="O46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46" s="13">
        <v>8.61</v>
      </c>
      <c r="S46" s="13">
        <v>6.81</v>
      </c>
      <c r="T46" s="13">
        <v>68.67</v>
      </c>
      <c r="AB46" s="13">
        <v>35.200000000000003</v>
      </c>
      <c r="AC46" s="13">
        <v>5.2</v>
      </c>
      <c r="AD46" s="13">
        <v>32.979999999999997</v>
      </c>
      <c r="AE46" s="13">
        <v>2.1</v>
      </c>
      <c r="AH46" s="13">
        <v>13.4</v>
      </c>
      <c r="AJ46" s="13">
        <v>30</v>
      </c>
      <c r="AK46" s="13">
        <v>120</v>
      </c>
      <c r="AL46" s="13">
        <f>Table26[[#This Row],[Solids (g)]]/(Table26[[#This Row],[Solids (g)]]+Table26[[#This Row],[Water mL]])*100</f>
        <v>20</v>
      </c>
      <c r="AS46" s="13">
        <v>20</v>
      </c>
      <c r="AT46" s="13" t="e">
        <f>LN(25/Table26[[#This Row],[Temperature (C)]]/(1-SQRT((Table26[[#This Row],[Temperature (C)]]-5)/Table26[[#This Row],[Temperature (C)]])))/Table26[[#This Row],[b]]</f>
        <v>#DIV/0!</v>
      </c>
      <c r="AU46" s="13">
        <f>IF(Table26[[#This Row],[b]]&lt;&gt;"",Table26[[#This Row],[T-5]], 0)</f>
        <v>0</v>
      </c>
      <c r="AV46" s="13">
        <f>Table26[[#This Row],[Holding Time (min)]]+Table26[[#This Row],[Heating time]]</f>
        <v>20</v>
      </c>
      <c r="AW46" s="13">
        <v>250</v>
      </c>
      <c r="AY46" t="s">
        <v>503</v>
      </c>
      <c r="AZ46" s="13">
        <v>8.6153846153846096</v>
      </c>
      <c r="BA46" s="13">
        <v>13.6752136752136</v>
      </c>
      <c r="BE46" s="13" t="s">
        <v>506</v>
      </c>
      <c r="BH46" s="13">
        <v>78.632478632478595</v>
      </c>
      <c r="BI46" s="13">
        <v>68.099999999999994</v>
      </c>
      <c r="BJ46" s="13">
        <v>6.2</v>
      </c>
      <c r="BK46" s="13">
        <v>21.9</v>
      </c>
      <c r="BL46" s="13">
        <v>3.7</v>
      </c>
      <c r="BN46" s="13">
        <v>28</v>
      </c>
      <c r="BQ46" s="13" t="s">
        <v>506</v>
      </c>
      <c r="CV46" s="13">
        <v>0</v>
      </c>
    </row>
    <row r="47" spans="1:100" x14ac:dyDescent="0.25">
      <c r="A47" t="s">
        <v>185</v>
      </c>
      <c r="B47" t="s">
        <v>158</v>
      </c>
      <c r="C47">
        <v>2014</v>
      </c>
      <c r="D47" t="s">
        <v>184</v>
      </c>
      <c r="E47">
        <v>0</v>
      </c>
      <c r="F47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47" s="13">
        <v>15.91</v>
      </c>
      <c r="O47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47" s="13">
        <v>8.61</v>
      </c>
      <c r="S47" s="13">
        <v>6.81</v>
      </c>
      <c r="T47" s="13">
        <v>68.67</v>
      </c>
      <c r="AB47" s="13">
        <v>35.200000000000003</v>
      </c>
      <c r="AC47" s="13">
        <v>5.2</v>
      </c>
      <c r="AD47" s="13">
        <v>32.979999999999997</v>
      </c>
      <c r="AE47" s="13">
        <v>2.1</v>
      </c>
      <c r="AH47" s="13">
        <v>13.4</v>
      </c>
      <c r="AJ47" s="13">
        <v>30</v>
      </c>
      <c r="AK47" s="13">
        <v>90</v>
      </c>
      <c r="AL47" s="13">
        <f>Table26[[#This Row],[Solids (g)]]/(Table26[[#This Row],[Solids (g)]]+Table26[[#This Row],[Water mL]])*100</f>
        <v>25</v>
      </c>
      <c r="AS47" s="13">
        <v>20</v>
      </c>
      <c r="AT47" s="13" t="e">
        <f>LN(25/Table26[[#This Row],[Temperature (C)]]/(1-SQRT((Table26[[#This Row],[Temperature (C)]]-5)/Table26[[#This Row],[Temperature (C)]])))/Table26[[#This Row],[b]]</f>
        <v>#DIV/0!</v>
      </c>
      <c r="AU47" s="13">
        <f>IF(Table26[[#This Row],[b]]&lt;&gt;"",Table26[[#This Row],[T-5]], 0)</f>
        <v>0</v>
      </c>
      <c r="AV47" s="13">
        <f>Table26[[#This Row],[Holding Time (min)]]+Table26[[#This Row],[Heating time]]</f>
        <v>20</v>
      </c>
      <c r="AW47" s="13">
        <v>230</v>
      </c>
      <c r="AY47" t="s">
        <v>503</v>
      </c>
      <c r="AZ47" s="13">
        <v>21.904761904761902</v>
      </c>
      <c r="BA47" s="13">
        <v>10.899470899470799</v>
      </c>
      <c r="BE47" s="13" t="s">
        <v>506</v>
      </c>
      <c r="BH47" s="13">
        <v>67.058823529411697</v>
      </c>
      <c r="BI47" s="13">
        <v>67.3</v>
      </c>
      <c r="BJ47" s="13">
        <v>6.7</v>
      </c>
      <c r="BK47" s="13">
        <v>22.2</v>
      </c>
      <c r="BL47" s="13">
        <v>3.8</v>
      </c>
      <c r="BN47" s="13">
        <v>28.4</v>
      </c>
      <c r="BQ47" s="13" t="s">
        <v>506</v>
      </c>
      <c r="CV47" s="13">
        <v>0</v>
      </c>
    </row>
    <row r="48" spans="1:100" x14ac:dyDescent="0.25">
      <c r="A48" t="s">
        <v>185</v>
      </c>
      <c r="B48" t="s">
        <v>158</v>
      </c>
      <c r="C48">
        <v>2014</v>
      </c>
      <c r="D48" t="s">
        <v>184</v>
      </c>
      <c r="E48">
        <v>0</v>
      </c>
      <c r="F48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48" s="13">
        <v>15.91</v>
      </c>
      <c r="O48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48" s="13">
        <v>8.61</v>
      </c>
      <c r="S48" s="13">
        <v>6.81</v>
      </c>
      <c r="T48" s="13">
        <v>68.67</v>
      </c>
      <c r="AB48" s="13">
        <v>35.200000000000003</v>
      </c>
      <c r="AC48" s="13">
        <v>5.2</v>
      </c>
      <c r="AD48" s="13">
        <v>32.979999999999997</v>
      </c>
      <c r="AE48" s="13">
        <v>2.1</v>
      </c>
      <c r="AH48" s="13">
        <v>13.4</v>
      </c>
      <c r="AJ48" s="13">
        <v>30</v>
      </c>
      <c r="AK48" s="13">
        <v>90</v>
      </c>
      <c r="AL48" s="13">
        <f>Table26[[#This Row],[Solids (g)]]/(Table26[[#This Row],[Solids (g)]]+Table26[[#This Row],[Water mL]])*100</f>
        <v>25</v>
      </c>
      <c r="AS48" s="13">
        <v>20</v>
      </c>
      <c r="AT48" s="13" t="e">
        <f>LN(25/Table26[[#This Row],[Temperature (C)]]/(1-SQRT((Table26[[#This Row],[Temperature (C)]]-5)/Table26[[#This Row],[Temperature (C)]])))/Table26[[#This Row],[b]]</f>
        <v>#DIV/0!</v>
      </c>
      <c r="AU48" s="13">
        <f>IF(Table26[[#This Row],[b]]&lt;&gt;"",Table26[[#This Row],[T-5]], 0)</f>
        <v>0</v>
      </c>
      <c r="AV48" s="13">
        <f>Table26[[#This Row],[Holding Time (min)]]+Table26[[#This Row],[Heating time]]</f>
        <v>20</v>
      </c>
      <c r="AW48" s="13">
        <v>270</v>
      </c>
      <c r="AY48" t="s">
        <v>503</v>
      </c>
      <c r="AZ48" s="13">
        <v>9.1005291005291102</v>
      </c>
      <c r="BA48" s="13">
        <v>17.354497354497301</v>
      </c>
      <c r="BE48" s="13" t="s">
        <v>506</v>
      </c>
      <c r="BH48" s="13">
        <v>73.689839572192497</v>
      </c>
      <c r="BI48" s="13">
        <v>70</v>
      </c>
      <c r="BJ48" s="13">
        <v>6.8</v>
      </c>
      <c r="BK48" s="13">
        <v>19</v>
      </c>
      <c r="BL48" s="13">
        <v>4.2</v>
      </c>
      <c r="BN48" s="13">
        <v>30</v>
      </c>
      <c r="BQ48" s="13" t="s">
        <v>506</v>
      </c>
      <c r="CV48" s="13">
        <v>0</v>
      </c>
    </row>
    <row r="49" spans="1:100" x14ac:dyDescent="0.25">
      <c r="A49" t="s">
        <v>185</v>
      </c>
      <c r="B49" t="s">
        <v>158</v>
      </c>
      <c r="C49">
        <v>2014</v>
      </c>
      <c r="D49" t="s">
        <v>184</v>
      </c>
      <c r="E49">
        <v>0</v>
      </c>
      <c r="F49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49" s="13">
        <v>15.91</v>
      </c>
      <c r="O49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49" s="13">
        <v>8.61</v>
      </c>
      <c r="S49" s="13">
        <v>6.81</v>
      </c>
      <c r="T49" s="13">
        <v>68.67</v>
      </c>
      <c r="AB49" s="13">
        <v>35.200000000000003</v>
      </c>
      <c r="AC49" s="13">
        <v>5.2</v>
      </c>
      <c r="AD49" s="13">
        <v>32.979999999999997</v>
      </c>
      <c r="AE49" s="13">
        <v>2.1</v>
      </c>
      <c r="AH49" s="13">
        <v>13.4</v>
      </c>
      <c r="AJ49" s="13">
        <v>30</v>
      </c>
      <c r="AK49" s="13">
        <v>90</v>
      </c>
      <c r="AL49" s="13">
        <f>Table26[[#This Row],[Solids (g)]]/(Table26[[#This Row],[Solids (g)]]+Table26[[#This Row],[Water mL]])*100</f>
        <v>25</v>
      </c>
      <c r="AS49" s="13">
        <v>20</v>
      </c>
      <c r="AT49" s="13" t="e">
        <f>LN(25/Table26[[#This Row],[Temperature (C)]]/(1-SQRT((Table26[[#This Row],[Temperature (C)]]-5)/Table26[[#This Row],[Temperature (C)]])))/Table26[[#This Row],[b]]</f>
        <v>#DIV/0!</v>
      </c>
      <c r="AU49" s="13">
        <f>IF(Table26[[#This Row],[b]]&lt;&gt;"",Table26[[#This Row],[T-5]], 0)</f>
        <v>0</v>
      </c>
      <c r="AV49" s="13">
        <f>Table26[[#This Row],[Holding Time (min)]]+Table26[[#This Row],[Heating time]]</f>
        <v>20</v>
      </c>
      <c r="AW49" s="13">
        <v>290</v>
      </c>
      <c r="AY49" t="s">
        <v>503</v>
      </c>
      <c r="AZ49" s="13">
        <v>10.899470899470799</v>
      </c>
      <c r="BA49" s="13">
        <v>28.042328042327998</v>
      </c>
      <c r="BE49" s="13" t="s">
        <v>506</v>
      </c>
      <c r="BH49" s="13">
        <v>60.855614973262</v>
      </c>
      <c r="BI49" s="13">
        <v>69.2</v>
      </c>
      <c r="BJ49" s="13">
        <v>6.8</v>
      </c>
      <c r="BK49" s="13">
        <v>20.100000000000001</v>
      </c>
      <c r="BL49" s="13">
        <v>3.9</v>
      </c>
      <c r="BN49" s="13">
        <v>29.5</v>
      </c>
      <c r="BQ49" s="13" t="s">
        <v>506</v>
      </c>
      <c r="CV49" s="13">
        <v>0</v>
      </c>
    </row>
    <row r="50" spans="1:100" x14ac:dyDescent="0.25">
      <c r="A50" t="s">
        <v>185</v>
      </c>
      <c r="B50" t="s">
        <v>158</v>
      </c>
      <c r="C50">
        <v>2014</v>
      </c>
      <c r="D50" t="s">
        <v>184</v>
      </c>
      <c r="E50">
        <v>0</v>
      </c>
      <c r="F50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50" s="13">
        <v>15.91</v>
      </c>
      <c r="O50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50" s="13">
        <v>8.61</v>
      </c>
      <c r="S50" s="13">
        <v>6.81</v>
      </c>
      <c r="T50" s="13">
        <v>68.67</v>
      </c>
      <c r="AB50" s="13">
        <v>35.200000000000003</v>
      </c>
      <c r="AC50" s="13">
        <v>5.2</v>
      </c>
      <c r="AD50" s="13">
        <v>32.979999999999997</v>
      </c>
      <c r="AE50" s="13">
        <v>2.1</v>
      </c>
      <c r="AH50" s="13">
        <v>13.4</v>
      </c>
      <c r="AJ50" s="13">
        <v>30</v>
      </c>
      <c r="AK50" s="13">
        <v>90</v>
      </c>
      <c r="AL50" s="13">
        <f>Table26[[#This Row],[Solids (g)]]/(Table26[[#This Row],[Solids (g)]]+Table26[[#This Row],[Water mL]])*100</f>
        <v>25</v>
      </c>
      <c r="AS50" s="13">
        <v>20</v>
      </c>
      <c r="AT50" s="13" t="e">
        <f>LN(25/Table26[[#This Row],[Temperature (C)]]/(1-SQRT((Table26[[#This Row],[Temperature (C)]]-5)/Table26[[#This Row],[Temperature (C)]])))/Table26[[#This Row],[b]]</f>
        <v>#DIV/0!</v>
      </c>
      <c r="AU50" s="13">
        <f>IF(Table26[[#This Row],[b]]&lt;&gt;"",Table26[[#This Row],[T-5]], 0)</f>
        <v>0</v>
      </c>
      <c r="AV50" s="13">
        <f>Table26[[#This Row],[Holding Time (min)]]+Table26[[#This Row],[Heating time]]</f>
        <v>20</v>
      </c>
      <c r="AW50" s="13">
        <v>310</v>
      </c>
      <c r="AY50" t="s">
        <v>503</v>
      </c>
      <c r="AZ50" s="13">
        <v>10.899470899470799</v>
      </c>
      <c r="BA50" s="13">
        <v>18.624338624338598</v>
      </c>
      <c r="BE50" s="13" t="s">
        <v>506</v>
      </c>
      <c r="BH50" s="13">
        <v>70.588235294117595</v>
      </c>
      <c r="BI50" s="13">
        <v>72.3</v>
      </c>
      <c r="BJ50" s="13">
        <v>6.8</v>
      </c>
      <c r="BK50" s="13">
        <v>16.5</v>
      </c>
      <c r="BL50" s="13">
        <v>4.5</v>
      </c>
      <c r="BN50" s="13">
        <v>31.2</v>
      </c>
      <c r="BQ50" s="13" t="s">
        <v>506</v>
      </c>
      <c r="CV50" s="13">
        <v>0</v>
      </c>
    </row>
    <row r="51" spans="1:100" x14ac:dyDescent="0.25">
      <c r="A51" t="s">
        <v>185</v>
      </c>
      <c r="B51" t="s">
        <v>158</v>
      </c>
      <c r="C51">
        <v>2014</v>
      </c>
      <c r="D51" t="s">
        <v>184</v>
      </c>
      <c r="E51">
        <v>0</v>
      </c>
      <c r="F51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51" s="13">
        <v>15.91</v>
      </c>
      <c r="O51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51" s="13">
        <v>8.61</v>
      </c>
      <c r="S51" s="13">
        <v>6.81</v>
      </c>
      <c r="T51" s="13">
        <v>68.67</v>
      </c>
      <c r="AB51" s="13">
        <v>35.200000000000003</v>
      </c>
      <c r="AC51" s="13">
        <v>5.2</v>
      </c>
      <c r="AD51" s="13">
        <v>32.979999999999997</v>
      </c>
      <c r="AE51" s="13">
        <v>2.1</v>
      </c>
      <c r="AH51" s="13">
        <v>13.4</v>
      </c>
      <c r="AJ51" s="13">
        <v>30</v>
      </c>
      <c r="AK51" s="13">
        <v>90</v>
      </c>
      <c r="AL51" s="13">
        <f>Table26[[#This Row],[Solids (g)]]/(Table26[[#This Row],[Solids (g)]]+Table26[[#This Row],[Water mL]])*100</f>
        <v>25</v>
      </c>
      <c r="AS51" s="13">
        <v>40</v>
      </c>
      <c r="AT51" s="13" t="e">
        <f>LN(25/Table26[[#This Row],[Temperature (C)]]/(1-SQRT((Table26[[#This Row],[Temperature (C)]]-5)/Table26[[#This Row],[Temperature (C)]])))/Table26[[#This Row],[b]]</f>
        <v>#DIV/0!</v>
      </c>
      <c r="AU51" s="13">
        <f>IF(Table26[[#This Row],[b]]&lt;&gt;"",Table26[[#This Row],[T-5]], 0)</f>
        <v>0</v>
      </c>
      <c r="AV51" s="13">
        <f>Table26[[#This Row],[Holding Time (min)]]+Table26[[#This Row],[Heating time]]</f>
        <v>40</v>
      </c>
      <c r="AW51" s="13">
        <v>290</v>
      </c>
      <c r="AY51" t="s">
        <v>503</v>
      </c>
      <c r="AZ51" s="13">
        <v>13.128205128205099</v>
      </c>
      <c r="BA51" s="13">
        <v>24.341880341880302</v>
      </c>
      <c r="BE51" s="13" t="s">
        <v>506</v>
      </c>
      <c r="BH51" s="13">
        <v>65.230769230769198</v>
      </c>
      <c r="BI51" s="13">
        <v>63.9</v>
      </c>
      <c r="BJ51" s="13">
        <v>6.2</v>
      </c>
      <c r="BK51" s="13">
        <v>26.3</v>
      </c>
      <c r="BL51" s="13">
        <v>3.6</v>
      </c>
      <c r="BN51" s="13">
        <v>25.8</v>
      </c>
      <c r="BQ51" s="13" t="s">
        <v>506</v>
      </c>
      <c r="CV51" s="13">
        <v>0</v>
      </c>
    </row>
    <row r="52" spans="1:100" x14ac:dyDescent="0.25">
      <c r="A52" t="s">
        <v>185</v>
      </c>
      <c r="B52" t="s">
        <v>158</v>
      </c>
      <c r="C52">
        <v>2014</v>
      </c>
      <c r="D52" t="s">
        <v>184</v>
      </c>
      <c r="E52">
        <v>0</v>
      </c>
      <c r="F52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52" s="13">
        <v>15.91</v>
      </c>
      <c r="O52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52" s="13">
        <v>8.61</v>
      </c>
      <c r="S52" s="13">
        <v>6.81</v>
      </c>
      <c r="T52" s="13">
        <v>68.67</v>
      </c>
      <c r="AB52" s="13">
        <v>35.200000000000003</v>
      </c>
      <c r="AC52" s="13">
        <v>5.2</v>
      </c>
      <c r="AD52" s="13">
        <v>32.979999999999997</v>
      </c>
      <c r="AE52" s="13">
        <v>2.1</v>
      </c>
      <c r="AH52" s="13">
        <v>13.4</v>
      </c>
      <c r="AJ52" s="13">
        <v>30</v>
      </c>
      <c r="AK52" s="13">
        <v>90</v>
      </c>
      <c r="AL52" s="13">
        <f>Table26[[#This Row],[Solids (g)]]/(Table26[[#This Row],[Solids (g)]]+Table26[[#This Row],[Water mL]])*100</f>
        <v>25</v>
      </c>
      <c r="AS52" s="13">
        <v>60</v>
      </c>
      <c r="AT52" s="13" t="e">
        <f>LN(25/Table26[[#This Row],[Temperature (C)]]/(1-SQRT((Table26[[#This Row],[Temperature (C)]]-5)/Table26[[#This Row],[Temperature (C)]])))/Table26[[#This Row],[b]]</f>
        <v>#DIV/0!</v>
      </c>
      <c r="AU52" s="13">
        <f>IF(Table26[[#This Row],[b]]&lt;&gt;"",Table26[[#This Row],[T-5]], 0)</f>
        <v>0</v>
      </c>
      <c r="AV52" s="13">
        <f>Table26[[#This Row],[Holding Time (min)]]+Table26[[#This Row],[Heating time]]</f>
        <v>60</v>
      </c>
      <c r="AW52" s="13">
        <v>290</v>
      </c>
      <c r="AY52" t="s">
        <v>503</v>
      </c>
      <c r="AZ52" s="13">
        <v>11.350427350427299</v>
      </c>
      <c r="BA52" s="13">
        <v>20.923076923076898</v>
      </c>
      <c r="BE52" s="13" t="s">
        <v>506</v>
      </c>
      <c r="BH52" s="13">
        <v>70.700854700854606</v>
      </c>
      <c r="BI52" s="13">
        <v>69.599999999999994</v>
      </c>
      <c r="BJ52" s="13">
        <v>6.5</v>
      </c>
      <c r="BK52" s="13">
        <v>19.899999999999999</v>
      </c>
      <c r="BL52" s="13">
        <v>4</v>
      </c>
      <c r="BN52" s="13">
        <v>29.2</v>
      </c>
      <c r="BQ52" s="13" t="s">
        <v>506</v>
      </c>
      <c r="CV52" s="13">
        <v>0</v>
      </c>
    </row>
    <row r="53" spans="1:100" x14ac:dyDescent="0.25">
      <c r="A53" t="s">
        <v>185</v>
      </c>
      <c r="B53" t="s">
        <v>158</v>
      </c>
      <c r="C53">
        <v>2014</v>
      </c>
      <c r="D53" t="s">
        <v>184</v>
      </c>
      <c r="E53">
        <v>0</v>
      </c>
      <c r="F53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53" s="13">
        <v>15.91</v>
      </c>
      <c r="O53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53" s="13">
        <v>8.61</v>
      </c>
      <c r="S53" s="13">
        <v>6.81</v>
      </c>
      <c r="T53" s="13">
        <v>68.67</v>
      </c>
      <c r="AB53" s="13">
        <v>35.200000000000003</v>
      </c>
      <c r="AC53" s="13">
        <v>5.2</v>
      </c>
      <c r="AD53" s="13">
        <v>32.979999999999997</v>
      </c>
      <c r="AE53" s="13">
        <v>2.1</v>
      </c>
      <c r="AH53" s="13">
        <v>13.4</v>
      </c>
      <c r="AJ53" s="13">
        <v>30</v>
      </c>
      <c r="AK53" s="13">
        <v>90</v>
      </c>
      <c r="AL53" s="13">
        <f>Table26[[#This Row],[Solids (g)]]/(Table26[[#This Row],[Solids (g)]]+Table26[[#This Row],[Water mL]])*100</f>
        <v>25</v>
      </c>
      <c r="AS53" s="13">
        <v>80</v>
      </c>
      <c r="AT53" s="13" t="e">
        <f>LN(25/Table26[[#This Row],[Temperature (C)]]/(1-SQRT((Table26[[#This Row],[Temperature (C)]]-5)/Table26[[#This Row],[Temperature (C)]])))/Table26[[#This Row],[b]]</f>
        <v>#DIV/0!</v>
      </c>
      <c r="AU53" s="13">
        <f>IF(Table26[[#This Row],[b]]&lt;&gt;"",Table26[[#This Row],[T-5]], 0)</f>
        <v>0</v>
      </c>
      <c r="AV53" s="13">
        <f>Table26[[#This Row],[Holding Time (min)]]+Table26[[#This Row],[Heating time]]</f>
        <v>80</v>
      </c>
      <c r="AW53" s="13">
        <v>290</v>
      </c>
      <c r="AY53" t="s">
        <v>503</v>
      </c>
      <c r="AZ53" s="13">
        <v>12.991452991453</v>
      </c>
      <c r="BA53" s="13">
        <v>20.786324786324698</v>
      </c>
      <c r="BE53" s="13" t="s">
        <v>506</v>
      </c>
      <c r="BH53" s="13">
        <v>69.196581196581107</v>
      </c>
      <c r="BI53" s="13">
        <v>68.7</v>
      </c>
      <c r="BJ53" s="13">
        <v>6.5</v>
      </c>
      <c r="BK53" s="13">
        <v>20.8</v>
      </c>
      <c r="BL53" s="13">
        <v>4</v>
      </c>
      <c r="BN53" s="13">
        <v>28.8</v>
      </c>
      <c r="BQ53" s="13" t="s">
        <v>506</v>
      </c>
      <c r="CV53" s="13">
        <v>0</v>
      </c>
    </row>
    <row r="54" spans="1:100" x14ac:dyDescent="0.25">
      <c r="A54" t="s">
        <v>185</v>
      </c>
      <c r="B54" t="s">
        <v>158</v>
      </c>
      <c r="C54">
        <v>2014</v>
      </c>
      <c r="D54" t="s">
        <v>184</v>
      </c>
      <c r="E54">
        <v>0</v>
      </c>
      <c r="F54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54" s="13">
        <v>15.91</v>
      </c>
      <c r="O54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54" s="13">
        <v>8.61</v>
      </c>
      <c r="S54" s="13">
        <v>6.81</v>
      </c>
      <c r="T54" s="13">
        <v>68.67</v>
      </c>
      <c r="AB54" s="13">
        <v>35.200000000000003</v>
      </c>
      <c r="AC54" s="13">
        <v>5.2</v>
      </c>
      <c r="AD54" s="13">
        <v>32.979999999999997</v>
      </c>
      <c r="AE54" s="13">
        <v>2.1</v>
      </c>
      <c r="AH54" s="13">
        <v>13.4</v>
      </c>
      <c r="AJ54" s="13">
        <v>30</v>
      </c>
      <c r="AK54" s="13">
        <v>90</v>
      </c>
      <c r="AL54" s="13">
        <f>Table26[[#This Row],[Solids (g)]]/(Table26[[#This Row],[Solids (g)]]+Table26[[#This Row],[Water mL]])*100</f>
        <v>25</v>
      </c>
      <c r="AS54" s="13">
        <v>100</v>
      </c>
      <c r="AT54" s="13" t="e">
        <f>LN(25/Table26[[#This Row],[Temperature (C)]]/(1-SQRT((Table26[[#This Row],[Temperature (C)]]-5)/Table26[[#This Row],[Temperature (C)]])))/Table26[[#This Row],[b]]</f>
        <v>#DIV/0!</v>
      </c>
      <c r="AU54" s="13">
        <f>IF(Table26[[#This Row],[b]]&lt;&gt;"",Table26[[#This Row],[T-5]], 0)</f>
        <v>0</v>
      </c>
      <c r="AV54" s="13">
        <f>Table26[[#This Row],[Holding Time (min)]]+Table26[[#This Row],[Heating time]]</f>
        <v>100</v>
      </c>
      <c r="AW54" s="13">
        <v>290</v>
      </c>
      <c r="AY54" t="s">
        <v>503</v>
      </c>
      <c r="AZ54" s="13">
        <v>13.4017094017094</v>
      </c>
      <c r="BA54" s="13">
        <v>18.324786324786299</v>
      </c>
      <c r="BE54" s="13" t="s">
        <v>506</v>
      </c>
      <c r="BH54" s="13">
        <v>71.521367521367495</v>
      </c>
      <c r="BI54" s="13">
        <v>71.400000000000006</v>
      </c>
      <c r="BJ54" s="13">
        <v>7.6</v>
      </c>
      <c r="BK54" s="13">
        <v>16.8</v>
      </c>
      <c r="BL54" s="13">
        <v>4.2</v>
      </c>
      <c r="BN54" s="13">
        <v>32</v>
      </c>
      <c r="BQ54" s="13" t="s">
        <v>506</v>
      </c>
      <c r="CV54" s="13">
        <v>0</v>
      </c>
    </row>
    <row r="55" spans="1:100" x14ac:dyDescent="0.25">
      <c r="A55" t="s">
        <v>202</v>
      </c>
      <c r="B55" t="s">
        <v>201</v>
      </c>
      <c r="C55">
        <v>2016</v>
      </c>
      <c r="D55" t="s">
        <v>200</v>
      </c>
      <c r="E55">
        <v>1</v>
      </c>
      <c r="F55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55" s="13">
        <v>22.52</v>
      </c>
      <c r="O55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55" s="13">
        <v>88</v>
      </c>
      <c r="S55" s="13">
        <v>8.5</v>
      </c>
      <c r="T55" s="13">
        <v>58.7</v>
      </c>
      <c r="AB55" s="13">
        <v>54.86</v>
      </c>
      <c r="AC55" s="13">
        <v>7</v>
      </c>
      <c r="AD55" s="13">
        <v>14.23</v>
      </c>
      <c r="AE55" s="13">
        <v>1.38</v>
      </c>
      <c r="AF55" s="13">
        <v>0</v>
      </c>
      <c r="AI55" s="13">
        <v>0.998</v>
      </c>
      <c r="AL55" s="13">
        <f t="shared" ref="AL55:AL60" si="0">100-88</f>
        <v>12</v>
      </c>
      <c r="AS55" s="13">
        <v>30</v>
      </c>
      <c r="AT55" s="13" t="e">
        <f>LN(25/Table26[[#This Row],[Temperature (C)]]/(1-SQRT((Table26[[#This Row],[Temperature (C)]]-5)/Table26[[#This Row],[Temperature (C)]])))/Table26[[#This Row],[b]]</f>
        <v>#DIV/0!</v>
      </c>
      <c r="AU55" s="13">
        <f>IF(Table26[[#This Row],[b]]&lt;&gt;"",Table26[[#This Row],[T-5]], 0)</f>
        <v>0</v>
      </c>
      <c r="AV55" s="13">
        <f>Table26[[#This Row],[Holding Time (min)]]+Table26[[#This Row],[Heating time]]</f>
        <v>30</v>
      </c>
      <c r="AW55" s="13">
        <v>240</v>
      </c>
      <c r="AY55" t="s">
        <v>503</v>
      </c>
      <c r="AZ55" s="13">
        <v>43.806228373702297</v>
      </c>
      <c r="BA55" s="13">
        <v>28.166089965397902</v>
      </c>
      <c r="BB55" s="13">
        <v>21.176470588235201</v>
      </c>
      <c r="BC55" s="13">
        <v>6.50519031141868</v>
      </c>
      <c r="BD55" s="13">
        <f>100-SUM(Table26[[#This Row],[Solids wt%]:[Gas wt%]])</f>
        <v>0.34602076124591008</v>
      </c>
      <c r="BE55" s="13" t="s">
        <v>506</v>
      </c>
      <c r="BI55" s="13">
        <v>69.09</v>
      </c>
      <c r="BJ55" s="13">
        <v>10.1</v>
      </c>
      <c r="BK55" s="13">
        <v>17.440000000000001</v>
      </c>
      <c r="BL55" s="13">
        <v>1.25</v>
      </c>
      <c r="BN55" s="13">
        <v>30.12</v>
      </c>
      <c r="BP55" s="13">
        <v>35.15</v>
      </c>
      <c r="BQ55" s="13" t="s">
        <v>506</v>
      </c>
      <c r="CV55" s="13">
        <v>0</v>
      </c>
    </row>
    <row r="56" spans="1:100" x14ac:dyDescent="0.25">
      <c r="A56" t="s">
        <v>202</v>
      </c>
      <c r="B56" t="s">
        <v>201</v>
      </c>
      <c r="C56">
        <v>2016</v>
      </c>
      <c r="D56" t="s">
        <v>200</v>
      </c>
      <c r="E56">
        <v>1</v>
      </c>
      <c r="F56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56" s="13">
        <v>22.52</v>
      </c>
      <c r="O56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56" s="13">
        <v>88</v>
      </c>
      <c r="S56" s="13">
        <v>8.5</v>
      </c>
      <c r="T56" s="13">
        <v>58.7</v>
      </c>
      <c r="AB56" s="13">
        <v>54.86</v>
      </c>
      <c r="AC56" s="13">
        <v>7</v>
      </c>
      <c r="AD56" s="13">
        <v>14.23</v>
      </c>
      <c r="AE56" s="13">
        <v>1.38</v>
      </c>
      <c r="AF56" s="13">
        <v>0</v>
      </c>
      <c r="AI56" s="13">
        <v>0.998</v>
      </c>
      <c r="AL56" s="13">
        <f t="shared" si="0"/>
        <v>12</v>
      </c>
      <c r="AS56" s="13">
        <v>30</v>
      </c>
      <c r="AT56" s="13" t="e">
        <f>LN(25/Table26[[#This Row],[Temperature (C)]]/(1-SQRT((Table26[[#This Row],[Temperature (C)]]-5)/Table26[[#This Row],[Temperature (C)]])))/Table26[[#This Row],[b]]</f>
        <v>#DIV/0!</v>
      </c>
      <c r="AU56" s="13">
        <f>IF(Table26[[#This Row],[b]]&lt;&gt;"",Table26[[#This Row],[T-5]], 0)</f>
        <v>0</v>
      </c>
      <c r="AV56" s="13">
        <f>Table26[[#This Row],[Holding Time (min)]]+Table26[[#This Row],[Heating time]]</f>
        <v>30</v>
      </c>
      <c r="AW56" s="13">
        <v>260</v>
      </c>
      <c r="AY56" t="s">
        <v>503</v>
      </c>
      <c r="AZ56" s="13">
        <v>33.979238754325202</v>
      </c>
      <c r="BA56" s="13">
        <v>37.231833910034503</v>
      </c>
      <c r="BB56" s="13">
        <v>20.4152249134948</v>
      </c>
      <c r="BC56" s="13">
        <v>8.2352941176470598</v>
      </c>
      <c r="BD56" s="13">
        <f>100-SUM(Table26[[#This Row],[Solids wt%]:[Gas wt%]])</f>
        <v>0.13840830449844077</v>
      </c>
      <c r="BE56" s="13" t="s">
        <v>506</v>
      </c>
      <c r="BI56" s="13">
        <v>71.22</v>
      </c>
      <c r="BJ56" s="13">
        <v>10.01</v>
      </c>
      <c r="BK56" s="13">
        <v>17.32</v>
      </c>
      <c r="BL56" s="13">
        <v>1.32</v>
      </c>
      <c r="BN56" s="13">
        <v>33.76</v>
      </c>
      <c r="BP56" s="13">
        <v>51.91</v>
      </c>
      <c r="BQ56" s="13" t="s">
        <v>506</v>
      </c>
      <c r="CV56" s="13">
        <v>0</v>
      </c>
    </row>
    <row r="57" spans="1:100" x14ac:dyDescent="0.25">
      <c r="A57" t="s">
        <v>202</v>
      </c>
      <c r="B57" t="s">
        <v>201</v>
      </c>
      <c r="C57">
        <v>2016</v>
      </c>
      <c r="D57" t="s">
        <v>200</v>
      </c>
      <c r="E57">
        <v>1</v>
      </c>
      <c r="F57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57" s="13">
        <v>22.52</v>
      </c>
      <c r="O57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57" s="13">
        <v>88</v>
      </c>
      <c r="S57" s="13">
        <v>8.5</v>
      </c>
      <c r="T57" s="13">
        <v>58.7</v>
      </c>
      <c r="AB57" s="13">
        <v>54.86</v>
      </c>
      <c r="AC57" s="13">
        <v>7</v>
      </c>
      <c r="AD57" s="13">
        <v>14.23</v>
      </c>
      <c r="AE57" s="13">
        <v>1.38</v>
      </c>
      <c r="AF57" s="13">
        <v>0</v>
      </c>
      <c r="AI57" s="13">
        <v>0.998</v>
      </c>
      <c r="AL57" s="13">
        <f t="shared" si="0"/>
        <v>12</v>
      </c>
      <c r="AS57" s="13">
        <v>30</v>
      </c>
      <c r="AT57" s="13" t="e">
        <f>LN(25/Table26[[#This Row],[Temperature (C)]]/(1-SQRT((Table26[[#This Row],[Temperature (C)]]-5)/Table26[[#This Row],[Temperature (C)]])))/Table26[[#This Row],[b]]</f>
        <v>#DIV/0!</v>
      </c>
      <c r="AU57" s="13">
        <f>IF(Table26[[#This Row],[b]]&lt;&gt;"",Table26[[#This Row],[T-5]], 0)</f>
        <v>0</v>
      </c>
      <c r="AV57" s="13">
        <f>Table26[[#This Row],[Holding Time (min)]]+Table26[[#This Row],[Heating time]]</f>
        <v>30</v>
      </c>
      <c r="AW57" s="13">
        <v>280</v>
      </c>
      <c r="AY57" t="s">
        <v>503</v>
      </c>
      <c r="AZ57" s="13">
        <v>16.955017301038001</v>
      </c>
      <c r="BA57" s="13">
        <v>58.200692041522402</v>
      </c>
      <c r="BB57" s="13">
        <v>15.6401384083044</v>
      </c>
      <c r="BC57" s="13">
        <v>8.7889273356401407</v>
      </c>
      <c r="BD57" s="13">
        <f>100-SUM(Table26[[#This Row],[Solids wt%]:[Gas wt%]])</f>
        <v>0.41522491349506652</v>
      </c>
      <c r="BE57" s="13" t="s">
        <v>506</v>
      </c>
      <c r="BI57" s="13">
        <v>75.45</v>
      </c>
      <c r="BJ57" s="13">
        <v>11.87</v>
      </c>
      <c r="BK57" s="13">
        <v>13.35</v>
      </c>
      <c r="BL57" s="13">
        <v>0.46</v>
      </c>
      <c r="BN57" s="13">
        <v>37.92</v>
      </c>
      <c r="BO57" s="13">
        <v>0.09</v>
      </c>
      <c r="BP57" s="13">
        <v>91.32</v>
      </c>
      <c r="BQ57" s="13" t="s">
        <v>506</v>
      </c>
      <c r="CV57" s="13">
        <v>0</v>
      </c>
    </row>
    <row r="58" spans="1:100" x14ac:dyDescent="0.25">
      <c r="A58" t="s">
        <v>202</v>
      </c>
      <c r="B58" t="s">
        <v>201</v>
      </c>
      <c r="C58">
        <v>2016</v>
      </c>
      <c r="D58" t="s">
        <v>200</v>
      </c>
      <c r="E58">
        <v>1</v>
      </c>
      <c r="F58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58" s="13">
        <v>22.52</v>
      </c>
      <c r="O58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58" s="13">
        <v>88</v>
      </c>
      <c r="S58" s="13">
        <v>8.5</v>
      </c>
      <c r="T58" s="13">
        <v>58.7</v>
      </c>
      <c r="AB58" s="13">
        <v>54.86</v>
      </c>
      <c r="AC58" s="13">
        <v>7</v>
      </c>
      <c r="AD58" s="13">
        <v>14.23</v>
      </c>
      <c r="AE58" s="13">
        <v>1.38</v>
      </c>
      <c r="AF58" s="13">
        <v>0</v>
      </c>
      <c r="AI58" s="13">
        <v>0.998</v>
      </c>
      <c r="AL58" s="13">
        <f t="shared" si="0"/>
        <v>12</v>
      </c>
      <c r="AS58" s="13">
        <v>30</v>
      </c>
      <c r="AT58" s="13" t="e">
        <f>LN(25/Table26[[#This Row],[Temperature (C)]]/(1-SQRT((Table26[[#This Row],[Temperature (C)]]-5)/Table26[[#This Row],[Temperature (C)]])))/Table26[[#This Row],[b]]</f>
        <v>#DIV/0!</v>
      </c>
      <c r="AU58" s="13">
        <f>IF(Table26[[#This Row],[b]]&lt;&gt;"",Table26[[#This Row],[T-5]], 0)</f>
        <v>0</v>
      </c>
      <c r="AV58" s="13">
        <f>Table26[[#This Row],[Holding Time (min)]]+Table26[[#This Row],[Heating time]]</f>
        <v>30</v>
      </c>
      <c r="AW58" s="13">
        <v>300</v>
      </c>
      <c r="AY58" t="s">
        <v>503</v>
      </c>
      <c r="AZ58" s="13">
        <v>29.9653979238754</v>
      </c>
      <c r="BA58" s="13">
        <v>44.705882352941103</v>
      </c>
      <c r="BB58" s="13">
        <v>9.8961937716263098</v>
      </c>
      <c r="BC58" s="13">
        <v>15.432525951557</v>
      </c>
      <c r="BE58" s="13" t="s">
        <v>506</v>
      </c>
      <c r="BI58" s="13">
        <v>75.239999999999995</v>
      </c>
      <c r="BJ58" s="13">
        <v>11.68</v>
      </c>
      <c r="BK58" s="13">
        <v>12.83</v>
      </c>
      <c r="BL58" s="13">
        <v>0.53</v>
      </c>
      <c r="BN58" s="13">
        <v>38.25</v>
      </c>
      <c r="BP58" s="13">
        <v>70.680000000000007</v>
      </c>
      <c r="BQ58" s="13" t="s">
        <v>506</v>
      </c>
      <c r="CV58" s="13">
        <v>0</v>
      </c>
    </row>
    <row r="59" spans="1:100" x14ac:dyDescent="0.25">
      <c r="A59" s="1" t="s">
        <v>202</v>
      </c>
      <c r="B59" t="s">
        <v>201</v>
      </c>
      <c r="C59">
        <v>2016</v>
      </c>
      <c r="D59" t="s">
        <v>200</v>
      </c>
      <c r="E59">
        <v>1</v>
      </c>
      <c r="F59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59" s="13">
        <v>22.52</v>
      </c>
      <c r="O59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59" s="13">
        <v>88</v>
      </c>
      <c r="S59" s="13">
        <v>8.5</v>
      </c>
      <c r="T59" s="13">
        <v>58.7</v>
      </c>
      <c r="AB59" s="13">
        <v>54.86</v>
      </c>
      <c r="AC59" s="13">
        <v>7</v>
      </c>
      <c r="AD59" s="13">
        <v>14.23</v>
      </c>
      <c r="AE59" s="13">
        <v>1.38</v>
      </c>
      <c r="AF59" s="13">
        <v>0</v>
      </c>
      <c r="AI59" s="13">
        <v>0.998</v>
      </c>
      <c r="AL59" s="13">
        <f t="shared" si="0"/>
        <v>12</v>
      </c>
      <c r="AS59" s="13">
        <v>15</v>
      </c>
      <c r="AT59" s="13" t="e">
        <f>LN(25/Table26[[#This Row],[Temperature (C)]]/(1-SQRT((Table26[[#This Row],[Temperature (C)]]-5)/Table26[[#This Row],[Temperature (C)]])))/Table26[[#This Row],[b]]</f>
        <v>#DIV/0!</v>
      </c>
      <c r="AU59" s="13">
        <f>IF(Table26[[#This Row],[b]]&lt;&gt;"",Table26[[#This Row],[T-5]], 0)</f>
        <v>0</v>
      </c>
      <c r="AV59" s="13">
        <f>Table26[[#This Row],[Holding Time (min)]]+Table26[[#This Row],[Heating time]]</f>
        <v>15</v>
      </c>
      <c r="AW59" s="13">
        <v>280</v>
      </c>
      <c r="AY59" t="s">
        <v>503</v>
      </c>
      <c r="AZ59" s="13">
        <v>16.466083150984598</v>
      </c>
      <c r="BA59" s="13">
        <v>56.214442013129101</v>
      </c>
      <c r="BB59" s="13">
        <v>21.137855579868699</v>
      </c>
      <c r="BC59" s="13">
        <v>7.1225382932166204</v>
      </c>
      <c r="BE59" s="13">
        <v>0.26666666666666899</v>
      </c>
      <c r="BQ59" s="13" t="s">
        <v>506</v>
      </c>
      <c r="CV59" s="13">
        <v>0</v>
      </c>
    </row>
    <row r="60" spans="1:100" x14ac:dyDescent="0.25">
      <c r="A60" t="s">
        <v>202</v>
      </c>
      <c r="B60" t="s">
        <v>201</v>
      </c>
      <c r="C60">
        <v>2016</v>
      </c>
      <c r="D60" t="s">
        <v>200</v>
      </c>
      <c r="E60">
        <v>1</v>
      </c>
      <c r="F60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60" s="13">
        <v>22.52</v>
      </c>
      <c r="O60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60" s="13">
        <v>88</v>
      </c>
      <c r="S60" s="13">
        <v>8.5</v>
      </c>
      <c r="T60" s="13">
        <v>58.7</v>
      </c>
      <c r="AB60" s="13">
        <v>54.86</v>
      </c>
      <c r="AC60" s="13">
        <v>7</v>
      </c>
      <c r="AD60" s="13">
        <v>14.23</v>
      </c>
      <c r="AE60" s="13">
        <v>1.38</v>
      </c>
      <c r="AF60" s="13">
        <v>0</v>
      </c>
      <c r="AI60" s="13">
        <v>0.998</v>
      </c>
      <c r="AL60" s="13">
        <f t="shared" si="0"/>
        <v>12</v>
      </c>
      <c r="AS60" s="13">
        <v>45</v>
      </c>
      <c r="AT60" s="13" t="e">
        <f>LN(25/Table26[[#This Row],[Temperature (C)]]/(1-SQRT((Table26[[#This Row],[Temperature (C)]]-5)/Table26[[#This Row],[Temperature (C)]])))/Table26[[#This Row],[b]]</f>
        <v>#DIV/0!</v>
      </c>
      <c r="AU60" s="13">
        <f>IF(Table26[[#This Row],[b]]&lt;&gt;"",Table26[[#This Row],[T-5]], 0)</f>
        <v>0</v>
      </c>
      <c r="AV60" s="13">
        <f>Table26[[#This Row],[Holding Time (min)]]+Table26[[#This Row],[Heating time]]</f>
        <v>45</v>
      </c>
      <c r="AW60" s="13">
        <v>280</v>
      </c>
      <c r="AY60" t="s">
        <v>503</v>
      </c>
      <c r="AZ60" s="13">
        <v>19.7592997811816</v>
      </c>
      <c r="BA60" s="13">
        <v>45.492341356673897</v>
      </c>
      <c r="BB60" s="13">
        <v>13.4026258205689</v>
      </c>
      <c r="BC60" s="13">
        <v>22.439824945295399</v>
      </c>
      <c r="BE60" s="13">
        <v>1.1781580395453077</v>
      </c>
      <c r="BQ60" s="13" t="s">
        <v>506</v>
      </c>
      <c r="CV60" s="13">
        <v>0</v>
      </c>
    </row>
    <row r="61" spans="1:100" x14ac:dyDescent="0.25">
      <c r="A61" t="s">
        <v>202</v>
      </c>
      <c r="B61" t="s">
        <v>201</v>
      </c>
      <c r="C61">
        <v>2016</v>
      </c>
      <c r="D61" t="s">
        <v>200</v>
      </c>
      <c r="E61">
        <v>1</v>
      </c>
      <c r="F61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61" s="13">
        <v>22.52</v>
      </c>
      <c r="O61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61" s="13">
        <v>88</v>
      </c>
      <c r="S61" s="13">
        <v>8.5</v>
      </c>
      <c r="T61" s="13">
        <v>58.7</v>
      </c>
      <c r="AB61" s="13">
        <v>54.86</v>
      </c>
      <c r="AC61" s="13">
        <v>7</v>
      </c>
      <c r="AD61" s="13">
        <v>14.23</v>
      </c>
      <c r="AE61" s="13">
        <v>1.38</v>
      </c>
      <c r="AF61" s="13">
        <v>0</v>
      </c>
      <c r="AI61" s="13">
        <v>0.998</v>
      </c>
      <c r="AL61" s="13">
        <v>42</v>
      </c>
      <c r="AS61" s="13">
        <v>30</v>
      </c>
      <c r="AT61" s="13" t="e">
        <f>LN(25/Table26[[#This Row],[Temperature (C)]]/(1-SQRT((Table26[[#This Row],[Temperature (C)]]-5)/Table26[[#This Row],[Temperature (C)]])))/Table26[[#This Row],[b]]</f>
        <v>#DIV/0!</v>
      </c>
      <c r="AU61" s="13">
        <f>IF(Table26[[#This Row],[b]]&lt;&gt;"",Table26[[#This Row],[T-5]], 0)</f>
        <v>0</v>
      </c>
      <c r="AV61" s="13">
        <f>Table26[[#This Row],[Holding Time (min)]]+Table26[[#This Row],[Heating time]]</f>
        <v>30</v>
      </c>
      <c r="AW61" s="13">
        <v>280</v>
      </c>
      <c r="AY61" t="s">
        <v>503</v>
      </c>
      <c r="AZ61" s="13">
        <v>29.63</v>
      </c>
      <c r="BA61" s="13">
        <v>35.82</v>
      </c>
      <c r="BB61" s="13">
        <v>3.31</v>
      </c>
      <c r="BC61" s="13">
        <v>31.24</v>
      </c>
      <c r="BE61" s="13">
        <v>3.0095238095238002</v>
      </c>
      <c r="BQ61" s="13">
        <v>14.065573770491804</v>
      </c>
      <c r="CV61" s="13">
        <v>0</v>
      </c>
    </row>
    <row r="62" spans="1:100" x14ac:dyDescent="0.25">
      <c r="A62" t="s">
        <v>202</v>
      </c>
      <c r="B62" t="s">
        <v>201</v>
      </c>
      <c r="C62">
        <v>2016</v>
      </c>
      <c r="D62" t="s">
        <v>200</v>
      </c>
      <c r="E62">
        <v>1</v>
      </c>
      <c r="F62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62" s="13">
        <v>22.52</v>
      </c>
      <c r="O62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62" s="13">
        <v>88</v>
      </c>
      <c r="S62" s="13">
        <v>8.5</v>
      </c>
      <c r="T62" s="13">
        <v>58.7</v>
      </c>
      <c r="AB62" s="13">
        <v>54.86</v>
      </c>
      <c r="AC62" s="13">
        <v>7</v>
      </c>
      <c r="AD62" s="13">
        <v>14.23</v>
      </c>
      <c r="AE62" s="13">
        <v>1.38</v>
      </c>
      <c r="AF62" s="13">
        <v>0</v>
      </c>
      <c r="AI62" s="13">
        <v>0.998</v>
      </c>
      <c r="AL62" s="13">
        <v>32</v>
      </c>
      <c r="AS62" s="13">
        <v>30</v>
      </c>
      <c r="AT62" s="13" t="e">
        <f>LN(25/Table26[[#This Row],[Temperature (C)]]/(1-SQRT((Table26[[#This Row],[Temperature (C)]]-5)/Table26[[#This Row],[Temperature (C)]])))/Table26[[#This Row],[b]]</f>
        <v>#DIV/0!</v>
      </c>
      <c r="AU62" s="13">
        <f>IF(Table26[[#This Row],[b]]&lt;&gt;"",Table26[[#This Row],[T-5]], 0)</f>
        <v>0</v>
      </c>
      <c r="AV62" s="13">
        <f>Table26[[#This Row],[Holding Time (min)]]+Table26[[#This Row],[Heating time]]</f>
        <v>30</v>
      </c>
      <c r="AW62" s="13">
        <v>280</v>
      </c>
      <c r="AY62" t="s">
        <v>503</v>
      </c>
      <c r="AZ62" s="13">
        <v>24.32</v>
      </c>
      <c r="BA62" s="13">
        <v>44.8</v>
      </c>
      <c r="BB62" s="13">
        <v>5.76</v>
      </c>
      <c r="BC62" s="13">
        <v>25.12</v>
      </c>
      <c r="BE62" s="13">
        <v>8.5271692908348289</v>
      </c>
      <c r="BQ62" s="13" t="s">
        <v>506</v>
      </c>
      <c r="CV62" s="13">
        <v>0</v>
      </c>
    </row>
    <row r="63" spans="1:100" x14ac:dyDescent="0.25">
      <c r="A63" t="s">
        <v>202</v>
      </c>
      <c r="B63" t="s">
        <v>201</v>
      </c>
      <c r="C63">
        <v>2016</v>
      </c>
      <c r="D63" t="s">
        <v>200</v>
      </c>
      <c r="E63">
        <v>1</v>
      </c>
      <c r="F63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63" s="13">
        <v>22.52</v>
      </c>
      <c r="O63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63" s="13">
        <v>88</v>
      </c>
      <c r="S63" s="13">
        <v>8.5</v>
      </c>
      <c r="T63" s="13">
        <v>58.7</v>
      </c>
      <c r="AB63" s="13">
        <v>54.86</v>
      </c>
      <c r="AC63" s="13">
        <v>7</v>
      </c>
      <c r="AD63" s="13">
        <v>14.23</v>
      </c>
      <c r="AE63" s="13">
        <v>1.38</v>
      </c>
      <c r="AF63" s="13">
        <v>0</v>
      </c>
      <c r="AI63" s="13">
        <v>0.998</v>
      </c>
      <c r="AL63" s="13">
        <v>22</v>
      </c>
      <c r="AS63" s="13">
        <v>30</v>
      </c>
      <c r="AT63" s="13" t="e">
        <f>LN(25/Table26[[#This Row],[Temperature (C)]]/(1-SQRT((Table26[[#This Row],[Temperature (C)]]-5)/Table26[[#This Row],[Temperature (C)]])))/Table26[[#This Row],[b]]</f>
        <v>#DIV/0!</v>
      </c>
      <c r="AU63" s="13">
        <f>IF(Table26[[#This Row],[b]]&lt;&gt;"",Table26[[#This Row],[T-5]], 0)</f>
        <v>0</v>
      </c>
      <c r="AV63" s="13">
        <f>Table26[[#This Row],[Holding Time (min)]]+Table26[[#This Row],[Heating time]]</f>
        <v>30</v>
      </c>
      <c r="AW63" s="13">
        <v>280</v>
      </c>
      <c r="AY63" t="s">
        <v>503</v>
      </c>
      <c r="AZ63" s="13">
        <v>19.739999999999998</v>
      </c>
      <c r="BA63" s="13">
        <v>56.48</v>
      </c>
      <c r="BB63" s="13">
        <v>7.81</v>
      </c>
      <c r="BC63" s="13">
        <v>15.97</v>
      </c>
      <c r="BE63" s="13">
        <v>35.215105883839144</v>
      </c>
      <c r="BQ63" s="13" t="s">
        <v>506</v>
      </c>
      <c r="CV63" s="13">
        <v>0</v>
      </c>
    </row>
    <row r="64" spans="1:100" x14ac:dyDescent="0.25">
      <c r="A64" t="s">
        <v>219</v>
      </c>
      <c r="B64" t="s">
        <v>220</v>
      </c>
      <c r="C64">
        <v>2022</v>
      </c>
      <c r="D64" t="s">
        <v>218</v>
      </c>
      <c r="E64">
        <v>0</v>
      </c>
      <c r="F64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40.31</v>
      </c>
      <c r="I64" s="13">
        <v>18.64</v>
      </c>
      <c r="J64" s="13">
        <v>21.67</v>
      </c>
      <c r="M64" s="13">
        <v>21.2</v>
      </c>
      <c r="N64" s="13">
        <v>6.4</v>
      </c>
      <c r="O6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61.510000000000005</v>
      </c>
      <c r="R64" s="13">
        <v>2.59</v>
      </c>
      <c r="S64" s="13">
        <v>15.7</v>
      </c>
      <c r="T64" s="13">
        <v>75</v>
      </c>
      <c r="AB64" s="13">
        <v>48.34</v>
      </c>
      <c r="AC64" s="13">
        <v>5.86</v>
      </c>
      <c r="AD64" s="13">
        <v>34.520000000000003</v>
      </c>
      <c r="AE64" s="13">
        <v>2.02</v>
      </c>
      <c r="AF64" s="13">
        <v>0.24</v>
      </c>
      <c r="AH64" s="13">
        <v>19.579999999999998</v>
      </c>
      <c r="AI64" s="13">
        <v>0.5</v>
      </c>
      <c r="AK64" s="13">
        <v>150</v>
      </c>
      <c r="AL64" s="13">
        <v>20</v>
      </c>
      <c r="AM64" s="13">
        <v>5</v>
      </c>
      <c r="AP64" s="13">
        <v>5.8999999999999997E-2</v>
      </c>
      <c r="AR64" s="13">
        <v>30</v>
      </c>
      <c r="AS64" s="13">
        <v>0</v>
      </c>
      <c r="AT64" s="13">
        <f>LN(25/Table26[[#This Row],[Temperature (C)]]/(1-SQRT((Table26[[#This Row],[Temperature (C)]]-5)/Table26[[#This Row],[Temperature (C)]])))/Table26[[#This Row],[b]]</f>
        <v>38.973649864224456</v>
      </c>
      <c r="AU64" s="13">
        <f>IF(Table26[[#This Row],[b]]&lt;&gt;"",Table26[[#This Row],[T-5]], 0)</f>
        <v>38.973649864224456</v>
      </c>
      <c r="AV64" s="13">
        <f>Table26[[#This Row],[Holding Time (min)]]+Table26[[#This Row],[Heating time]]</f>
        <v>38.973649864224456</v>
      </c>
      <c r="AW64" s="13">
        <v>400</v>
      </c>
      <c r="AY64" t="s">
        <v>503</v>
      </c>
      <c r="AZ64" s="13">
        <v>15.2380952380952</v>
      </c>
      <c r="BA64" s="13">
        <v>23.452380952380899</v>
      </c>
      <c r="BE64" s="13">
        <v>4.7238095238095203</v>
      </c>
      <c r="BQ64" s="13" t="s">
        <v>506</v>
      </c>
      <c r="CV64" s="13">
        <v>0</v>
      </c>
    </row>
    <row r="65" spans="1:100" x14ac:dyDescent="0.25">
      <c r="A65" t="s">
        <v>219</v>
      </c>
      <c r="B65" t="s">
        <v>220</v>
      </c>
      <c r="C65">
        <v>2022</v>
      </c>
      <c r="D65" t="s">
        <v>218</v>
      </c>
      <c r="E65">
        <v>0</v>
      </c>
      <c r="F65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40.31</v>
      </c>
      <c r="I65" s="13">
        <v>18.64</v>
      </c>
      <c r="J65" s="13">
        <v>21.67</v>
      </c>
      <c r="M65" s="13">
        <v>21.2</v>
      </c>
      <c r="N65" s="13">
        <v>6.4</v>
      </c>
      <c r="O6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61.510000000000005</v>
      </c>
      <c r="R65" s="13">
        <v>2.59</v>
      </c>
      <c r="S65" s="13">
        <v>15.7</v>
      </c>
      <c r="T65" s="13">
        <v>75</v>
      </c>
      <c r="AB65" s="13">
        <v>48.34</v>
      </c>
      <c r="AC65" s="13">
        <v>5.86</v>
      </c>
      <c r="AD65" s="13">
        <v>34.520000000000003</v>
      </c>
      <c r="AE65" s="13">
        <v>2.02</v>
      </c>
      <c r="AF65" s="13">
        <v>0.24</v>
      </c>
      <c r="AH65" s="13">
        <v>19.579999999999998</v>
      </c>
      <c r="AI65" s="13">
        <v>0.5</v>
      </c>
      <c r="AK65" s="13">
        <v>150</v>
      </c>
      <c r="AL65" s="13">
        <v>20</v>
      </c>
      <c r="AM65" s="13">
        <v>5</v>
      </c>
      <c r="AP65" s="13">
        <v>5.8999999999999997E-2</v>
      </c>
      <c r="AR65" s="13">
        <v>30</v>
      </c>
      <c r="AS65" s="13">
        <v>10</v>
      </c>
      <c r="AT65" s="13">
        <f>LN(25/Table26[[#This Row],[Temperature (C)]]/(1-SQRT((Table26[[#This Row],[Temperature (C)]]-5)/Table26[[#This Row],[Temperature (C)]])))/Table26[[#This Row],[b]]</f>
        <v>38.973649864224456</v>
      </c>
      <c r="AU65" s="13">
        <f>IF(Table26[[#This Row],[b]]&lt;&gt;"",Table26[[#This Row],[T-5]], 0)</f>
        <v>38.973649864224456</v>
      </c>
      <c r="AV65" s="13">
        <f>Table26[[#This Row],[Holding Time (min)]]+Table26[[#This Row],[Heating time]]</f>
        <v>48.973649864224456</v>
      </c>
      <c r="AW65" s="13">
        <v>400</v>
      </c>
      <c r="AY65" t="s">
        <v>503</v>
      </c>
      <c r="AZ65" s="13">
        <v>14.285714285714199</v>
      </c>
      <c r="BA65" s="13">
        <v>24.6428571428571</v>
      </c>
      <c r="BE65" s="13">
        <v>2.441192047764793</v>
      </c>
      <c r="BQ65" s="13">
        <v>13.463268365817092</v>
      </c>
      <c r="CV65" s="13">
        <v>0</v>
      </c>
    </row>
    <row r="66" spans="1:100" x14ac:dyDescent="0.25">
      <c r="A66" t="s">
        <v>219</v>
      </c>
      <c r="B66" t="s">
        <v>220</v>
      </c>
      <c r="C66">
        <v>2022</v>
      </c>
      <c r="D66" t="s">
        <v>218</v>
      </c>
      <c r="E66">
        <v>0</v>
      </c>
      <c r="F66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40.31</v>
      </c>
      <c r="I66" s="13">
        <v>18.64</v>
      </c>
      <c r="J66" s="13">
        <v>21.67</v>
      </c>
      <c r="M66" s="13">
        <v>21.2</v>
      </c>
      <c r="N66" s="13">
        <v>6.4</v>
      </c>
      <c r="O6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61.510000000000005</v>
      </c>
      <c r="R66" s="13">
        <v>2.59</v>
      </c>
      <c r="S66" s="13">
        <v>15.7</v>
      </c>
      <c r="T66" s="13">
        <v>75</v>
      </c>
      <c r="AB66" s="13">
        <v>48.34</v>
      </c>
      <c r="AC66" s="13">
        <v>5.86</v>
      </c>
      <c r="AD66" s="13">
        <v>34.520000000000003</v>
      </c>
      <c r="AE66" s="13">
        <v>2.02</v>
      </c>
      <c r="AF66" s="13">
        <v>0.24</v>
      </c>
      <c r="AH66" s="13">
        <v>19.579999999999998</v>
      </c>
      <c r="AI66" s="13">
        <v>0.5</v>
      </c>
      <c r="AK66" s="13">
        <v>150</v>
      </c>
      <c r="AL66" s="13">
        <v>20</v>
      </c>
      <c r="AM66" s="13">
        <v>5</v>
      </c>
      <c r="AP66" s="13">
        <v>5.8999999999999997E-2</v>
      </c>
      <c r="AR66" s="13">
        <v>30</v>
      </c>
      <c r="AS66" s="13">
        <v>30</v>
      </c>
      <c r="AT66" s="13">
        <f>LN(25/Table26[[#This Row],[Temperature (C)]]/(1-SQRT((Table26[[#This Row],[Temperature (C)]]-5)/Table26[[#This Row],[Temperature (C)]])))/Table26[[#This Row],[b]]</f>
        <v>38.973649864224456</v>
      </c>
      <c r="AU66" s="13">
        <f>IF(Table26[[#This Row],[b]]&lt;&gt;"",Table26[[#This Row],[T-5]], 0)</f>
        <v>38.973649864224456</v>
      </c>
      <c r="AV66" s="13">
        <f>Table26[[#This Row],[Holding Time (min)]]+Table26[[#This Row],[Heating time]]</f>
        <v>68.973649864224456</v>
      </c>
      <c r="AW66" s="13">
        <v>400</v>
      </c>
      <c r="AY66" t="s">
        <v>503</v>
      </c>
      <c r="AZ66" s="13">
        <v>15.595238095238001</v>
      </c>
      <c r="BA66" s="13">
        <v>25.119047619047599</v>
      </c>
      <c r="BE66" s="13">
        <v>9.1497821799112611</v>
      </c>
      <c r="BI66" s="13">
        <v>68.209999999999994</v>
      </c>
      <c r="BJ66" s="13">
        <v>7.08</v>
      </c>
      <c r="BK66" s="13">
        <v>21.13</v>
      </c>
      <c r="BL66" s="13">
        <v>3.41</v>
      </c>
      <c r="BM66" s="13">
        <v>0.18</v>
      </c>
      <c r="BN66" s="13">
        <v>29.38</v>
      </c>
      <c r="BQ66" s="13" t="s">
        <v>506</v>
      </c>
      <c r="CV66" s="13">
        <v>0</v>
      </c>
    </row>
    <row r="67" spans="1:100" x14ac:dyDescent="0.25">
      <c r="A67" t="s">
        <v>219</v>
      </c>
      <c r="B67" t="s">
        <v>220</v>
      </c>
      <c r="C67">
        <v>2022</v>
      </c>
      <c r="D67" t="s">
        <v>218</v>
      </c>
      <c r="E67">
        <v>0</v>
      </c>
      <c r="F6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40.31</v>
      </c>
      <c r="I67" s="13">
        <v>18.64</v>
      </c>
      <c r="J67" s="13">
        <v>21.67</v>
      </c>
      <c r="M67" s="13">
        <v>21.2</v>
      </c>
      <c r="N67" s="13">
        <v>6.4</v>
      </c>
      <c r="O6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61.510000000000005</v>
      </c>
      <c r="R67" s="13">
        <v>2.59</v>
      </c>
      <c r="S67" s="13">
        <v>15.7</v>
      </c>
      <c r="T67" s="13">
        <v>75</v>
      </c>
      <c r="AB67" s="13">
        <v>48.34</v>
      </c>
      <c r="AC67" s="13">
        <v>5.86</v>
      </c>
      <c r="AD67" s="13">
        <v>34.520000000000003</v>
      </c>
      <c r="AE67" s="13">
        <v>2.02</v>
      </c>
      <c r="AF67" s="13">
        <v>0.24</v>
      </c>
      <c r="AH67" s="13">
        <v>19.579999999999998</v>
      </c>
      <c r="AI67" s="13">
        <v>0.5</v>
      </c>
      <c r="AK67" s="13">
        <v>150</v>
      </c>
      <c r="AL67" s="13">
        <v>20</v>
      </c>
      <c r="AM67" s="13">
        <v>5</v>
      </c>
      <c r="AP67" s="13">
        <v>5.8999999999999997E-2</v>
      </c>
      <c r="AR67" s="13">
        <v>30</v>
      </c>
      <c r="AS67" s="13">
        <v>60</v>
      </c>
      <c r="AT67" s="13">
        <f>LN(25/Table26[[#This Row],[Temperature (C)]]/(1-SQRT((Table26[[#This Row],[Temperature (C)]]-5)/Table26[[#This Row],[Temperature (C)]])))/Table26[[#This Row],[b]]</f>
        <v>38.973649864224456</v>
      </c>
      <c r="AU67" s="13">
        <f>IF(Table26[[#This Row],[b]]&lt;&gt;"",Table26[[#This Row],[T-5]], 0)</f>
        <v>38.973649864224456</v>
      </c>
      <c r="AV67" s="13">
        <f>Table26[[#This Row],[Holding Time (min)]]+Table26[[#This Row],[Heating time]]</f>
        <v>98.973649864224456</v>
      </c>
      <c r="AW67" s="13">
        <v>400</v>
      </c>
      <c r="AY67" t="s">
        <v>503</v>
      </c>
      <c r="AZ67" s="13">
        <v>15.2380952380952</v>
      </c>
      <c r="BA67" s="13">
        <v>24.761904761904699</v>
      </c>
      <c r="BE67" s="13">
        <v>3.4666666666666601</v>
      </c>
      <c r="BQ67" s="13">
        <v>13.428093645484948</v>
      </c>
      <c r="CV67" s="13">
        <v>0</v>
      </c>
    </row>
    <row r="68" spans="1:100" x14ac:dyDescent="0.25">
      <c r="A68" t="s">
        <v>226</v>
      </c>
      <c r="B68" t="s">
        <v>225</v>
      </c>
      <c r="C68">
        <v>2022</v>
      </c>
      <c r="D68" t="s">
        <v>221</v>
      </c>
      <c r="E68">
        <v>0</v>
      </c>
      <c r="F68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42.4</v>
      </c>
      <c r="I68" s="13">
        <v>42.4</v>
      </c>
      <c r="K68" s="13">
        <v>25.52</v>
      </c>
      <c r="M68" s="13">
        <v>23.05</v>
      </c>
      <c r="N68" s="13">
        <v>21.1</v>
      </c>
      <c r="O6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90.97</v>
      </c>
      <c r="R68" s="13">
        <v>83.99</v>
      </c>
      <c r="S68" s="13">
        <v>2.71</v>
      </c>
      <c r="T68" s="13">
        <v>76.19</v>
      </c>
      <c r="AB68" s="13">
        <v>47.63</v>
      </c>
      <c r="AC68" s="13">
        <v>5.96</v>
      </c>
      <c r="AD68" s="13">
        <v>42.37</v>
      </c>
      <c r="AE68" s="13">
        <v>4.04</v>
      </c>
      <c r="AH68" s="13">
        <v>17.059999999999999</v>
      </c>
      <c r="AI68" s="13">
        <v>0.3</v>
      </c>
      <c r="AJ68" s="13">
        <v>100</v>
      </c>
      <c r="AL68" s="13">
        <v>10</v>
      </c>
      <c r="AS68" s="13">
        <v>30</v>
      </c>
      <c r="AT68" s="13" t="e">
        <f>LN(25/Table26[[#This Row],[Temperature (C)]]/(1-SQRT((Table26[[#This Row],[Temperature (C)]]-5)/Table26[[#This Row],[Temperature (C)]])))/Table26[[#This Row],[b]]</f>
        <v>#DIV/0!</v>
      </c>
      <c r="AU68" s="13">
        <f>IF(Table26[[#This Row],[b]]&lt;&gt;"",Table26[[#This Row],[T-5]], 0)</f>
        <v>0</v>
      </c>
      <c r="AV68" s="13">
        <f>Table26[[#This Row],[Holding Time (min)]]+Table26[[#This Row],[Heating time]]</f>
        <v>30</v>
      </c>
      <c r="AW68" s="13">
        <v>300</v>
      </c>
      <c r="AY68" t="s">
        <v>503</v>
      </c>
      <c r="AZ68" s="13">
        <v>12.3222748815166</v>
      </c>
      <c r="BA68" s="13">
        <v>10.426540284360099</v>
      </c>
      <c r="BB68" s="13">
        <v>64.454976303317608</v>
      </c>
      <c r="BC68" s="13">
        <v>12.322274881516506</v>
      </c>
      <c r="BD68" s="13">
        <f>100-SUM(Table26[[#This Row],[Solids wt%]:[Gas wt%]])</f>
        <v>0.47393364928919368</v>
      </c>
      <c r="BE68" s="13">
        <v>4.2285714285714198</v>
      </c>
      <c r="BI68" s="13">
        <v>55.92</v>
      </c>
      <c r="BJ68" s="13">
        <v>8.09</v>
      </c>
      <c r="BK68" s="13">
        <v>33.229999999999997</v>
      </c>
      <c r="BL68" s="13">
        <v>2.76</v>
      </c>
      <c r="BN68" s="13">
        <v>24.52</v>
      </c>
      <c r="BQ68" s="13">
        <v>13.50253807106599</v>
      </c>
      <c r="CD68" s="13">
        <v>69.849999999999994</v>
      </c>
      <c r="CE68" s="13">
        <v>5.29</v>
      </c>
      <c r="CF68" s="13">
        <v>21.64</v>
      </c>
      <c r="CG68" s="13">
        <v>3.22</v>
      </c>
      <c r="CI68" s="13">
        <v>27.31</v>
      </c>
      <c r="CM68" s="13">
        <v>4299.2299999999996</v>
      </c>
      <c r="CN68" s="13">
        <v>201.69</v>
      </c>
      <c r="CO68" s="13">
        <v>529.67999999999995</v>
      </c>
      <c r="CV68" s="13">
        <v>0</v>
      </c>
    </row>
    <row r="69" spans="1:100" x14ac:dyDescent="0.25">
      <c r="A69" t="s">
        <v>226</v>
      </c>
      <c r="B69" t="s">
        <v>225</v>
      </c>
      <c r="C69">
        <v>2022</v>
      </c>
      <c r="D69" t="s">
        <v>222</v>
      </c>
      <c r="E69">
        <v>1</v>
      </c>
      <c r="F69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29.86</v>
      </c>
      <c r="I69" s="13">
        <v>29.86</v>
      </c>
      <c r="K69" s="13">
        <v>32.25</v>
      </c>
      <c r="M69" s="13">
        <v>21.96</v>
      </c>
      <c r="N69" s="13">
        <v>34.99</v>
      </c>
      <c r="O6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84.07</v>
      </c>
      <c r="R69" s="13">
        <v>87.4</v>
      </c>
      <c r="S69" s="13">
        <v>24.52</v>
      </c>
      <c r="T69" s="13">
        <v>40.479999999999997</v>
      </c>
      <c r="AB69" s="13">
        <v>40.33</v>
      </c>
      <c r="AC69" s="13">
        <v>5.01</v>
      </c>
      <c r="AD69" s="13">
        <v>49.49</v>
      </c>
      <c r="AE69" s="13">
        <v>5.16</v>
      </c>
      <c r="AH69" s="13">
        <v>11.99</v>
      </c>
      <c r="AI69" s="13">
        <v>0.3</v>
      </c>
      <c r="AJ69" s="13">
        <v>100</v>
      </c>
      <c r="AL69" s="13">
        <v>10</v>
      </c>
      <c r="AS69" s="13">
        <v>30</v>
      </c>
      <c r="AT69" s="13" t="e">
        <f>LN(25/Table26[[#This Row],[Temperature (C)]]/(1-SQRT((Table26[[#This Row],[Temperature (C)]]-5)/Table26[[#This Row],[Temperature (C)]])))/Table26[[#This Row],[b]]</f>
        <v>#DIV/0!</v>
      </c>
      <c r="AU69" s="13">
        <f>IF(Table26[[#This Row],[b]]&lt;&gt;"",Table26[[#This Row],[T-5]], 0)</f>
        <v>0</v>
      </c>
      <c r="AV69" s="13">
        <f>Table26[[#This Row],[Holding Time (min)]]+Table26[[#This Row],[Heating time]]</f>
        <v>30</v>
      </c>
      <c r="AW69" s="13">
        <v>300</v>
      </c>
      <c r="AY69" t="s">
        <v>503</v>
      </c>
      <c r="AZ69" s="13">
        <v>5.5555555555555598</v>
      </c>
      <c r="BA69" s="13">
        <v>5.0925925925924398</v>
      </c>
      <c r="BB69" s="13">
        <v>78.240740740740804</v>
      </c>
      <c r="BC69" s="13">
        <v>11.1111111111112</v>
      </c>
      <c r="BE69" s="13">
        <v>8.1523809523809394</v>
      </c>
      <c r="BI69" s="13">
        <v>62.77</v>
      </c>
      <c r="BJ69" s="13">
        <v>8.7899999999999991</v>
      </c>
      <c r="BK69" s="13">
        <v>19.850000000000001</v>
      </c>
      <c r="BL69" s="13">
        <v>8.6</v>
      </c>
      <c r="BN69" s="13">
        <v>30.2</v>
      </c>
      <c r="BQ69" s="13">
        <v>13.114478114478114</v>
      </c>
      <c r="CD69" s="13">
        <v>71.459999999999994</v>
      </c>
      <c r="CE69" s="13">
        <v>6.39</v>
      </c>
      <c r="CF69" s="13">
        <v>16.55</v>
      </c>
      <c r="CG69" s="13">
        <v>5.6</v>
      </c>
      <c r="CI69" s="13">
        <v>30.32</v>
      </c>
      <c r="CM69" s="13">
        <v>19417.8</v>
      </c>
      <c r="CN69" s="13">
        <v>1418.01</v>
      </c>
      <c r="CO69" s="13">
        <v>769.62</v>
      </c>
      <c r="CV69" s="13">
        <v>0</v>
      </c>
    </row>
    <row r="70" spans="1:100" x14ac:dyDescent="0.25">
      <c r="A70" t="s">
        <v>226</v>
      </c>
      <c r="B70" t="s">
        <v>225</v>
      </c>
      <c r="C70">
        <v>2022</v>
      </c>
      <c r="D70" t="s">
        <v>223</v>
      </c>
      <c r="E70">
        <v>1</v>
      </c>
      <c r="F70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42.97</v>
      </c>
      <c r="I70" s="13">
        <v>42.97</v>
      </c>
      <c r="K70" s="13">
        <v>36.380000000000003</v>
      </c>
      <c r="M70" s="13">
        <v>19.03</v>
      </c>
      <c r="N70" s="13">
        <v>8.59</v>
      </c>
      <c r="O7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98.38</v>
      </c>
      <c r="R70" s="13">
        <v>98.76</v>
      </c>
      <c r="S70" s="13">
        <v>6.16</v>
      </c>
      <c r="T70" s="13">
        <v>85.25</v>
      </c>
      <c r="AB70" s="13">
        <v>45.53</v>
      </c>
      <c r="AC70" s="13">
        <v>6.6</v>
      </c>
      <c r="AD70" s="13">
        <v>42.05</v>
      </c>
      <c r="AE70" s="13">
        <v>5.82</v>
      </c>
      <c r="AH70" s="13">
        <v>17.309999999999999</v>
      </c>
      <c r="AI70" s="13">
        <v>0.3</v>
      </c>
      <c r="AJ70" s="13">
        <v>100</v>
      </c>
      <c r="AL70" s="13">
        <v>10</v>
      </c>
      <c r="AS70" s="13">
        <v>30</v>
      </c>
      <c r="AT70" s="13" t="e">
        <f>LN(25/Table26[[#This Row],[Temperature (C)]]/(1-SQRT((Table26[[#This Row],[Temperature (C)]]-5)/Table26[[#This Row],[Temperature (C)]])))/Table26[[#This Row],[b]]</f>
        <v>#DIV/0!</v>
      </c>
      <c r="AU70" s="13">
        <f>IF(Table26[[#This Row],[b]]&lt;&gt;"",Table26[[#This Row],[T-5]], 0)</f>
        <v>0</v>
      </c>
      <c r="AV70" s="13">
        <f>Table26[[#This Row],[Holding Time (min)]]+Table26[[#This Row],[Heating time]]</f>
        <v>30</v>
      </c>
      <c r="AW70" s="13">
        <v>300</v>
      </c>
      <c r="AY70" t="s">
        <v>503</v>
      </c>
      <c r="AZ70" s="13">
        <v>4.2654028436018994</v>
      </c>
      <c r="BA70" s="13">
        <v>14.691943127962</v>
      </c>
      <c r="BB70" s="13">
        <v>72.985781990521403</v>
      </c>
      <c r="BC70" s="13">
        <v>7.5829383886255073</v>
      </c>
      <c r="BD70" s="13">
        <f>100-SUM(Table26[[#This Row],[Solids wt%]:[Gas wt%]])</f>
        <v>0.47393364928919368</v>
      </c>
      <c r="BE70" s="13">
        <v>3.2640634722889073</v>
      </c>
      <c r="BI70" s="13">
        <v>62.88</v>
      </c>
      <c r="BJ70" s="13">
        <v>7.59</v>
      </c>
      <c r="BK70" s="13">
        <v>23.79</v>
      </c>
      <c r="BL70" s="13">
        <v>5.74</v>
      </c>
      <c r="BN70" s="13">
        <v>27.83</v>
      </c>
      <c r="BQ70" s="13">
        <v>11.708683473389355</v>
      </c>
      <c r="CD70" s="13">
        <v>58.59</v>
      </c>
      <c r="CE70" s="13">
        <v>6.69</v>
      </c>
      <c r="CF70" s="13">
        <v>31.68</v>
      </c>
      <c r="CG70" s="13">
        <v>2.84</v>
      </c>
      <c r="CI70" s="13">
        <v>23.98</v>
      </c>
      <c r="CM70" s="13">
        <v>4700.53</v>
      </c>
      <c r="CN70" s="13">
        <v>722.37</v>
      </c>
      <c r="CO70" s="13">
        <v>19.149999999999999</v>
      </c>
      <c r="CV70" s="13">
        <v>0</v>
      </c>
    </row>
    <row r="71" spans="1:100" x14ac:dyDescent="0.25">
      <c r="A71" t="s">
        <v>226</v>
      </c>
      <c r="B71" t="s">
        <v>225</v>
      </c>
      <c r="C71">
        <v>2022</v>
      </c>
      <c r="D71" t="s">
        <v>224</v>
      </c>
      <c r="E71">
        <v>1</v>
      </c>
      <c r="F71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29.77</v>
      </c>
      <c r="I71" s="13">
        <v>29.77</v>
      </c>
      <c r="K71" s="13">
        <v>36.5</v>
      </c>
      <c r="M71" s="13">
        <v>18.41</v>
      </c>
      <c r="N71" s="13">
        <v>29.5</v>
      </c>
      <c r="O7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84.679999999999993</v>
      </c>
      <c r="R71" s="13">
        <v>99.48</v>
      </c>
      <c r="S71" s="13">
        <v>21.22</v>
      </c>
      <c r="T71" s="13">
        <v>49.27</v>
      </c>
      <c r="AB71" s="13">
        <v>36.840000000000003</v>
      </c>
      <c r="AC71" s="13">
        <v>6.06</v>
      </c>
      <c r="AD71" s="13">
        <v>51.26</v>
      </c>
      <c r="AE71" s="13">
        <v>5.84</v>
      </c>
      <c r="AH71" s="13">
        <v>11.97</v>
      </c>
      <c r="AI71" s="13">
        <v>0.3</v>
      </c>
      <c r="AJ71" s="13">
        <v>100</v>
      </c>
      <c r="AL71" s="13">
        <v>10</v>
      </c>
      <c r="AS71" s="13">
        <v>30</v>
      </c>
      <c r="AT71" s="13" t="e">
        <f>LN(25/Table26[[#This Row],[Temperature (C)]]/(1-SQRT((Table26[[#This Row],[Temperature (C)]]-5)/Table26[[#This Row],[Temperature (C)]])))/Table26[[#This Row],[b]]</f>
        <v>#DIV/0!</v>
      </c>
      <c r="AU71" s="13">
        <f>IF(Table26[[#This Row],[b]]&lt;&gt;"",Table26[[#This Row],[T-5]], 0)</f>
        <v>0</v>
      </c>
      <c r="AV71" s="13">
        <f>Table26[[#This Row],[Holding Time (min)]]+Table26[[#This Row],[Heating time]]</f>
        <v>30</v>
      </c>
      <c r="AW71" s="13">
        <v>300</v>
      </c>
      <c r="AY71" t="s">
        <v>503</v>
      </c>
      <c r="AZ71" s="13">
        <v>3.84615384615386</v>
      </c>
      <c r="BA71" s="13">
        <v>2.8846153846153699</v>
      </c>
      <c r="BB71" s="13">
        <v>83.173076923076877</v>
      </c>
      <c r="BC71" s="13">
        <v>10.096153846153797</v>
      </c>
      <c r="BE71" s="13">
        <v>3.0095238095238099</v>
      </c>
      <c r="BI71" s="13">
        <v>59.37</v>
      </c>
      <c r="BJ71" s="13">
        <v>8.24</v>
      </c>
      <c r="BK71" s="13">
        <v>24.53</v>
      </c>
      <c r="BL71" s="13">
        <v>7.88</v>
      </c>
      <c r="BN71" s="13">
        <v>27.43</v>
      </c>
      <c r="BQ71" s="13" t="s">
        <v>506</v>
      </c>
      <c r="CD71" s="13">
        <v>43.61</v>
      </c>
      <c r="CE71" s="13">
        <v>4.9000000000000004</v>
      </c>
      <c r="CF71" s="13">
        <v>48.61</v>
      </c>
      <c r="CG71" s="13">
        <v>2.88</v>
      </c>
      <c r="CI71" s="13">
        <v>13.08</v>
      </c>
      <c r="CM71" s="13">
        <v>3228.17</v>
      </c>
      <c r="CN71" s="13">
        <v>1106.9100000000001</v>
      </c>
      <c r="CO71" s="13" t="s">
        <v>239</v>
      </c>
      <c r="CV71" s="13">
        <v>0</v>
      </c>
    </row>
    <row r="72" spans="1:100" x14ac:dyDescent="0.25">
      <c r="A72" t="s">
        <v>226</v>
      </c>
      <c r="B72" t="s">
        <v>225</v>
      </c>
      <c r="C72">
        <v>2022</v>
      </c>
      <c r="D72" t="s">
        <v>227</v>
      </c>
      <c r="E72">
        <v>1</v>
      </c>
      <c r="F72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42.542499999999997</v>
      </c>
      <c r="I72" s="13">
        <f>0.75*I68+0.25*I70</f>
        <v>42.542499999999997</v>
      </c>
      <c r="K72" s="13">
        <f>0.75*K68+0.25*K70</f>
        <v>28.234999999999999</v>
      </c>
      <c r="M72" s="13">
        <f>0.75*M68+0.25*M70</f>
        <v>22.045000000000002</v>
      </c>
      <c r="N72" s="13">
        <f>0.75*N68+0.25*N70</f>
        <v>17.9725</v>
      </c>
      <c r="O7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92.822500000000005</v>
      </c>
      <c r="R72" s="13">
        <f>0.75*R68+0.25*R70</f>
        <v>87.68249999999999</v>
      </c>
      <c r="S72" s="13">
        <f>0.75*S68+0.25*S70</f>
        <v>3.5724999999999998</v>
      </c>
      <c r="T72" s="13">
        <f>0.75*T68+0.25*T70</f>
        <v>78.454999999999998</v>
      </c>
      <c r="AB72" s="13">
        <f>0.75*AB68+0.25*AB70</f>
        <v>47.105000000000004</v>
      </c>
      <c r="AC72" s="13">
        <f>0.75*AC68+0.25*AC70</f>
        <v>6.1199999999999992</v>
      </c>
      <c r="AD72" s="13">
        <f>0.75*AD68+0.25*AD70</f>
        <v>42.289999999999992</v>
      </c>
      <c r="AE72" s="13">
        <f>0.75*AE68+0.25*AE70</f>
        <v>4.4850000000000003</v>
      </c>
      <c r="AH72" s="13">
        <f>0.75*AH68+0.25*AH70</f>
        <v>17.122499999999999</v>
      </c>
      <c r="AI72" s="13">
        <v>0.3</v>
      </c>
      <c r="AJ72" s="13">
        <v>100</v>
      </c>
      <c r="AL72" s="13">
        <v>10</v>
      </c>
      <c r="AS72" s="13">
        <v>30</v>
      </c>
      <c r="AT72" s="13" t="e">
        <f>LN(25/Table26[[#This Row],[Temperature (C)]]/(1-SQRT((Table26[[#This Row],[Temperature (C)]]-5)/Table26[[#This Row],[Temperature (C)]])))/Table26[[#This Row],[b]]</f>
        <v>#DIV/0!</v>
      </c>
      <c r="AU72" s="13">
        <f>IF(Table26[[#This Row],[b]]&lt;&gt;"",Table26[[#This Row],[T-5]], 0)</f>
        <v>0</v>
      </c>
      <c r="AV72" s="13">
        <f>Table26[[#This Row],[Holding Time (min)]]+Table26[[#This Row],[Heating time]]</f>
        <v>30</v>
      </c>
      <c r="AW72" s="13">
        <v>300</v>
      </c>
      <c r="AY72" t="s">
        <v>503</v>
      </c>
      <c r="AZ72" s="13">
        <v>10.426540284360202</v>
      </c>
      <c r="BA72" s="13">
        <v>15.639810426540199</v>
      </c>
      <c r="BB72" s="13">
        <v>59.241706161137493</v>
      </c>
      <c r="BC72" s="13">
        <v>14.218009478672911</v>
      </c>
      <c r="BD72" s="13">
        <f>100-SUM(Table26[[#This Row],[Solids wt%]:[Gas wt%]])</f>
        <v>0.47393364928919368</v>
      </c>
      <c r="BE72" s="13">
        <v>5.2751110555226699</v>
      </c>
      <c r="BI72" s="13">
        <v>59.51</v>
      </c>
      <c r="BJ72" s="13">
        <v>7.33</v>
      </c>
      <c r="BK72" s="13">
        <v>28.57</v>
      </c>
      <c r="BL72" s="13">
        <v>4.59</v>
      </c>
      <c r="BN72" s="13">
        <v>25.48</v>
      </c>
      <c r="BQ72" s="13" t="s">
        <v>506</v>
      </c>
      <c r="CD72" s="13">
        <v>70.430000000000007</v>
      </c>
      <c r="CE72" s="13">
        <v>5.84</v>
      </c>
      <c r="CF72" s="13">
        <v>19.760000000000002</v>
      </c>
      <c r="CG72" s="13">
        <v>3.97</v>
      </c>
      <c r="CI72" s="13">
        <v>28.61</v>
      </c>
      <c r="CM72" s="13">
        <v>8306.7000000000007</v>
      </c>
      <c r="CN72" s="13">
        <v>446.51</v>
      </c>
      <c r="CO72" s="13">
        <v>586.21</v>
      </c>
      <c r="CV72" s="13">
        <v>0</v>
      </c>
    </row>
    <row r="73" spans="1:100" x14ac:dyDescent="0.25">
      <c r="A73" t="s">
        <v>226</v>
      </c>
      <c r="B73" t="s">
        <v>225</v>
      </c>
      <c r="C73">
        <v>2022</v>
      </c>
      <c r="D73" t="s">
        <v>228</v>
      </c>
      <c r="E73">
        <v>1</v>
      </c>
      <c r="F73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42.685000000000002</v>
      </c>
      <c r="I73" s="13">
        <f>0.5*I68+0.5*I70</f>
        <v>42.685000000000002</v>
      </c>
      <c r="K73" s="13">
        <f>0.5*K68+0.5*K70</f>
        <v>30.950000000000003</v>
      </c>
      <c r="M73" s="13">
        <f>0.5*M68+0.5*M70</f>
        <v>21.04</v>
      </c>
      <c r="N73" s="13">
        <f>0.5*N68+0.5*N70</f>
        <v>14.845000000000001</v>
      </c>
      <c r="O7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94.675000000000011</v>
      </c>
      <c r="R73" s="13">
        <f>0.5*R68+0.5*R70</f>
        <v>91.375</v>
      </c>
      <c r="S73" s="13">
        <f>0.5*S68+0.5*S70</f>
        <v>4.4350000000000005</v>
      </c>
      <c r="T73" s="13">
        <f>0.5*T68+0.5*T70</f>
        <v>80.72</v>
      </c>
      <c r="AB73" s="13">
        <f>0.5*AB68+0.5*AB70</f>
        <v>46.58</v>
      </c>
      <c r="AC73" s="13">
        <f>0.5*AC68+0.5*AC70</f>
        <v>6.2799999999999994</v>
      </c>
      <c r="AD73" s="13">
        <f>0.5*AD68+0.5*AD70</f>
        <v>42.209999999999994</v>
      </c>
      <c r="AE73" s="13">
        <f>0.5*AE68+0.5*AE70</f>
        <v>4.93</v>
      </c>
      <c r="AH73" s="13">
        <f>0.5*AH68+0.5*AH70</f>
        <v>17.184999999999999</v>
      </c>
      <c r="AI73" s="13">
        <v>0.3</v>
      </c>
      <c r="AJ73" s="13">
        <v>100</v>
      </c>
      <c r="AL73" s="13">
        <v>10</v>
      </c>
      <c r="AS73" s="13">
        <v>30</v>
      </c>
      <c r="AT73" s="13" t="e">
        <f>LN(25/Table26[[#This Row],[Temperature (C)]]/(1-SQRT((Table26[[#This Row],[Temperature (C)]]-5)/Table26[[#This Row],[Temperature (C)]])))/Table26[[#This Row],[b]]</f>
        <v>#DIV/0!</v>
      </c>
      <c r="AU73" s="13">
        <f>IF(Table26[[#This Row],[b]]&lt;&gt;"",Table26[[#This Row],[T-5]], 0)</f>
        <v>0</v>
      </c>
      <c r="AV73" s="13">
        <f>Table26[[#This Row],[Holding Time (min)]]+Table26[[#This Row],[Heating time]]</f>
        <v>30</v>
      </c>
      <c r="AW73" s="13">
        <v>300</v>
      </c>
      <c r="AY73" t="s">
        <v>503</v>
      </c>
      <c r="AZ73" s="13">
        <v>9.4786729857820013</v>
      </c>
      <c r="BA73" s="13">
        <v>15.1658767772511</v>
      </c>
      <c r="BB73" s="13">
        <v>62.559241706161203</v>
      </c>
      <c r="BC73" s="13">
        <v>12.322274881516506</v>
      </c>
      <c r="BD73" s="13">
        <f>100-SUM(Table26[[#This Row],[Solids wt%]:[Gas wt%]])</f>
        <v>0.47393364928919368</v>
      </c>
      <c r="BE73" s="13">
        <v>11.214197504527297</v>
      </c>
      <c r="BI73" s="13">
        <v>58.54</v>
      </c>
      <c r="BJ73" s="13">
        <v>8.91</v>
      </c>
      <c r="BK73" s="13">
        <v>28.62</v>
      </c>
      <c r="BL73" s="13">
        <v>3.93</v>
      </c>
      <c r="BN73" s="13">
        <v>27.39</v>
      </c>
      <c r="BQ73" s="13">
        <v>13.333333333333334</v>
      </c>
      <c r="CD73" s="13">
        <v>68.78</v>
      </c>
      <c r="CE73" s="13">
        <v>5.63</v>
      </c>
      <c r="CF73" s="13">
        <v>21.71</v>
      </c>
      <c r="CG73" s="13">
        <v>3.88</v>
      </c>
      <c r="CI73" s="13">
        <v>27.42</v>
      </c>
      <c r="CM73" s="13">
        <v>5335.02</v>
      </c>
      <c r="CN73" s="13">
        <v>291.32</v>
      </c>
      <c r="CO73" s="13">
        <v>248.86</v>
      </c>
      <c r="CV73" s="13">
        <v>0</v>
      </c>
    </row>
    <row r="74" spans="1:100" x14ac:dyDescent="0.25">
      <c r="A74" t="s">
        <v>226</v>
      </c>
      <c r="B74" t="s">
        <v>225</v>
      </c>
      <c r="C74">
        <v>2022</v>
      </c>
      <c r="D74" t="s">
        <v>229</v>
      </c>
      <c r="E74">
        <v>1</v>
      </c>
      <c r="F74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42.827500000000001</v>
      </c>
      <c r="I74" s="13">
        <f>0.25*I68+0.75*I70</f>
        <v>42.827500000000001</v>
      </c>
      <c r="K74" s="13">
        <f>0.25*K68+0.75*K70</f>
        <v>33.665000000000006</v>
      </c>
      <c r="M74" s="13">
        <f>0.25*M68+0.75*M70</f>
        <v>20.035</v>
      </c>
      <c r="N74" s="13">
        <f>0.25*N68+0.75*N70</f>
        <v>11.717500000000001</v>
      </c>
      <c r="O7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96.527500000000003</v>
      </c>
      <c r="R74" s="13">
        <f>0.25*R68+0.75*R70</f>
        <v>95.06750000000001</v>
      </c>
      <c r="S74" s="13">
        <f>0.25*S68+0.75*S70</f>
        <v>5.2975000000000003</v>
      </c>
      <c r="T74" s="13">
        <f>0.25*T68+0.75*T70</f>
        <v>82.984999999999999</v>
      </c>
      <c r="AB74" s="13">
        <f>0.25*AB68+0.75*AB70</f>
        <v>46.055</v>
      </c>
      <c r="AC74" s="13">
        <f>0.25*AC68+0.75*AC70</f>
        <v>6.4399999999999995</v>
      </c>
      <c r="AD74" s="13">
        <f>0.25*AD68+0.75*AD70</f>
        <v>42.129999999999995</v>
      </c>
      <c r="AE74" s="13">
        <f>0.25*AE68+0.75*AE70</f>
        <v>5.375</v>
      </c>
      <c r="AH74" s="13">
        <f>0.25*AH68+0.75*AH70</f>
        <v>17.247499999999999</v>
      </c>
      <c r="AI74" s="13">
        <v>0.3</v>
      </c>
      <c r="AJ74" s="13">
        <v>100</v>
      </c>
      <c r="AL74" s="13">
        <v>10</v>
      </c>
      <c r="AS74" s="13">
        <v>30</v>
      </c>
      <c r="AT74" s="13" t="e">
        <f>LN(25/Table26[[#This Row],[Temperature (C)]]/(1-SQRT((Table26[[#This Row],[Temperature (C)]]-5)/Table26[[#This Row],[Temperature (C)]])))/Table26[[#This Row],[b]]</f>
        <v>#DIV/0!</v>
      </c>
      <c r="AU74" s="13">
        <f>IF(Table26[[#This Row],[b]]&lt;&gt;"",Table26[[#This Row],[T-5]], 0)</f>
        <v>0</v>
      </c>
      <c r="AV74" s="13">
        <f>Table26[[#This Row],[Holding Time (min)]]+Table26[[#This Row],[Heating time]]</f>
        <v>30</v>
      </c>
      <c r="AW74" s="13">
        <v>300</v>
      </c>
      <c r="AY74" t="s">
        <v>503</v>
      </c>
      <c r="AZ74" s="13">
        <v>3.7914691943127998</v>
      </c>
      <c r="BA74" s="13">
        <v>14.218009478672901</v>
      </c>
      <c r="BB74" s="13">
        <v>69.194312796208607</v>
      </c>
      <c r="BC74" s="13">
        <v>11.848341232227497</v>
      </c>
      <c r="BD74" s="13">
        <f>100-SUM(Table26[[#This Row],[Solids wt%]:[Gas wt%]])</f>
        <v>0.94786729857820262</v>
      </c>
      <c r="BE74" s="13">
        <v>7.8918571201081962</v>
      </c>
      <c r="BI74" s="13">
        <v>62.87</v>
      </c>
      <c r="BJ74" s="13">
        <v>7.82</v>
      </c>
      <c r="BK74" s="13">
        <v>24.99</v>
      </c>
      <c r="BL74" s="13">
        <v>4.32</v>
      </c>
      <c r="BN74" s="13">
        <v>27.95</v>
      </c>
      <c r="BQ74" s="13" t="s">
        <v>506</v>
      </c>
      <c r="CD74" s="13">
        <v>66.180000000000007</v>
      </c>
      <c r="CE74" s="13">
        <v>5.94</v>
      </c>
      <c r="CF74" s="13">
        <v>24.11</v>
      </c>
      <c r="CG74" s="13">
        <v>3.78</v>
      </c>
      <c r="CI74" s="13">
        <v>26.55</v>
      </c>
      <c r="CM74" s="13">
        <v>6056.65</v>
      </c>
      <c r="CN74" s="13">
        <v>421.43</v>
      </c>
      <c r="CO74" s="13">
        <v>62.94</v>
      </c>
      <c r="CV74" s="13">
        <v>0</v>
      </c>
    </row>
    <row r="75" spans="1:100" x14ac:dyDescent="0.25">
      <c r="A75" t="s">
        <v>226</v>
      </c>
      <c r="B75" t="s">
        <v>225</v>
      </c>
      <c r="C75">
        <v>2022</v>
      </c>
      <c r="D75" t="s">
        <v>230</v>
      </c>
      <c r="E75">
        <v>1</v>
      </c>
      <c r="F75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39.2425</v>
      </c>
      <c r="I75" s="13">
        <f>0.75*I68+0.25*I71</f>
        <v>39.2425</v>
      </c>
      <c r="K75" s="13">
        <f>0.75*K68+0.25*K71</f>
        <v>28.265000000000001</v>
      </c>
      <c r="M75" s="13">
        <f>0.75*M68+0.25*M71</f>
        <v>21.89</v>
      </c>
      <c r="N75" s="13">
        <f>0.75*N68+0.25*N71</f>
        <v>23.200000000000003</v>
      </c>
      <c r="O7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89.397499999999994</v>
      </c>
      <c r="R75" s="13">
        <f>0.75*R68+0.25*R71</f>
        <v>87.862499999999997</v>
      </c>
      <c r="S75" s="13">
        <f>0.75*S68+0.25*S71</f>
        <v>7.3374999999999995</v>
      </c>
      <c r="T75" s="13">
        <f>0.75*T68+0.25*T71</f>
        <v>69.459999999999994</v>
      </c>
      <c r="AB75" s="13">
        <f>0.75*AB68+0.25*AB71</f>
        <v>44.932500000000005</v>
      </c>
      <c r="AC75" s="13">
        <f>0.75*AC68+0.25*AC71</f>
        <v>5.9849999999999994</v>
      </c>
      <c r="AD75" s="13">
        <f>0.75*AD68+0.25*AD71</f>
        <v>44.592499999999994</v>
      </c>
      <c r="AE75" s="13">
        <f>0.75*AE68+0.25*AE71</f>
        <v>4.49</v>
      </c>
      <c r="AH75" s="13">
        <f>0.75*AH68+0.25*AH71</f>
        <v>15.787499999999998</v>
      </c>
      <c r="AI75" s="13">
        <f>0.75*AI68+0.25*AI71</f>
        <v>0.3</v>
      </c>
      <c r="AJ75" s="13">
        <v>100</v>
      </c>
      <c r="AL75" s="13">
        <v>10</v>
      </c>
      <c r="AS75" s="13">
        <v>30</v>
      </c>
      <c r="AT75" s="13" t="e">
        <f>LN(25/Table26[[#This Row],[Temperature (C)]]/(1-SQRT((Table26[[#This Row],[Temperature (C)]]-5)/Table26[[#This Row],[Temperature (C)]])))/Table26[[#This Row],[b]]</f>
        <v>#DIV/0!</v>
      </c>
      <c r="AU75" s="13">
        <f>IF(Table26[[#This Row],[b]]&lt;&gt;"",Table26[[#This Row],[T-5]], 0)</f>
        <v>0</v>
      </c>
      <c r="AV75" s="13">
        <f>Table26[[#This Row],[Holding Time (min)]]+Table26[[#This Row],[Heating time]]</f>
        <v>30</v>
      </c>
      <c r="AW75" s="13">
        <v>300</v>
      </c>
      <c r="AY75" t="s">
        <v>503</v>
      </c>
      <c r="AZ75" s="13">
        <v>10.096153846153801</v>
      </c>
      <c r="BA75" s="13">
        <v>9.615384615384599</v>
      </c>
      <c r="BB75" s="13">
        <v>69.71153846153851</v>
      </c>
      <c r="BC75" s="13">
        <v>10.576923076922995</v>
      </c>
      <c r="BE75" s="13" t="s">
        <v>506</v>
      </c>
      <c r="BI75" s="13">
        <v>62.52</v>
      </c>
      <c r="BJ75" s="13">
        <v>7.5</v>
      </c>
      <c r="BK75" s="13">
        <v>25.45</v>
      </c>
      <c r="BL75" s="13">
        <v>4.53</v>
      </c>
      <c r="BN75" s="13">
        <v>27.29</v>
      </c>
      <c r="BQ75" s="13">
        <v>12.364130434782609</v>
      </c>
      <c r="CD75" s="13">
        <v>70.28</v>
      </c>
      <c r="CE75" s="13">
        <v>5.75</v>
      </c>
      <c r="CF75" s="13">
        <v>20.100000000000001</v>
      </c>
      <c r="CG75" s="13">
        <v>3.88</v>
      </c>
      <c r="CI75" s="13">
        <v>28.38</v>
      </c>
      <c r="CM75" s="13">
        <v>7188.6</v>
      </c>
      <c r="CN75" s="13">
        <v>517.57000000000005</v>
      </c>
      <c r="CO75" s="13">
        <v>432.27</v>
      </c>
      <c r="CV75" s="13">
        <v>0</v>
      </c>
    </row>
    <row r="76" spans="1:100" x14ac:dyDescent="0.25">
      <c r="A76" t="s">
        <v>226</v>
      </c>
      <c r="B76" t="s">
        <v>225</v>
      </c>
      <c r="C76">
        <v>2022</v>
      </c>
      <c r="D76" t="s">
        <v>231</v>
      </c>
      <c r="E76">
        <v>1</v>
      </c>
      <c r="F76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36.085000000000001</v>
      </c>
      <c r="I76" s="13">
        <f>0.5*I68+0.5*I71</f>
        <v>36.085000000000001</v>
      </c>
      <c r="K76" s="13">
        <f>0.5*K68+0.5*K71</f>
        <v>31.009999999999998</v>
      </c>
      <c r="M76" s="13">
        <f>0.5*M68+0.5*M71</f>
        <v>20.73</v>
      </c>
      <c r="N76" s="13">
        <f>0.5*N68+0.5*N71</f>
        <v>25.3</v>
      </c>
      <c r="O7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87.825000000000003</v>
      </c>
      <c r="R76" s="13">
        <f>0.5*R68+0.5*R71</f>
        <v>91.734999999999999</v>
      </c>
      <c r="S76" s="13">
        <f>0.5*S68+0.5*S71</f>
        <v>11.965</v>
      </c>
      <c r="T76" s="13">
        <f>0.5*T68+0.5*T71</f>
        <v>62.730000000000004</v>
      </c>
      <c r="AB76" s="13">
        <f>0.5*AB68+0.5*AB71</f>
        <v>42.234999999999999</v>
      </c>
      <c r="AC76" s="13">
        <f>0.5*AC68+0.5*AC71</f>
        <v>6.01</v>
      </c>
      <c r="AD76" s="13">
        <f>0.5*AD68+0.5*AD71</f>
        <v>46.814999999999998</v>
      </c>
      <c r="AE76" s="13">
        <f>0.5*AE68+0.5*AE71</f>
        <v>4.9399999999999995</v>
      </c>
      <c r="AH76" s="13">
        <f>0.5*AH68+0.5*AH71</f>
        <v>14.515000000000001</v>
      </c>
      <c r="AI76" s="13">
        <v>0.3</v>
      </c>
      <c r="AJ76" s="13">
        <v>100</v>
      </c>
      <c r="AL76" s="13">
        <v>10</v>
      </c>
      <c r="AS76" s="13">
        <v>30</v>
      </c>
      <c r="AT76" s="13" t="e">
        <f>LN(25/Table26[[#This Row],[Temperature (C)]]/(1-SQRT((Table26[[#This Row],[Temperature (C)]]-5)/Table26[[#This Row],[Temperature (C)]])))/Table26[[#This Row],[b]]</f>
        <v>#DIV/0!</v>
      </c>
      <c r="AU76" s="13">
        <f>IF(Table26[[#This Row],[b]]&lt;&gt;"",Table26[[#This Row],[T-5]], 0)</f>
        <v>0</v>
      </c>
      <c r="AV76" s="13">
        <f>Table26[[#This Row],[Holding Time (min)]]+Table26[[#This Row],[Heating time]]</f>
        <v>30</v>
      </c>
      <c r="AW76" s="13">
        <v>300</v>
      </c>
      <c r="AY76" t="s">
        <v>503</v>
      </c>
      <c r="AZ76" s="13">
        <v>10.096153846153801</v>
      </c>
      <c r="BA76" s="13">
        <v>9.134615384615401</v>
      </c>
      <c r="BB76" s="13">
        <v>69.711538461538396</v>
      </c>
      <c r="BC76" s="13">
        <v>10.576923076923109</v>
      </c>
      <c r="BD76" s="13">
        <f>100-SUM(Table26[[#This Row],[Solids wt%]:[Gas wt%]])</f>
        <v>0.48076923076929745</v>
      </c>
      <c r="BE76" s="13">
        <v>46.3</v>
      </c>
      <c r="BI76" s="13">
        <v>62.98</v>
      </c>
      <c r="BJ76" s="13">
        <v>7.79</v>
      </c>
      <c r="BK76" s="13">
        <v>25.28</v>
      </c>
      <c r="BL76" s="13">
        <v>3.96</v>
      </c>
      <c r="BN76" s="13">
        <v>27.75</v>
      </c>
      <c r="BQ76" s="13">
        <v>9.0655509065550905</v>
      </c>
      <c r="CD76" s="13">
        <v>69.650000000000006</v>
      </c>
      <c r="CE76" s="13">
        <v>6.05</v>
      </c>
      <c r="CF76" s="13">
        <v>20.5</v>
      </c>
      <c r="CG76" s="13">
        <v>3.8</v>
      </c>
      <c r="CI76" s="13">
        <v>28.52</v>
      </c>
      <c r="CM76" s="13">
        <v>6005.85</v>
      </c>
      <c r="CN76" s="13">
        <v>418.98</v>
      </c>
      <c r="CO76" s="13">
        <v>422.28</v>
      </c>
      <c r="CV76" s="13">
        <v>0</v>
      </c>
    </row>
    <row r="77" spans="1:100" x14ac:dyDescent="0.25">
      <c r="A77" t="s">
        <v>226</v>
      </c>
      <c r="B77" t="s">
        <v>225</v>
      </c>
      <c r="C77">
        <v>2022</v>
      </c>
      <c r="D77" t="s">
        <v>232</v>
      </c>
      <c r="E77">
        <v>1</v>
      </c>
      <c r="F7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32.927500000000002</v>
      </c>
      <c r="I77" s="13">
        <f>0.25*I68+0.75*I71</f>
        <v>32.927500000000002</v>
      </c>
      <c r="K77" s="13">
        <f>0.25*K68+0.75*K71</f>
        <v>33.755000000000003</v>
      </c>
      <c r="M77" s="13">
        <f>0.25*M68+0.75*M71</f>
        <v>19.57</v>
      </c>
      <c r="N77" s="13">
        <f>0.25*N68+0.75*N71</f>
        <v>27.4</v>
      </c>
      <c r="O7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86.252499999999998</v>
      </c>
      <c r="R77" s="13">
        <f>0.25*R68+0.75*R71</f>
        <v>95.607500000000002</v>
      </c>
      <c r="S77" s="13">
        <f>0.25*S68+0.75*S71</f>
        <v>16.592499999999998</v>
      </c>
      <c r="T77" s="13">
        <f>0.25*T68+0.75*T71</f>
        <v>56</v>
      </c>
      <c r="AB77" s="13">
        <f>0.25*AB68+0.75*AB71</f>
        <v>39.537500000000001</v>
      </c>
      <c r="AC77" s="13">
        <f>0.25*AC68+0.75*AC71</f>
        <v>6.0350000000000001</v>
      </c>
      <c r="AD77" s="13">
        <f>0.25*AD68+0.75*AD71</f>
        <v>49.037500000000001</v>
      </c>
      <c r="AE77" s="13">
        <f>0.25*AE68+0.75*AE71</f>
        <v>5.39</v>
      </c>
      <c r="AH77" s="13">
        <f>0.25*AH68+0.75*AH71</f>
        <v>13.2425</v>
      </c>
      <c r="AI77" s="13">
        <v>0.3</v>
      </c>
      <c r="AJ77" s="13">
        <v>100</v>
      </c>
      <c r="AL77" s="13">
        <v>10</v>
      </c>
      <c r="AS77" s="13">
        <v>30</v>
      </c>
      <c r="AT77" s="13" t="e">
        <f>LN(25/Table26[[#This Row],[Temperature (C)]]/(1-SQRT((Table26[[#This Row],[Temperature (C)]]-5)/Table26[[#This Row],[Temperature (C)]])))/Table26[[#This Row],[b]]</f>
        <v>#DIV/0!</v>
      </c>
      <c r="AU77" s="13">
        <f>IF(Table26[[#This Row],[b]]&lt;&gt;"",Table26[[#This Row],[T-5]], 0)</f>
        <v>0</v>
      </c>
      <c r="AV77" s="13">
        <f>Table26[[#This Row],[Holding Time (min)]]+Table26[[#This Row],[Heating time]]</f>
        <v>30</v>
      </c>
      <c r="AW77" s="13">
        <v>300</v>
      </c>
      <c r="AY77" t="s">
        <v>503</v>
      </c>
      <c r="AZ77" s="13">
        <v>7.6923076923076801</v>
      </c>
      <c r="BA77" s="13">
        <v>2.8846153846153202</v>
      </c>
      <c r="BB77" s="13">
        <v>76.442307692307708</v>
      </c>
      <c r="BC77" s="13">
        <v>12.980769230769198</v>
      </c>
      <c r="BE77" s="13">
        <v>51.2</v>
      </c>
      <c r="BI77" s="13">
        <v>59.31</v>
      </c>
      <c r="BJ77" s="13">
        <v>8.58</v>
      </c>
      <c r="BK77" s="13">
        <v>28.58</v>
      </c>
      <c r="BL77" s="13">
        <v>3.53</v>
      </c>
      <c r="BN77" s="13">
        <v>27.18</v>
      </c>
      <c r="BQ77" s="13">
        <v>9.3150684931506849</v>
      </c>
      <c r="CD77" s="13">
        <v>67.819999999999993</v>
      </c>
      <c r="CE77" s="13">
        <v>5.75</v>
      </c>
      <c r="CF77" s="13">
        <v>22.52</v>
      </c>
      <c r="CG77" s="13">
        <v>3.91</v>
      </c>
      <c r="CI77" s="13">
        <v>27.12</v>
      </c>
      <c r="CM77" s="13">
        <v>4617.5</v>
      </c>
      <c r="CN77" s="13">
        <v>484.13</v>
      </c>
      <c r="CO77" s="13">
        <v>146.4</v>
      </c>
      <c r="CV77" s="13">
        <v>0</v>
      </c>
    </row>
    <row r="78" spans="1:100" x14ac:dyDescent="0.25">
      <c r="A78" t="s">
        <v>226</v>
      </c>
      <c r="B78" t="s">
        <v>225</v>
      </c>
      <c r="C78">
        <v>2022</v>
      </c>
      <c r="D78" t="s">
        <v>233</v>
      </c>
      <c r="E78">
        <v>1</v>
      </c>
      <c r="F78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33.137500000000003</v>
      </c>
      <c r="I78" s="13">
        <f>0.75*I69+0.25*I70</f>
        <v>33.137500000000003</v>
      </c>
      <c r="K78" s="13">
        <f>0.75*K69+0.25*K70</f>
        <v>33.282499999999999</v>
      </c>
      <c r="M78" s="13">
        <f>0.75*M69+0.25*M70</f>
        <v>21.227499999999999</v>
      </c>
      <c r="N78" s="13">
        <f>0.75*N69+0.25*N70</f>
        <v>28.39</v>
      </c>
      <c r="O7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87.647500000000008</v>
      </c>
      <c r="R78" s="13">
        <f>0.75*R69+0.25*R70</f>
        <v>90.240000000000009</v>
      </c>
      <c r="S78" s="13">
        <f>0.75*S69+0.25*S70</f>
        <v>19.93</v>
      </c>
      <c r="T78" s="13">
        <f>0.75*T69+0.25*T70</f>
        <v>51.672499999999999</v>
      </c>
      <c r="AB78" s="13">
        <f>0.75*AB69+0.25*AB70</f>
        <v>41.629999999999995</v>
      </c>
      <c r="AC78" s="13">
        <f>0.75*AC69+0.25*AC70</f>
        <v>5.4074999999999998</v>
      </c>
      <c r="AD78" s="13">
        <f>0.75*AD69+0.25*AD70</f>
        <v>47.629999999999995</v>
      </c>
      <c r="AE78" s="13">
        <f>0.75*AE69+0.25*AE70</f>
        <v>5.3250000000000002</v>
      </c>
      <c r="AH78" s="13">
        <f>0.75*AH69+0.25*AH70</f>
        <v>13.32</v>
      </c>
      <c r="AI78" s="13">
        <v>0.3</v>
      </c>
      <c r="AJ78" s="13">
        <v>100</v>
      </c>
      <c r="AL78" s="13">
        <v>10</v>
      </c>
      <c r="AS78" s="13">
        <v>30</v>
      </c>
      <c r="AT78" s="13" t="e">
        <f>LN(25/Table26[[#This Row],[Temperature (C)]]/(1-SQRT((Table26[[#This Row],[Temperature (C)]]-5)/Table26[[#This Row],[Temperature (C)]])))/Table26[[#This Row],[b]]</f>
        <v>#DIV/0!</v>
      </c>
      <c r="AU78" s="13">
        <f>IF(Table26[[#This Row],[b]]&lt;&gt;"",Table26[[#This Row],[T-5]], 0)</f>
        <v>0</v>
      </c>
      <c r="AV78" s="13">
        <f>Table26[[#This Row],[Holding Time (min)]]+Table26[[#This Row],[Heating time]]</f>
        <v>30</v>
      </c>
      <c r="AW78" s="13">
        <v>300</v>
      </c>
      <c r="AY78" t="s">
        <v>503</v>
      </c>
      <c r="AZ78" s="13">
        <v>8.3333333333333393</v>
      </c>
      <c r="BA78" s="13">
        <v>4.6296296296295605</v>
      </c>
      <c r="BB78" s="13">
        <v>74.07407407407409</v>
      </c>
      <c r="BC78" s="13">
        <v>12.962962962963005</v>
      </c>
      <c r="BE78" s="13">
        <v>52.1</v>
      </c>
      <c r="BI78" s="13">
        <v>63.21</v>
      </c>
      <c r="BJ78" s="13">
        <v>8.5299999999999994</v>
      </c>
      <c r="BK78" s="13">
        <v>21.54</v>
      </c>
      <c r="BL78" s="13">
        <v>6.72</v>
      </c>
      <c r="BN78" s="13">
        <v>29.69</v>
      </c>
      <c r="BQ78" s="13">
        <v>8.8075880758807603</v>
      </c>
      <c r="CD78" s="13">
        <v>73.16</v>
      </c>
      <c r="CE78" s="13">
        <v>6.39</v>
      </c>
      <c r="CF78" s="13">
        <v>15.09</v>
      </c>
      <c r="CG78" s="13">
        <v>5.36</v>
      </c>
      <c r="CI78" s="13">
        <v>31.15</v>
      </c>
      <c r="CM78" s="13">
        <v>37050.5</v>
      </c>
      <c r="CN78" s="13">
        <v>684.57</v>
      </c>
      <c r="CO78" s="13">
        <v>814.2</v>
      </c>
      <c r="CV78" s="13">
        <v>0</v>
      </c>
    </row>
    <row r="79" spans="1:100" x14ac:dyDescent="0.25">
      <c r="A79" t="s">
        <v>226</v>
      </c>
      <c r="B79" t="s">
        <v>225</v>
      </c>
      <c r="C79">
        <v>2022</v>
      </c>
      <c r="D79" t="s">
        <v>234</v>
      </c>
      <c r="E79">
        <v>1</v>
      </c>
      <c r="F79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36.414999999999999</v>
      </c>
      <c r="I79" s="13">
        <f>0.5*I69+0.5*I70</f>
        <v>36.414999999999999</v>
      </c>
      <c r="K79" s="13">
        <f>0.5*K69+0.5*K70</f>
        <v>34.314999999999998</v>
      </c>
      <c r="M79" s="13">
        <f>0.5*M69+0.5*M70</f>
        <v>20.495000000000001</v>
      </c>
      <c r="N79" s="13">
        <f>0.5*N69+0.5*N70</f>
        <v>21.79</v>
      </c>
      <c r="O7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91.224999999999994</v>
      </c>
      <c r="R79" s="13">
        <f>0.5*R69+0.5*R70</f>
        <v>93.080000000000013</v>
      </c>
      <c r="S79" s="13">
        <f>0.5*S69+0.5*S70</f>
        <v>15.34</v>
      </c>
      <c r="T79" s="13">
        <f>0.5*T69+0.5*T70</f>
        <v>62.864999999999995</v>
      </c>
      <c r="AB79" s="13">
        <f>0.5*AB69+0.5*AB70</f>
        <v>42.93</v>
      </c>
      <c r="AC79" s="13">
        <f>0.5*AC69+0.5*AC70</f>
        <v>5.8049999999999997</v>
      </c>
      <c r="AD79" s="13">
        <f>0.5*AD69+0.5*AD70</f>
        <v>45.769999999999996</v>
      </c>
      <c r="AE79" s="13">
        <f>0.5*AE69+0.5*AE70</f>
        <v>5.49</v>
      </c>
      <c r="AH79" s="13">
        <f>0.5*AH69+0.5*AH70</f>
        <v>14.649999999999999</v>
      </c>
      <c r="AI79" s="13">
        <v>0.3</v>
      </c>
      <c r="AJ79" s="13">
        <v>100</v>
      </c>
      <c r="AL79" s="13">
        <v>10</v>
      </c>
      <c r="AS79" s="13">
        <v>30</v>
      </c>
      <c r="AT79" s="13" t="e">
        <f>LN(25/Table26[[#This Row],[Temperature (C)]]/(1-SQRT((Table26[[#This Row],[Temperature (C)]]-5)/Table26[[#This Row],[Temperature (C)]])))/Table26[[#This Row],[b]]</f>
        <v>#DIV/0!</v>
      </c>
      <c r="AU79" s="13">
        <f>IF(Table26[[#This Row],[b]]&lt;&gt;"",Table26[[#This Row],[T-5]], 0)</f>
        <v>0</v>
      </c>
      <c r="AV79" s="13">
        <f>Table26[[#This Row],[Holding Time (min)]]+Table26[[#This Row],[Heating time]]</f>
        <v>30</v>
      </c>
      <c r="AW79" s="13">
        <v>300</v>
      </c>
      <c r="AY79" t="s">
        <v>503</v>
      </c>
      <c r="AZ79" s="13">
        <v>10.1851851851851</v>
      </c>
      <c r="BA79" s="13">
        <v>3.7037037037037006</v>
      </c>
      <c r="BB79" s="13">
        <v>77.7777777777778</v>
      </c>
      <c r="BC79" s="13">
        <v>8.3333333333333997</v>
      </c>
      <c r="BE79" s="13">
        <v>52.8</v>
      </c>
      <c r="BI79" s="13">
        <v>58.07</v>
      </c>
      <c r="BJ79" s="13">
        <v>8.6199999999999992</v>
      </c>
      <c r="BK79" s="13">
        <v>25.54</v>
      </c>
      <c r="BL79" s="13">
        <v>7.77</v>
      </c>
      <c r="BN79" s="13">
        <v>27.36</v>
      </c>
      <c r="BQ79" s="13">
        <v>9.785522788203755</v>
      </c>
      <c r="CD79" s="13">
        <v>67.34</v>
      </c>
      <c r="CE79" s="13">
        <v>6.73</v>
      </c>
      <c r="CF79" s="13">
        <v>21.22</v>
      </c>
      <c r="CG79" s="13">
        <v>4.72</v>
      </c>
      <c r="CI79" s="13">
        <v>28.57</v>
      </c>
      <c r="CM79" s="13">
        <v>33663.300000000003</v>
      </c>
      <c r="CN79" s="13">
        <v>484.13</v>
      </c>
      <c r="CO79" s="13">
        <v>659.67</v>
      </c>
      <c r="CV79" s="13">
        <v>0</v>
      </c>
    </row>
    <row r="80" spans="1:100" x14ac:dyDescent="0.25">
      <c r="A80" t="s">
        <v>226</v>
      </c>
      <c r="B80" t="s">
        <v>225</v>
      </c>
      <c r="C80">
        <v>2022</v>
      </c>
      <c r="D80" t="s">
        <v>235</v>
      </c>
      <c r="E80">
        <v>1</v>
      </c>
      <c r="F80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39.692499999999995</v>
      </c>
      <c r="I80" s="13">
        <f>0.25*I69+0.75*I70</f>
        <v>39.692499999999995</v>
      </c>
      <c r="K80" s="13">
        <f>0.25*K69+0.75*K70</f>
        <v>35.347500000000004</v>
      </c>
      <c r="M80" s="13">
        <f>0.25*M69+0.75*M70</f>
        <v>19.762500000000003</v>
      </c>
      <c r="N80" s="13">
        <f>0.25*N69+0.75*N70</f>
        <v>15.190000000000001</v>
      </c>
      <c r="O8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94.802499999999995</v>
      </c>
      <c r="R80" s="13">
        <f>0.25*R69+0.75*R70</f>
        <v>95.920000000000016</v>
      </c>
      <c r="S80" s="13">
        <f>0.25*S69+0.75*S70</f>
        <v>10.75</v>
      </c>
      <c r="T80" s="13">
        <f>0.25*T69+0.75*T70</f>
        <v>74.057500000000005</v>
      </c>
      <c r="AB80" s="13">
        <f>0.25*AB69+0.75*AB70</f>
        <v>44.230000000000004</v>
      </c>
      <c r="AC80" s="13">
        <f>0.25*AC69+0.75*AC70</f>
        <v>6.2024999999999988</v>
      </c>
      <c r="AD80" s="13">
        <f>0.25*AD69+0.75*AD70</f>
        <v>43.91</v>
      </c>
      <c r="AE80" s="13">
        <f>0.25*AE69+0.75*AE70</f>
        <v>5.6550000000000002</v>
      </c>
      <c r="AH80" s="13">
        <f>0.25*AH69+0.75*AH70</f>
        <v>15.979999999999999</v>
      </c>
      <c r="AI80" s="13">
        <v>0.3</v>
      </c>
      <c r="AJ80" s="13">
        <v>100</v>
      </c>
      <c r="AL80" s="13">
        <v>10</v>
      </c>
      <c r="AS80" s="13">
        <v>30</v>
      </c>
      <c r="AT80" s="13" t="e">
        <f>LN(25/Table26[[#This Row],[Temperature (C)]]/(1-SQRT((Table26[[#This Row],[Temperature (C)]]-5)/Table26[[#This Row],[Temperature (C)]])))/Table26[[#This Row],[b]]</f>
        <v>#DIV/0!</v>
      </c>
      <c r="AU80" s="13">
        <f>IF(Table26[[#This Row],[b]]&lt;&gt;"",Table26[[#This Row],[T-5]], 0)</f>
        <v>0</v>
      </c>
      <c r="AV80" s="13">
        <f>Table26[[#This Row],[Holding Time (min)]]+Table26[[#This Row],[Heating time]]</f>
        <v>30</v>
      </c>
      <c r="AW80" s="13">
        <v>300</v>
      </c>
      <c r="AY80" t="s">
        <v>503</v>
      </c>
      <c r="AZ80" s="13">
        <v>12.499999999999901</v>
      </c>
      <c r="BA80" s="13">
        <v>3.2407407407407991</v>
      </c>
      <c r="BB80" s="13">
        <v>75</v>
      </c>
      <c r="BC80" s="13">
        <v>9.259259259259295</v>
      </c>
      <c r="BE80" s="13">
        <v>44.400000000000006</v>
      </c>
      <c r="BI80" s="13">
        <v>62.4</v>
      </c>
      <c r="BJ80" s="13">
        <v>7.71</v>
      </c>
      <c r="BK80" s="13">
        <v>24.31</v>
      </c>
      <c r="BL80" s="13">
        <v>5.59</v>
      </c>
      <c r="BN80" s="13">
        <v>27.75</v>
      </c>
      <c r="BQ80" s="13">
        <v>8.3561643835616426</v>
      </c>
      <c r="CD80" s="13">
        <v>67.680000000000007</v>
      </c>
      <c r="CE80" s="13">
        <v>6.21</v>
      </c>
      <c r="CF80" s="13">
        <v>21.7</v>
      </c>
      <c r="CG80" s="13">
        <v>4.42</v>
      </c>
      <c r="CI80" s="13">
        <v>27.86</v>
      </c>
      <c r="CM80" s="13">
        <v>21389.91</v>
      </c>
      <c r="CN80" s="13">
        <v>306.88</v>
      </c>
      <c r="CO80" s="13">
        <v>450.16</v>
      </c>
      <c r="CV80" s="13">
        <v>0</v>
      </c>
    </row>
    <row r="81" spans="1:100" x14ac:dyDescent="0.25">
      <c r="A81" t="s">
        <v>226</v>
      </c>
      <c r="B81" t="s">
        <v>225</v>
      </c>
      <c r="C81">
        <v>2022</v>
      </c>
      <c r="D81" t="s">
        <v>236</v>
      </c>
      <c r="E81">
        <v>1</v>
      </c>
      <c r="F81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29.837499999999999</v>
      </c>
      <c r="I81" s="13">
        <f>0.75*I69+0.25*I71</f>
        <v>29.837499999999999</v>
      </c>
      <c r="K81" s="13">
        <f>0.75*K69+0.25*K71</f>
        <v>33.3125</v>
      </c>
      <c r="M81" s="13">
        <f>0.75*M69+0.25*M71</f>
        <v>21.072499999999998</v>
      </c>
      <c r="N81" s="13">
        <f>0.75*N69+0.25*N71</f>
        <v>33.6175</v>
      </c>
      <c r="O8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84.222499999999997</v>
      </c>
      <c r="R81" s="13">
        <f>0.75*R69+0.25*R71</f>
        <v>90.420000000000016</v>
      </c>
      <c r="S81" s="13">
        <f>0.75*S69+0.25*S71</f>
        <v>23.695</v>
      </c>
      <c r="T81" s="13">
        <f>0.75*T69+0.25*T71</f>
        <v>42.677500000000002</v>
      </c>
      <c r="AB81" s="13">
        <f>0.75*AB69+0.25*AB71</f>
        <v>39.457499999999996</v>
      </c>
      <c r="AC81" s="13">
        <f>0.75*AC69+0.25*AC71</f>
        <v>5.2725</v>
      </c>
      <c r="AD81" s="13">
        <f>0.75*AD69+0.25*AD71</f>
        <v>49.932499999999997</v>
      </c>
      <c r="AE81" s="13">
        <f>0.75*AE69+0.25*AE71</f>
        <v>5.33</v>
      </c>
      <c r="AH81" s="13">
        <f>0.75*AH69+0.25*AH71</f>
        <v>11.984999999999999</v>
      </c>
      <c r="AI81" s="13">
        <v>0.3</v>
      </c>
      <c r="AJ81" s="13">
        <v>100</v>
      </c>
      <c r="AL81" s="13">
        <v>10</v>
      </c>
      <c r="AS81" s="13">
        <v>30</v>
      </c>
      <c r="AT81" s="13" t="e">
        <f>LN(25/Table26[[#This Row],[Temperature (C)]]/(1-SQRT((Table26[[#This Row],[Temperature (C)]]-5)/Table26[[#This Row],[Temperature (C)]])))/Table26[[#This Row],[b]]</f>
        <v>#DIV/0!</v>
      </c>
      <c r="AU81" s="13">
        <f>IF(Table26[[#This Row],[b]]&lt;&gt;"",Table26[[#This Row],[T-5]], 0)</f>
        <v>0</v>
      </c>
      <c r="AV81" s="13">
        <f>Table26[[#This Row],[Holding Time (min)]]+Table26[[#This Row],[Heating time]]</f>
        <v>30</v>
      </c>
      <c r="AW81" s="13">
        <v>300</v>
      </c>
      <c r="AY81" t="s">
        <v>503</v>
      </c>
      <c r="AZ81" s="13">
        <v>6.04651162790696</v>
      </c>
      <c r="BA81" s="13">
        <v>3.7209302325581595</v>
      </c>
      <c r="BB81" s="13">
        <v>80.930232558139494</v>
      </c>
      <c r="BC81" s="13">
        <v>9.3023255813952943</v>
      </c>
      <c r="BE81" s="13">
        <v>42.8</v>
      </c>
      <c r="BI81" s="13">
        <v>63.61</v>
      </c>
      <c r="BJ81" s="13">
        <v>8.6999999999999993</v>
      </c>
      <c r="BK81" s="13">
        <v>20.149999999999999</v>
      </c>
      <c r="BL81" s="13">
        <v>7.54</v>
      </c>
      <c r="BN81" s="13">
        <v>30.3</v>
      </c>
      <c r="BQ81" s="13">
        <v>9.0909090909090917</v>
      </c>
      <c r="CD81" s="13">
        <v>71.44</v>
      </c>
      <c r="CE81" s="13">
        <v>7.23</v>
      </c>
      <c r="CF81" s="13">
        <v>15.9</v>
      </c>
      <c r="CG81" s="13">
        <v>5.43</v>
      </c>
      <c r="CI81" s="13">
        <v>31.62</v>
      </c>
      <c r="CM81" s="13">
        <v>18195.95</v>
      </c>
      <c r="CN81" s="13">
        <v>1196.58</v>
      </c>
      <c r="CO81" s="13">
        <v>1005.97</v>
      </c>
      <c r="CV81" s="13">
        <v>0</v>
      </c>
    </row>
    <row r="82" spans="1:100" x14ac:dyDescent="0.25">
      <c r="A82" t="s">
        <v>226</v>
      </c>
      <c r="B82" t="s">
        <v>225</v>
      </c>
      <c r="C82">
        <v>2022</v>
      </c>
      <c r="D82" t="s">
        <v>237</v>
      </c>
      <c r="E82">
        <v>1</v>
      </c>
      <c r="F82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29.814999999999998</v>
      </c>
      <c r="I82" s="13">
        <f>0.5*I69+0.5*I71</f>
        <v>29.814999999999998</v>
      </c>
      <c r="K82" s="13">
        <f>0.5*K69+0.5*K71</f>
        <v>34.375</v>
      </c>
      <c r="M82" s="13">
        <f>0.5*M69+0.5*M71</f>
        <v>20.185000000000002</v>
      </c>
      <c r="N82" s="13">
        <f>0.5*N69+0.5*N71</f>
        <v>32.245000000000005</v>
      </c>
      <c r="O8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84.375</v>
      </c>
      <c r="R82" s="13">
        <f>0.5*R69+0.5*R71</f>
        <v>93.44</v>
      </c>
      <c r="S82" s="13">
        <f>0.5*S69+0.5*S71</f>
        <v>22.869999999999997</v>
      </c>
      <c r="T82" s="13">
        <f>0.5*T69+0.5*T71</f>
        <v>44.875</v>
      </c>
      <c r="AB82" s="13">
        <f>0.5*AB69+0.5*AB71</f>
        <v>38.585000000000001</v>
      </c>
      <c r="AC82" s="13">
        <f>0.5*AC69+0.5*AC71</f>
        <v>5.5350000000000001</v>
      </c>
      <c r="AD82" s="13">
        <f>0.5*AD69+0.5*AD71</f>
        <v>50.375</v>
      </c>
      <c r="AE82" s="13">
        <f>0.5*AE69+0.5*AE71</f>
        <v>5.5</v>
      </c>
      <c r="AH82" s="13">
        <f>0.5*AH69+0.5*AH71</f>
        <v>11.98</v>
      </c>
      <c r="AI82" s="13">
        <v>0.3</v>
      </c>
      <c r="AJ82" s="13">
        <v>100</v>
      </c>
      <c r="AL82" s="13">
        <v>10</v>
      </c>
      <c r="AS82" s="13">
        <v>30</v>
      </c>
      <c r="AT82" s="13" t="e">
        <f>LN(25/Table26[[#This Row],[Temperature (C)]]/(1-SQRT((Table26[[#This Row],[Temperature (C)]]-5)/Table26[[#This Row],[Temperature (C)]])))/Table26[[#This Row],[b]]</f>
        <v>#DIV/0!</v>
      </c>
      <c r="AU82" s="13">
        <f>IF(Table26[[#This Row],[b]]&lt;&gt;"",Table26[[#This Row],[T-5]], 0)</f>
        <v>0</v>
      </c>
      <c r="AV82" s="13">
        <f>Table26[[#This Row],[Holding Time (min)]]+Table26[[#This Row],[Heating time]]</f>
        <v>30</v>
      </c>
      <c r="AW82" s="13">
        <v>300</v>
      </c>
      <c r="AY82" t="s">
        <v>503</v>
      </c>
      <c r="AZ82" s="13">
        <v>5.1162790697674598</v>
      </c>
      <c r="BA82" s="13">
        <v>3.2558139534883104</v>
      </c>
      <c r="BB82" s="13">
        <v>83.255813953488328</v>
      </c>
      <c r="BC82" s="13">
        <v>7.9069767441860961</v>
      </c>
      <c r="BD82" s="13">
        <f>100-SUM(Table26[[#This Row],[Solids wt%]:[Gas wt%]])</f>
        <v>0.4651162790698038</v>
      </c>
      <c r="BE82" s="13">
        <v>49.5</v>
      </c>
      <c r="BI82" s="13">
        <v>60.4</v>
      </c>
      <c r="BJ82" s="13">
        <v>9.2799999999999994</v>
      </c>
      <c r="BK82" s="13">
        <v>22.5</v>
      </c>
      <c r="BL82" s="13">
        <v>7.81</v>
      </c>
      <c r="BN82" s="13">
        <v>29.63</v>
      </c>
      <c r="BQ82" s="13">
        <v>8.3791208791208778</v>
      </c>
      <c r="CD82" s="13">
        <v>71.239999999999995</v>
      </c>
      <c r="CE82" s="13">
        <v>6.54</v>
      </c>
      <c r="CF82" s="13">
        <v>16.940000000000001</v>
      </c>
      <c r="CG82" s="13">
        <v>5.28</v>
      </c>
      <c r="CI82" s="13">
        <v>30.39</v>
      </c>
      <c r="CM82" s="13">
        <v>16739.560000000001</v>
      </c>
      <c r="CN82" s="13">
        <v>897.93</v>
      </c>
      <c r="CO82" s="13">
        <v>801.11</v>
      </c>
      <c r="CV82" s="13">
        <v>0</v>
      </c>
    </row>
    <row r="83" spans="1:100" x14ac:dyDescent="0.25">
      <c r="A83" t="s">
        <v>226</v>
      </c>
      <c r="B83" t="s">
        <v>225</v>
      </c>
      <c r="C83">
        <v>2022</v>
      </c>
      <c r="D83" t="s">
        <v>238</v>
      </c>
      <c r="E83">
        <v>1</v>
      </c>
      <c r="F83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29.7925</v>
      </c>
      <c r="I83" s="13">
        <f>0.25*I69+0.75*I71</f>
        <v>29.7925</v>
      </c>
      <c r="K83" s="13">
        <f>0.25*K69+0.75*K71</f>
        <v>35.4375</v>
      </c>
      <c r="M83" s="13">
        <f>0.25*M69+0.75*M71</f>
        <v>19.297499999999999</v>
      </c>
      <c r="N83" s="13">
        <f>0.25*N69+0.75*N71</f>
        <v>30.872500000000002</v>
      </c>
      <c r="O8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84.527500000000003</v>
      </c>
      <c r="R83" s="13">
        <f>0.25*R69+0.75*R71</f>
        <v>96.460000000000008</v>
      </c>
      <c r="S83" s="13">
        <f>0.25*S69+0.75*S71</f>
        <v>22.044999999999998</v>
      </c>
      <c r="T83" s="13">
        <f>0.25*T69+0.75*T71</f>
        <v>47.072499999999998</v>
      </c>
      <c r="AB83" s="13">
        <f>0.25*AB69+0.75*AB71</f>
        <v>37.712500000000006</v>
      </c>
      <c r="AC83" s="13">
        <f>0.25*AC69+0.75*AC71</f>
        <v>5.7974999999999994</v>
      </c>
      <c r="AD83" s="13">
        <f>0.25*AD69+0.75*AD71</f>
        <v>50.817500000000003</v>
      </c>
      <c r="AE83" s="13">
        <f>0.25*AE69+0.75*AE71</f>
        <v>5.67</v>
      </c>
      <c r="AH83" s="13">
        <f>0.25*AH69+0.75*AH71</f>
        <v>11.975000000000001</v>
      </c>
      <c r="AI83" s="13">
        <v>0.3</v>
      </c>
      <c r="AJ83" s="13">
        <v>100</v>
      </c>
      <c r="AL83" s="13">
        <v>10</v>
      </c>
      <c r="AS83" s="13">
        <v>30</v>
      </c>
      <c r="AT83" s="13" t="e">
        <f>LN(25/Table26[[#This Row],[Temperature (C)]]/(1-SQRT((Table26[[#This Row],[Temperature (C)]]-5)/Table26[[#This Row],[Temperature (C)]])))/Table26[[#This Row],[b]]</f>
        <v>#DIV/0!</v>
      </c>
      <c r="AU83" s="13">
        <f>IF(Table26[[#This Row],[b]]&lt;&gt;"",Table26[[#This Row],[T-5]], 0)</f>
        <v>0</v>
      </c>
      <c r="AV83" s="13">
        <f>Table26[[#This Row],[Holding Time (min)]]+Table26[[#This Row],[Heating time]]</f>
        <v>30</v>
      </c>
      <c r="AW83" s="13">
        <v>300</v>
      </c>
      <c r="AY83" t="s">
        <v>503</v>
      </c>
      <c r="AZ83" s="13">
        <v>4.1860465116279499</v>
      </c>
      <c r="BA83" s="13">
        <v>2.3255813953488103</v>
      </c>
      <c r="BB83" s="13">
        <v>85.116279069767344</v>
      </c>
      <c r="BC83" s="13">
        <v>7.9069767441860961</v>
      </c>
      <c r="BD83" s="13">
        <f>100-SUM(Table26[[#This Row],[Solids wt%]:[Gas wt%]])</f>
        <v>0.4651162790698038</v>
      </c>
      <c r="BE83" s="13">
        <v>57.5</v>
      </c>
      <c r="BI83" s="13">
        <v>62.49</v>
      </c>
      <c r="BJ83" s="13">
        <v>8.4499999999999993</v>
      </c>
      <c r="BK83" s="13">
        <v>21.66</v>
      </c>
      <c r="BL83" s="13">
        <v>7.4</v>
      </c>
      <c r="BN83" s="13">
        <v>29.3</v>
      </c>
      <c r="BQ83" s="13">
        <v>8.9163237311385455</v>
      </c>
      <c r="CD83" s="13">
        <v>70.430000000000007</v>
      </c>
      <c r="CE83" s="13">
        <v>7.15</v>
      </c>
      <c r="CF83" s="13">
        <v>17.260000000000002</v>
      </c>
      <c r="CG83" s="13">
        <v>5.16</v>
      </c>
      <c r="CI83" s="13">
        <v>30.92</v>
      </c>
      <c r="CM83" s="13">
        <v>12317.88</v>
      </c>
      <c r="CN83" s="13">
        <v>679.98</v>
      </c>
      <c r="CO83" s="13">
        <v>518.83000000000004</v>
      </c>
      <c r="CV83" s="13">
        <v>0</v>
      </c>
    </row>
    <row r="84" spans="1:100" x14ac:dyDescent="0.25">
      <c r="A84" t="s">
        <v>245</v>
      </c>
      <c r="B84" t="s">
        <v>244</v>
      </c>
      <c r="C84">
        <v>2022</v>
      </c>
      <c r="D84" t="s">
        <v>243</v>
      </c>
      <c r="E84">
        <v>1</v>
      </c>
      <c r="F84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68.2</v>
      </c>
      <c r="G84" s="13">
        <f>Table26[[#This Row],[Holocellulose]]</f>
        <v>68.2</v>
      </c>
      <c r="K84" s="13">
        <v>3.6</v>
      </c>
      <c r="M84" s="13">
        <v>16.3</v>
      </c>
      <c r="N84" s="13">
        <v>2.7</v>
      </c>
      <c r="O8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88.1</v>
      </c>
      <c r="P84" s="13">
        <v>68.2</v>
      </c>
      <c r="Q84" s="13">
        <v>6.8</v>
      </c>
      <c r="AB84" s="13">
        <v>45.6</v>
      </c>
      <c r="AC84" s="13">
        <v>6.3</v>
      </c>
      <c r="AD84" s="13">
        <v>44.7</v>
      </c>
      <c r="AE84" s="13">
        <v>0.6</v>
      </c>
      <c r="AF84" s="13">
        <v>0.1</v>
      </c>
      <c r="AH84" s="13">
        <v>14.8</v>
      </c>
      <c r="AI84" s="13">
        <v>0.02</v>
      </c>
      <c r="AJ84" s="13">
        <v>1</v>
      </c>
      <c r="AK84" s="13">
        <v>8</v>
      </c>
      <c r="AL84" s="13">
        <f>Table26[[#This Row],[Solids (g)]]/(Table26[[#This Row],[Solids (g)]]+Table26[[#This Row],[Water mL]])*100</f>
        <v>11.111111111111111</v>
      </c>
      <c r="AO84" s="13">
        <v>4</v>
      </c>
      <c r="AP84" s="13">
        <v>1.0449999999999999</v>
      </c>
      <c r="AT84" s="13">
        <f>LN(25/Table26[[#This Row],[Temperature (C)]]/(1-SQRT((Table26[[#This Row],[Temperature (C)]]-5)/Table26[[#This Row],[Temperature (C)]])))/Table26[[#This Row],[b]]</f>
        <v>2.1994183166170163</v>
      </c>
      <c r="AU84" s="13">
        <f>IF(Table26[[#This Row],[b]]&lt;&gt;"",Table26[[#This Row],[T-5]], 0)</f>
        <v>2.1994183166170163</v>
      </c>
      <c r="AV84" s="13">
        <f>Table26[[#This Row],[Holding Time (min)]]+Table26[[#This Row],[Heating time]]</f>
        <v>2.1994183166170163</v>
      </c>
      <c r="AW84" s="13">
        <v>300</v>
      </c>
      <c r="AY84" t="s">
        <v>503</v>
      </c>
      <c r="BE84" s="13">
        <v>51.3</v>
      </c>
      <c r="BI84" s="13">
        <v>68.3</v>
      </c>
      <c r="BJ84" s="13">
        <v>0.8</v>
      </c>
      <c r="BK84" s="13">
        <v>24.1</v>
      </c>
      <c r="BL84" s="13">
        <v>6.7</v>
      </c>
      <c r="BM84" s="13">
        <v>0.1</v>
      </c>
      <c r="BN84" s="13">
        <v>29.2</v>
      </c>
      <c r="BQ84" s="13">
        <v>9.1655266757865945</v>
      </c>
      <c r="CV84" s="13">
        <v>0</v>
      </c>
    </row>
    <row r="85" spans="1:100" x14ac:dyDescent="0.25">
      <c r="A85" t="s">
        <v>245</v>
      </c>
      <c r="B85" t="s">
        <v>244</v>
      </c>
      <c r="C85">
        <v>2022</v>
      </c>
      <c r="D85" t="s">
        <v>246</v>
      </c>
      <c r="E85">
        <v>1</v>
      </c>
      <c r="F85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61.775000000000006</v>
      </c>
      <c r="G85" s="13">
        <f>Table26[[#This Row],[Holocellulose]]</f>
        <v>61.775000000000006</v>
      </c>
      <c r="K85" s="13">
        <f>0.75*K84+0.25*K88</f>
        <v>6.2750000000000004</v>
      </c>
      <c r="M85" s="13">
        <f>0.75*M84+0.25*M88</f>
        <v>18.25</v>
      </c>
      <c r="N85" s="13">
        <f>0.75*N84+0.25*N88</f>
        <v>6.0500000000000007</v>
      </c>
      <c r="O8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86.300000000000011</v>
      </c>
      <c r="P85" s="13">
        <f>0.75*P84+0.25*P88</f>
        <v>61.775000000000006</v>
      </c>
      <c r="Q85" s="13">
        <f>0.75*Q84+0.25*Q88</f>
        <v>6.1999999999999993</v>
      </c>
      <c r="AB85" s="13">
        <f>0.75*AB84+0.25*AB88</f>
        <v>45.300000000000004</v>
      </c>
      <c r="AC85" s="13">
        <f>0.75*AC84+0.25*AC88</f>
        <v>6.25</v>
      </c>
      <c r="AD85" s="13">
        <f>0.75*AD84+0.25*AD88</f>
        <v>41.175000000000004</v>
      </c>
      <c r="AE85" s="13">
        <f>0.75*AE84+0.25*AE88</f>
        <v>1.0249999999999999</v>
      </c>
      <c r="AF85" s="13">
        <f>0.75*AF84+0.25*AF88</f>
        <v>0.2</v>
      </c>
      <c r="AH85" s="13">
        <f>0.75*AH84+0.25*AH88</f>
        <v>18.75</v>
      </c>
      <c r="AI85" s="13">
        <v>0.02</v>
      </c>
      <c r="AJ85" s="13">
        <v>1</v>
      </c>
      <c r="AK85" s="13">
        <v>8</v>
      </c>
      <c r="AL85" s="13">
        <f>Table26[[#This Row],[Solids (g)]]/(Table26[[#This Row],[Solids (g)]]+Table26[[#This Row],[Water mL]])*100</f>
        <v>11.111111111111111</v>
      </c>
      <c r="AO85" s="13">
        <v>4</v>
      </c>
      <c r="AP85" s="13">
        <v>1.0449999999999999</v>
      </c>
      <c r="AT85" s="13">
        <f>LN(25/Table26[[#This Row],[Temperature (C)]]/(1-SQRT((Table26[[#This Row],[Temperature (C)]]-5)/Table26[[#This Row],[Temperature (C)]])))/Table26[[#This Row],[b]]</f>
        <v>2.1994183166170163</v>
      </c>
      <c r="AU85" s="13">
        <f>IF(Table26[[#This Row],[b]]&lt;&gt;"",Table26[[#This Row],[T-5]], 0)</f>
        <v>2.1994183166170163</v>
      </c>
      <c r="AV85" s="13">
        <f>Table26[[#This Row],[Holding Time (min)]]+Table26[[#This Row],[Heating time]]</f>
        <v>2.1994183166170163</v>
      </c>
      <c r="AW85" s="13">
        <v>300</v>
      </c>
      <c r="AY85" t="s">
        <v>503</v>
      </c>
      <c r="BE85" s="13">
        <v>48</v>
      </c>
      <c r="BI85" s="13">
        <v>68.599999999999994</v>
      </c>
      <c r="BJ85" s="13">
        <v>1.8</v>
      </c>
      <c r="BK85" s="13">
        <v>22.3</v>
      </c>
      <c r="BL85" s="13">
        <v>7.1</v>
      </c>
      <c r="BM85" s="13">
        <v>0.2</v>
      </c>
      <c r="BN85" s="13">
        <v>30</v>
      </c>
      <c r="BQ85" s="13">
        <v>9.1412742382271457</v>
      </c>
      <c r="CV85" s="13">
        <v>0</v>
      </c>
    </row>
    <row r="86" spans="1:100" x14ac:dyDescent="0.25">
      <c r="A86" t="s">
        <v>245</v>
      </c>
      <c r="B86" t="s">
        <v>244</v>
      </c>
      <c r="C86">
        <v>2022</v>
      </c>
      <c r="D86" t="s">
        <v>247</v>
      </c>
      <c r="E86">
        <v>1</v>
      </c>
      <c r="F86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55.35</v>
      </c>
      <c r="G86" s="13">
        <f>Table26[[#This Row],[Holocellulose]]</f>
        <v>55.35</v>
      </c>
      <c r="K86" s="13">
        <f>0.5*K84+0.5*K88</f>
        <v>8.9500000000000011</v>
      </c>
      <c r="M86" s="13">
        <f>0.5*M84+0.5*M88</f>
        <v>20.200000000000003</v>
      </c>
      <c r="N86" s="13">
        <f>0.5*N84+0.5*N88</f>
        <v>9.4</v>
      </c>
      <c r="O8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84.5</v>
      </c>
      <c r="P86" s="13">
        <f>0.5*P84+0.5*P88</f>
        <v>55.35</v>
      </c>
      <c r="Q86" s="13">
        <f>0.5*Q84+0.5*Q88</f>
        <v>5.6</v>
      </c>
      <c r="AB86" s="13">
        <f>0.5*AB84+0.5*AB88</f>
        <v>45</v>
      </c>
      <c r="AC86" s="13">
        <f>0.5*AC84+0.5*AC88</f>
        <v>6.1999999999999993</v>
      </c>
      <c r="AD86" s="13">
        <f>0.5*AD84+0.5*AD88</f>
        <v>37.650000000000006</v>
      </c>
      <c r="AE86" s="13">
        <f>0.5*AE84+0.5*AE88</f>
        <v>1.45</v>
      </c>
      <c r="AF86" s="13">
        <f>0.5*AF84+0.5*AF88</f>
        <v>0.3</v>
      </c>
      <c r="AH86" s="13">
        <f>0.5*AH84+0.5*AH88</f>
        <v>22.700000000000003</v>
      </c>
      <c r="AI86" s="13">
        <v>0.02</v>
      </c>
      <c r="AJ86" s="13">
        <v>1</v>
      </c>
      <c r="AK86" s="13">
        <v>8</v>
      </c>
      <c r="AL86" s="13">
        <f>Table26[[#This Row],[Solids (g)]]/(Table26[[#This Row],[Solids (g)]]+Table26[[#This Row],[Water mL]])*100</f>
        <v>11.111111111111111</v>
      </c>
      <c r="AO86" s="13">
        <v>4</v>
      </c>
      <c r="AP86" s="13">
        <v>1.0449999999999999</v>
      </c>
      <c r="AT86" s="13">
        <f>LN(25/Table26[[#This Row],[Temperature (C)]]/(1-SQRT((Table26[[#This Row],[Temperature (C)]]-5)/Table26[[#This Row],[Temperature (C)]])))/Table26[[#This Row],[b]]</f>
        <v>2.1994183166170163</v>
      </c>
      <c r="AU86" s="13">
        <f>IF(Table26[[#This Row],[b]]&lt;&gt;"",Table26[[#This Row],[T-5]], 0)</f>
        <v>2.1994183166170163</v>
      </c>
      <c r="AV86" s="13">
        <f>Table26[[#This Row],[Holding Time (min)]]+Table26[[#This Row],[Heating time]]</f>
        <v>2.1994183166170163</v>
      </c>
      <c r="AW86" s="13">
        <v>300</v>
      </c>
      <c r="AY86" t="s">
        <v>503</v>
      </c>
      <c r="BE86" s="13">
        <v>42.3</v>
      </c>
      <c r="BI86" s="13">
        <v>65.400000000000006</v>
      </c>
      <c r="BJ86" s="13">
        <v>2.2000000000000002</v>
      </c>
      <c r="BK86" s="13">
        <v>24.3</v>
      </c>
      <c r="BL86" s="13">
        <v>7.7</v>
      </c>
      <c r="BM86" s="13">
        <v>0.4</v>
      </c>
      <c r="BN86" s="13">
        <v>29.3</v>
      </c>
      <c r="BQ86" s="13">
        <v>11.755952380952381</v>
      </c>
      <c r="CV86" s="13">
        <v>0</v>
      </c>
    </row>
    <row r="87" spans="1:100" x14ac:dyDescent="0.25">
      <c r="A87" t="s">
        <v>245</v>
      </c>
      <c r="B87" t="s">
        <v>244</v>
      </c>
      <c r="C87">
        <v>2022</v>
      </c>
      <c r="D87" t="s">
        <v>248</v>
      </c>
      <c r="E87">
        <v>1</v>
      </c>
      <c r="F8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48.924999999999997</v>
      </c>
      <c r="G87" s="13">
        <f>Table26[[#This Row],[Holocellulose]]</f>
        <v>48.924999999999997</v>
      </c>
      <c r="K87" s="13">
        <f>0.25*K84+0.75*K88</f>
        <v>11.625000000000002</v>
      </c>
      <c r="M87" s="13">
        <f>0.25*M84+0.75*M88</f>
        <v>22.150000000000002</v>
      </c>
      <c r="N87" s="13">
        <f>0.25*N84+0.75*N88</f>
        <v>12.750000000000002</v>
      </c>
      <c r="O8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82.7</v>
      </c>
      <c r="P87" s="13">
        <f>0.25*P84+0.75*P88</f>
        <v>48.924999999999997</v>
      </c>
      <c r="Q87" s="13">
        <f>0.25*Q84+0.75*Q88</f>
        <v>5</v>
      </c>
      <c r="AB87" s="13">
        <f>0.25*AB84+0.75*AB88</f>
        <v>44.699999999999996</v>
      </c>
      <c r="AC87" s="13">
        <f>0.25*AC84+0.75*AC88</f>
        <v>6.1499999999999995</v>
      </c>
      <c r="AD87" s="13">
        <f>0.25*AD84+0.75*AD88</f>
        <v>34.125</v>
      </c>
      <c r="AE87" s="13">
        <f>0.25*AE84+0.75*AE88</f>
        <v>1.8749999999999998</v>
      </c>
      <c r="AF87" s="13">
        <f>0.25*AF84+0.75*AF88</f>
        <v>0.4</v>
      </c>
      <c r="AH87" s="13">
        <f>0.25*AH84+0.75*AH88</f>
        <v>26.650000000000002</v>
      </c>
      <c r="AI87" s="13">
        <v>0.02</v>
      </c>
      <c r="AJ87" s="13">
        <v>1</v>
      </c>
      <c r="AK87" s="13">
        <v>8</v>
      </c>
      <c r="AL87" s="13">
        <f>Table26[[#This Row],[Solids (g)]]/(Table26[[#This Row],[Solids (g)]]+Table26[[#This Row],[Water mL]])*100</f>
        <v>11.111111111111111</v>
      </c>
      <c r="AO87" s="13">
        <v>4</v>
      </c>
      <c r="AP87" s="13">
        <v>1.0449999999999999</v>
      </c>
      <c r="AT87" s="13">
        <f>LN(25/Table26[[#This Row],[Temperature (C)]]/(1-SQRT((Table26[[#This Row],[Temperature (C)]]-5)/Table26[[#This Row],[Temperature (C)]])))/Table26[[#This Row],[b]]</f>
        <v>2.1994183166170163</v>
      </c>
      <c r="AU87" s="13">
        <f>IF(Table26[[#This Row],[b]]&lt;&gt;"",Table26[[#This Row],[T-5]], 0)</f>
        <v>2.1994183166170163</v>
      </c>
      <c r="AV87" s="13">
        <f>Table26[[#This Row],[Holding Time (min)]]+Table26[[#This Row],[Heating time]]</f>
        <v>2.1994183166170163</v>
      </c>
      <c r="AW87" s="13">
        <v>300</v>
      </c>
      <c r="AY87" t="s">
        <v>503</v>
      </c>
      <c r="BE87" s="13">
        <v>49</v>
      </c>
      <c r="BI87" s="13">
        <v>62.3</v>
      </c>
      <c r="BJ87" s="13">
        <v>2.7</v>
      </c>
      <c r="BK87" s="13">
        <v>26.9</v>
      </c>
      <c r="BL87" s="13">
        <v>7.6</v>
      </c>
      <c r="BM87" s="13">
        <v>0.4</v>
      </c>
      <c r="BN87" s="13">
        <v>27.9</v>
      </c>
      <c r="BQ87" s="13">
        <v>9.795918367346939</v>
      </c>
      <c r="CV87" s="13">
        <v>0</v>
      </c>
    </row>
    <row r="88" spans="1:100" x14ac:dyDescent="0.25">
      <c r="A88" t="s">
        <v>245</v>
      </c>
      <c r="B88" t="s">
        <v>244</v>
      </c>
      <c r="C88">
        <v>2022</v>
      </c>
      <c r="D88" t="s">
        <v>242</v>
      </c>
      <c r="E88">
        <v>1</v>
      </c>
      <c r="F88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42.5</v>
      </c>
      <c r="G88" s="13">
        <f>Table26[[#This Row],[Holocellulose]]</f>
        <v>42.5</v>
      </c>
      <c r="K88" s="13">
        <v>14.3</v>
      </c>
      <c r="M88" s="13">
        <v>24.1</v>
      </c>
      <c r="N88" s="13">
        <v>16.100000000000001</v>
      </c>
      <c r="O8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80.900000000000006</v>
      </c>
      <c r="P88" s="13">
        <v>42.5</v>
      </c>
      <c r="Q88" s="13">
        <v>4.4000000000000004</v>
      </c>
      <c r="AB88" s="13">
        <v>44.4</v>
      </c>
      <c r="AC88" s="13">
        <v>6.1</v>
      </c>
      <c r="AD88" s="13">
        <v>30.6</v>
      </c>
      <c r="AE88" s="13">
        <v>2.2999999999999998</v>
      </c>
      <c r="AF88" s="13">
        <v>0.5</v>
      </c>
      <c r="AH88" s="13">
        <v>30.6</v>
      </c>
      <c r="AI88" s="13">
        <v>0.02</v>
      </c>
      <c r="AJ88" s="13">
        <v>1</v>
      </c>
      <c r="AK88" s="13">
        <v>8</v>
      </c>
      <c r="AL88" s="13">
        <f>Table26[[#This Row],[Solids (g)]]/(Table26[[#This Row],[Solids (g)]]+Table26[[#This Row],[Water mL]])*100</f>
        <v>11.111111111111111</v>
      </c>
      <c r="AO88" s="13">
        <v>4</v>
      </c>
      <c r="AP88" s="13">
        <v>1.0449999999999999</v>
      </c>
      <c r="AT88" s="13">
        <f>LN(25/Table26[[#This Row],[Temperature (C)]]/(1-SQRT((Table26[[#This Row],[Temperature (C)]]-5)/Table26[[#This Row],[Temperature (C)]])))/Table26[[#This Row],[b]]</f>
        <v>2.1994183166170163</v>
      </c>
      <c r="AU88" s="13">
        <f>IF(Table26[[#This Row],[b]]&lt;&gt;"",Table26[[#This Row],[T-5]], 0)</f>
        <v>2.1994183166170163</v>
      </c>
      <c r="AV88" s="13">
        <f>Table26[[#This Row],[Holding Time (min)]]+Table26[[#This Row],[Heating time]]</f>
        <v>2.1994183166170163</v>
      </c>
      <c r="AW88" s="13">
        <v>300</v>
      </c>
      <c r="AY88" t="s">
        <v>503</v>
      </c>
      <c r="BE88" s="13">
        <v>52.8</v>
      </c>
      <c r="BI88" s="13">
        <v>67</v>
      </c>
      <c r="BJ88" s="13">
        <v>3.2</v>
      </c>
      <c r="BK88" s="13">
        <v>21</v>
      </c>
      <c r="BL88" s="13">
        <v>8.1</v>
      </c>
      <c r="BM88" s="13">
        <v>0.7</v>
      </c>
      <c r="BN88" s="13">
        <v>30.8</v>
      </c>
      <c r="BQ88" s="13">
        <v>9.0909090909090917</v>
      </c>
      <c r="CV88" s="13">
        <v>0</v>
      </c>
    </row>
    <row r="89" spans="1:100" x14ac:dyDescent="0.25">
      <c r="A89" t="s">
        <v>245</v>
      </c>
      <c r="B89" t="s">
        <v>244</v>
      </c>
      <c r="C89">
        <v>2022</v>
      </c>
      <c r="D89" t="s">
        <v>243</v>
      </c>
      <c r="E89">
        <v>1</v>
      </c>
      <c r="F89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68.2</v>
      </c>
      <c r="G89" s="13">
        <f>Table26[[#This Row],[Holocellulose]]</f>
        <v>68.2</v>
      </c>
      <c r="K89" s="13">
        <v>3.6</v>
      </c>
      <c r="M89" s="13">
        <v>16.3</v>
      </c>
      <c r="N89" s="13">
        <v>2.7</v>
      </c>
      <c r="O8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88.1</v>
      </c>
      <c r="P89" s="13">
        <v>68.2</v>
      </c>
      <c r="Q89" s="13">
        <v>6.8</v>
      </c>
      <c r="AB89" s="13">
        <v>45.6</v>
      </c>
      <c r="AC89" s="13">
        <v>6.3</v>
      </c>
      <c r="AD89" s="13">
        <v>44.7</v>
      </c>
      <c r="AE89" s="13">
        <v>0.6</v>
      </c>
      <c r="AF89" s="13">
        <v>0.1</v>
      </c>
      <c r="AH89" s="13">
        <v>14.8</v>
      </c>
      <c r="AI89" s="13">
        <v>0.02</v>
      </c>
      <c r="AJ89" s="13">
        <v>1</v>
      </c>
      <c r="AK89" s="13">
        <v>8</v>
      </c>
      <c r="AL89" s="13">
        <f>Table26[[#This Row],[Solids (g)]]/(Table26[[#This Row],[Solids (g)]]+Table26[[#This Row],[Water mL]])*100</f>
        <v>11.111111111111111</v>
      </c>
      <c r="AO89" s="13">
        <v>4</v>
      </c>
      <c r="AP89" s="13">
        <v>1.0449999999999999</v>
      </c>
      <c r="AT89" s="13">
        <f>LN(25/Table26[[#This Row],[Temperature (C)]]/(1-SQRT((Table26[[#This Row],[Temperature (C)]]-5)/Table26[[#This Row],[Temperature (C)]])))/Table26[[#This Row],[b]]</f>
        <v>2.1997287638373173</v>
      </c>
      <c r="AU89" s="13">
        <f>IF(Table26[[#This Row],[b]]&lt;&gt;"",Table26[[#This Row],[T-5]], 0)</f>
        <v>2.1997287638373173</v>
      </c>
      <c r="AV89" s="13">
        <f>Table26[[#This Row],[Holding Time (min)]]+Table26[[#This Row],[Heating time]]</f>
        <v>2.1997287638373173</v>
      </c>
      <c r="AW89" s="13">
        <v>325</v>
      </c>
      <c r="AY89" t="s">
        <v>503</v>
      </c>
      <c r="BE89" s="13">
        <v>33</v>
      </c>
      <c r="BI89" s="13">
        <v>70.900000000000006</v>
      </c>
      <c r="BJ89" s="13">
        <v>0.9</v>
      </c>
      <c r="BK89" s="13">
        <v>20.9</v>
      </c>
      <c r="BL89" s="13">
        <v>7.1</v>
      </c>
      <c r="BM89" s="13">
        <v>0.2</v>
      </c>
      <c r="BN89" s="13">
        <v>31</v>
      </c>
      <c r="BQ89" s="13">
        <v>10.137672090112639</v>
      </c>
      <c r="CV89" s="13">
        <v>0</v>
      </c>
    </row>
    <row r="90" spans="1:100" x14ac:dyDescent="0.25">
      <c r="A90" t="s">
        <v>245</v>
      </c>
      <c r="B90" t="s">
        <v>244</v>
      </c>
      <c r="C90">
        <v>2022</v>
      </c>
      <c r="D90" t="s">
        <v>246</v>
      </c>
      <c r="E90">
        <v>1</v>
      </c>
      <c r="F90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61.775000000000006</v>
      </c>
      <c r="G90" s="13">
        <f>Table26[[#This Row],[Holocellulose]]</f>
        <v>61.775000000000006</v>
      </c>
      <c r="K90" s="13">
        <f>0.75*K89+0.25*K93</f>
        <v>6.2750000000000004</v>
      </c>
      <c r="M90" s="13">
        <f>0.75*M89+0.25*M93</f>
        <v>18.25</v>
      </c>
      <c r="N90" s="13">
        <f>0.75*N89+0.25*N93</f>
        <v>6.0500000000000007</v>
      </c>
      <c r="O9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86.300000000000011</v>
      </c>
      <c r="P90" s="13">
        <f>0.75*P89+0.25*P93</f>
        <v>61.775000000000006</v>
      </c>
      <c r="Q90" s="13">
        <f>0.75*Q89+0.25*Q93</f>
        <v>6.1999999999999993</v>
      </c>
      <c r="AB90" s="13">
        <f>0.75*AB89+0.25*AB93</f>
        <v>45.300000000000004</v>
      </c>
      <c r="AC90" s="13">
        <f>0.75*AC89+0.25*AC93</f>
        <v>6.25</v>
      </c>
      <c r="AD90" s="13">
        <f>0.75*AD89+0.25*AD93</f>
        <v>41.175000000000004</v>
      </c>
      <c r="AE90" s="13">
        <f>0.75*AE89+0.25*AE93</f>
        <v>1.0249999999999999</v>
      </c>
      <c r="AF90" s="13">
        <f>0.75*AF89+0.25*AF93</f>
        <v>0.2</v>
      </c>
      <c r="AH90" s="13">
        <f>0.75*AH89+0.25*AH93</f>
        <v>18.75</v>
      </c>
      <c r="AI90" s="13">
        <v>0.02</v>
      </c>
      <c r="AJ90" s="13">
        <v>1</v>
      </c>
      <c r="AK90" s="13">
        <v>8</v>
      </c>
      <c r="AL90" s="13">
        <f>Table26[[#This Row],[Solids (g)]]/(Table26[[#This Row],[Solids (g)]]+Table26[[#This Row],[Water mL]])*100</f>
        <v>11.111111111111111</v>
      </c>
      <c r="AO90" s="13">
        <v>4</v>
      </c>
      <c r="AP90" s="13">
        <v>1.0449999999999999</v>
      </c>
      <c r="AT90" s="13">
        <f>LN(25/Table26[[#This Row],[Temperature (C)]]/(1-SQRT((Table26[[#This Row],[Temperature (C)]]-5)/Table26[[#This Row],[Temperature (C)]])))/Table26[[#This Row],[b]]</f>
        <v>2.1997287638373173</v>
      </c>
      <c r="AU90" s="13">
        <f>IF(Table26[[#This Row],[b]]&lt;&gt;"",Table26[[#This Row],[T-5]], 0)</f>
        <v>2.1997287638373173</v>
      </c>
      <c r="AV90" s="13">
        <f>Table26[[#This Row],[Holding Time (min)]]+Table26[[#This Row],[Heating time]]</f>
        <v>2.1997287638373173</v>
      </c>
      <c r="AW90" s="13">
        <v>325</v>
      </c>
      <c r="AY90" t="s">
        <v>503</v>
      </c>
      <c r="BE90" s="13">
        <v>51.6</v>
      </c>
      <c r="BI90" s="13">
        <v>70.3</v>
      </c>
      <c r="BJ90" s="13">
        <v>1.8</v>
      </c>
      <c r="BK90" s="13">
        <v>20.100000000000001</v>
      </c>
      <c r="BL90" s="13">
        <v>7.6</v>
      </c>
      <c r="BM90" s="13">
        <v>0.2</v>
      </c>
      <c r="BN90" s="13">
        <v>31.4</v>
      </c>
      <c r="BQ90" s="13">
        <v>10.16260162601626</v>
      </c>
      <c r="CV90" s="13">
        <v>0</v>
      </c>
    </row>
    <row r="91" spans="1:100" x14ac:dyDescent="0.25">
      <c r="A91" t="s">
        <v>245</v>
      </c>
      <c r="B91" t="s">
        <v>244</v>
      </c>
      <c r="C91">
        <v>2022</v>
      </c>
      <c r="D91" t="s">
        <v>247</v>
      </c>
      <c r="E91">
        <v>1</v>
      </c>
      <c r="F91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55.35</v>
      </c>
      <c r="G91" s="13">
        <f>Table26[[#This Row],[Holocellulose]]</f>
        <v>55.35</v>
      </c>
      <c r="K91" s="13">
        <f>0.5*K89+0.5*K93</f>
        <v>8.9500000000000011</v>
      </c>
      <c r="M91" s="13">
        <f>0.5*M89+0.5*M93</f>
        <v>20.200000000000003</v>
      </c>
      <c r="N91" s="13">
        <f>0.5*N89+0.5*N93</f>
        <v>9.4</v>
      </c>
      <c r="O9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84.5</v>
      </c>
      <c r="P91" s="13">
        <f>0.5*P89+0.5*P93</f>
        <v>55.35</v>
      </c>
      <c r="Q91" s="13">
        <f>0.5*Q89+0.5*Q93</f>
        <v>5.6</v>
      </c>
      <c r="AB91" s="13">
        <f>0.5*AB89+0.5*AB93</f>
        <v>45</v>
      </c>
      <c r="AC91" s="13">
        <f>0.5*AC89+0.5*AC93</f>
        <v>6.1999999999999993</v>
      </c>
      <c r="AD91" s="13">
        <f>0.5*AD89+0.5*AD93</f>
        <v>37.650000000000006</v>
      </c>
      <c r="AE91" s="13">
        <f>0.5*AE89+0.5*AE93</f>
        <v>1.45</v>
      </c>
      <c r="AF91" s="13">
        <f>0.5*AF89+0.5*AF93</f>
        <v>0.3</v>
      </c>
      <c r="AH91" s="13">
        <f>0.5*AH89+0.5*AH93</f>
        <v>22.700000000000003</v>
      </c>
      <c r="AI91" s="13">
        <v>0.02</v>
      </c>
      <c r="AJ91" s="13">
        <v>1</v>
      </c>
      <c r="AK91" s="13">
        <v>8</v>
      </c>
      <c r="AL91" s="13">
        <f>Table26[[#This Row],[Solids (g)]]/(Table26[[#This Row],[Solids (g)]]+Table26[[#This Row],[Water mL]])*100</f>
        <v>11.111111111111111</v>
      </c>
      <c r="AO91" s="13">
        <v>4</v>
      </c>
      <c r="AP91" s="13">
        <v>1.0449999999999999</v>
      </c>
      <c r="AT91" s="13">
        <f>LN(25/Table26[[#This Row],[Temperature (C)]]/(1-SQRT((Table26[[#This Row],[Temperature (C)]]-5)/Table26[[#This Row],[Temperature (C)]])))/Table26[[#This Row],[b]]</f>
        <v>2.1997287638373173</v>
      </c>
      <c r="AU91" s="13">
        <f>IF(Table26[[#This Row],[b]]&lt;&gt;"",Table26[[#This Row],[T-5]], 0)</f>
        <v>2.1997287638373173</v>
      </c>
      <c r="AV91" s="13">
        <f>Table26[[#This Row],[Holding Time (min)]]+Table26[[#This Row],[Heating time]]</f>
        <v>2.1997287638373173</v>
      </c>
      <c r="AW91" s="13">
        <v>325</v>
      </c>
      <c r="AY91" t="s">
        <v>503</v>
      </c>
      <c r="BE91" s="13">
        <v>49.3</v>
      </c>
      <c r="BI91" s="13">
        <v>65.400000000000006</v>
      </c>
      <c r="BJ91" s="13">
        <v>2.2999999999999998</v>
      </c>
      <c r="BK91" s="13">
        <v>24.1</v>
      </c>
      <c r="BL91" s="13">
        <v>7.8</v>
      </c>
      <c r="BM91" s="13">
        <v>0.4</v>
      </c>
      <c r="BN91" s="13">
        <v>29.5</v>
      </c>
      <c r="BQ91" s="13">
        <v>9.3314763231197784</v>
      </c>
      <c r="CV91" s="13">
        <v>0</v>
      </c>
    </row>
    <row r="92" spans="1:100" x14ac:dyDescent="0.25">
      <c r="A92" t="s">
        <v>245</v>
      </c>
      <c r="B92" t="s">
        <v>244</v>
      </c>
      <c r="C92">
        <v>2022</v>
      </c>
      <c r="D92" t="s">
        <v>248</v>
      </c>
      <c r="E92">
        <v>1</v>
      </c>
      <c r="F92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48.924999999999997</v>
      </c>
      <c r="G92" s="13">
        <f>Table26[[#This Row],[Holocellulose]]</f>
        <v>48.924999999999997</v>
      </c>
      <c r="K92" s="13">
        <f>0.25*K89+0.75*K93</f>
        <v>11.625000000000002</v>
      </c>
      <c r="M92" s="13">
        <f>0.25*M89+0.75*M93</f>
        <v>22.150000000000002</v>
      </c>
      <c r="N92" s="13">
        <f>0.25*N89+0.75*N93</f>
        <v>12.750000000000002</v>
      </c>
      <c r="O9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82.7</v>
      </c>
      <c r="P92" s="13">
        <f>0.25*P89+0.75*P93</f>
        <v>48.924999999999997</v>
      </c>
      <c r="Q92" s="13">
        <f>0.25*Q89+0.75*Q93</f>
        <v>5</v>
      </c>
      <c r="AB92" s="13">
        <f>0.25*AB89+0.75*AB93</f>
        <v>44.699999999999996</v>
      </c>
      <c r="AC92" s="13">
        <f>0.25*AC89+0.75*AC93</f>
        <v>6.1499999999999995</v>
      </c>
      <c r="AD92" s="13">
        <f>0.25*AD89+0.75*AD93</f>
        <v>34.125</v>
      </c>
      <c r="AE92" s="13">
        <f>0.25*AE89+0.75*AE93</f>
        <v>1.8749999999999998</v>
      </c>
      <c r="AF92" s="13">
        <f>0.25*AF89+0.75*AF93</f>
        <v>0.4</v>
      </c>
      <c r="AH92" s="13">
        <f>0.25*AH89+0.75*AH93</f>
        <v>26.650000000000002</v>
      </c>
      <c r="AI92" s="13">
        <v>0.02</v>
      </c>
      <c r="AJ92" s="13">
        <v>1</v>
      </c>
      <c r="AK92" s="13">
        <v>8</v>
      </c>
      <c r="AL92" s="13">
        <f>Table26[[#This Row],[Solids (g)]]/(Table26[[#This Row],[Solids (g)]]+Table26[[#This Row],[Water mL]])*100</f>
        <v>11.111111111111111</v>
      </c>
      <c r="AO92" s="13">
        <v>4</v>
      </c>
      <c r="AP92" s="13">
        <v>1.0449999999999999</v>
      </c>
      <c r="AT92" s="13">
        <f>LN(25/Table26[[#This Row],[Temperature (C)]]/(1-SQRT((Table26[[#This Row],[Temperature (C)]]-5)/Table26[[#This Row],[Temperature (C)]])))/Table26[[#This Row],[b]]</f>
        <v>2.1997287638373173</v>
      </c>
      <c r="AU92" s="13">
        <f>IF(Table26[[#This Row],[b]]&lt;&gt;"",Table26[[#This Row],[T-5]], 0)</f>
        <v>2.1997287638373173</v>
      </c>
      <c r="AV92" s="13">
        <f>Table26[[#This Row],[Holding Time (min)]]+Table26[[#This Row],[Heating time]]</f>
        <v>2.1997287638373173</v>
      </c>
      <c r="AW92" s="13">
        <v>325</v>
      </c>
      <c r="AY92" t="s">
        <v>503</v>
      </c>
      <c r="BE92" s="13">
        <v>52.4</v>
      </c>
      <c r="BI92" s="13">
        <v>69.599999999999994</v>
      </c>
      <c r="BJ92" s="13">
        <v>2.9</v>
      </c>
      <c r="BK92" s="13">
        <v>18.399999999999999</v>
      </c>
      <c r="BL92" s="13">
        <v>8.1999999999999993</v>
      </c>
      <c r="BM92" s="13">
        <v>0.8</v>
      </c>
      <c r="BN92" s="13">
        <v>32.200000000000003</v>
      </c>
      <c r="BQ92" s="13">
        <v>10.027100271002711</v>
      </c>
      <c r="CV92" s="13">
        <v>0</v>
      </c>
    </row>
    <row r="93" spans="1:100" x14ac:dyDescent="0.25">
      <c r="A93" t="s">
        <v>245</v>
      </c>
      <c r="B93" t="s">
        <v>244</v>
      </c>
      <c r="C93">
        <v>2022</v>
      </c>
      <c r="D93" t="s">
        <v>242</v>
      </c>
      <c r="E93">
        <v>1</v>
      </c>
      <c r="F93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42.5</v>
      </c>
      <c r="G93" s="13">
        <f>Table26[[#This Row],[Holocellulose]]</f>
        <v>42.5</v>
      </c>
      <c r="K93" s="13">
        <v>14.3</v>
      </c>
      <c r="M93" s="13">
        <v>24.1</v>
      </c>
      <c r="N93" s="13">
        <v>16.100000000000001</v>
      </c>
      <c r="O9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80.900000000000006</v>
      </c>
      <c r="P93" s="13">
        <v>42.5</v>
      </c>
      <c r="Q93" s="13">
        <v>4.4000000000000004</v>
      </c>
      <c r="AB93" s="13">
        <v>44.4</v>
      </c>
      <c r="AC93" s="13">
        <v>6.1</v>
      </c>
      <c r="AD93" s="13">
        <v>30.6</v>
      </c>
      <c r="AE93" s="13">
        <v>2.2999999999999998</v>
      </c>
      <c r="AF93" s="13">
        <v>0.5</v>
      </c>
      <c r="AH93" s="13">
        <v>30.6</v>
      </c>
      <c r="AI93" s="13">
        <v>0.02</v>
      </c>
      <c r="AJ93" s="13">
        <v>1</v>
      </c>
      <c r="AK93" s="13">
        <v>8</v>
      </c>
      <c r="AL93" s="13">
        <f>Table26[[#This Row],[Solids (g)]]/(Table26[[#This Row],[Solids (g)]]+Table26[[#This Row],[Water mL]])*100</f>
        <v>11.111111111111111</v>
      </c>
      <c r="AO93" s="13">
        <v>4</v>
      </c>
      <c r="AP93" s="13">
        <v>1.0449999999999999</v>
      </c>
      <c r="AT93" s="13">
        <f>LN(25/Table26[[#This Row],[Temperature (C)]]/(1-SQRT((Table26[[#This Row],[Temperature (C)]]-5)/Table26[[#This Row],[Temperature (C)]])))/Table26[[#This Row],[b]]</f>
        <v>2.1997287638373173</v>
      </c>
      <c r="AU93" s="13">
        <f>IF(Table26[[#This Row],[b]]&lt;&gt;"",Table26[[#This Row],[T-5]], 0)</f>
        <v>2.1997287638373173</v>
      </c>
      <c r="AV93" s="13">
        <f>Table26[[#This Row],[Holding Time (min)]]+Table26[[#This Row],[Heating time]]</f>
        <v>2.1997287638373173</v>
      </c>
      <c r="AW93" s="13">
        <v>325</v>
      </c>
      <c r="AY93" t="s">
        <v>503</v>
      </c>
      <c r="BE93" s="13">
        <v>50.5</v>
      </c>
      <c r="BI93" s="13">
        <v>65.599999999999994</v>
      </c>
      <c r="BJ93" s="13">
        <v>3</v>
      </c>
      <c r="BK93" s="13">
        <v>22.4</v>
      </c>
      <c r="BL93" s="13">
        <v>8.1999999999999993</v>
      </c>
      <c r="BM93" s="13">
        <v>0.7</v>
      </c>
      <c r="BN93" s="13">
        <v>30.2</v>
      </c>
      <c r="BQ93" s="13">
        <v>10.068965517241379</v>
      </c>
      <c r="CV93" s="13">
        <v>0</v>
      </c>
    </row>
    <row r="94" spans="1:100" x14ac:dyDescent="0.25">
      <c r="A94" t="s">
        <v>245</v>
      </c>
      <c r="B94" t="s">
        <v>244</v>
      </c>
      <c r="C94">
        <v>2022</v>
      </c>
      <c r="D94" t="s">
        <v>243</v>
      </c>
      <c r="E94">
        <v>1</v>
      </c>
      <c r="F94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68.2</v>
      </c>
      <c r="G94" s="13">
        <f>Table26[[#This Row],[Holocellulose]]</f>
        <v>68.2</v>
      </c>
      <c r="K94" s="13">
        <v>3.6</v>
      </c>
      <c r="M94" s="13">
        <v>16.3</v>
      </c>
      <c r="N94" s="13">
        <v>2.7</v>
      </c>
      <c r="O9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88.1</v>
      </c>
      <c r="P94" s="13">
        <v>68.2</v>
      </c>
      <c r="Q94" s="13">
        <v>6.8</v>
      </c>
      <c r="AB94" s="13">
        <v>45.6</v>
      </c>
      <c r="AC94" s="13">
        <v>6.3</v>
      </c>
      <c r="AD94" s="13">
        <v>44.7</v>
      </c>
      <c r="AE94" s="13">
        <v>0.6</v>
      </c>
      <c r="AF94" s="13">
        <v>0.1</v>
      </c>
      <c r="AH94" s="13">
        <v>14.8</v>
      </c>
      <c r="AI94" s="13">
        <v>0.02</v>
      </c>
      <c r="AJ94" s="13">
        <v>1</v>
      </c>
      <c r="AK94" s="13">
        <v>8</v>
      </c>
      <c r="AL94" s="13">
        <f>Table26[[#This Row],[Solids (g)]]/(Table26[[#This Row],[Solids (g)]]+Table26[[#This Row],[Water mL]])*100</f>
        <v>11.111111111111111</v>
      </c>
      <c r="AO94" s="13">
        <v>4</v>
      </c>
      <c r="AP94" s="13">
        <v>1.0449999999999999</v>
      </c>
      <c r="AT94" s="13">
        <f>LN(25/Table26[[#This Row],[Temperature (C)]]/(1-SQRT((Table26[[#This Row],[Temperature (C)]]-5)/Table26[[#This Row],[Temperature (C)]])))/Table26[[#This Row],[b]]</f>
        <v>2.1999946205595688</v>
      </c>
      <c r="AU94" s="13">
        <f>IF(Table26[[#This Row],[b]]&lt;&gt;"",Table26[[#This Row],[T-5]], 0)</f>
        <v>2.1999946205595688</v>
      </c>
      <c r="AV94" s="13">
        <f>Table26[[#This Row],[Holding Time (min)]]+Table26[[#This Row],[Heating time]]</f>
        <v>2.1999946205595688</v>
      </c>
      <c r="AW94" s="13">
        <v>350</v>
      </c>
      <c r="AY94" t="s">
        <v>503</v>
      </c>
      <c r="BE94" s="13">
        <v>35.700000000000003</v>
      </c>
      <c r="BI94" s="13">
        <v>72.599999999999994</v>
      </c>
      <c r="BJ94" s="13">
        <v>1.1000000000000001</v>
      </c>
      <c r="BK94" s="13">
        <v>17.7</v>
      </c>
      <c r="BL94" s="13">
        <v>8.5</v>
      </c>
      <c r="BM94" s="13">
        <v>0.1</v>
      </c>
      <c r="BN94" s="13">
        <v>33.5</v>
      </c>
      <c r="BQ94" s="13" t="s">
        <v>506</v>
      </c>
      <c r="CV94" s="13">
        <v>0</v>
      </c>
    </row>
    <row r="95" spans="1:100" x14ac:dyDescent="0.25">
      <c r="A95" t="s">
        <v>245</v>
      </c>
      <c r="B95" t="s">
        <v>244</v>
      </c>
      <c r="C95">
        <v>2022</v>
      </c>
      <c r="D95" t="s">
        <v>246</v>
      </c>
      <c r="E95">
        <v>1</v>
      </c>
      <c r="F95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61.775000000000006</v>
      </c>
      <c r="G95" s="13">
        <f>Table26[[#This Row],[Holocellulose]]</f>
        <v>61.775000000000006</v>
      </c>
      <c r="K95" s="13">
        <f>0.75*K94+0.25*K98</f>
        <v>6.2750000000000004</v>
      </c>
      <c r="M95" s="13">
        <f>0.75*M94+0.25*M98</f>
        <v>18.25</v>
      </c>
      <c r="N95" s="13">
        <f>0.75*N94+0.25*N98</f>
        <v>6.0500000000000007</v>
      </c>
      <c r="O9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86.300000000000011</v>
      </c>
      <c r="P95" s="13">
        <f>0.75*P94+0.25*P98</f>
        <v>61.775000000000006</v>
      </c>
      <c r="Q95" s="13">
        <f>0.75*Q94+0.25*Q98</f>
        <v>6.1999999999999993</v>
      </c>
      <c r="AB95" s="13">
        <f>0.75*AB94+0.25*AB98</f>
        <v>45.300000000000004</v>
      </c>
      <c r="AC95" s="13">
        <f>0.75*AC94+0.25*AC98</f>
        <v>6.25</v>
      </c>
      <c r="AD95" s="13">
        <f>0.75*AD94+0.25*AD98</f>
        <v>41.175000000000004</v>
      </c>
      <c r="AE95" s="13">
        <f>0.75*AE94+0.25*AE98</f>
        <v>1.0249999999999999</v>
      </c>
      <c r="AF95" s="13">
        <f>0.75*AF94+0.25*AF98</f>
        <v>0.2</v>
      </c>
      <c r="AH95" s="13">
        <f>0.75*AH94+0.25*AH98</f>
        <v>18.75</v>
      </c>
      <c r="AI95" s="13">
        <v>0.02</v>
      </c>
      <c r="AJ95" s="13">
        <v>1</v>
      </c>
      <c r="AK95" s="13">
        <v>8</v>
      </c>
      <c r="AL95" s="13">
        <f>Table26[[#This Row],[Solids (g)]]/(Table26[[#This Row],[Solids (g)]]+Table26[[#This Row],[Water mL]])*100</f>
        <v>11.111111111111111</v>
      </c>
      <c r="AO95" s="13">
        <v>4</v>
      </c>
      <c r="AP95" s="13">
        <v>1.0449999999999999</v>
      </c>
      <c r="AT95" s="13">
        <f>LN(25/Table26[[#This Row],[Temperature (C)]]/(1-SQRT((Table26[[#This Row],[Temperature (C)]]-5)/Table26[[#This Row],[Temperature (C)]])))/Table26[[#This Row],[b]]</f>
        <v>2.1999946205595688</v>
      </c>
      <c r="AU95" s="13">
        <f>IF(Table26[[#This Row],[b]]&lt;&gt;"",Table26[[#This Row],[T-5]], 0)</f>
        <v>2.1999946205595688</v>
      </c>
      <c r="AV95" s="13">
        <f>Table26[[#This Row],[Holding Time (min)]]+Table26[[#This Row],[Heating time]]</f>
        <v>2.1999946205595688</v>
      </c>
      <c r="AW95" s="13">
        <v>350</v>
      </c>
      <c r="AY95" t="s">
        <v>503</v>
      </c>
      <c r="BE95" s="13">
        <v>35.899999999999991</v>
      </c>
      <c r="BI95" s="13">
        <v>69.400000000000006</v>
      </c>
      <c r="BJ95" s="13">
        <v>1.8</v>
      </c>
      <c r="BK95" s="13">
        <v>20.3</v>
      </c>
      <c r="BL95" s="13">
        <v>8.1999999999999993</v>
      </c>
      <c r="BM95" s="13">
        <v>0.4</v>
      </c>
      <c r="BN95" s="13">
        <v>31.7</v>
      </c>
      <c r="BQ95" s="13" t="s">
        <v>506</v>
      </c>
      <c r="CV95" s="13">
        <v>0</v>
      </c>
    </row>
    <row r="96" spans="1:100" x14ac:dyDescent="0.25">
      <c r="A96" t="s">
        <v>245</v>
      </c>
      <c r="B96" t="s">
        <v>244</v>
      </c>
      <c r="C96">
        <v>2022</v>
      </c>
      <c r="D96" t="s">
        <v>247</v>
      </c>
      <c r="E96">
        <v>1</v>
      </c>
      <c r="F96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55.35</v>
      </c>
      <c r="G96" s="13">
        <f>Table26[[#This Row],[Holocellulose]]</f>
        <v>55.35</v>
      </c>
      <c r="K96" s="13">
        <f>0.5*K94+0.5*K98</f>
        <v>8.9500000000000011</v>
      </c>
      <c r="M96" s="13">
        <f>0.5*M94+0.5*M98</f>
        <v>20.200000000000003</v>
      </c>
      <c r="N96" s="13">
        <f>0.5*N94+0.5*N98</f>
        <v>9.4</v>
      </c>
      <c r="O9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84.5</v>
      </c>
      <c r="P96" s="13">
        <f>0.5*P94+0.5*P98</f>
        <v>55.35</v>
      </c>
      <c r="Q96" s="13">
        <f>0.5*Q94+0.5*Q98</f>
        <v>5.6</v>
      </c>
      <c r="AB96" s="13">
        <f>0.5*AB94+0.5*AB98</f>
        <v>45</v>
      </c>
      <c r="AC96" s="13">
        <f>0.5*AC94+0.5*AC98</f>
        <v>6.1999999999999993</v>
      </c>
      <c r="AD96" s="13">
        <f>0.5*AD94+0.5*AD98</f>
        <v>37.650000000000006</v>
      </c>
      <c r="AE96" s="13">
        <f>0.5*AE94+0.5*AE98</f>
        <v>1.45</v>
      </c>
      <c r="AF96" s="13">
        <f>0.5*AF94+0.5*AF98</f>
        <v>0.3</v>
      </c>
      <c r="AH96" s="13">
        <f>0.5*AH94+0.5*AH98</f>
        <v>22.700000000000003</v>
      </c>
      <c r="AI96" s="13">
        <v>0.02</v>
      </c>
      <c r="AJ96" s="13">
        <v>1</v>
      </c>
      <c r="AK96" s="13">
        <v>8</v>
      </c>
      <c r="AL96" s="13">
        <f>Table26[[#This Row],[Solids (g)]]/(Table26[[#This Row],[Solids (g)]]+Table26[[#This Row],[Water mL]])*100</f>
        <v>11.111111111111111</v>
      </c>
      <c r="AO96" s="13">
        <v>4</v>
      </c>
      <c r="AP96" s="13">
        <v>1.0449999999999999</v>
      </c>
      <c r="AT96" s="13">
        <f>LN(25/Table26[[#This Row],[Temperature (C)]]/(1-SQRT((Table26[[#This Row],[Temperature (C)]]-5)/Table26[[#This Row],[Temperature (C)]])))/Table26[[#This Row],[b]]</f>
        <v>2.1999946205595688</v>
      </c>
      <c r="AU96" s="13">
        <f>IF(Table26[[#This Row],[b]]&lt;&gt;"",Table26[[#This Row],[T-5]], 0)</f>
        <v>2.1999946205595688</v>
      </c>
      <c r="AV96" s="13">
        <f>Table26[[#This Row],[Holding Time (min)]]+Table26[[#This Row],[Heating time]]</f>
        <v>2.1999946205595688</v>
      </c>
      <c r="AW96" s="13">
        <v>350</v>
      </c>
      <c r="AY96" t="s">
        <v>503</v>
      </c>
      <c r="BE96" s="13">
        <v>32.300000000000004</v>
      </c>
      <c r="BI96" s="13">
        <v>68.900000000000006</v>
      </c>
      <c r="BJ96" s="13">
        <v>2.6</v>
      </c>
      <c r="BK96" s="13">
        <v>20.3</v>
      </c>
      <c r="BL96" s="13">
        <v>7.9</v>
      </c>
      <c r="BM96" s="13">
        <v>0.3</v>
      </c>
      <c r="BN96" s="13">
        <v>31.2</v>
      </c>
      <c r="BQ96" s="13" t="s">
        <v>506</v>
      </c>
      <c r="CV96" s="13">
        <v>0</v>
      </c>
    </row>
    <row r="97" spans="1:100" x14ac:dyDescent="0.25">
      <c r="A97" t="s">
        <v>245</v>
      </c>
      <c r="B97" t="s">
        <v>244</v>
      </c>
      <c r="C97">
        <v>2022</v>
      </c>
      <c r="D97" t="s">
        <v>248</v>
      </c>
      <c r="E97">
        <v>1</v>
      </c>
      <c r="F9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48.924999999999997</v>
      </c>
      <c r="G97" s="13">
        <f>Table26[[#This Row],[Holocellulose]]</f>
        <v>48.924999999999997</v>
      </c>
      <c r="K97" s="13">
        <f>0.25*K94+0.75*K98</f>
        <v>11.625000000000002</v>
      </c>
      <c r="M97" s="13">
        <f>0.25*M94+0.75*M98</f>
        <v>22.150000000000002</v>
      </c>
      <c r="N97" s="13">
        <f>0.25*N94+0.75*N98</f>
        <v>12.750000000000002</v>
      </c>
      <c r="O9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82.7</v>
      </c>
      <c r="P97" s="13">
        <f>0.25*P94+0.75*P98</f>
        <v>48.924999999999997</v>
      </c>
      <c r="Q97" s="13">
        <f>0.25*Q94+0.75*Q98</f>
        <v>5</v>
      </c>
      <c r="AB97" s="13">
        <f>0.25*AB94+0.75*AB98</f>
        <v>44.699999999999996</v>
      </c>
      <c r="AC97" s="13">
        <f>0.25*AC94+0.75*AC98</f>
        <v>6.1499999999999995</v>
      </c>
      <c r="AD97" s="13">
        <f>0.25*AD94+0.75*AD98</f>
        <v>34.125</v>
      </c>
      <c r="AE97" s="13">
        <f>0.25*AE94+0.75*AE98</f>
        <v>1.8749999999999998</v>
      </c>
      <c r="AF97" s="13">
        <f>0.25*AF94+0.75*AF98</f>
        <v>0.4</v>
      </c>
      <c r="AH97" s="13">
        <f>0.25*AH94+0.75*AH98</f>
        <v>26.650000000000002</v>
      </c>
      <c r="AI97" s="13">
        <v>0.02</v>
      </c>
      <c r="AJ97" s="13">
        <v>1</v>
      </c>
      <c r="AK97" s="13">
        <v>8</v>
      </c>
      <c r="AL97" s="13">
        <f>Table26[[#This Row],[Solids (g)]]/(Table26[[#This Row],[Solids (g)]]+Table26[[#This Row],[Water mL]])*100</f>
        <v>11.111111111111111</v>
      </c>
      <c r="AO97" s="13">
        <v>4</v>
      </c>
      <c r="AP97" s="13">
        <v>1.0449999999999999</v>
      </c>
      <c r="AT97" s="13">
        <f>LN(25/Table26[[#This Row],[Temperature (C)]]/(1-SQRT((Table26[[#This Row],[Temperature (C)]]-5)/Table26[[#This Row],[Temperature (C)]])))/Table26[[#This Row],[b]]</f>
        <v>2.1999946205595688</v>
      </c>
      <c r="AU97" s="13">
        <f>IF(Table26[[#This Row],[b]]&lt;&gt;"",Table26[[#This Row],[T-5]], 0)</f>
        <v>2.1999946205595688</v>
      </c>
      <c r="AV97" s="13">
        <f>Table26[[#This Row],[Holding Time (min)]]+Table26[[#This Row],[Heating time]]</f>
        <v>2.1999946205595688</v>
      </c>
      <c r="AW97" s="13">
        <v>350</v>
      </c>
      <c r="AY97" t="s">
        <v>503</v>
      </c>
      <c r="BE97" s="13">
        <v>34.1</v>
      </c>
      <c r="BI97" s="13">
        <v>65.7</v>
      </c>
      <c r="BJ97" s="13">
        <v>2.9</v>
      </c>
      <c r="BK97" s="13">
        <v>21.7</v>
      </c>
      <c r="BL97" s="13">
        <v>9.1</v>
      </c>
      <c r="BM97" s="13">
        <v>0.6</v>
      </c>
      <c r="BN97" s="13">
        <v>31.3</v>
      </c>
      <c r="BQ97" s="13">
        <v>7.9893475366178439</v>
      </c>
      <c r="CV97" s="13">
        <v>0</v>
      </c>
    </row>
    <row r="98" spans="1:100" x14ac:dyDescent="0.25">
      <c r="A98" t="s">
        <v>245</v>
      </c>
      <c r="B98" t="s">
        <v>244</v>
      </c>
      <c r="C98">
        <v>2022</v>
      </c>
      <c r="D98" t="s">
        <v>242</v>
      </c>
      <c r="E98">
        <v>1</v>
      </c>
      <c r="F98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42.5</v>
      </c>
      <c r="G98" s="13">
        <f>Table26[[#This Row],[Holocellulose]]</f>
        <v>42.5</v>
      </c>
      <c r="K98" s="13">
        <v>14.3</v>
      </c>
      <c r="M98" s="13">
        <v>24.1</v>
      </c>
      <c r="N98" s="13">
        <v>16.100000000000001</v>
      </c>
      <c r="O9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80.900000000000006</v>
      </c>
      <c r="P98" s="13">
        <v>42.5</v>
      </c>
      <c r="Q98" s="13">
        <v>4.4000000000000004</v>
      </c>
      <c r="AB98" s="13">
        <v>44.4</v>
      </c>
      <c r="AC98" s="13">
        <v>6.1</v>
      </c>
      <c r="AD98" s="13">
        <v>30.6</v>
      </c>
      <c r="AE98" s="13">
        <v>2.2999999999999998</v>
      </c>
      <c r="AF98" s="13">
        <v>0.5</v>
      </c>
      <c r="AH98" s="13">
        <v>30.6</v>
      </c>
      <c r="AI98" s="13">
        <v>0.02</v>
      </c>
      <c r="AJ98" s="13">
        <v>1</v>
      </c>
      <c r="AK98" s="13">
        <v>8</v>
      </c>
      <c r="AL98" s="13">
        <f>Table26[[#This Row],[Solids (g)]]/(Table26[[#This Row],[Solids (g)]]+Table26[[#This Row],[Water mL]])*100</f>
        <v>11.111111111111111</v>
      </c>
      <c r="AO98" s="13">
        <v>4</v>
      </c>
      <c r="AP98" s="13">
        <v>1.0449999999999999</v>
      </c>
      <c r="AT98" s="13">
        <f>LN(25/Table26[[#This Row],[Temperature (C)]]/(1-SQRT((Table26[[#This Row],[Temperature (C)]]-5)/Table26[[#This Row],[Temperature (C)]])))/Table26[[#This Row],[b]]</f>
        <v>2.1999946205595688</v>
      </c>
      <c r="AU98" s="13">
        <f>IF(Table26[[#This Row],[b]]&lt;&gt;"",Table26[[#This Row],[T-5]], 0)</f>
        <v>2.1999946205595688</v>
      </c>
      <c r="AV98" s="13">
        <f>Table26[[#This Row],[Holding Time (min)]]+Table26[[#This Row],[Heating time]]</f>
        <v>2.1999946205595688</v>
      </c>
      <c r="AW98" s="13">
        <v>350</v>
      </c>
      <c r="AY98" t="s">
        <v>503</v>
      </c>
      <c r="BE98" s="13">
        <v>26.799999999999997</v>
      </c>
      <c r="BI98" s="13">
        <v>70.7</v>
      </c>
      <c r="BJ98" s="13">
        <v>3.2</v>
      </c>
      <c r="BK98" s="13">
        <v>16.399999999999999</v>
      </c>
      <c r="BL98" s="13">
        <v>8.1999999999999993</v>
      </c>
      <c r="BM98" s="13">
        <v>1.5</v>
      </c>
      <c r="BN98" s="13">
        <v>32.799999999999997</v>
      </c>
      <c r="BQ98" s="13">
        <v>9.2568448500651872</v>
      </c>
      <c r="CV98" s="13">
        <v>0</v>
      </c>
    </row>
    <row r="99" spans="1:100" x14ac:dyDescent="0.25">
      <c r="A99" t="s">
        <v>245</v>
      </c>
      <c r="B99" t="s">
        <v>244</v>
      </c>
      <c r="C99">
        <v>2022</v>
      </c>
      <c r="D99" t="s">
        <v>243</v>
      </c>
      <c r="E99">
        <v>1</v>
      </c>
      <c r="F99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68.2</v>
      </c>
      <c r="G99" s="13">
        <f>Table26[[#This Row],[Holocellulose]]</f>
        <v>68.2</v>
      </c>
      <c r="K99" s="13">
        <v>3.6</v>
      </c>
      <c r="M99" s="13">
        <v>16.3</v>
      </c>
      <c r="N99" s="13">
        <v>2.7</v>
      </c>
      <c r="O9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88.1</v>
      </c>
      <c r="P99" s="13">
        <v>68.2</v>
      </c>
      <c r="Q99" s="13">
        <v>6.8</v>
      </c>
      <c r="AB99" s="13">
        <v>45.6</v>
      </c>
      <c r="AC99" s="13">
        <v>6.3</v>
      </c>
      <c r="AD99" s="13">
        <v>44.7</v>
      </c>
      <c r="AE99" s="13">
        <v>0.6</v>
      </c>
      <c r="AF99" s="13">
        <v>0.1</v>
      </c>
      <c r="AH99" s="13">
        <v>14.8</v>
      </c>
      <c r="AI99" s="13">
        <v>0.02</v>
      </c>
      <c r="AJ99" s="13">
        <v>1</v>
      </c>
      <c r="AK99" s="13">
        <v>8</v>
      </c>
      <c r="AL99" s="13">
        <f>Table26[[#This Row],[Solids (g)]]/(Table26[[#This Row],[Solids (g)]]+Table26[[#This Row],[Water mL]])*100</f>
        <v>11.111111111111111</v>
      </c>
      <c r="AO99" s="13">
        <v>4</v>
      </c>
      <c r="AP99" s="13">
        <v>1.0449999999999999</v>
      </c>
      <c r="AT99" s="13">
        <f>LN(25/Table26[[#This Row],[Temperature (C)]]/(1-SQRT((Table26[[#This Row],[Temperature (C)]]-5)/Table26[[#This Row],[Temperature (C)]])))/Table26[[#This Row],[b]]</f>
        <v>2.2001365626228813</v>
      </c>
      <c r="AU99" s="13">
        <f>IF(Table26[[#This Row],[b]]&lt;&gt;"",Table26[[#This Row],[T-5]], 0)</f>
        <v>2.2001365626228813</v>
      </c>
      <c r="AV99" s="13">
        <f>Table26[[#This Row],[Holding Time (min)]]+Table26[[#This Row],[Heating time]]</f>
        <v>2.2001365626228813</v>
      </c>
      <c r="AW99" s="13">
        <v>365</v>
      </c>
      <c r="AY99" t="s">
        <v>503</v>
      </c>
      <c r="BE99" s="13">
        <v>44.500000000000007</v>
      </c>
      <c r="BI99" s="13">
        <v>70.7</v>
      </c>
      <c r="BJ99" s="13">
        <v>0.9</v>
      </c>
      <c r="BK99" s="13">
        <v>20.9</v>
      </c>
      <c r="BL99" s="13">
        <v>7.1</v>
      </c>
      <c r="BM99" s="13">
        <v>0.3</v>
      </c>
      <c r="BN99" s="13">
        <v>30.9</v>
      </c>
      <c r="BQ99" s="13" t="s">
        <v>506</v>
      </c>
      <c r="CV99" s="13">
        <v>0</v>
      </c>
    </row>
    <row r="100" spans="1:100" x14ac:dyDescent="0.25">
      <c r="A100" t="s">
        <v>245</v>
      </c>
      <c r="B100" t="s">
        <v>244</v>
      </c>
      <c r="C100">
        <v>2022</v>
      </c>
      <c r="D100" t="s">
        <v>246</v>
      </c>
      <c r="E100">
        <v>1</v>
      </c>
      <c r="F100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61.775000000000006</v>
      </c>
      <c r="G100" s="13">
        <f>Table26[[#This Row],[Holocellulose]]</f>
        <v>61.775000000000006</v>
      </c>
      <c r="K100" s="13">
        <f>0.75*K99+0.25*K103</f>
        <v>6.2750000000000004</v>
      </c>
      <c r="M100" s="13">
        <f>0.75*M99+0.25*M103</f>
        <v>18.25</v>
      </c>
      <c r="N100" s="13">
        <f>0.75*N99+0.25*N103</f>
        <v>6.0500000000000007</v>
      </c>
      <c r="O10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86.300000000000011</v>
      </c>
      <c r="P100" s="13">
        <f>0.75*P99+0.25*P103</f>
        <v>61.775000000000006</v>
      </c>
      <c r="Q100" s="13">
        <f>0.75*Q99+0.25*Q103</f>
        <v>6.1999999999999993</v>
      </c>
      <c r="AB100" s="13">
        <f>0.75*AB99+0.25*AB103</f>
        <v>45.300000000000004</v>
      </c>
      <c r="AC100" s="13">
        <f>0.75*AC99+0.25*AC103</f>
        <v>6.25</v>
      </c>
      <c r="AD100" s="13">
        <f>0.75*AD99+0.25*AD103</f>
        <v>41.175000000000004</v>
      </c>
      <c r="AE100" s="13">
        <f>0.75*AE99+0.25*AE103</f>
        <v>1.0249999999999999</v>
      </c>
      <c r="AF100" s="13">
        <f>0.75*AF99+0.25*AF103</f>
        <v>0.2</v>
      </c>
      <c r="AH100" s="13">
        <f>0.75*AH99+0.25*AH103</f>
        <v>18.75</v>
      </c>
      <c r="AI100" s="13">
        <v>0.02</v>
      </c>
      <c r="AJ100" s="13">
        <v>1</v>
      </c>
      <c r="AK100" s="13">
        <v>8</v>
      </c>
      <c r="AL100" s="13">
        <f>Table26[[#This Row],[Solids (g)]]/(Table26[[#This Row],[Solids (g)]]+Table26[[#This Row],[Water mL]])*100</f>
        <v>11.111111111111111</v>
      </c>
      <c r="AO100" s="13">
        <v>4</v>
      </c>
      <c r="AP100" s="13">
        <v>1.0449999999999999</v>
      </c>
      <c r="AT100" s="13">
        <f>LN(25/Table26[[#This Row],[Temperature (C)]]/(1-SQRT((Table26[[#This Row],[Temperature (C)]]-5)/Table26[[#This Row],[Temperature (C)]])))/Table26[[#This Row],[b]]</f>
        <v>2.2001365626228813</v>
      </c>
      <c r="AU100" s="13">
        <f>IF(Table26[[#This Row],[b]]&lt;&gt;"",Table26[[#This Row],[T-5]], 0)</f>
        <v>2.2001365626228813</v>
      </c>
      <c r="AV100" s="13">
        <f>Table26[[#This Row],[Holding Time (min)]]+Table26[[#This Row],[Heating time]]</f>
        <v>2.2001365626228813</v>
      </c>
      <c r="AW100" s="13">
        <v>365</v>
      </c>
      <c r="AY100" t="s">
        <v>503</v>
      </c>
      <c r="BE100" s="13">
        <v>45.5</v>
      </c>
      <c r="BI100" s="13">
        <v>70.099999999999994</v>
      </c>
      <c r="BJ100" s="13">
        <v>1.5</v>
      </c>
      <c r="BK100" s="13">
        <v>20.399999999999999</v>
      </c>
      <c r="BL100" s="13">
        <v>7.6</v>
      </c>
      <c r="BM100" s="13">
        <v>0.4</v>
      </c>
      <c r="BN100" s="13">
        <v>31.3</v>
      </c>
      <c r="BQ100" s="13" t="s">
        <v>506</v>
      </c>
      <c r="CV100" s="13">
        <v>0</v>
      </c>
    </row>
    <row r="101" spans="1:100" x14ac:dyDescent="0.25">
      <c r="A101" t="s">
        <v>245</v>
      </c>
      <c r="B101" t="s">
        <v>244</v>
      </c>
      <c r="C101">
        <v>2022</v>
      </c>
      <c r="D101" t="s">
        <v>247</v>
      </c>
      <c r="E101">
        <v>1</v>
      </c>
      <c r="F101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55.35</v>
      </c>
      <c r="G101" s="13">
        <f>Table26[[#This Row],[Holocellulose]]</f>
        <v>55.35</v>
      </c>
      <c r="K101" s="13">
        <f>0.5*K99+0.5*K103</f>
        <v>8.9500000000000011</v>
      </c>
      <c r="M101" s="13">
        <f>0.5*M99+0.5*M103</f>
        <v>20.200000000000003</v>
      </c>
      <c r="N101" s="13">
        <f>0.5*N99+0.5*N103</f>
        <v>9.4</v>
      </c>
      <c r="O10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84.5</v>
      </c>
      <c r="P101" s="13">
        <f>0.5*P99+0.5*P103</f>
        <v>55.35</v>
      </c>
      <c r="Q101" s="13">
        <f>0.5*Q99+0.5*Q103</f>
        <v>5.6</v>
      </c>
      <c r="AB101" s="13">
        <f>0.5*AB99+0.5*AB103</f>
        <v>45</v>
      </c>
      <c r="AC101" s="13">
        <f>0.5*AC99+0.5*AC103</f>
        <v>6.1999999999999993</v>
      </c>
      <c r="AD101" s="13">
        <f>0.5*AD99+0.5*AD103</f>
        <v>37.650000000000006</v>
      </c>
      <c r="AE101" s="13">
        <f>0.5*AE99+0.5*AE103</f>
        <v>1.45</v>
      </c>
      <c r="AF101" s="13">
        <f>0.5*AF99+0.5*AF103</f>
        <v>0.3</v>
      </c>
      <c r="AH101" s="13">
        <f>0.5*AH99+0.5*AH103</f>
        <v>22.700000000000003</v>
      </c>
      <c r="AI101" s="13">
        <v>0.02</v>
      </c>
      <c r="AJ101" s="13">
        <v>1</v>
      </c>
      <c r="AK101" s="13">
        <v>8</v>
      </c>
      <c r="AL101" s="13">
        <f>Table26[[#This Row],[Solids (g)]]/(Table26[[#This Row],[Solids (g)]]+Table26[[#This Row],[Water mL]])*100</f>
        <v>11.111111111111111</v>
      </c>
      <c r="AO101" s="13">
        <v>4</v>
      </c>
      <c r="AP101" s="13">
        <v>1.0449999999999999</v>
      </c>
      <c r="AT101" s="13">
        <f>LN(25/Table26[[#This Row],[Temperature (C)]]/(1-SQRT((Table26[[#This Row],[Temperature (C)]]-5)/Table26[[#This Row],[Temperature (C)]])))/Table26[[#This Row],[b]]</f>
        <v>2.2001365626228813</v>
      </c>
      <c r="AU101" s="13">
        <f>IF(Table26[[#This Row],[b]]&lt;&gt;"",Table26[[#This Row],[T-5]], 0)</f>
        <v>2.2001365626228813</v>
      </c>
      <c r="AV101" s="13">
        <f>Table26[[#This Row],[Holding Time (min)]]+Table26[[#This Row],[Heating time]]</f>
        <v>2.2001365626228813</v>
      </c>
      <c r="AW101" s="13">
        <v>365</v>
      </c>
      <c r="AY101" t="s">
        <v>503</v>
      </c>
      <c r="BE101" s="13">
        <v>42.600000000000009</v>
      </c>
      <c r="BI101" s="13">
        <v>69.8</v>
      </c>
      <c r="BJ101" s="13">
        <v>2.2000000000000002</v>
      </c>
      <c r="BK101" s="13">
        <v>18.7</v>
      </c>
      <c r="BL101" s="13">
        <v>7.8</v>
      </c>
      <c r="BM101" s="13">
        <v>1.5</v>
      </c>
      <c r="BN101" s="13">
        <v>31.7</v>
      </c>
      <c r="BQ101" s="13" t="s">
        <v>506</v>
      </c>
      <c r="CV101" s="13">
        <v>0</v>
      </c>
    </row>
    <row r="102" spans="1:100" x14ac:dyDescent="0.25">
      <c r="A102" t="s">
        <v>245</v>
      </c>
      <c r="B102" t="s">
        <v>244</v>
      </c>
      <c r="C102">
        <v>2022</v>
      </c>
      <c r="D102" t="s">
        <v>248</v>
      </c>
      <c r="E102">
        <v>1</v>
      </c>
      <c r="F102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48.924999999999997</v>
      </c>
      <c r="G102" s="13">
        <f>Table26[[#This Row],[Holocellulose]]</f>
        <v>48.924999999999997</v>
      </c>
      <c r="K102" s="13">
        <f>0.25*K99+0.75*K103</f>
        <v>11.625000000000002</v>
      </c>
      <c r="M102" s="13">
        <f>0.25*M99+0.75*M103</f>
        <v>22.150000000000002</v>
      </c>
      <c r="N102" s="13">
        <f>0.25*N99+0.75*N103</f>
        <v>12.750000000000002</v>
      </c>
      <c r="O10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82.7</v>
      </c>
      <c r="P102" s="13">
        <f>0.25*P99+0.75*P103</f>
        <v>48.924999999999997</v>
      </c>
      <c r="Q102" s="13">
        <f>0.25*Q99+0.75*Q103</f>
        <v>5</v>
      </c>
      <c r="AB102" s="13">
        <f>0.25*AB99+0.75*AB103</f>
        <v>44.699999999999996</v>
      </c>
      <c r="AC102" s="13">
        <f>0.25*AC99+0.75*AC103</f>
        <v>6.1499999999999995</v>
      </c>
      <c r="AD102" s="13">
        <f>0.25*AD99+0.75*AD103</f>
        <v>34.125</v>
      </c>
      <c r="AE102" s="13">
        <f>0.25*AE99+0.75*AE103</f>
        <v>1.8749999999999998</v>
      </c>
      <c r="AF102" s="13">
        <f>0.25*AF99+0.75*AF103</f>
        <v>0.4</v>
      </c>
      <c r="AH102" s="13">
        <f>0.25*AH99+0.75*AH103</f>
        <v>26.650000000000002</v>
      </c>
      <c r="AI102" s="13">
        <v>0.02</v>
      </c>
      <c r="AJ102" s="13">
        <v>1</v>
      </c>
      <c r="AK102" s="13">
        <v>8</v>
      </c>
      <c r="AL102" s="13">
        <f>Table26[[#This Row],[Solids (g)]]/(Table26[[#This Row],[Solids (g)]]+Table26[[#This Row],[Water mL]])*100</f>
        <v>11.111111111111111</v>
      </c>
      <c r="AO102" s="13">
        <v>4</v>
      </c>
      <c r="AP102" s="13">
        <v>1.0449999999999999</v>
      </c>
      <c r="AT102" s="13">
        <f>LN(25/Table26[[#This Row],[Temperature (C)]]/(1-SQRT((Table26[[#This Row],[Temperature (C)]]-5)/Table26[[#This Row],[Temperature (C)]])))/Table26[[#This Row],[b]]</f>
        <v>2.2001365626228813</v>
      </c>
      <c r="AU102" s="13">
        <f>IF(Table26[[#This Row],[b]]&lt;&gt;"",Table26[[#This Row],[T-5]], 0)</f>
        <v>2.2001365626228813</v>
      </c>
      <c r="AV102" s="13">
        <f>Table26[[#This Row],[Holding Time (min)]]+Table26[[#This Row],[Heating time]]</f>
        <v>2.2001365626228813</v>
      </c>
      <c r="AW102" s="13">
        <v>365</v>
      </c>
      <c r="AY102" t="s">
        <v>503</v>
      </c>
      <c r="BE102" s="13">
        <v>43.8</v>
      </c>
      <c r="BI102" s="13">
        <v>72.400000000000006</v>
      </c>
      <c r="BJ102" s="13">
        <v>2.7</v>
      </c>
      <c r="BK102" s="13">
        <v>15.4</v>
      </c>
      <c r="BL102" s="13">
        <v>8.1999999999999993</v>
      </c>
      <c r="BM102" s="13">
        <v>1.3</v>
      </c>
      <c r="BN102" s="13">
        <v>33.4</v>
      </c>
      <c r="BQ102" s="13">
        <v>8.0901856763925721</v>
      </c>
      <c r="CV102" s="13">
        <v>0</v>
      </c>
    </row>
    <row r="103" spans="1:100" x14ac:dyDescent="0.25">
      <c r="A103" t="s">
        <v>245</v>
      </c>
      <c r="B103" t="s">
        <v>244</v>
      </c>
      <c r="C103">
        <v>2022</v>
      </c>
      <c r="D103" t="s">
        <v>242</v>
      </c>
      <c r="E103">
        <v>1</v>
      </c>
      <c r="F103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42.5</v>
      </c>
      <c r="G103" s="13">
        <f>Table26[[#This Row],[Holocellulose]]</f>
        <v>42.5</v>
      </c>
      <c r="K103" s="13">
        <v>14.3</v>
      </c>
      <c r="M103" s="13">
        <v>24.1</v>
      </c>
      <c r="N103" s="13">
        <v>16.100000000000001</v>
      </c>
      <c r="O10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80.900000000000006</v>
      </c>
      <c r="P103" s="13">
        <v>42.5</v>
      </c>
      <c r="Q103" s="13">
        <v>4.4000000000000004</v>
      </c>
      <c r="AB103" s="13">
        <v>44.4</v>
      </c>
      <c r="AC103" s="13">
        <v>6.1</v>
      </c>
      <c r="AD103" s="13">
        <v>30.6</v>
      </c>
      <c r="AE103" s="13">
        <v>2.2999999999999998</v>
      </c>
      <c r="AF103" s="13">
        <v>0.5</v>
      </c>
      <c r="AH103" s="13">
        <v>30.6</v>
      </c>
      <c r="AI103" s="13">
        <v>0.02</v>
      </c>
      <c r="AJ103" s="13">
        <v>1</v>
      </c>
      <c r="AK103" s="13">
        <v>8</v>
      </c>
      <c r="AL103" s="13">
        <f>Table26[[#This Row],[Solids (g)]]/(Table26[[#This Row],[Solids (g)]]+Table26[[#This Row],[Water mL]])*100</f>
        <v>11.111111111111111</v>
      </c>
      <c r="AO103" s="13">
        <v>4</v>
      </c>
      <c r="AP103" s="13">
        <v>1.0449999999999999</v>
      </c>
      <c r="AT103" s="13">
        <f>LN(25/Table26[[#This Row],[Temperature (C)]]/(1-SQRT((Table26[[#This Row],[Temperature (C)]]-5)/Table26[[#This Row],[Temperature (C)]])))/Table26[[#This Row],[b]]</f>
        <v>2.2001365626228813</v>
      </c>
      <c r="AU103" s="13">
        <f>IF(Table26[[#This Row],[b]]&lt;&gt;"",Table26[[#This Row],[T-5]], 0)</f>
        <v>2.2001365626228813</v>
      </c>
      <c r="AV103" s="13">
        <f>Table26[[#This Row],[Holding Time (min)]]+Table26[[#This Row],[Heating time]]</f>
        <v>2.2001365626228813</v>
      </c>
      <c r="AW103" s="13">
        <v>365</v>
      </c>
      <c r="AY103" t="s">
        <v>503</v>
      </c>
      <c r="BE103" s="13">
        <v>36.5</v>
      </c>
      <c r="BI103" s="13">
        <v>73.2</v>
      </c>
      <c r="BJ103" s="13">
        <v>2.9</v>
      </c>
      <c r="BK103" s="13">
        <v>14.6</v>
      </c>
      <c r="BL103" s="13">
        <v>8.4</v>
      </c>
      <c r="BM103" s="13">
        <v>0.9</v>
      </c>
      <c r="BN103" s="13">
        <v>33.9</v>
      </c>
      <c r="BQ103" s="13" t="s">
        <v>506</v>
      </c>
      <c r="CV103" s="13">
        <v>0</v>
      </c>
    </row>
    <row r="104" spans="1:100" x14ac:dyDescent="0.25">
      <c r="A104" t="s">
        <v>249</v>
      </c>
      <c r="B104" t="s">
        <v>250</v>
      </c>
      <c r="C104">
        <v>2022</v>
      </c>
      <c r="D104" t="s">
        <v>251</v>
      </c>
      <c r="E104">
        <v>1</v>
      </c>
      <c r="F104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104" s="13">
        <v>49.1</v>
      </c>
      <c r="O104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104" s="13">
        <v>1.6</v>
      </c>
      <c r="AB104" s="13">
        <v>45.66</v>
      </c>
      <c r="AC104" s="13">
        <v>7.02</v>
      </c>
      <c r="AD104" s="13">
        <v>38.64</v>
      </c>
      <c r="AE104" s="13">
        <v>6.7</v>
      </c>
      <c r="AF104" s="13">
        <v>1.98</v>
      </c>
      <c r="AH104" s="13">
        <v>18.8</v>
      </c>
      <c r="AI104" s="13">
        <v>4.8999999999999998E-3</v>
      </c>
      <c r="AJ104" s="13">
        <v>0.26200000000000001</v>
      </c>
      <c r="AK104" s="13">
        <v>2.62</v>
      </c>
      <c r="AL104" s="13">
        <f>Table26[[#This Row],[Solids (g)]]/(Table26[[#This Row],[Solids (g)]]+Table26[[#This Row],[Water mL]])*100</f>
        <v>9.0909090909090917</v>
      </c>
      <c r="AS104" s="13">
        <v>40</v>
      </c>
      <c r="AT104" s="13" t="e">
        <f>LN(25/Table26[[#This Row],[Temperature (C)]]/(1-SQRT((Table26[[#This Row],[Temperature (C)]]-5)/Table26[[#This Row],[Temperature (C)]])))/Table26[[#This Row],[b]]</f>
        <v>#DIV/0!</v>
      </c>
      <c r="AU104" s="13">
        <f>IF(Table26[[#This Row],[b]]&lt;&gt;"",Table26[[#This Row],[T-5]], 0)</f>
        <v>0</v>
      </c>
      <c r="AV104" s="13">
        <f>Table26[[#This Row],[Holding Time (min)]]+Table26[[#This Row],[Heating time]]</f>
        <v>40</v>
      </c>
      <c r="AW104" s="13">
        <v>200</v>
      </c>
      <c r="AY104" t="s">
        <v>503</v>
      </c>
      <c r="AZ104" s="13">
        <v>31.542625169147399</v>
      </c>
      <c r="BA104" s="13">
        <v>6.6305818673883499</v>
      </c>
      <c r="BB104" s="13">
        <v>63.274695534506002</v>
      </c>
      <c r="BE104" s="13">
        <v>45.5</v>
      </c>
      <c r="BI104" s="13">
        <v>69.349999999999994</v>
      </c>
      <c r="BJ104" s="13">
        <v>9.69</v>
      </c>
      <c r="BK104" s="13">
        <v>17.010000000000002</v>
      </c>
      <c r="BL104" s="13">
        <v>2.58</v>
      </c>
      <c r="BM104" s="13">
        <v>1.37</v>
      </c>
      <c r="BN104" s="13">
        <v>34.4</v>
      </c>
      <c r="BP104" s="13">
        <v>21.3</v>
      </c>
      <c r="BQ104" s="13" t="s">
        <v>506</v>
      </c>
      <c r="CV104" s="13">
        <v>0</v>
      </c>
    </row>
    <row r="105" spans="1:100" x14ac:dyDescent="0.25">
      <c r="A105" t="s">
        <v>249</v>
      </c>
      <c r="B105" t="s">
        <v>250</v>
      </c>
      <c r="C105">
        <v>2022</v>
      </c>
      <c r="D105" t="s">
        <v>251</v>
      </c>
      <c r="E105">
        <v>1</v>
      </c>
      <c r="F105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105" s="13">
        <v>49.1</v>
      </c>
      <c r="O105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105" s="13">
        <v>1.6</v>
      </c>
      <c r="AB105" s="13">
        <v>45.66</v>
      </c>
      <c r="AC105" s="13">
        <v>7.02</v>
      </c>
      <c r="AD105" s="13">
        <v>38.64</v>
      </c>
      <c r="AE105" s="13">
        <v>6.7</v>
      </c>
      <c r="AF105" s="13">
        <v>1.98</v>
      </c>
      <c r="AH105" s="13">
        <v>18.8</v>
      </c>
      <c r="AI105" s="13">
        <v>4.8999999999999998E-3</v>
      </c>
      <c r="AJ105" s="13">
        <v>0.26200000000000001</v>
      </c>
      <c r="AK105" s="13">
        <v>2.62</v>
      </c>
      <c r="AL105" s="13">
        <f>Table26[[#This Row],[Solids (g)]]/(Table26[[#This Row],[Solids (g)]]+Table26[[#This Row],[Water mL]])*100</f>
        <v>9.0909090909090917</v>
      </c>
      <c r="AS105" s="13">
        <v>40</v>
      </c>
      <c r="AT105" s="13" t="e">
        <f>LN(25/Table26[[#This Row],[Temperature (C)]]/(1-SQRT((Table26[[#This Row],[Temperature (C)]]-5)/Table26[[#This Row],[Temperature (C)]])))/Table26[[#This Row],[b]]</f>
        <v>#DIV/0!</v>
      </c>
      <c r="AU105" s="13">
        <f>IF(Table26[[#This Row],[b]]&lt;&gt;"",Table26[[#This Row],[T-5]], 0)</f>
        <v>0</v>
      </c>
      <c r="AV105" s="13">
        <f>Table26[[#This Row],[Holding Time (min)]]+Table26[[#This Row],[Heating time]]</f>
        <v>40</v>
      </c>
      <c r="AW105" s="13">
        <v>300</v>
      </c>
      <c r="AY105" t="s">
        <v>503</v>
      </c>
      <c r="AZ105" s="13">
        <v>11.556156968876801</v>
      </c>
      <c r="BA105" s="13">
        <v>25.859269282814601</v>
      </c>
      <c r="BB105" s="13">
        <v>63.843031123139298</v>
      </c>
      <c r="BE105" s="13">
        <v>42.900000000000006</v>
      </c>
      <c r="BI105" s="13">
        <v>71.709999999999994</v>
      </c>
      <c r="BJ105" s="13">
        <v>9.1300000000000008</v>
      </c>
      <c r="BK105" s="13">
        <v>12.15</v>
      </c>
      <c r="BL105" s="13">
        <v>5.25</v>
      </c>
      <c r="BM105" s="13">
        <v>1.76</v>
      </c>
      <c r="BN105" s="13">
        <v>35.299999999999997</v>
      </c>
      <c r="BP105" s="13">
        <v>50.2</v>
      </c>
      <c r="BQ105" s="13" t="s">
        <v>506</v>
      </c>
      <c r="CV105" s="13">
        <v>0</v>
      </c>
    </row>
    <row r="106" spans="1:100" x14ac:dyDescent="0.25">
      <c r="A106" t="s">
        <v>249</v>
      </c>
      <c r="B106" t="s">
        <v>250</v>
      </c>
      <c r="C106">
        <v>2022</v>
      </c>
      <c r="D106" t="s">
        <v>251</v>
      </c>
      <c r="E106">
        <v>1</v>
      </c>
      <c r="F106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106" s="13">
        <v>49.1</v>
      </c>
      <c r="O106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106" s="13">
        <v>1.6</v>
      </c>
      <c r="AB106" s="13">
        <v>45.66</v>
      </c>
      <c r="AC106" s="13">
        <v>7.02</v>
      </c>
      <c r="AD106" s="13">
        <v>38.64</v>
      </c>
      <c r="AE106" s="13">
        <v>6.7</v>
      </c>
      <c r="AF106" s="13">
        <v>1.98</v>
      </c>
      <c r="AH106" s="13">
        <v>18.8</v>
      </c>
      <c r="AI106" s="13">
        <v>4.8999999999999998E-3</v>
      </c>
      <c r="AJ106" s="13">
        <v>0.26200000000000001</v>
      </c>
      <c r="AK106" s="13">
        <v>2.62</v>
      </c>
      <c r="AL106" s="13">
        <f>Table26[[#This Row],[Solids (g)]]/(Table26[[#This Row],[Solids (g)]]+Table26[[#This Row],[Water mL]])*100</f>
        <v>9.0909090909090917</v>
      </c>
      <c r="AS106" s="13">
        <v>40</v>
      </c>
      <c r="AT106" s="13" t="e">
        <f>LN(25/Table26[[#This Row],[Temperature (C)]]/(1-SQRT((Table26[[#This Row],[Temperature (C)]]-5)/Table26[[#This Row],[Temperature (C)]])))/Table26[[#This Row],[b]]</f>
        <v>#DIV/0!</v>
      </c>
      <c r="AU106" s="13">
        <f>IF(Table26[[#This Row],[b]]&lt;&gt;"",Table26[[#This Row],[T-5]], 0)</f>
        <v>0</v>
      </c>
      <c r="AV106" s="13">
        <f>Table26[[#This Row],[Holding Time (min)]]+Table26[[#This Row],[Heating time]]</f>
        <v>40</v>
      </c>
      <c r="AW106" s="13">
        <v>350</v>
      </c>
      <c r="AY106" t="s">
        <v>503</v>
      </c>
      <c r="AZ106" s="13">
        <v>1.23139377537212</v>
      </c>
      <c r="BA106" s="13">
        <v>20.5548037889039</v>
      </c>
      <c r="BB106" s="13">
        <v>62.9905277401894</v>
      </c>
      <c r="BC106" s="13">
        <f>100-SUM(Table26[[#This Row],[Solids wt%]:[Aquous wt%]])</f>
        <v>15.223274695534585</v>
      </c>
      <c r="BE106" s="13">
        <v>40.9</v>
      </c>
      <c r="BI106" s="13">
        <v>73.75</v>
      </c>
      <c r="BJ106" s="13">
        <v>9.07</v>
      </c>
      <c r="BK106" s="13">
        <v>10.17</v>
      </c>
      <c r="BL106" s="13">
        <v>5.13</v>
      </c>
      <c r="BM106" s="13">
        <v>1.89</v>
      </c>
      <c r="BN106" s="13">
        <v>36.200000000000003</v>
      </c>
      <c r="BP106" s="13">
        <v>52.2</v>
      </c>
      <c r="BQ106" s="13" t="s">
        <v>506</v>
      </c>
      <c r="CV106" s="13">
        <v>0</v>
      </c>
    </row>
    <row r="107" spans="1:100" x14ac:dyDescent="0.25">
      <c r="A107" t="s">
        <v>249</v>
      </c>
      <c r="B107" t="s">
        <v>250</v>
      </c>
      <c r="C107">
        <v>2022</v>
      </c>
      <c r="D107" t="s">
        <v>251</v>
      </c>
      <c r="E107">
        <v>1</v>
      </c>
      <c r="F107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107" s="13">
        <v>49.1</v>
      </c>
      <c r="O107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107" s="13">
        <v>1.6</v>
      </c>
      <c r="AB107" s="13">
        <v>45.66</v>
      </c>
      <c r="AC107" s="13">
        <v>7.02</v>
      </c>
      <c r="AD107" s="13">
        <v>38.64</v>
      </c>
      <c r="AE107" s="13">
        <v>6.7</v>
      </c>
      <c r="AF107" s="13">
        <v>1.98</v>
      </c>
      <c r="AH107" s="13">
        <v>18.8</v>
      </c>
      <c r="AI107" s="13">
        <v>4.8999999999999998E-3</v>
      </c>
      <c r="AJ107" s="13">
        <v>0.26200000000000001</v>
      </c>
      <c r="AK107" s="13">
        <v>2.62</v>
      </c>
      <c r="AL107" s="13">
        <f>Table26[[#This Row],[Solids (g)]]/(Table26[[#This Row],[Solids (g)]]+Table26[[#This Row],[Water mL]])*100</f>
        <v>9.0909090909090917</v>
      </c>
      <c r="AS107" s="13">
        <v>20</v>
      </c>
      <c r="AT107" s="13" t="e">
        <f>LN(25/Table26[[#This Row],[Temperature (C)]]/(1-SQRT((Table26[[#This Row],[Temperature (C)]]-5)/Table26[[#This Row],[Temperature (C)]])))/Table26[[#This Row],[b]]</f>
        <v>#DIV/0!</v>
      </c>
      <c r="AU107" s="13">
        <f>IF(Table26[[#This Row],[b]]&lt;&gt;"",Table26[[#This Row],[T-5]], 0)</f>
        <v>0</v>
      </c>
      <c r="AV107" s="13">
        <f>Table26[[#This Row],[Holding Time (min)]]+Table26[[#This Row],[Heating time]]</f>
        <v>20</v>
      </c>
      <c r="AW107" s="13">
        <v>350</v>
      </c>
      <c r="AY107" t="s">
        <v>503</v>
      </c>
      <c r="AZ107" s="13">
        <v>2.3680649526386999</v>
      </c>
      <c r="BA107" s="13">
        <v>19.133964817320599</v>
      </c>
      <c r="BB107" s="13">
        <v>63.3694181326116</v>
      </c>
      <c r="BC107" s="13">
        <f>100-SUM(Table26[[#This Row],[Solids wt%]:[Aquous wt%]])</f>
        <v>15.128552097429093</v>
      </c>
      <c r="BE107" s="13">
        <v>40</v>
      </c>
      <c r="BI107" s="13">
        <v>73.58</v>
      </c>
      <c r="BJ107" s="13">
        <v>9.14</v>
      </c>
      <c r="BK107" s="13">
        <v>10.49</v>
      </c>
      <c r="BL107" s="13">
        <v>5.07</v>
      </c>
      <c r="BM107" s="13">
        <v>1.73</v>
      </c>
      <c r="BN107" s="13">
        <v>36.200000000000003</v>
      </c>
      <c r="BP107" s="13">
        <v>48.9</v>
      </c>
      <c r="BQ107" s="13">
        <v>7.7127659574468082</v>
      </c>
      <c r="CV107" s="13">
        <v>0</v>
      </c>
    </row>
    <row r="108" spans="1:100" x14ac:dyDescent="0.25">
      <c r="A108" t="s">
        <v>249</v>
      </c>
      <c r="B108" t="s">
        <v>250</v>
      </c>
      <c r="C108">
        <v>2022</v>
      </c>
      <c r="D108" t="s">
        <v>251</v>
      </c>
      <c r="E108">
        <v>1</v>
      </c>
      <c r="F108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108" s="13">
        <v>49.1</v>
      </c>
      <c r="O108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108" s="13">
        <v>1.6</v>
      </c>
      <c r="AB108" s="13">
        <v>45.66</v>
      </c>
      <c r="AC108" s="13">
        <v>7.02</v>
      </c>
      <c r="AD108" s="13">
        <v>38.64</v>
      </c>
      <c r="AE108" s="13">
        <v>6.7</v>
      </c>
      <c r="AF108" s="13">
        <v>1.98</v>
      </c>
      <c r="AH108" s="13">
        <v>18.8</v>
      </c>
      <c r="AI108" s="13">
        <v>4.8999999999999998E-3</v>
      </c>
      <c r="AJ108" s="13">
        <v>0.26200000000000001</v>
      </c>
      <c r="AK108" s="13">
        <v>2.62</v>
      </c>
      <c r="AL108" s="13">
        <f>Table26[[#This Row],[Solids (g)]]/(Table26[[#This Row],[Solids (g)]]+Table26[[#This Row],[Water mL]])*100</f>
        <v>9.0909090909090917</v>
      </c>
      <c r="AS108" s="13">
        <v>50</v>
      </c>
      <c r="AT108" s="13" t="e">
        <f>LN(25/Table26[[#This Row],[Temperature (C)]]/(1-SQRT((Table26[[#This Row],[Temperature (C)]]-5)/Table26[[#This Row],[Temperature (C)]])))/Table26[[#This Row],[b]]</f>
        <v>#DIV/0!</v>
      </c>
      <c r="AU108" s="13">
        <f>IF(Table26[[#This Row],[b]]&lt;&gt;"",Table26[[#This Row],[T-5]], 0)</f>
        <v>0</v>
      </c>
      <c r="AV108" s="13">
        <f>Table26[[#This Row],[Holding Time (min)]]+Table26[[#This Row],[Heating time]]</f>
        <v>50</v>
      </c>
      <c r="AW108" s="13">
        <v>350</v>
      </c>
      <c r="AY108" t="s">
        <v>503</v>
      </c>
      <c r="AZ108" s="13">
        <v>1.5155615696887701</v>
      </c>
      <c r="BA108" s="13">
        <v>19.418132611637301</v>
      </c>
      <c r="BB108" s="13">
        <v>62.138024357239502</v>
      </c>
      <c r="BC108" s="13">
        <f>100-SUM(Table26[[#This Row],[Solids wt%]:[Aquous wt%]])</f>
        <v>16.928281461434423</v>
      </c>
      <c r="BE108" s="13">
        <v>32.5</v>
      </c>
      <c r="BI108" s="13">
        <v>73.41</v>
      </c>
      <c r="BJ108" s="13">
        <v>8.94</v>
      </c>
      <c r="BK108" s="13">
        <v>10.199999999999999</v>
      </c>
      <c r="BL108" s="13">
        <v>5.14</v>
      </c>
      <c r="BM108" s="13">
        <v>2.3199999999999998</v>
      </c>
      <c r="BN108" s="13">
        <v>36</v>
      </c>
      <c r="BP108" s="13">
        <v>48.8</v>
      </c>
      <c r="BQ108" s="13" t="s">
        <v>506</v>
      </c>
      <c r="CV108" s="13">
        <v>0</v>
      </c>
    </row>
    <row r="109" spans="1:100" x14ac:dyDescent="0.25">
      <c r="A109" t="s">
        <v>254</v>
      </c>
      <c r="B109" t="s">
        <v>255</v>
      </c>
      <c r="C109">
        <v>2019</v>
      </c>
      <c r="D109" t="s">
        <v>256</v>
      </c>
      <c r="E109">
        <v>1</v>
      </c>
      <c r="F109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109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AI109" s="13">
        <v>0.15</v>
      </c>
      <c r="AJ109" s="13">
        <v>4</v>
      </c>
      <c r="AK109" s="13">
        <v>40</v>
      </c>
      <c r="AL109" s="13">
        <f>Table26[[#This Row],[Solids (g)]]/(Table26[[#This Row],[Solids (g)]]+Table26[[#This Row],[Water mL]])*100</f>
        <v>9.0909090909090917</v>
      </c>
      <c r="AS109" s="13">
        <v>30</v>
      </c>
      <c r="AT109" s="13" t="e">
        <f>LN(25/Table26[[#This Row],[Temperature (C)]]/(1-SQRT((Table26[[#This Row],[Temperature (C)]]-5)/Table26[[#This Row],[Temperature (C)]])))/Table26[[#This Row],[b]]</f>
        <v>#DIV/0!</v>
      </c>
      <c r="AU109" s="13">
        <f>IF(Table26[[#This Row],[b]]&lt;&gt;"",Table26[[#This Row],[T-5]], 0)</f>
        <v>0</v>
      </c>
      <c r="AV109" s="13">
        <f>Table26[[#This Row],[Holding Time (min)]]+Table26[[#This Row],[Heating time]]</f>
        <v>30</v>
      </c>
      <c r="AW109" s="13">
        <v>260</v>
      </c>
      <c r="AY109" t="s">
        <v>503</v>
      </c>
      <c r="AZ109" s="13">
        <v>37.4581939799331</v>
      </c>
      <c r="BA109" s="13">
        <f>Table26[[#This Row],[Light Biocrude wt%]]+Table26[[#This Row],[Heavy Biocrude wt%]]</f>
        <v>29.765886287625406</v>
      </c>
      <c r="BE109" s="13">
        <v>44.900000000000006</v>
      </c>
      <c r="BF109" s="13">
        <v>8.9186176142698059</v>
      </c>
      <c r="BG109" s="13">
        <v>20.8472686733556</v>
      </c>
      <c r="BH109" s="13">
        <v>32.775919732441494</v>
      </c>
      <c r="BQ109" s="13" t="s">
        <v>506</v>
      </c>
      <c r="BR109" s="13">
        <v>51.95</v>
      </c>
      <c r="BS109" s="13">
        <v>5.08</v>
      </c>
      <c r="BT109" s="13">
        <v>42.7</v>
      </c>
      <c r="BU109" s="13">
        <v>0.15</v>
      </c>
      <c r="BW109" s="13">
        <v>17.21</v>
      </c>
      <c r="BX109" s="13">
        <v>66.510000000000005</v>
      </c>
      <c r="BY109" s="13">
        <v>5.74</v>
      </c>
      <c r="BZ109" s="13">
        <v>26.06</v>
      </c>
      <c r="CA109" s="13">
        <v>0.09</v>
      </c>
      <c r="CC109" s="13">
        <v>26.03</v>
      </c>
      <c r="CV109" s="13">
        <v>0</v>
      </c>
    </row>
    <row r="110" spans="1:100" x14ac:dyDescent="0.25">
      <c r="A110" t="s">
        <v>254</v>
      </c>
      <c r="B110" t="s">
        <v>255</v>
      </c>
      <c r="C110">
        <v>2019</v>
      </c>
      <c r="D110" t="s">
        <v>256</v>
      </c>
      <c r="E110">
        <v>1</v>
      </c>
      <c r="F110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110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AI110" s="13">
        <v>0.15</v>
      </c>
      <c r="AJ110" s="13">
        <v>4</v>
      </c>
      <c r="AK110" s="13">
        <v>40</v>
      </c>
      <c r="AL110" s="13">
        <f>Table26[[#This Row],[Solids (g)]]/(Table26[[#This Row],[Solids (g)]]+Table26[[#This Row],[Water mL]])*100</f>
        <v>9.0909090909090917</v>
      </c>
      <c r="AS110" s="13">
        <v>30</v>
      </c>
      <c r="AT110" s="13" t="e">
        <f>LN(25/Table26[[#This Row],[Temperature (C)]]/(1-SQRT((Table26[[#This Row],[Temperature (C)]]-5)/Table26[[#This Row],[Temperature (C)]])))/Table26[[#This Row],[b]]</f>
        <v>#DIV/0!</v>
      </c>
      <c r="AU110" s="13">
        <f>IF(Table26[[#This Row],[b]]&lt;&gt;"",Table26[[#This Row],[T-5]], 0)</f>
        <v>0</v>
      </c>
      <c r="AV110" s="13">
        <f>Table26[[#This Row],[Holding Time (min)]]+Table26[[#This Row],[Heating time]]</f>
        <v>30</v>
      </c>
      <c r="AW110" s="13">
        <v>280</v>
      </c>
      <c r="AY110" t="s">
        <v>503</v>
      </c>
      <c r="AZ110" s="13">
        <v>35.785953177257497</v>
      </c>
      <c r="BA110" s="13">
        <f>Table26[[#This Row],[Light Biocrude wt%]]+Table26[[#This Row],[Heavy Biocrude wt%]]</f>
        <v>29.542920847268704</v>
      </c>
      <c r="BE110" s="13">
        <v>43.400000000000006</v>
      </c>
      <c r="BF110" s="13">
        <v>8.3612040133779999</v>
      </c>
      <c r="BG110" s="13">
        <v>21.181716833890704</v>
      </c>
      <c r="BH110" s="13">
        <v>34.671125975473799</v>
      </c>
      <c r="BQ110" s="13" t="s">
        <v>506</v>
      </c>
      <c r="BR110" s="13">
        <v>51.4</v>
      </c>
      <c r="BS110" s="13">
        <v>5.35</v>
      </c>
      <c r="BT110" s="13">
        <v>43.25</v>
      </c>
      <c r="BU110" s="13">
        <v>0.11</v>
      </c>
      <c r="BW110" s="13">
        <v>17.22</v>
      </c>
      <c r="BX110" s="13">
        <v>64.8</v>
      </c>
      <c r="BY110" s="13">
        <v>5.35</v>
      </c>
      <c r="BZ110" s="13">
        <v>27.65</v>
      </c>
      <c r="CA110" s="13">
        <v>0.18</v>
      </c>
      <c r="CC110" s="13">
        <v>24.62</v>
      </c>
      <c r="CV110" s="13">
        <v>0</v>
      </c>
    </row>
    <row r="111" spans="1:100" x14ac:dyDescent="0.25">
      <c r="A111" t="s">
        <v>254</v>
      </c>
      <c r="B111" t="s">
        <v>255</v>
      </c>
      <c r="C111">
        <v>2019</v>
      </c>
      <c r="D111" t="s">
        <v>256</v>
      </c>
      <c r="E111">
        <v>1</v>
      </c>
      <c r="F111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111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AI111" s="13">
        <v>0.15</v>
      </c>
      <c r="AJ111" s="13">
        <v>4</v>
      </c>
      <c r="AK111" s="13">
        <v>40</v>
      </c>
      <c r="AL111" s="13">
        <f>Table26[[#This Row],[Solids (g)]]/(Table26[[#This Row],[Solids (g)]]+Table26[[#This Row],[Water mL]])*100</f>
        <v>9.0909090909090917</v>
      </c>
      <c r="AS111" s="13">
        <v>30</v>
      </c>
      <c r="AT111" s="13" t="e">
        <f>LN(25/Table26[[#This Row],[Temperature (C)]]/(1-SQRT((Table26[[#This Row],[Temperature (C)]]-5)/Table26[[#This Row],[Temperature (C)]])))/Table26[[#This Row],[b]]</f>
        <v>#DIV/0!</v>
      </c>
      <c r="AU111" s="13">
        <f>IF(Table26[[#This Row],[b]]&lt;&gt;"",Table26[[#This Row],[T-5]], 0)</f>
        <v>0</v>
      </c>
      <c r="AV111" s="13">
        <f>Table26[[#This Row],[Holding Time (min)]]+Table26[[#This Row],[Heating time]]</f>
        <v>30</v>
      </c>
      <c r="AW111" s="13">
        <v>300</v>
      </c>
      <c r="AY111" t="s">
        <v>503</v>
      </c>
      <c r="AZ111" s="13">
        <v>36.7892976588628</v>
      </c>
      <c r="BA111" s="13">
        <f>Table26[[#This Row],[Light Biocrude wt%]]+Table26[[#This Row],[Heavy Biocrude wt%]]</f>
        <v>30.100334448160602</v>
      </c>
      <c r="BE111" s="13">
        <v>40.799999999999997</v>
      </c>
      <c r="BF111" s="13">
        <v>9.5875139353400058</v>
      </c>
      <c r="BG111" s="13">
        <v>20.512820512820596</v>
      </c>
      <c r="BH111" s="13">
        <v>33.110367892976598</v>
      </c>
      <c r="BQ111" s="13" t="s">
        <v>506</v>
      </c>
      <c r="BR111" s="13">
        <v>51.01</v>
      </c>
      <c r="BS111" s="13">
        <v>4.22</v>
      </c>
      <c r="BT111" s="13">
        <v>44.55</v>
      </c>
      <c r="BU111" s="13">
        <v>0.05</v>
      </c>
      <c r="BW111" s="13">
        <v>15.34</v>
      </c>
      <c r="BX111" s="13">
        <v>66.400000000000006</v>
      </c>
      <c r="BY111" s="13">
        <v>5.61</v>
      </c>
      <c r="BZ111" s="13">
        <v>28.74</v>
      </c>
      <c r="CA111" s="13">
        <v>0.16</v>
      </c>
      <c r="CC111" s="13">
        <v>25.33</v>
      </c>
      <c r="CV111" s="13">
        <v>0</v>
      </c>
    </row>
    <row r="112" spans="1:100" x14ac:dyDescent="0.25">
      <c r="A112" t="s">
        <v>254</v>
      </c>
      <c r="B112" t="s">
        <v>255</v>
      </c>
      <c r="C112">
        <v>2019</v>
      </c>
      <c r="D112" t="s">
        <v>256</v>
      </c>
      <c r="E112">
        <v>1</v>
      </c>
      <c r="F112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112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AI112" s="13">
        <v>0.15</v>
      </c>
      <c r="AJ112" s="13">
        <v>4</v>
      </c>
      <c r="AK112" s="13">
        <v>40</v>
      </c>
      <c r="AL112" s="13">
        <f>Table26[[#This Row],[Solids (g)]]/(Table26[[#This Row],[Solids (g)]]+Table26[[#This Row],[Water mL]])*100</f>
        <v>9.0909090909090917</v>
      </c>
      <c r="AS112" s="13">
        <v>30</v>
      </c>
      <c r="AT112" s="13" t="e">
        <f>LN(25/Table26[[#This Row],[Temperature (C)]]/(1-SQRT((Table26[[#This Row],[Temperature (C)]]-5)/Table26[[#This Row],[Temperature (C)]])))/Table26[[#This Row],[b]]</f>
        <v>#DIV/0!</v>
      </c>
      <c r="AU112" s="13">
        <f>IF(Table26[[#This Row],[b]]&lt;&gt;"",Table26[[#This Row],[T-5]], 0)</f>
        <v>0</v>
      </c>
      <c r="AV112" s="13">
        <f>Table26[[#This Row],[Holding Time (min)]]+Table26[[#This Row],[Heating time]]</f>
        <v>30</v>
      </c>
      <c r="AW112" s="13">
        <v>320</v>
      </c>
      <c r="AY112" t="s">
        <v>503</v>
      </c>
      <c r="AZ112" s="13">
        <v>36.1204013377926</v>
      </c>
      <c r="BA112" s="13">
        <f>Table26[[#This Row],[Light Biocrude wt%]]+Table26[[#This Row],[Heavy Biocrude wt%]]</f>
        <v>26.532887402452602</v>
      </c>
      <c r="BE112" s="13">
        <v>39.4</v>
      </c>
      <c r="BF112" s="13">
        <v>8.3612040133779004</v>
      </c>
      <c r="BG112" s="13">
        <v>18.171683389074701</v>
      </c>
      <c r="BH112" s="13">
        <v>37.346711259754798</v>
      </c>
      <c r="BQ112" s="13">
        <v>7.8212290502793298</v>
      </c>
      <c r="BR112" s="13">
        <v>52.01</v>
      </c>
      <c r="BS112" s="13">
        <v>5.22</v>
      </c>
      <c r="BT112" s="13">
        <v>42.54</v>
      </c>
      <c r="BU112" s="13">
        <v>0.09</v>
      </c>
      <c r="BW112" s="13">
        <v>17.46</v>
      </c>
      <c r="BX112" s="13">
        <v>67.42</v>
      </c>
      <c r="BY112" s="13">
        <v>6.31</v>
      </c>
      <c r="BZ112" s="13">
        <v>29.8</v>
      </c>
      <c r="CA112" s="13">
        <v>0.26</v>
      </c>
      <c r="CC112" s="13">
        <v>26.48</v>
      </c>
      <c r="CV112" s="13">
        <v>0</v>
      </c>
    </row>
    <row r="113" spans="1:100" ht="15" customHeight="1" x14ac:dyDescent="0.25">
      <c r="A113" t="s">
        <v>260</v>
      </c>
      <c r="B113" t="s">
        <v>216</v>
      </c>
      <c r="C113">
        <v>2020</v>
      </c>
      <c r="D113" t="s">
        <v>258</v>
      </c>
      <c r="E113">
        <v>0</v>
      </c>
      <c r="F113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56.33</v>
      </c>
      <c r="I113" s="13">
        <v>30.81</v>
      </c>
      <c r="J113" s="13">
        <v>25.52</v>
      </c>
      <c r="M113" s="13">
        <v>16.760000000000002</v>
      </c>
      <c r="N113" s="13">
        <v>7</v>
      </c>
      <c r="O11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73.09</v>
      </c>
      <c r="S113" s="13">
        <v>24.5</v>
      </c>
      <c r="T113" s="13">
        <v>68.5</v>
      </c>
      <c r="AB113" s="13">
        <v>44.57</v>
      </c>
      <c r="AC113" s="13">
        <v>5.53</v>
      </c>
      <c r="AD113" s="13">
        <v>33.700000000000003</v>
      </c>
      <c r="AE113" s="13">
        <v>0.93</v>
      </c>
      <c r="AF113" s="13">
        <v>0.1</v>
      </c>
      <c r="AH113" s="13">
        <v>16.96</v>
      </c>
      <c r="AI113" s="13">
        <v>1</v>
      </c>
      <c r="AJ113" s="13">
        <v>150</v>
      </c>
      <c r="AK113" s="13">
        <v>400</v>
      </c>
      <c r="AL113" s="13">
        <f>Table26[[#This Row],[Solids (g)]]/(Table26[[#This Row],[Solids (g)]]+Table26[[#This Row],[Water mL]])*100</f>
        <v>27.27272727272727</v>
      </c>
      <c r="AS113" s="13">
        <v>60</v>
      </c>
      <c r="AT113" s="13" t="e">
        <f>LN(25/Table26[[#This Row],[Temperature (C)]]/(1-SQRT((Table26[[#This Row],[Temperature (C)]]-5)/Table26[[#This Row],[Temperature (C)]])))/Table26[[#This Row],[b]]</f>
        <v>#DIV/0!</v>
      </c>
      <c r="AU113" s="13">
        <f>IF(Table26[[#This Row],[b]]&lt;&gt;"",Table26[[#This Row],[T-5]], 0)</f>
        <v>0</v>
      </c>
      <c r="AV113" s="13">
        <f>Table26[[#This Row],[Holding Time (min)]]</f>
        <v>60</v>
      </c>
      <c r="AW113" s="13">
        <v>320</v>
      </c>
      <c r="AY113" t="s">
        <v>503</v>
      </c>
      <c r="AZ113" s="13">
        <v>35.5</v>
      </c>
      <c r="BA113" s="13">
        <v>7.9</v>
      </c>
      <c r="BB113" s="13">
        <v>40</v>
      </c>
      <c r="BC113" s="13">
        <v>16.5</v>
      </c>
      <c r="BE113" s="13">
        <v>32.4</v>
      </c>
      <c r="BI113" s="13">
        <v>72.430000000000007</v>
      </c>
      <c r="BJ113" s="13">
        <v>7.81</v>
      </c>
      <c r="BK113" s="13">
        <v>13.29</v>
      </c>
      <c r="BL113" s="13">
        <v>0.99</v>
      </c>
      <c r="BM113" s="13">
        <v>0.28000000000000003</v>
      </c>
      <c r="BN113" s="13">
        <v>33.24</v>
      </c>
      <c r="BQ113" s="13" t="s">
        <v>506</v>
      </c>
      <c r="CV113" s="13">
        <v>0</v>
      </c>
    </row>
    <row r="114" spans="1:100" x14ac:dyDescent="0.25">
      <c r="A114" t="s">
        <v>260</v>
      </c>
      <c r="B114" t="s">
        <v>216</v>
      </c>
      <c r="C114">
        <v>2020</v>
      </c>
      <c r="D114" t="s">
        <v>261</v>
      </c>
      <c r="E114">
        <v>0</v>
      </c>
      <c r="F114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56.83</v>
      </c>
      <c r="I114" s="13">
        <v>36.56</v>
      </c>
      <c r="J114" s="13">
        <v>20.27</v>
      </c>
      <c r="M114" s="13">
        <v>18.36</v>
      </c>
      <c r="N114" s="13">
        <v>13.05</v>
      </c>
      <c r="O11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75.19</v>
      </c>
      <c r="S114" s="13">
        <v>21.45</v>
      </c>
      <c r="T114" s="13">
        <v>65.5</v>
      </c>
      <c r="AB114" s="13">
        <v>41.42</v>
      </c>
      <c r="AC114" s="13">
        <v>5.51</v>
      </c>
      <c r="AD114" s="13">
        <v>35.21</v>
      </c>
      <c r="AE114" s="13">
        <v>1.27</v>
      </c>
      <c r="AF114" s="13">
        <v>0.15</v>
      </c>
      <c r="AH114" s="13">
        <v>15.6</v>
      </c>
      <c r="AI114" s="13">
        <v>1</v>
      </c>
      <c r="AJ114" s="13">
        <v>150</v>
      </c>
      <c r="AK114" s="13">
        <v>400</v>
      </c>
      <c r="AL114" s="13">
        <f>Table26[[#This Row],[Solids (g)]]/(Table26[[#This Row],[Solids (g)]]+Table26[[#This Row],[Water mL]])*100</f>
        <v>27.27272727272727</v>
      </c>
      <c r="AS114" s="13">
        <v>60</v>
      </c>
      <c r="AT114" s="13" t="e">
        <f>LN(25/Table26[[#This Row],[Temperature (C)]]/(1-SQRT((Table26[[#This Row],[Temperature (C)]]-5)/Table26[[#This Row],[Temperature (C)]])))/Table26[[#This Row],[b]]</f>
        <v>#DIV/0!</v>
      </c>
      <c r="AU114" s="13">
        <f>IF(Table26[[#This Row],[b]]&lt;&gt;"",Table26[[#This Row],[T-5]], 0)</f>
        <v>0</v>
      </c>
      <c r="AV114" s="13">
        <f>Table26[[#This Row],[Holding Time (min)]]</f>
        <v>60</v>
      </c>
      <c r="AW114" s="13">
        <v>320</v>
      </c>
      <c r="AY114" t="s">
        <v>503</v>
      </c>
      <c r="AZ114" s="13">
        <v>34.4</v>
      </c>
      <c r="BA114" s="13">
        <v>14.7</v>
      </c>
      <c r="BB114" s="13">
        <v>31.1</v>
      </c>
      <c r="BC114" s="13">
        <v>19.899999999999999</v>
      </c>
      <c r="BE114" s="13">
        <v>5.2313883299799002</v>
      </c>
      <c r="BI114" s="13">
        <v>73.16</v>
      </c>
      <c r="BJ114" s="13">
        <v>7.38</v>
      </c>
      <c r="BK114" s="13">
        <v>12.68</v>
      </c>
      <c r="BL114" s="13">
        <v>2.19</v>
      </c>
      <c r="BM114" s="13">
        <v>0.22</v>
      </c>
      <c r="BN114" s="13">
        <v>32.979999999999997</v>
      </c>
      <c r="BQ114" s="13">
        <v>13.165266106442578</v>
      </c>
      <c r="CV114" s="13">
        <v>0</v>
      </c>
    </row>
    <row r="115" spans="1:100" x14ac:dyDescent="0.25">
      <c r="A115" t="s">
        <v>260</v>
      </c>
      <c r="B115" t="s">
        <v>216</v>
      </c>
      <c r="C115">
        <v>2020</v>
      </c>
      <c r="D115" t="s">
        <v>263</v>
      </c>
      <c r="E115">
        <v>0</v>
      </c>
      <c r="F115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77.42</v>
      </c>
      <c r="I115" s="13">
        <v>46.33</v>
      </c>
      <c r="J115" s="13">
        <v>31.09</v>
      </c>
      <c r="M115" s="13">
        <v>10.17</v>
      </c>
      <c r="N115" s="13">
        <v>15.1</v>
      </c>
      <c r="O11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87.59</v>
      </c>
      <c r="S115" s="13">
        <v>20.91</v>
      </c>
      <c r="T115" s="13">
        <v>64</v>
      </c>
      <c r="AB115" s="13">
        <v>41.34</v>
      </c>
      <c r="AC115" s="13">
        <v>5.33</v>
      </c>
      <c r="AD115" s="13">
        <v>34.29</v>
      </c>
      <c r="AE115" s="13">
        <v>1.1200000000000001</v>
      </c>
      <c r="AF115" s="13">
        <v>0.14000000000000001</v>
      </c>
      <c r="AH115" s="13">
        <v>15.48</v>
      </c>
      <c r="AI115" s="13">
        <v>1</v>
      </c>
      <c r="AJ115" s="13">
        <v>150</v>
      </c>
      <c r="AK115" s="13">
        <v>400</v>
      </c>
      <c r="AL115" s="13">
        <f>Table26[[#This Row],[Solids (g)]]/(Table26[[#This Row],[Solids (g)]]+Table26[[#This Row],[Water mL]])*100</f>
        <v>27.27272727272727</v>
      </c>
      <c r="AS115" s="13">
        <v>60</v>
      </c>
      <c r="AT115" s="13" t="e">
        <f>LN(25/Table26[[#This Row],[Temperature (C)]]/(1-SQRT((Table26[[#This Row],[Temperature (C)]]-5)/Table26[[#This Row],[Temperature (C)]])))/Table26[[#This Row],[b]]</f>
        <v>#DIV/0!</v>
      </c>
      <c r="AU115" s="13">
        <f>IF(Table26[[#This Row],[b]]&lt;&gt;"",Table26[[#This Row],[T-5]], 0)</f>
        <v>0</v>
      </c>
      <c r="AV115" s="13">
        <f>Table26[[#This Row],[Holding Time (min)]]</f>
        <v>60</v>
      </c>
      <c r="AW115" s="13">
        <v>320</v>
      </c>
      <c r="AY115" t="s">
        <v>503</v>
      </c>
      <c r="AZ115" s="13">
        <v>31.2</v>
      </c>
      <c r="BA115" s="13">
        <v>15.1</v>
      </c>
      <c r="BB115" s="13">
        <v>34</v>
      </c>
      <c r="BC115" s="13">
        <v>19.7</v>
      </c>
      <c r="BE115" s="13">
        <v>4.8289738430583995</v>
      </c>
      <c r="BI115" s="13">
        <v>72.680000000000007</v>
      </c>
      <c r="BJ115" s="13">
        <v>7.96</v>
      </c>
      <c r="BK115" s="13">
        <v>12.4</v>
      </c>
      <c r="BL115" s="13">
        <v>1.69</v>
      </c>
      <c r="BM115" s="13">
        <v>0.33</v>
      </c>
      <c r="BN115" s="13">
        <v>33.700000000000003</v>
      </c>
      <c r="BQ115" s="13">
        <v>11.78082191780822</v>
      </c>
      <c r="CV115" s="13">
        <v>0</v>
      </c>
    </row>
    <row r="116" spans="1:100" x14ac:dyDescent="0.25">
      <c r="A116" t="s">
        <v>260</v>
      </c>
      <c r="B116" t="s">
        <v>216</v>
      </c>
      <c r="C116">
        <v>2020</v>
      </c>
      <c r="D116" t="s">
        <v>262</v>
      </c>
      <c r="E116">
        <v>0</v>
      </c>
      <c r="F116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64.44</v>
      </c>
      <c r="I116" s="13">
        <v>42.39</v>
      </c>
      <c r="J116" s="13">
        <v>22.05</v>
      </c>
      <c r="M116" s="13">
        <v>18.93</v>
      </c>
      <c r="N116" s="13">
        <v>4.43</v>
      </c>
      <c r="O11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83.37</v>
      </c>
      <c r="S116" s="13">
        <v>22.47</v>
      </c>
      <c r="T116" s="13">
        <v>73.099999999999994</v>
      </c>
      <c r="AB116" s="13">
        <v>45.99</v>
      </c>
      <c r="AC116" s="13">
        <v>6.07</v>
      </c>
      <c r="AD116" s="13">
        <v>39</v>
      </c>
      <c r="AE116" s="13">
        <v>1.38</v>
      </c>
      <c r="AF116" s="13">
        <v>0.11</v>
      </c>
      <c r="AH116" s="13">
        <v>17.260000000000002</v>
      </c>
      <c r="AI116" s="13">
        <v>1</v>
      </c>
      <c r="AJ116" s="13">
        <v>150</v>
      </c>
      <c r="AK116" s="13">
        <v>400</v>
      </c>
      <c r="AL116" s="13">
        <f>Table26[[#This Row],[Solids (g)]]/(Table26[[#This Row],[Solids (g)]]+Table26[[#This Row],[Water mL]])*100</f>
        <v>27.27272727272727</v>
      </c>
      <c r="AS116" s="13">
        <v>60</v>
      </c>
      <c r="AT116" s="13" t="e">
        <f>LN(25/Table26[[#This Row],[Temperature (C)]]/(1-SQRT((Table26[[#This Row],[Temperature (C)]]-5)/Table26[[#This Row],[Temperature (C)]])))/Table26[[#This Row],[b]]</f>
        <v>#DIV/0!</v>
      </c>
      <c r="AU116" s="13">
        <f>IF(Table26[[#This Row],[b]]&lt;&gt;"",Table26[[#This Row],[T-5]], 0)</f>
        <v>0</v>
      </c>
      <c r="AV116" s="13">
        <f>Table26[[#This Row],[Holding Time (min)]]</f>
        <v>60</v>
      </c>
      <c r="AW116" s="13">
        <v>320</v>
      </c>
      <c r="AY116" t="s">
        <v>503</v>
      </c>
      <c r="AZ116" s="13">
        <v>24.5</v>
      </c>
      <c r="BA116" s="13">
        <v>15.8</v>
      </c>
      <c r="BB116" s="13">
        <v>36.799999999999997</v>
      </c>
      <c r="BC116" s="13">
        <v>22.9</v>
      </c>
      <c r="BE116" s="13">
        <v>2.0120724346077008</v>
      </c>
      <c r="BI116" s="13">
        <v>72.28</v>
      </c>
      <c r="BJ116" s="13">
        <v>8.09</v>
      </c>
      <c r="BK116" s="13">
        <v>12.26</v>
      </c>
      <c r="BL116" s="13">
        <v>2.0699999999999998</v>
      </c>
      <c r="BM116" s="13">
        <v>0.24</v>
      </c>
      <c r="BN116" s="13">
        <v>33.78</v>
      </c>
      <c r="BQ116" s="13">
        <v>10.760401721664275</v>
      </c>
      <c r="CV116" s="13">
        <v>0</v>
      </c>
    </row>
    <row r="117" spans="1:100" x14ac:dyDescent="0.25">
      <c r="A117" t="s">
        <v>274</v>
      </c>
      <c r="B117" t="s">
        <v>275</v>
      </c>
      <c r="C117">
        <v>2022</v>
      </c>
      <c r="D117" t="s">
        <v>276</v>
      </c>
      <c r="E117">
        <v>0</v>
      </c>
      <c r="F11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53</v>
      </c>
      <c r="I117" s="13">
        <v>31.4</v>
      </c>
      <c r="J117" s="13">
        <v>21.6</v>
      </c>
      <c r="M117" s="13">
        <v>19.100000000000001</v>
      </c>
      <c r="N117" s="13">
        <v>17.600000000000001</v>
      </c>
      <c r="O11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72.099999999999994</v>
      </c>
      <c r="AB117" s="13">
        <v>36.200000000000003</v>
      </c>
      <c r="AC117" s="13">
        <v>5.2</v>
      </c>
      <c r="AD117" s="13">
        <v>40.299999999999997</v>
      </c>
      <c r="AE117" s="13">
        <v>0.7</v>
      </c>
      <c r="AH117" s="13">
        <v>14.2</v>
      </c>
      <c r="AI117" s="13">
        <v>2</v>
      </c>
      <c r="AJ117" s="13">
        <v>45</v>
      </c>
      <c r="AK117" s="13">
        <v>450</v>
      </c>
      <c r="AL117" s="13">
        <f>Table26[[#This Row],[Solids (g)]]/(Table26[[#This Row],[Solids (g)]]+Table26[[#This Row],[Water mL]])*100</f>
        <v>9.0909090909090917</v>
      </c>
      <c r="AR117" s="13">
        <v>18</v>
      </c>
      <c r="AS117" s="13">
        <v>30</v>
      </c>
      <c r="AT117" s="13" t="e">
        <f>LN(25/Table26[[#This Row],[Temperature (C)]]/(1-SQRT((Table26[[#This Row],[Temperature (C)]]-5)/Table26[[#This Row],[Temperature (C)]])))/Table26[[#This Row],[b]]</f>
        <v>#DIV/0!</v>
      </c>
      <c r="AU117" s="13">
        <f>IF(Table26[[#This Row],[b]]&lt;&gt;"",Table26[[#This Row],[T-5]], 0)</f>
        <v>0</v>
      </c>
      <c r="AV117" s="13">
        <f>Table26[[#This Row],[Holding Time (min)]]</f>
        <v>30</v>
      </c>
      <c r="AW117" s="13">
        <v>350</v>
      </c>
      <c r="AY117" t="s">
        <v>503</v>
      </c>
      <c r="AZ117" s="13">
        <v>28.821362799263301</v>
      </c>
      <c r="BA117" s="13">
        <v>31.123388581952099</v>
      </c>
      <c r="BE117" s="13">
        <v>4.8289738430583</v>
      </c>
      <c r="BH117" s="13">
        <v>40.147329650091997</v>
      </c>
      <c r="BQ117" s="13">
        <v>11.189801699716716</v>
      </c>
      <c r="CV117" s="13">
        <v>0</v>
      </c>
    </row>
    <row r="118" spans="1:100" ht="15" customHeight="1" x14ac:dyDescent="0.25">
      <c r="A118" t="s">
        <v>274</v>
      </c>
      <c r="B118" t="s">
        <v>275</v>
      </c>
      <c r="C118">
        <v>2022</v>
      </c>
      <c r="D118" t="s">
        <v>277</v>
      </c>
      <c r="E118">
        <v>0</v>
      </c>
      <c r="F118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53</v>
      </c>
      <c r="I118" s="13">
        <v>31.4</v>
      </c>
      <c r="J118" s="13">
        <v>21.6</v>
      </c>
      <c r="M118" s="13">
        <v>19.100000000000001</v>
      </c>
      <c r="N118" s="13">
        <v>17.600000000000001</v>
      </c>
      <c r="O11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72.099999999999994</v>
      </c>
      <c r="AB118" s="13">
        <v>36.200000000000003</v>
      </c>
      <c r="AC118" s="13">
        <v>5.2</v>
      </c>
      <c r="AD118" s="13">
        <v>40.299999999999997</v>
      </c>
      <c r="AE118" s="13">
        <v>0.7</v>
      </c>
      <c r="AH118" s="13">
        <v>14.2</v>
      </c>
      <c r="AI118" s="13">
        <v>2</v>
      </c>
      <c r="AJ118" s="13">
        <v>45</v>
      </c>
      <c r="AK118" s="13">
        <v>450</v>
      </c>
      <c r="AL118" s="13">
        <f>Table26[[#This Row],[Solids (g)]]/(Table26[[#This Row],[Solids (g)]]+Table26[[#This Row],[Water mL]])*100</f>
        <v>9.0909090909090917</v>
      </c>
      <c r="AR118" s="13">
        <v>18</v>
      </c>
      <c r="AS118" s="13">
        <v>30</v>
      </c>
      <c r="AT118" s="13" t="e">
        <f>LN(25/Table26[[#This Row],[Temperature (C)]]/(1-SQRT((Table26[[#This Row],[Temperature (C)]]-5)/Table26[[#This Row],[Temperature (C)]])))/Table26[[#This Row],[b]]</f>
        <v>#DIV/0!</v>
      </c>
      <c r="AU118" s="13">
        <f>IF(Table26[[#This Row],[b]]&lt;&gt;"",Table26[[#This Row],[T-5]], 0)</f>
        <v>0</v>
      </c>
      <c r="AV118" s="13">
        <f>Table26[[#This Row],[Holding Time (min)]]</f>
        <v>30</v>
      </c>
      <c r="AW118" s="13">
        <v>350</v>
      </c>
      <c r="AY118" t="s">
        <v>503</v>
      </c>
      <c r="AZ118" s="13">
        <v>27.716390423572701</v>
      </c>
      <c r="BA118" s="13">
        <v>29.926335174953898</v>
      </c>
      <c r="BE118" s="13">
        <v>11.267605633802898</v>
      </c>
      <c r="BH118" s="13">
        <v>42.541436464088299</v>
      </c>
      <c r="BQ118" s="13">
        <v>9.3117408906882613</v>
      </c>
      <c r="CV118" s="13">
        <v>0</v>
      </c>
    </row>
    <row r="119" spans="1:100" x14ac:dyDescent="0.25">
      <c r="A119" t="s">
        <v>274</v>
      </c>
      <c r="B119" t="s">
        <v>275</v>
      </c>
      <c r="C119">
        <v>2022</v>
      </c>
      <c r="D119" t="s">
        <v>278</v>
      </c>
      <c r="E119">
        <v>0</v>
      </c>
      <c r="F119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53</v>
      </c>
      <c r="I119" s="13">
        <v>31.4</v>
      </c>
      <c r="J119" s="13">
        <v>21.6</v>
      </c>
      <c r="M119" s="13">
        <v>19.100000000000001</v>
      </c>
      <c r="N119" s="13">
        <v>17.600000000000001</v>
      </c>
      <c r="O11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72.099999999999994</v>
      </c>
      <c r="AB119" s="13">
        <v>36.200000000000003</v>
      </c>
      <c r="AC119" s="13">
        <v>5.2</v>
      </c>
      <c r="AD119" s="13">
        <v>40.299999999999997</v>
      </c>
      <c r="AE119" s="13">
        <v>0.7</v>
      </c>
      <c r="AH119" s="13">
        <v>14.2</v>
      </c>
      <c r="AI119" s="13">
        <v>2</v>
      </c>
      <c r="AJ119" s="13">
        <v>45</v>
      </c>
      <c r="AK119" s="13">
        <v>450</v>
      </c>
      <c r="AL119" s="13">
        <f>Table26[[#This Row],[Solids (g)]]/(Table26[[#This Row],[Solids (g)]]+Table26[[#This Row],[Water mL]])*100</f>
        <v>9.0909090909090917</v>
      </c>
      <c r="AR119" s="13">
        <v>18</v>
      </c>
      <c r="AS119" s="13">
        <v>30</v>
      </c>
      <c r="AT119" s="13" t="e">
        <f>LN(25/Table26[[#This Row],[Temperature (C)]]/(1-SQRT((Table26[[#This Row],[Temperature (C)]]-5)/Table26[[#This Row],[Temperature (C)]])))/Table26[[#This Row],[b]]</f>
        <v>#DIV/0!</v>
      </c>
      <c r="AU119" s="13">
        <f>IF(Table26[[#This Row],[b]]&lt;&gt;"",Table26[[#This Row],[T-5]], 0)</f>
        <v>0</v>
      </c>
      <c r="AV119" s="13">
        <f>Table26[[#This Row],[Holding Time (min)]]</f>
        <v>30</v>
      </c>
      <c r="AW119" s="13">
        <v>350</v>
      </c>
      <c r="AY119" t="s">
        <v>503</v>
      </c>
      <c r="AZ119" s="13">
        <v>33.425414364640801</v>
      </c>
      <c r="BA119" s="13">
        <v>21.915285451197001</v>
      </c>
      <c r="BE119" s="13">
        <v>9.657947686116696</v>
      </c>
      <c r="BH119" s="13">
        <v>44.843462246777101</v>
      </c>
      <c r="BQ119" s="13">
        <v>11.018131101813109</v>
      </c>
      <c r="CV119" s="13">
        <v>0</v>
      </c>
    </row>
    <row r="120" spans="1:100" x14ac:dyDescent="0.25">
      <c r="A120" t="s">
        <v>274</v>
      </c>
      <c r="B120" t="s">
        <v>275</v>
      </c>
      <c r="C120">
        <v>2022</v>
      </c>
      <c r="D120" t="s">
        <v>279</v>
      </c>
      <c r="E120">
        <v>0</v>
      </c>
      <c r="F120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53</v>
      </c>
      <c r="I120" s="13">
        <v>31.4</v>
      </c>
      <c r="J120" s="13">
        <v>21.6</v>
      </c>
      <c r="M120" s="13">
        <v>19.100000000000001</v>
      </c>
      <c r="N120" s="13">
        <v>17.600000000000001</v>
      </c>
      <c r="O12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72.099999999999994</v>
      </c>
      <c r="AB120" s="13">
        <v>36.200000000000003</v>
      </c>
      <c r="AC120" s="13">
        <v>5.2</v>
      </c>
      <c r="AD120" s="13">
        <v>40.299999999999997</v>
      </c>
      <c r="AE120" s="13">
        <v>0.7</v>
      </c>
      <c r="AH120" s="13">
        <v>14.2</v>
      </c>
      <c r="AI120" s="13">
        <v>2</v>
      </c>
      <c r="AJ120" s="13">
        <v>45</v>
      </c>
      <c r="AK120" s="13">
        <v>450</v>
      </c>
      <c r="AL120" s="13">
        <f>Table26[[#This Row],[Solids (g)]]/(Table26[[#This Row],[Solids (g)]]+Table26[[#This Row],[Water mL]])*100</f>
        <v>9.0909090909090917</v>
      </c>
      <c r="AR120" s="13">
        <v>18</v>
      </c>
      <c r="AS120" s="13">
        <v>30</v>
      </c>
      <c r="AT120" s="13" t="e">
        <f>LN(25/Table26[[#This Row],[Temperature (C)]]/(1-SQRT((Table26[[#This Row],[Temperature (C)]]-5)/Table26[[#This Row],[Temperature (C)]])))/Table26[[#This Row],[b]]</f>
        <v>#DIV/0!</v>
      </c>
      <c r="AU120" s="13">
        <f>IF(Table26[[#This Row],[b]]&lt;&gt;"",Table26[[#This Row],[T-5]], 0)</f>
        <v>0</v>
      </c>
      <c r="AV120" s="13">
        <f>Table26[[#This Row],[Holding Time (min)]]</f>
        <v>30</v>
      </c>
      <c r="AW120" s="13">
        <v>350</v>
      </c>
      <c r="AY120" t="s">
        <v>503</v>
      </c>
      <c r="AZ120" s="13">
        <v>25.9668508287292</v>
      </c>
      <c r="BA120" s="13">
        <v>34.530386740331402</v>
      </c>
      <c r="BE120" s="13">
        <v>4.2253521126759921</v>
      </c>
      <c r="BH120" s="13">
        <v>39.686924493554301</v>
      </c>
      <c r="BQ120" s="13">
        <v>15.429403202328965</v>
      </c>
      <c r="CV120" s="13">
        <v>0</v>
      </c>
    </row>
    <row r="121" spans="1:100" x14ac:dyDescent="0.25">
      <c r="A121" t="s">
        <v>274</v>
      </c>
      <c r="B121" t="s">
        <v>275</v>
      </c>
      <c r="C121">
        <v>2022</v>
      </c>
      <c r="D121" t="s">
        <v>280</v>
      </c>
      <c r="E121">
        <v>0</v>
      </c>
      <c r="F121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53</v>
      </c>
      <c r="I121" s="13">
        <v>31.4</v>
      </c>
      <c r="J121" s="13">
        <v>21.6</v>
      </c>
      <c r="M121" s="13">
        <v>19.100000000000001</v>
      </c>
      <c r="N121" s="13">
        <v>17.600000000000001</v>
      </c>
      <c r="O12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72.099999999999994</v>
      </c>
      <c r="AB121" s="13">
        <v>36.200000000000003</v>
      </c>
      <c r="AC121" s="13">
        <v>5.2</v>
      </c>
      <c r="AD121" s="13">
        <v>40.299999999999997</v>
      </c>
      <c r="AE121" s="13">
        <v>0.7</v>
      </c>
      <c r="AH121" s="13">
        <v>14.2</v>
      </c>
      <c r="AI121" s="13">
        <v>2</v>
      </c>
      <c r="AJ121" s="13">
        <v>45</v>
      </c>
      <c r="AK121" s="13">
        <v>450</v>
      </c>
      <c r="AL121" s="13">
        <f>Table26[[#This Row],[Solids (g)]]/(Table26[[#This Row],[Solids (g)]]+Table26[[#This Row],[Water mL]])*100</f>
        <v>9.0909090909090917</v>
      </c>
      <c r="AR121" s="13">
        <v>18</v>
      </c>
      <c r="AS121" s="13">
        <v>30</v>
      </c>
      <c r="AT121" s="13" t="e">
        <f>LN(25/Table26[[#This Row],[Temperature (C)]]/(1-SQRT((Table26[[#This Row],[Temperature (C)]]-5)/Table26[[#This Row],[Temperature (C)]])))/Table26[[#This Row],[b]]</f>
        <v>#DIV/0!</v>
      </c>
      <c r="AU121" s="13">
        <f>IF(Table26[[#This Row],[b]]&lt;&gt;"",Table26[[#This Row],[T-5]], 0)</f>
        <v>0</v>
      </c>
      <c r="AV121" s="13">
        <f>Table26[[#This Row],[Holding Time (min)]]</f>
        <v>30</v>
      </c>
      <c r="AW121" s="13">
        <v>350</v>
      </c>
      <c r="AY121" t="s">
        <v>503</v>
      </c>
      <c r="AZ121" s="13">
        <v>24.309392265193299</v>
      </c>
      <c r="BA121" s="13">
        <v>36.556169429097601</v>
      </c>
      <c r="BE121" s="13">
        <v>19.949494949494898</v>
      </c>
      <c r="BH121" s="13">
        <v>39.5027624309392</v>
      </c>
      <c r="BQ121" s="13">
        <v>12.1260259465184</v>
      </c>
      <c r="CV121" s="13">
        <v>0</v>
      </c>
    </row>
    <row r="122" spans="1:100" x14ac:dyDescent="0.25">
      <c r="A122" t="s">
        <v>281</v>
      </c>
      <c r="B122" t="s">
        <v>282</v>
      </c>
      <c r="C122">
        <v>2020</v>
      </c>
      <c r="D122" t="s">
        <v>283</v>
      </c>
      <c r="E122">
        <v>0</v>
      </c>
      <c r="F122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122" s="13">
        <v>100</v>
      </c>
      <c r="O12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22" s="13">
        <v>0</v>
      </c>
      <c r="X122" s="13">
        <v>0</v>
      </c>
      <c r="Y122" s="13">
        <v>100</v>
      </c>
      <c r="AB122" s="13">
        <v>37</v>
      </c>
      <c r="AC122" s="13">
        <v>7.7</v>
      </c>
      <c r="AD122" s="13">
        <v>55.2</v>
      </c>
      <c r="AE122" s="13">
        <v>0.1</v>
      </c>
      <c r="AH122" s="13">
        <v>17</v>
      </c>
      <c r="AI122" s="13">
        <v>4.1000000000000003E-3</v>
      </c>
      <c r="AL122" s="13">
        <v>5</v>
      </c>
      <c r="AT122" s="13" t="e">
        <f>LN(25/Table26[[#This Row],[Temperature (C)]]/(1-SQRT((Table26[[#This Row],[Temperature (C)]]-5)/Table26[[#This Row],[Temperature (C)]])))/Table26[[#This Row],[b]]</f>
        <v>#DIV/0!</v>
      </c>
      <c r="AU122" s="13">
        <f>IF(Table26[[#This Row],[b]]&lt;&gt;"",Table26[[#This Row],[T-5]], 0)</f>
        <v>0</v>
      </c>
      <c r="AV122" s="13">
        <v>3.2</v>
      </c>
      <c r="AW122" s="13">
        <v>350</v>
      </c>
      <c r="AY122" t="s">
        <v>503</v>
      </c>
      <c r="AZ122" s="13">
        <v>7.68627450980392</v>
      </c>
      <c r="BA122" s="13">
        <v>14.087947882736101</v>
      </c>
      <c r="BB122" s="13">
        <v>23.843648208468998</v>
      </c>
      <c r="BD122" s="13">
        <v>54.817275747508297</v>
      </c>
      <c r="BE122" s="13">
        <v>13.1313131313131</v>
      </c>
      <c r="BI122" s="13">
        <v>54.3</v>
      </c>
      <c r="BJ122" s="13">
        <v>7.3</v>
      </c>
      <c r="BK122" s="13">
        <v>38.200000000000003</v>
      </c>
      <c r="BL122" s="13">
        <v>0.2</v>
      </c>
      <c r="BN122" s="13">
        <v>24.5</v>
      </c>
      <c r="BP122" s="13">
        <v>20.3</v>
      </c>
      <c r="BQ122" s="13">
        <v>12.126177795985251</v>
      </c>
      <c r="CV122" s="13">
        <v>0</v>
      </c>
    </row>
    <row r="123" spans="1:100" ht="15" customHeight="1" x14ac:dyDescent="0.25">
      <c r="A123" t="s">
        <v>281</v>
      </c>
      <c r="B123" t="s">
        <v>282</v>
      </c>
      <c r="C123">
        <v>2020</v>
      </c>
      <c r="D123" t="s">
        <v>283</v>
      </c>
      <c r="E123">
        <v>1</v>
      </c>
      <c r="F123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123" s="13">
        <v>100</v>
      </c>
      <c r="O12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23" s="13">
        <v>0</v>
      </c>
      <c r="X123" s="13">
        <v>0</v>
      </c>
      <c r="Y123" s="13">
        <v>100</v>
      </c>
      <c r="AB123" s="13">
        <v>37</v>
      </c>
      <c r="AC123" s="13">
        <v>7.7</v>
      </c>
      <c r="AD123" s="13">
        <v>55.2</v>
      </c>
      <c r="AE123" s="13">
        <v>0.1</v>
      </c>
      <c r="AH123" s="13">
        <v>17</v>
      </c>
      <c r="AI123" s="13">
        <v>4.1000000000000003E-3</v>
      </c>
      <c r="AL123" s="13">
        <v>5</v>
      </c>
      <c r="AT123" s="13" t="e">
        <f>LN(25/Table26[[#This Row],[Temperature (C)]]/(1-SQRT((Table26[[#This Row],[Temperature (C)]]-5)/Table26[[#This Row],[Temperature (C)]])))/Table26[[#This Row],[b]]</f>
        <v>#DIV/0!</v>
      </c>
      <c r="AU123" s="13">
        <f>IF(Table26[[#This Row],[b]]&lt;&gt;"",Table26[[#This Row],[T-5]], 0)</f>
        <v>0</v>
      </c>
      <c r="AV123" s="13">
        <v>5.6</v>
      </c>
      <c r="AW123" s="13">
        <v>350</v>
      </c>
      <c r="AY123" t="s">
        <v>503</v>
      </c>
      <c r="AZ123" s="13">
        <v>7.2287581699346299</v>
      </c>
      <c r="BA123" s="13">
        <v>16.286644951140001</v>
      </c>
      <c r="BB123" s="13">
        <v>19.1530944625407</v>
      </c>
      <c r="BD123" s="13">
        <v>57.475083056478397</v>
      </c>
      <c r="BE123" s="13">
        <v>7.8282828282827897</v>
      </c>
      <c r="BI123" s="13">
        <v>62.2</v>
      </c>
      <c r="BJ123" s="13">
        <v>7.4</v>
      </c>
      <c r="BK123" s="13">
        <v>30.4</v>
      </c>
      <c r="BL123" s="13">
        <v>0.1</v>
      </c>
      <c r="BN123" s="13">
        <v>28.2</v>
      </c>
      <c r="BP123" s="13">
        <v>26.9</v>
      </c>
      <c r="BQ123" s="13" t="s">
        <v>506</v>
      </c>
      <c r="CV123" s="13">
        <v>0</v>
      </c>
    </row>
    <row r="124" spans="1:100" x14ac:dyDescent="0.25">
      <c r="A124" t="s">
        <v>281</v>
      </c>
      <c r="B124" t="s">
        <v>282</v>
      </c>
      <c r="C124">
        <v>2020</v>
      </c>
      <c r="D124" t="s">
        <v>283</v>
      </c>
      <c r="E124">
        <v>1</v>
      </c>
      <c r="F124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124" s="13">
        <v>100</v>
      </c>
      <c r="O12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24" s="13">
        <v>0</v>
      </c>
      <c r="X124" s="13">
        <v>0</v>
      </c>
      <c r="Y124" s="13">
        <v>100</v>
      </c>
      <c r="AB124" s="13">
        <v>37</v>
      </c>
      <c r="AC124" s="13">
        <v>7.7</v>
      </c>
      <c r="AD124" s="13">
        <v>55.2</v>
      </c>
      <c r="AE124" s="13">
        <v>0.1</v>
      </c>
      <c r="AH124" s="13">
        <v>17</v>
      </c>
      <c r="AI124" s="13">
        <v>4.1000000000000003E-3</v>
      </c>
      <c r="AL124" s="13">
        <v>5</v>
      </c>
      <c r="AT124" s="13" t="e">
        <f>LN(25/Table26[[#This Row],[Temperature (C)]]/(1-SQRT((Table26[[#This Row],[Temperature (C)]]-5)/Table26[[#This Row],[Temperature (C)]])))/Table26[[#This Row],[b]]</f>
        <v>#DIV/0!</v>
      </c>
      <c r="AU124" s="13">
        <f>IF(Table26[[#This Row],[b]]&lt;&gt;"",Table26[[#This Row],[T-5]], 0)</f>
        <v>0</v>
      </c>
      <c r="AV124" s="13">
        <v>10</v>
      </c>
      <c r="AW124" s="13">
        <v>350</v>
      </c>
      <c r="AY124" t="s">
        <v>503</v>
      </c>
      <c r="AZ124" s="13">
        <v>5.1699346405228699</v>
      </c>
      <c r="BA124" s="13">
        <v>17.833876221498301</v>
      </c>
      <c r="BB124" s="13">
        <v>12.605863192182399</v>
      </c>
      <c r="BD124" s="13">
        <v>64.784053156146101</v>
      </c>
      <c r="BE124" s="13">
        <v>7.9800498753116997</v>
      </c>
      <c r="BI124" s="13">
        <v>63</v>
      </c>
      <c r="BJ124" s="13">
        <v>7.6</v>
      </c>
      <c r="BK124" s="13">
        <v>29.3</v>
      </c>
      <c r="BN124" s="13">
        <v>29</v>
      </c>
      <c r="BP124" s="13">
        <v>30.5</v>
      </c>
      <c r="BQ124" s="13" t="s">
        <v>506</v>
      </c>
      <c r="CV124" s="13">
        <v>0</v>
      </c>
    </row>
    <row r="125" spans="1:100" x14ac:dyDescent="0.25">
      <c r="A125" t="s">
        <v>281</v>
      </c>
      <c r="B125" t="s">
        <v>282</v>
      </c>
      <c r="C125">
        <v>2020</v>
      </c>
      <c r="D125" t="s">
        <v>283</v>
      </c>
      <c r="E125">
        <v>1</v>
      </c>
      <c r="F125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125" s="13">
        <v>100</v>
      </c>
      <c r="O12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25" s="13">
        <v>0</v>
      </c>
      <c r="X125" s="13">
        <v>0</v>
      </c>
      <c r="Y125" s="13">
        <v>100</v>
      </c>
      <c r="AB125" s="13">
        <v>37</v>
      </c>
      <c r="AC125" s="13">
        <v>7.7</v>
      </c>
      <c r="AD125" s="13">
        <v>55.2</v>
      </c>
      <c r="AE125" s="13">
        <v>0.1</v>
      </c>
      <c r="AH125" s="13">
        <v>17</v>
      </c>
      <c r="AI125" s="13">
        <v>4.1000000000000003E-3</v>
      </c>
      <c r="AL125" s="13">
        <v>5</v>
      </c>
      <c r="AT125" s="13" t="e">
        <f>LN(25/Table26[[#This Row],[Temperature (C)]]/(1-SQRT((Table26[[#This Row],[Temperature (C)]]-5)/Table26[[#This Row],[Temperature (C)]])))/Table26[[#This Row],[b]]</f>
        <v>#DIV/0!</v>
      </c>
      <c r="AU125" s="13">
        <f>IF(Table26[[#This Row],[b]]&lt;&gt;"",Table26[[#This Row],[T-5]], 0)</f>
        <v>0</v>
      </c>
      <c r="AV125" s="13">
        <v>31.6</v>
      </c>
      <c r="AW125" s="13">
        <v>350</v>
      </c>
      <c r="AY125" t="s">
        <v>503</v>
      </c>
      <c r="AZ125" s="13">
        <v>2.8823529411764701</v>
      </c>
      <c r="BA125" s="13">
        <v>20.358306188924999</v>
      </c>
      <c r="BB125" s="13">
        <v>6.4495114006514598</v>
      </c>
      <c r="BD125" s="13">
        <v>70.099667774086299</v>
      </c>
      <c r="BE125" s="13">
        <v>7.2319201995012401</v>
      </c>
      <c r="BI125" s="13">
        <v>64.900000000000006</v>
      </c>
      <c r="BJ125" s="13">
        <v>8</v>
      </c>
      <c r="BK125" s="13">
        <v>27.1</v>
      </c>
      <c r="BL125" s="13">
        <v>0.1</v>
      </c>
      <c r="BN125" s="13">
        <v>30.4</v>
      </c>
      <c r="BP125" s="13">
        <v>36.4</v>
      </c>
      <c r="BQ125" s="13" t="s">
        <v>506</v>
      </c>
      <c r="CV125" s="13">
        <v>0</v>
      </c>
    </row>
    <row r="126" spans="1:100" x14ac:dyDescent="0.25">
      <c r="A126" t="s">
        <v>281</v>
      </c>
      <c r="B126" t="s">
        <v>282</v>
      </c>
      <c r="C126">
        <v>2020</v>
      </c>
      <c r="D126" t="s">
        <v>283</v>
      </c>
      <c r="E126">
        <v>1</v>
      </c>
      <c r="F126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126" s="13">
        <v>100</v>
      </c>
      <c r="O12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26" s="13">
        <v>0</v>
      </c>
      <c r="X126" s="13">
        <v>0</v>
      </c>
      <c r="Y126" s="13">
        <v>100</v>
      </c>
      <c r="AB126" s="13">
        <v>37</v>
      </c>
      <c r="AC126" s="13">
        <v>7.7</v>
      </c>
      <c r="AD126" s="13">
        <v>55.2</v>
      </c>
      <c r="AE126" s="13">
        <v>0.1</v>
      </c>
      <c r="AH126" s="13">
        <v>17</v>
      </c>
      <c r="AI126" s="13">
        <v>4.1000000000000003E-3</v>
      </c>
      <c r="AL126" s="13">
        <v>5</v>
      </c>
      <c r="AT126" s="13" t="e">
        <f>LN(25/Table26[[#This Row],[Temperature (C)]]/(1-SQRT((Table26[[#This Row],[Temperature (C)]]-5)/Table26[[#This Row],[Temperature (C)]])))/Table26[[#This Row],[b]]</f>
        <v>#DIV/0!</v>
      </c>
      <c r="AU126" s="13">
        <f>IF(Table26[[#This Row],[b]]&lt;&gt;"",Table26[[#This Row],[T-5]], 0)</f>
        <v>0</v>
      </c>
      <c r="AV126" s="13">
        <v>1</v>
      </c>
      <c r="AW126" s="13">
        <v>400</v>
      </c>
      <c r="AY126" t="s">
        <v>503</v>
      </c>
      <c r="AZ126" s="13">
        <v>4.8571428571428603</v>
      </c>
      <c r="BA126" s="13">
        <v>9.6389891696750905</v>
      </c>
      <c r="BB126" s="13">
        <v>45.581395348837198</v>
      </c>
      <c r="BD126" s="13">
        <f>100-SUM(Table26[[#This Row],[Solids wt%]:[Aquous wt%]])</f>
        <v>39.922472624344849</v>
      </c>
      <c r="BE126" s="13">
        <v>7.73067331670822</v>
      </c>
      <c r="BQ126" s="13" t="s">
        <v>506</v>
      </c>
      <c r="CV126" s="13">
        <v>0</v>
      </c>
    </row>
    <row r="127" spans="1:100" x14ac:dyDescent="0.25">
      <c r="A127" t="s">
        <v>281</v>
      </c>
      <c r="B127" t="s">
        <v>282</v>
      </c>
      <c r="C127">
        <v>2020</v>
      </c>
      <c r="D127" t="s">
        <v>283</v>
      </c>
      <c r="E127">
        <v>1</v>
      </c>
      <c r="F12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127" s="13">
        <v>100</v>
      </c>
      <c r="O12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27" s="13">
        <v>0</v>
      </c>
      <c r="X127" s="13">
        <v>0</v>
      </c>
      <c r="Y127" s="13">
        <v>100</v>
      </c>
      <c r="AB127" s="13">
        <v>37</v>
      </c>
      <c r="AC127" s="13">
        <v>7.7</v>
      </c>
      <c r="AD127" s="13">
        <v>55.2</v>
      </c>
      <c r="AE127" s="13">
        <v>0.1</v>
      </c>
      <c r="AH127" s="13">
        <v>17</v>
      </c>
      <c r="AI127" s="13">
        <v>4.1000000000000003E-3</v>
      </c>
      <c r="AL127" s="13">
        <v>5</v>
      </c>
      <c r="AT127" s="13" t="e">
        <f>LN(25/Table26[[#This Row],[Temperature (C)]]/(1-SQRT((Table26[[#This Row],[Temperature (C)]]-5)/Table26[[#This Row],[Temperature (C)]])))/Table26[[#This Row],[b]]</f>
        <v>#DIV/0!</v>
      </c>
      <c r="AU127" s="13">
        <f>IF(Table26[[#This Row],[b]]&lt;&gt;"",Table26[[#This Row],[T-5]], 0)</f>
        <v>0</v>
      </c>
      <c r="AV127" s="13">
        <v>3.2</v>
      </c>
      <c r="AW127" s="13">
        <v>400</v>
      </c>
      <c r="AY127" t="s">
        <v>503</v>
      </c>
      <c r="AZ127" s="13">
        <v>3.9999999999999898</v>
      </c>
      <c r="BA127" s="13">
        <v>18.086642599277901</v>
      </c>
      <c r="BB127" s="13">
        <v>16.434108527131698</v>
      </c>
      <c r="BD127" s="13">
        <f>100-SUM(Table26[[#This Row],[Solids wt%]:[Aquous wt%]])</f>
        <v>61.479248873590407</v>
      </c>
      <c r="BE127" s="13">
        <v>8.1047381546134503</v>
      </c>
      <c r="BQ127" s="13" t="s">
        <v>506</v>
      </c>
      <c r="CV127" s="13">
        <v>0</v>
      </c>
    </row>
    <row r="128" spans="1:100" x14ac:dyDescent="0.25">
      <c r="A128" t="s">
        <v>281</v>
      </c>
      <c r="B128" t="s">
        <v>282</v>
      </c>
      <c r="C128">
        <v>2020</v>
      </c>
      <c r="D128" t="s">
        <v>283</v>
      </c>
      <c r="E128">
        <v>1</v>
      </c>
      <c r="F128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128" s="13">
        <v>100</v>
      </c>
      <c r="O12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28" s="13">
        <v>0</v>
      </c>
      <c r="X128" s="13">
        <v>0</v>
      </c>
      <c r="Y128" s="13">
        <v>100</v>
      </c>
      <c r="AB128" s="13">
        <v>37</v>
      </c>
      <c r="AC128" s="13">
        <v>7.7</v>
      </c>
      <c r="AD128" s="13">
        <v>55.2</v>
      </c>
      <c r="AE128" s="13">
        <v>0.1</v>
      </c>
      <c r="AH128" s="13">
        <v>17</v>
      </c>
      <c r="AI128" s="13">
        <v>4.1000000000000003E-3</v>
      </c>
      <c r="AL128" s="13">
        <v>5</v>
      </c>
      <c r="AT128" s="13" t="e">
        <f>LN(25/Table26[[#This Row],[Temperature (C)]]/(1-SQRT((Table26[[#This Row],[Temperature (C)]]-5)/Table26[[#This Row],[Temperature (C)]])))/Table26[[#This Row],[b]]</f>
        <v>#DIV/0!</v>
      </c>
      <c r="AU128" s="13">
        <f>IF(Table26[[#This Row],[b]]&lt;&gt;"",Table26[[#This Row],[T-5]], 0)</f>
        <v>0</v>
      </c>
      <c r="AV128" s="13">
        <v>1</v>
      </c>
      <c r="AW128" s="13">
        <v>450</v>
      </c>
      <c r="AY128" t="s">
        <v>503</v>
      </c>
      <c r="AZ128" s="13">
        <v>1.71428571428571</v>
      </c>
      <c r="BA128" s="13">
        <v>22.6353790613718</v>
      </c>
      <c r="BB128" s="13">
        <v>20.155038759689901</v>
      </c>
      <c r="BD128" s="13">
        <f>100-SUM(Table26[[#This Row],[Solids wt%]:[Aquous wt%]])</f>
        <v>55.49529646465259</v>
      </c>
      <c r="BE128" s="13">
        <v>35.904628330995806</v>
      </c>
      <c r="BQ128" s="13">
        <v>11.063829787234042</v>
      </c>
      <c r="CV128" s="13">
        <v>0</v>
      </c>
    </row>
    <row r="129" spans="1:100" x14ac:dyDescent="0.25">
      <c r="A129" t="s">
        <v>281</v>
      </c>
      <c r="B129" t="s">
        <v>282</v>
      </c>
      <c r="C129">
        <v>2020</v>
      </c>
      <c r="D129" t="s">
        <v>283</v>
      </c>
      <c r="E129">
        <v>1</v>
      </c>
      <c r="F129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129" s="13">
        <v>100</v>
      </c>
      <c r="O12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29" s="13">
        <v>0</v>
      </c>
      <c r="X129" s="13">
        <v>0</v>
      </c>
      <c r="Y129" s="13">
        <v>100</v>
      </c>
      <c r="AB129" s="13">
        <v>37</v>
      </c>
      <c r="AC129" s="13">
        <v>7.7</v>
      </c>
      <c r="AD129" s="13">
        <v>55.2</v>
      </c>
      <c r="AE129" s="13">
        <v>0.1</v>
      </c>
      <c r="AH129" s="13">
        <v>17</v>
      </c>
      <c r="AI129" s="13">
        <v>4.1000000000000003E-3</v>
      </c>
      <c r="AL129" s="13">
        <v>5</v>
      </c>
      <c r="AT129" s="13" t="e">
        <f>LN(25/Table26[[#This Row],[Temperature (C)]]/(1-SQRT((Table26[[#This Row],[Temperature (C)]]-5)/Table26[[#This Row],[Temperature (C)]])))/Table26[[#This Row],[b]]</f>
        <v>#DIV/0!</v>
      </c>
      <c r="AU129" s="13">
        <f>IF(Table26[[#This Row],[b]]&lt;&gt;"",Table26[[#This Row],[T-5]], 0)</f>
        <v>0</v>
      </c>
      <c r="AV129" s="13">
        <v>3.2</v>
      </c>
      <c r="AW129" s="13">
        <v>450</v>
      </c>
      <c r="AY129" t="s">
        <v>503</v>
      </c>
      <c r="AZ129" s="13">
        <v>2</v>
      </c>
      <c r="BA129" s="13">
        <v>18.628158844765299</v>
      </c>
      <c r="BB129" s="13">
        <v>3.7209302325581399</v>
      </c>
      <c r="BD129" s="13">
        <f>100-SUM(Table26[[#This Row],[Solids wt%]:[Aquous wt%]])</f>
        <v>75.650910922676559</v>
      </c>
      <c r="BE129" s="13">
        <v>37.166900420757401</v>
      </c>
      <c r="BQ129" s="13">
        <v>10.576923076923078</v>
      </c>
      <c r="CV129" s="13">
        <v>0</v>
      </c>
    </row>
    <row r="130" spans="1:100" ht="15" customHeight="1" x14ac:dyDescent="0.25">
      <c r="A130" t="s">
        <v>281</v>
      </c>
      <c r="B130" t="s">
        <v>282</v>
      </c>
      <c r="C130">
        <v>2020</v>
      </c>
      <c r="D130" t="s">
        <v>283</v>
      </c>
      <c r="E130">
        <v>1</v>
      </c>
      <c r="F130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130" s="13">
        <v>100</v>
      </c>
      <c r="O13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30" s="13">
        <v>0</v>
      </c>
      <c r="X130" s="13">
        <v>0</v>
      </c>
      <c r="Y130" s="13">
        <v>100</v>
      </c>
      <c r="AB130" s="13">
        <v>37</v>
      </c>
      <c r="AC130" s="13">
        <v>7.7</v>
      </c>
      <c r="AD130" s="13">
        <v>55.2</v>
      </c>
      <c r="AE130" s="13">
        <v>0.1</v>
      </c>
      <c r="AH130" s="13">
        <v>17</v>
      </c>
      <c r="AI130" s="13">
        <v>4.1000000000000003E-3</v>
      </c>
      <c r="AL130" s="13">
        <v>5</v>
      </c>
      <c r="AT130" s="13" t="e">
        <f>LN(25/Table26[[#This Row],[Temperature (C)]]/(1-SQRT((Table26[[#This Row],[Temperature (C)]]-5)/Table26[[#This Row],[Temperature (C)]])))/Table26[[#This Row],[b]]</f>
        <v>#DIV/0!</v>
      </c>
      <c r="AU130" s="13">
        <f>IF(Table26[[#This Row],[b]]&lt;&gt;"",Table26[[#This Row],[T-5]], 0)</f>
        <v>0</v>
      </c>
      <c r="AV130" s="13">
        <v>1</v>
      </c>
      <c r="AW130" s="13">
        <v>500</v>
      </c>
      <c r="AY130" t="s">
        <v>503</v>
      </c>
      <c r="AZ130" s="13">
        <v>1.1428571428571399</v>
      </c>
      <c r="BA130" s="13">
        <v>23.5018050541516</v>
      </c>
      <c r="BB130" s="13">
        <v>14.883720930232499</v>
      </c>
      <c r="BD130" s="13">
        <f>100-SUM(Table26[[#This Row],[Solids wt%]:[Aquous wt%]])</f>
        <v>60.471616872758759</v>
      </c>
      <c r="BE130" s="13">
        <v>39.691444600280597</v>
      </c>
      <c r="BI130" s="13">
        <v>62.8</v>
      </c>
      <c r="BJ130" s="13">
        <v>8.3000000000000007</v>
      </c>
      <c r="BK130" s="13">
        <v>28.7</v>
      </c>
      <c r="BL130" s="13">
        <v>0.1</v>
      </c>
      <c r="BN130" s="13">
        <v>30</v>
      </c>
      <c r="BP130" s="13">
        <v>41.1</v>
      </c>
      <c r="BQ130" s="13">
        <v>10.604026845637584</v>
      </c>
      <c r="CV130" s="13">
        <v>0</v>
      </c>
    </row>
    <row r="131" spans="1:100" x14ac:dyDescent="0.25">
      <c r="A131" t="s">
        <v>289</v>
      </c>
      <c r="B131" t="s">
        <v>282</v>
      </c>
      <c r="C131">
        <v>2020</v>
      </c>
      <c r="D131" t="s">
        <v>284</v>
      </c>
      <c r="E131">
        <v>1</v>
      </c>
      <c r="F131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I131" s="13">
        <v>100</v>
      </c>
      <c r="O13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31" s="13">
        <v>100</v>
      </c>
      <c r="X131" s="13">
        <v>0</v>
      </c>
      <c r="Y131" s="13">
        <v>0</v>
      </c>
      <c r="AB131" s="13">
        <v>39.4</v>
      </c>
      <c r="AC131" s="13">
        <v>8</v>
      </c>
      <c r="AD131" s="13">
        <v>52.5</v>
      </c>
      <c r="AE131" s="13">
        <v>0.1</v>
      </c>
      <c r="AH131" s="13">
        <v>18.600000000000001</v>
      </c>
      <c r="AI131" s="13">
        <v>4.1000000000000003E-3</v>
      </c>
      <c r="AL131" s="13">
        <v>5</v>
      </c>
      <c r="AT131" s="13" t="e">
        <f>LN(25/Table26[[#This Row],[Temperature (C)]]/(1-SQRT((Table26[[#This Row],[Temperature (C)]]-5)/Table26[[#This Row],[Temperature (C)]])))/Table26[[#This Row],[b]]</f>
        <v>#DIV/0!</v>
      </c>
      <c r="AU131" s="13">
        <f>IF(Table26[[#This Row],[b]]&lt;&gt;"",Table26[[#This Row],[T-5]], 0)</f>
        <v>0</v>
      </c>
      <c r="AV131" s="13">
        <v>3.2</v>
      </c>
      <c r="AW131" s="13">
        <v>350</v>
      </c>
      <c r="AY131" t="s">
        <v>503</v>
      </c>
      <c r="AZ131" s="13">
        <v>10.1111111111111</v>
      </c>
      <c r="BA131" s="13">
        <v>11.970684039087899</v>
      </c>
      <c r="BB131" s="13">
        <v>13.9739413680781</v>
      </c>
      <c r="BD131" s="13">
        <v>64.119601328903599</v>
      </c>
      <c r="BE131" s="13">
        <v>33.800841514726599</v>
      </c>
      <c r="BI131" s="13">
        <v>59.6</v>
      </c>
      <c r="BJ131" s="13">
        <v>6.9</v>
      </c>
      <c r="BK131" s="13">
        <v>33.4</v>
      </c>
      <c r="BL131" s="13">
        <v>0.1</v>
      </c>
      <c r="BN131" s="13">
        <v>26.3</v>
      </c>
      <c r="BP131" s="13">
        <v>19</v>
      </c>
      <c r="BQ131" s="13">
        <v>10.840108401084011</v>
      </c>
      <c r="CV131" s="13">
        <v>0</v>
      </c>
    </row>
    <row r="132" spans="1:100" x14ac:dyDescent="0.25">
      <c r="A132" t="s">
        <v>289</v>
      </c>
      <c r="B132" t="s">
        <v>282</v>
      </c>
      <c r="C132">
        <v>2020</v>
      </c>
      <c r="D132" t="s">
        <v>284</v>
      </c>
      <c r="E132">
        <v>1</v>
      </c>
      <c r="F132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I132" s="13">
        <v>100</v>
      </c>
      <c r="O13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32" s="13">
        <v>100</v>
      </c>
      <c r="X132" s="13">
        <v>0</v>
      </c>
      <c r="Y132" s="13">
        <v>0</v>
      </c>
      <c r="AB132" s="13">
        <v>39.4</v>
      </c>
      <c r="AC132" s="13">
        <v>8</v>
      </c>
      <c r="AD132" s="13">
        <v>52.5</v>
      </c>
      <c r="AE132" s="13">
        <v>0.1</v>
      </c>
      <c r="AH132" s="13">
        <v>18.600000000000001</v>
      </c>
      <c r="AI132" s="13">
        <v>4.1000000000000003E-3</v>
      </c>
      <c r="AL132" s="13">
        <v>5</v>
      </c>
      <c r="AT132" s="13" t="e">
        <f>LN(25/Table26[[#This Row],[Temperature (C)]]/(1-SQRT((Table26[[#This Row],[Temperature (C)]]-5)/Table26[[#This Row],[Temperature (C)]])))/Table26[[#This Row],[b]]</f>
        <v>#DIV/0!</v>
      </c>
      <c r="AU132" s="13">
        <f>IF(Table26[[#This Row],[b]]&lt;&gt;"",Table26[[#This Row],[T-5]], 0)</f>
        <v>0</v>
      </c>
      <c r="AV132" s="13">
        <v>5.6</v>
      </c>
      <c r="AW132" s="13">
        <v>350</v>
      </c>
      <c r="AY132" t="s">
        <v>503</v>
      </c>
      <c r="AZ132" s="13">
        <v>8.37254901960784</v>
      </c>
      <c r="BA132" s="13">
        <v>14.3322475570032</v>
      </c>
      <c r="BB132" s="13">
        <v>19.739413680781698</v>
      </c>
      <c r="BD132" s="13">
        <v>57.807308970099598</v>
      </c>
      <c r="BE132" s="13">
        <v>27.439024390243901</v>
      </c>
      <c r="BI132" s="13">
        <v>62</v>
      </c>
      <c r="BJ132" s="13">
        <v>6.8</v>
      </c>
      <c r="BK132" s="13">
        <v>31.1</v>
      </c>
      <c r="BL132" s="13">
        <v>0.1</v>
      </c>
      <c r="BN132" s="13">
        <v>27.2</v>
      </c>
      <c r="BP132" s="13">
        <v>20.2</v>
      </c>
      <c r="BQ132" s="13" t="s">
        <v>506</v>
      </c>
      <c r="CV132" s="13">
        <v>0</v>
      </c>
    </row>
    <row r="133" spans="1:100" x14ac:dyDescent="0.25">
      <c r="A133" t="s">
        <v>289</v>
      </c>
      <c r="B133" t="s">
        <v>282</v>
      </c>
      <c r="C133">
        <v>2020</v>
      </c>
      <c r="D133" t="s">
        <v>284</v>
      </c>
      <c r="E133">
        <v>1</v>
      </c>
      <c r="F133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I133" s="13">
        <v>100</v>
      </c>
      <c r="O13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33" s="13">
        <v>100</v>
      </c>
      <c r="X133" s="13">
        <v>0</v>
      </c>
      <c r="Y133" s="13">
        <v>0</v>
      </c>
      <c r="AB133" s="13">
        <v>39.4</v>
      </c>
      <c r="AC133" s="13">
        <v>8</v>
      </c>
      <c r="AD133" s="13">
        <v>52.5</v>
      </c>
      <c r="AE133" s="13">
        <v>0.1</v>
      </c>
      <c r="AH133" s="13">
        <v>18.600000000000001</v>
      </c>
      <c r="AI133" s="13">
        <v>4.1000000000000003E-3</v>
      </c>
      <c r="AL133" s="13">
        <v>5</v>
      </c>
      <c r="AT133" s="13" t="e">
        <f>LN(25/Table26[[#This Row],[Temperature (C)]]/(1-SQRT((Table26[[#This Row],[Temperature (C)]]-5)/Table26[[#This Row],[Temperature (C)]])))/Table26[[#This Row],[b]]</f>
        <v>#DIV/0!</v>
      </c>
      <c r="AU133" s="13">
        <f>IF(Table26[[#This Row],[b]]&lt;&gt;"",Table26[[#This Row],[T-5]], 0)</f>
        <v>0</v>
      </c>
      <c r="AV133" s="13">
        <v>10</v>
      </c>
      <c r="AW133" s="13">
        <v>350</v>
      </c>
      <c r="AY133" t="s">
        <v>503</v>
      </c>
      <c r="AZ133" s="13">
        <v>8.18954248366013</v>
      </c>
      <c r="BA133" s="13">
        <v>16.449511400651399</v>
      </c>
      <c r="BB133" s="13">
        <v>17.4918566775244</v>
      </c>
      <c r="BD133" s="13">
        <v>58.139534883720899</v>
      </c>
      <c r="BE133" s="13">
        <v>29.498644986449801</v>
      </c>
      <c r="BI133" s="13">
        <v>68.2</v>
      </c>
      <c r="BJ133" s="13">
        <v>6.8</v>
      </c>
      <c r="BK133" s="13">
        <v>25</v>
      </c>
      <c r="BN133" s="13">
        <v>30.1</v>
      </c>
      <c r="BP133" s="13">
        <v>25.7</v>
      </c>
      <c r="BQ133" s="13" t="s">
        <v>506</v>
      </c>
      <c r="CV133" s="13">
        <v>0</v>
      </c>
    </row>
    <row r="134" spans="1:100" x14ac:dyDescent="0.25">
      <c r="A134" t="s">
        <v>289</v>
      </c>
      <c r="B134" t="s">
        <v>282</v>
      </c>
      <c r="C134">
        <v>2020</v>
      </c>
      <c r="D134" t="s">
        <v>284</v>
      </c>
      <c r="E134">
        <v>1</v>
      </c>
      <c r="F134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I134" s="13">
        <v>100</v>
      </c>
      <c r="O13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34" s="13">
        <v>100</v>
      </c>
      <c r="X134" s="13">
        <v>0</v>
      </c>
      <c r="Y134" s="13">
        <v>0</v>
      </c>
      <c r="AB134" s="13">
        <v>39.4</v>
      </c>
      <c r="AC134" s="13">
        <v>8</v>
      </c>
      <c r="AD134" s="13">
        <v>52.5</v>
      </c>
      <c r="AE134" s="13">
        <v>0.1</v>
      </c>
      <c r="AH134" s="13">
        <v>18.600000000000001</v>
      </c>
      <c r="AI134" s="13">
        <v>4.1000000000000003E-3</v>
      </c>
      <c r="AL134" s="13">
        <v>5</v>
      </c>
      <c r="AT134" s="13" t="e">
        <f>LN(25/Table26[[#This Row],[Temperature (C)]]/(1-SQRT((Table26[[#This Row],[Temperature (C)]]-5)/Table26[[#This Row],[Temperature (C)]])))/Table26[[#This Row],[b]]</f>
        <v>#DIV/0!</v>
      </c>
      <c r="AU134" s="13">
        <f>IF(Table26[[#This Row],[b]]&lt;&gt;"",Table26[[#This Row],[T-5]], 0)</f>
        <v>0</v>
      </c>
      <c r="AV134" s="13">
        <v>31.6</v>
      </c>
      <c r="AW134" s="13">
        <v>350</v>
      </c>
      <c r="AY134" t="s">
        <v>503</v>
      </c>
      <c r="AZ134" s="13">
        <v>6.4509803921568603</v>
      </c>
      <c r="BA134" s="13">
        <v>18.4853420195439</v>
      </c>
      <c r="BB134" s="13">
        <v>9.0879478827361506</v>
      </c>
      <c r="BD134" s="13">
        <v>66.112956810631204</v>
      </c>
      <c r="BE134" s="13">
        <v>25.596205962059599</v>
      </c>
      <c r="BI134" s="13">
        <v>69.8</v>
      </c>
      <c r="BJ134" s="13">
        <v>8.6</v>
      </c>
      <c r="BK134" s="13">
        <v>21.4</v>
      </c>
      <c r="BL134" s="13">
        <v>0.1</v>
      </c>
      <c r="BN134" s="13">
        <v>33.799999999999997</v>
      </c>
      <c r="BP134" s="13">
        <v>32.4</v>
      </c>
      <c r="BQ134" s="13">
        <v>11.370668316831683</v>
      </c>
      <c r="CV134" s="13">
        <v>0</v>
      </c>
    </row>
    <row r="135" spans="1:100" x14ac:dyDescent="0.25">
      <c r="A135" t="s">
        <v>289</v>
      </c>
      <c r="B135" t="s">
        <v>282</v>
      </c>
      <c r="C135">
        <v>2020</v>
      </c>
      <c r="D135" t="s">
        <v>284</v>
      </c>
      <c r="E135">
        <v>1</v>
      </c>
      <c r="F135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I135" s="13">
        <v>100</v>
      </c>
      <c r="O13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35" s="13">
        <v>100</v>
      </c>
      <c r="X135" s="13">
        <v>0</v>
      </c>
      <c r="Y135" s="13">
        <v>0</v>
      </c>
      <c r="AB135" s="13">
        <v>39.4</v>
      </c>
      <c r="AC135" s="13">
        <v>8</v>
      </c>
      <c r="AD135" s="13">
        <v>52.5</v>
      </c>
      <c r="AE135" s="13">
        <v>0.1</v>
      </c>
      <c r="AH135" s="13">
        <v>18.600000000000001</v>
      </c>
      <c r="AI135" s="13">
        <v>4.1000000000000003E-3</v>
      </c>
      <c r="AL135" s="13">
        <v>5</v>
      </c>
      <c r="AT135" s="13" t="e">
        <f>LN(25/Table26[[#This Row],[Temperature (C)]]/(1-SQRT((Table26[[#This Row],[Temperature (C)]]-5)/Table26[[#This Row],[Temperature (C)]])))/Table26[[#This Row],[b]]</f>
        <v>#DIV/0!</v>
      </c>
      <c r="AU135" s="13">
        <f>IF(Table26[[#This Row],[b]]&lt;&gt;"",Table26[[#This Row],[T-5]], 0)</f>
        <v>0</v>
      </c>
      <c r="AV135" s="13">
        <v>1</v>
      </c>
      <c r="AW135" s="13">
        <v>400</v>
      </c>
      <c r="AY135" t="s">
        <v>503</v>
      </c>
      <c r="AZ135" s="13">
        <v>4</v>
      </c>
      <c r="BA135" s="13">
        <v>5.8483754512635304</v>
      </c>
      <c r="BB135" s="13">
        <v>61.705426356589101</v>
      </c>
      <c r="BD135" s="13">
        <f>100-SUM(Table26[[#This Row],[Solids wt%]:[Aquous wt%]])</f>
        <v>28.446198192147364</v>
      </c>
      <c r="BE135" s="13">
        <v>33.943089430894297</v>
      </c>
      <c r="BQ135" s="13" t="s">
        <v>506</v>
      </c>
      <c r="CV135" s="13">
        <v>0</v>
      </c>
    </row>
    <row r="136" spans="1:100" x14ac:dyDescent="0.25">
      <c r="A136" t="s">
        <v>289</v>
      </c>
      <c r="B136" t="s">
        <v>282</v>
      </c>
      <c r="C136">
        <v>2020</v>
      </c>
      <c r="D136" t="s">
        <v>284</v>
      </c>
      <c r="E136">
        <v>1</v>
      </c>
      <c r="F136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I136" s="13">
        <v>100</v>
      </c>
      <c r="O13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36" s="13">
        <v>100</v>
      </c>
      <c r="X136" s="13">
        <v>0</v>
      </c>
      <c r="Y136" s="13">
        <v>0</v>
      </c>
      <c r="AB136" s="13">
        <v>39.4</v>
      </c>
      <c r="AC136" s="13">
        <v>8</v>
      </c>
      <c r="AD136" s="13">
        <v>52.5</v>
      </c>
      <c r="AE136" s="13">
        <v>0.1</v>
      </c>
      <c r="AH136" s="13">
        <v>18.600000000000001</v>
      </c>
      <c r="AI136" s="13">
        <v>4.1000000000000003E-3</v>
      </c>
      <c r="AL136" s="13">
        <v>5</v>
      </c>
      <c r="AT136" s="13" t="e">
        <f>LN(25/Table26[[#This Row],[Temperature (C)]]/(1-SQRT((Table26[[#This Row],[Temperature (C)]]-5)/Table26[[#This Row],[Temperature (C)]])))/Table26[[#This Row],[b]]</f>
        <v>#DIV/0!</v>
      </c>
      <c r="AU136" s="13">
        <f>IF(Table26[[#This Row],[b]]&lt;&gt;"",Table26[[#This Row],[T-5]], 0)</f>
        <v>0</v>
      </c>
      <c r="AV136" s="13">
        <v>3.2</v>
      </c>
      <c r="AW136" s="13">
        <v>400</v>
      </c>
      <c r="AY136" t="s">
        <v>503</v>
      </c>
      <c r="AZ136" s="13">
        <v>5.4285714285714199</v>
      </c>
      <c r="BA136" s="13">
        <v>18.194945848375401</v>
      </c>
      <c r="BB136" s="13">
        <v>19.844961240309999</v>
      </c>
      <c r="BD136" s="13">
        <f>100-SUM(Table26[[#This Row],[Solids wt%]:[Aquous wt%]])</f>
        <v>56.53152148274318</v>
      </c>
      <c r="BE136" s="13">
        <v>37.195121951219498</v>
      </c>
      <c r="BQ136" s="13" t="s">
        <v>506</v>
      </c>
      <c r="CV136" s="13">
        <v>0</v>
      </c>
    </row>
    <row r="137" spans="1:100" x14ac:dyDescent="0.25">
      <c r="A137" t="s">
        <v>289</v>
      </c>
      <c r="B137" t="s">
        <v>282</v>
      </c>
      <c r="C137">
        <v>2020</v>
      </c>
      <c r="D137" t="s">
        <v>284</v>
      </c>
      <c r="E137">
        <v>1</v>
      </c>
      <c r="F13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I137" s="13">
        <v>100</v>
      </c>
      <c r="O13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37" s="13">
        <v>100</v>
      </c>
      <c r="X137" s="13">
        <v>0</v>
      </c>
      <c r="Y137" s="13">
        <v>0</v>
      </c>
      <c r="AB137" s="13">
        <v>39.4</v>
      </c>
      <c r="AC137" s="13">
        <v>8</v>
      </c>
      <c r="AD137" s="13">
        <v>52.5</v>
      </c>
      <c r="AE137" s="13">
        <v>0.1</v>
      </c>
      <c r="AH137" s="13">
        <v>18.600000000000001</v>
      </c>
      <c r="AI137" s="13">
        <v>4.1000000000000003E-3</v>
      </c>
      <c r="AL137" s="13">
        <v>5</v>
      </c>
      <c r="AT137" s="13" t="e">
        <f>LN(25/Table26[[#This Row],[Temperature (C)]]/(1-SQRT((Table26[[#This Row],[Temperature (C)]]-5)/Table26[[#This Row],[Temperature (C)]])))/Table26[[#This Row],[b]]</f>
        <v>#DIV/0!</v>
      </c>
      <c r="AU137" s="13">
        <f>IF(Table26[[#This Row],[b]]&lt;&gt;"",Table26[[#This Row],[T-5]], 0)</f>
        <v>0</v>
      </c>
      <c r="AV137" s="13">
        <v>1</v>
      </c>
      <c r="AW137" s="13">
        <v>450</v>
      </c>
      <c r="AY137" t="s">
        <v>503</v>
      </c>
      <c r="AZ137" s="13">
        <v>4.5714285714285801</v>
      </c>
      <c r="BA137" s="13">
        <v>20.252707581227401</v>
      </c>
      <c r="BB137" s="13">
        <v>29.1472868217054</v>
      </c>
      <c r="BD137" s="13">
        <f>100-SUM(Table26[[#This Row],[Solids wt%]:[Aquous wt%]])</f>
        <v>46.028577025638619</v>
      </c>
      <c r="BE137" s="13">
        <v>44.457994579945797</v>
      </c>
      <c r="BQ137" s="13" t="s">
        <v>506</v>
      </c>
      <c r="CV137" s="13">
        <v>0</v>
      </c>
    </row>
    <row r="138" spans="1:100" x14ac:dyDescent="0.25">
      <c r="A138" t="s">
        <v>289</v>
      </c>
      <c r="B138" t="s">
        <v>282</v>
      </c>
      <c r="C138">
        <v>2020</v>
      </c>
      <c r="D138" t="s">
        <v>284</v>
      </c>
      <c r="E138">
        <v>1</v>
      </c>
      <c r="F138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I138" s="13">
        <v>100</v>
      </c>
      <c r="O13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38" s="13">
        <v>100</v>
      </c>
      <c r="X138" s="13">
        <v>0</v>
      </c>
      <c r="Y138" s="13">
        <v>0</v>
      </c>
      <c r="AB138" s="13">
        <v>39.4</v>
      </c>
      <c r="AC138" s="13">
        <v>8</v>
      </c>
      <c r="AD138" s="13">
        <v>52.5</v>
      </c>
      <c r="AE138" s="13">
        <v>0.1</v>
      </c>
      <c r="AH138" s="13">
        <v>18.600000000000001</v>
      </c>
      <c r="AI138" s="13">
        <v>4.1000000000000003E-3</v>
      </c>
      <c r="AL138" s="13">
        <v>5</v>
      </c>
      <c r="AT138" s="13" t="e">
        <f>LN(25/Table26[[#This Row],[Temperature (C)]]/(1-SQRT((Table26[[#This Row],[Temperature (C)]]-5)/Table26[[#This Row],[Temperature (C)]])))/Table26[[#This Row],[b]]</f>
        <v>#DIV/0!</v>
      </c>
      <c r="AU138" s="13">
        <f>IF(Table26[[#This Row],[b]]&lt;&gt;"",Table26[[#This Row],[T-5]], 0)</f>
        <v>0</v>
      </c>
      <c r="AV138" s="13">
        <v>3.2</v>
      </c>
      <c r="AW138" s="13">
        <v>450</v>
      </c>
      <c r="AY138" t="s">
        <v>503</v>
      </c>
      <c r="AZ138" s="13">
        <v>1.99999999999999</v>
      </c>
      <c r="BA138" s="13">
        <v>17.328519855595601</v>
      </c>
      <c r="BB138" s="13">
        <v>8.3720930232558199</v>
      </c>
      <c r="BD138" s="13">
        <f>100-SUM(Table26[[#This Row],[Solids wt%]:[Aquous wt%]])</f>
        <v>72.299387121148584</v>
      </c>
      <c r="BE138" s="13">
        <v>45.542005420054103</v>
      </c>
      <c r="BQ138" s="13" t="s">
        <v>506</v>
      </c>
      <c r="CV138" s="13">
        <v>0</v>
      </c>
    </row>
    <row r="139" spans="1:100" x14ac:dyDescent="0.25">
      <c r="A139" t="s">
        <v>289</v>
      </c>
      <c r="B139" t="s">
        <v>282</v>
      </c>
      <c r="C139">
        <v>2020</v>
      </c>
      <c r="D139" t="s">
        <v>284</v>
      </c>
      <c r="E139">
        <v>1</v>
      </c>
      <c r="F139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I139" s="13">
        <v>100</v>
      </c>
      <c r="O13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39" s="13">
        <v>100</v>
      </c>
      <c r="X139" s="13">
        <v>0</v>
      </c>
      <c r="Y139" s="13">
        <v>0</v>
      </c>
      <c r="AB139" s="13">
        <v>39.4</v>
      </c>
      <c r="AC139" s="13">
        <v>8</v>
      </c>
      <c r="AD139" s="13">
        <v>52.5</v>
      </c>
      <c r="AE139" s="13">
        <v>0.1</v>
      </c>
      <c r="AH139" s="13">
        <v>18.600000000000001</v>
      </c>
      <c r="AI139" s="13">
        <v>4.1000000000000003E-3</v>
      </c>
      <c r="AL139" s="13">
        <v>5</v>
      </c>
      <c r="AT139" s="13" t="e">
        <f>LN(25/Table26[[#This Row],[Temperature (C)]]/(1-SQRT((Table26[[#This Row],[Temperature (C)]]-5)/Table26[[#This Row],[Temperature (C)]])))/Table26[[#This Row],[b]]</f>
        <v>#DIV/0!</v>
      </c>
      <c r="AU139" s="13">
        <f>IF(Table26[[#This Row],[b]]&lt;&gt;"",Table26[[#This Row],[T-5]], 0)</f>
        <v>0</v>
      </c>
      <c r="AV139" s="13">
        <v>1</v>
      </c>
      <c r="AW139" s="13">
        <v>500</v>
      </c>
      <c r="AY139" t="s">
        <v>503</v>
      </c>
      <c r="AZ139" s="13">
        <v>0.85714285714286298</v>
      </c>
      <c r="BA139" s="13">
        <v>22.418772563176798</v>
      </c>
      <c r="BB139" s="13">
        <v>24.4961240310077</v>
      </c>
      <c r="BD139" s="13">
        <f>100-SUM(Table26[[#This Row],[Solids wt%]:[Aquous wt%]])</f>
        <v>52.227960548672641</v>
      </c>
      <c r="BE139" s="13">
        <v>29.5186104218362</v>
      </c>
      <c r="BI139" s="13">
        <v>62.7</v>
      </c>
      <c r="BJ139" s="13">
        <v>7.8</v>
      </c>
      <c r="BK139" s="13">
        <v>29.4</v>
      </c>
      <c r="BL139" s="13">
        <v>0.1</v>
      </c>
      <c r="BN139" s="13">
        <v>29.1</v>
      </c>
      <c r="BP139" s="13">
        <v>33.6</v>
      </c>
      <c r="BQ139" s="13" t="s">
        <v>506</v>
      </c>
      <c r="CV139" s="13">
        <v>0</v>
      </c>
    </row>
    <row r="140" spans="1:100" x14ac:dyDescent="0.25">
      <c r="A140" t="s">
        <v>290</v>
      </c>
      <c r="B140" t="s">
        <v>282</v>
      </c>
      <c r="C140">
        <v>2020</v>
      </c>
      <c r="D140" t="s">
        <v>285</v>
      </c>
      <c r="E140">
        <v>1</v>
      </c>
      <c r="F140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140" s="13">
        <v>100</v>
      </c>
      <c r="O14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40" s="13">
        <v>0</v>
      </c>
      <c r="X140" s="13">
        <v>0</v>
      </c>
      <c r="Y140" s="13">
        <v>100</v>
      </c>
      <c r="AB140" s="13">
        <v>40.5</v>
      </c>
      <c r="AC140" s="13">
        <v>8.1999999999999993</v>
      </c>
      <c r="AD140" s="13">
        <v>51.1</v>
      </c>
      <c r="AE140" s="13">
        <v>0.2</v>
      </c>
      <c r="AH140" s="13">
        <v>19.3</v>
      </c>
      <c r="AI140" s="13">
        <v>4.1000000000000003E-3</v>
      </c>
      <c r="AL140" s="13">
        <v>5</v>
      </c>
      <c r="AT140" s="13" t="e">
        <f>LN(25/Table26[[#This Row],[Temperature (C)]]/(1-SQRT((Table26[[#This Row],[Temperature (C)]]-5)/Table26[[#This Row],[Temperature (C)]])))/Table26[[#This Row],[b]]</f>
        <v>#DIV/0!</v>
      </c>
      <c r="AU140" s="13">
        <f>IF(Table26[[#This Row],[b]]&lt;&gt;"",Table26[[#This Row],[T-5]], 0)</f>
        <v>0</v>
      </c>
      <c r="AV140" s="13">
        <v>3.2</v>
      </c>
      <c r="AW140" s="13">
        <v>350</v>
      </c>
      <c r="AY140" t="s">
        <v>503</v>
      </c>
      <c r="AZ140" s="13">
        <v>7.68627450980392</v>
      </c>
      <c r="BA140" s="13">
        <v>14.250814332247501</v>
      </c>
      <c r="BB140" s="13">
        <v>20.2280130293159</v>
      </c>
      <c r="BD140" s="13">
        <v>58.139534883720899</v>
      </c>
      <c r="BE140" s="13">
        <v>29.7568238213399</v>
      </c>
      <c r="BI140" s="13">
        <v>60.7</v>
      </c>
      <c r="BJ140" s="13">
        <v>7.2</v>
      </c>
      <c r="BK140" s="13">
        <v>31.9</v>
      </c>
      <c r="BL140" s="13">
        <v>0.2</v>
      </c>
      <c r="BN140" s="13">
        <v>27.2</v>
      </c>
      <c r="BP140" s="13">
        <v>20.8</v>
      </c>
      <c r="BQ140" s="13" t="s">
        <v>506</v>
      </c>
      <c r="CV140" s="13">
        <v>0</v>
      </c>
    </row>
    <row r="141" spans="1:100" x14ac:dyDescent="0.25">
      <c r="A141" t="s">
        <v>290</v>
      </c>
      <c r="B141" t="s">
        <v>282</v>
      </c>
      <c r="C141">
        <v>2020</v>
      </c>
      <c r="D141" t="s">
        <v>285</v>
      </c>
      <c r="E141">
        <v>1</v>
      </c>
      <c r="F141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141" s="13">
        <v>100</v>
      </c>
      <c r="O14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41" s="13">
        <v>0</v>
      </c>
      <c r="X141" s="13">
        <v>0</v>
      </c>
      <c r="Y141" s="13">
        <v>100</v>
      </c>
      <c r="AB141" s="13">
        <v>40.5</v>
      </c>
      <c r="AC141" s="13">
        <v>8.1999999999999993</v>
      </c>
      <c r="AD141" s="13">
        <v>51.1</v>
      </c>
      <c r="AE141" s="13">
        <v>0.2</v>
      </c>
      <c r="AH141" s="13">
        <v>19.3</v>
      </c>
      <c r="AI141" s="13">
        <v>4.1000000000000003E-3</v>
      </c>
      <c r="AL141" s="13">
        <v>5</v>
      </c>
      <c r="AT141" s="13" t="e">
        <f>LN(25/Table26[[#This Row],[Temperature (C)]]/(1-SQRT((Table26[[#This Row],[Temperature (C)]]-5)/Table26[[#This Row],[Temperature (C)]])))/Table26[[#This Row],[b]]</f>
        <v>#DIV/0!</v>
      </c>
      <c r="AU141" s="13">
        <f>IF(Table26[[#This Row],[b]]&lt;&gt;"",Table26[[#This Row],[T-5]], 0)</f>
        <v>0</v>
      </c>
      <c r="AV141" s="13">
        <v>5.6</v>
      </c>
      <c r="AW141" s="13">
        <v>350</v>
      </c>
      <c r="AY141" t="s">
        <v>503</v>
      </c>
      <c r="AZ141" s="13">
        <v>7.5947712418300597</v>
      </c>
      <c r="BA141" s="13">
        <v>13.2736156351791</v>
      </c>
      <c r="BB141" s="13">
        <v>13.9739413680781</v>
      </c>
      <c r="BD141" s="13">
        <v>65.780730897009903</v>
      </c>
      <c r="BE141" s="13">
        <v>30.9478908188585</v>
      </c>
      <c r="BI141" s="13">
        <v>62.6</v>
      </c>
      <c r="BJ141" s="13">
        <v>7.1</v>
      </c>
      <c r="BK141" s="13">
        <v>30.2</v>
      </c>
      <c r="BL141" s="13">
        <v>0.1</v>
      </c>
      <c r="BN141" s="13">
        <v>27.9</v>
      </c>
      <c r="BP141" s="13">
        <v>20</v>
      </c>
      <c r="BQ141" s="13" t="s">
        <v>506</v>
      </c>
      <c r="CV141" s="13">
        <v>0</v>
      </c>
    </row>
    <row r="142" spans="1:100" x14ac:dyDescent="0.25">
      <c r="A142" t="s">
        <v>290</v>
      </c>
      <c r="B142" t="s">
        <v>282</v>
      </c>
      <c r="C142">
        <v>2020</v>
      </c>
      <c r="D142" t="s">
        <v>285</v>
      </c>
      <c r="E142">
        <v>1</v>
      </c>
      <c r="F142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142" s="13">
        <v>100</v>
      </c>
      <c r="O14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42" s="13">
        <v>0</v>
      </c>
      <c r="X142" s="13">
        <v>0</v>
      </c>
      <c r="Y142" s="13">
        <v>100</v>
      </c>
      <c r="AB142" s="13">
        <v>40.5</v>
      </c>
      <c r="AC142" s="13">
        <v>8.1999999999999993</v>
      </c>
      <c r="AD142" s="13">
        <v>51.1</v>
      </c>
      <c r="AE142" s="13">
        <v>0.2</v>
      </c>
      <c r="AH142" s="13">
        <v>19.3</v>
      </c>
      <c r="AI142" s="13">
        <v>4.1000000000000003E-3</v>
      </c>
      <c r="AL142" s="13">
        <v>5</v>
      </c>
      <c r="AT142" s="13" t="e">
        <f>LN(25/Table26[[#This Row],[Temperature (C)]]/(1-SQRT((Table26[[#This Row],[Temperature (C)]]-5)/Table26[[#This Row],[Temperature (C)]])))/Table26[[#This Row],[b]]</f>
        <v>#DIV/0!</v>
      </c>
      <c r="AU142" s="13">
        <f>IF(Table26[[#This Row],[b]]&lt;&gt;"",Table26[[#This Row],[T-5]], 0)</f>
        <v>0</v>
      </c>
      <c r="AV142" s="13">
        <v>10</v>
      </c>
      <c r="AW142" s="13">
        <v>350</v>
      </c>
      <c r="AY142" t="s">
        <v>503</v>
      </c>
      <c r="AZ142" s="13">
        <v>5.9019607843137196</v>
      </c>
      <c r="BA142" s="13">
        <v>15.9609120521172</v>
      </c>
      <c r="BB142" s="13">
        <v>14.071661237784999</v>
      </c>
      <c r="BD142" s="13">
        <v>64.119601328903599</v>
      </c>
      <c r="BE142" s="13">
        <v>35.235732009925499</v>
      </c>
      <c r="BI142" s="13">
        <v>68.2</v>
      </c>
      <c r="BJ142" s="13">
        <v>7</v>
      </c>
      <c r="BK142" s="13">
        <v>24.8</v>
      </c>
      <c r="BN142" s="13">
        <v>30.5</v>
      </c>
      <c r="BP142" s="13">
        <v>26.2</v>
      </c>
      <c r="BQ142" s="13" t="s">
        <v>506</v>
      </c>
      <c r="CV142" s="13">
        <v>0</v>
      </c>
    </row>
    <row r="143" spans="1:100" x14ac:dyDescent="0.25">
      <c r="A143" t="s">
        <v>290</v>
      </c>
      <c r="B143" t="s">
        <v>282</v>
      </c>
      <c r="C143">
        <v>2020</v>
      </c>
      <c r="D143" t="s">
        <v>285</v>
      </c>
      <c r="E143">
        <v>1</v>
      </c>
      <c r="F143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143" s="13">
        <v>100</v>
      </c>
      <c r="O14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43" s="13">
        <v>0</v>
      </c>
      <c r="X143" s="13">
        <v>0</v>
      </c>
      <c r="Y143" s="13">
        <v>100</v>
      </c>
      <c r="AB143" s="13">
        <v>40.5</v>
      </c>
      <c r="AC143" s="13">
        <v>8.1999999999999993</v>
      </c>
      <c r="AD143" s="13">
        <v>51.1</v>
      </c>
      <c r="AE143" s="13">
        <v>0.2</v>
      </c>
      <c r="AH143" s="13">
        <v>19.3</v>
      </c>
      <c r="AI143" s="13">
        <v>4.1000000000000003E-3</v>
      </c>
      <c r="AL143" s="13">
        <v>5</v>
      </c>
      <c r="AT143" s="13" t="e">
        <f>LN(25/Table26[[#This Row],[Temperature (C)]]/(1-SQRT((Table26[[#This Row],[Temperature (C)]]-5)/Table26[[#This Row],[Temperature (C)]])))/Table26[[#This Row],[b]]</f>
        <v>#DIV/0!</v>
      </c>
      <c r="AU143" s="13">
        <f>IF(Table26[[#This Row],[b]]&lt;&gt;"",Table26[[#This Row],[T-5]], 0)</f>
        <v>0</v>
      </c>
      <c r="AV143" s="13">
        <v>31.6</v>
      </c>
      <c r="AW143" s="13">
        <v>350</v>
      </c>
      <c r="AY143" t="s">
        <v>503</v>
      </c>
      <c r="AZ143" s="13">
        <v>6.5424836601307197</v>
      </c>
      <c r="BA143" s="13">
        <v>17.671009771986899</v>
      </c>
      <c r="BB143" s="13">
        <v>11.628664495114</v>
      </c>
      <c r="BD143" s="13">
        <v>64.451827242524899</v>
      </c>
      <c r="BE143" s="13">
        <v>23.164556962025301</v>
      </c>
      <c r="BI143" s="13">
        <v>71</v>
      </c>
      <c r="BJ143" s="13">
        <v>7.5</v>
      </c>
      <c r="BK143" s="13">
        <v>21.5</v>
      </c>
      <c r="BL143" s="13">
        <v>0.1</v>
      </c>
      <c r="BN143" s="13">
        <v>32.4</v>
      </c>
      <c r="BP143" s="13">
        <v>30.8</v>
      </c>
      <c r="BQ143" s="13" t="s">
        <v>506</v>
      </c>
      <c r="CV143" s="13">
        <v>0</v>
      </c>
    </row>
    <row r="144" spans="1:100" x14ac:dyDescent="0.25">
      <c r="A144" t="s">
        <v>290</v>
      </c>
      <c r="B144" t="s">
        <v>282</v>
      </c>
      <c r="C144">
        <v>2020</v>
      </c>
      <c r="D144" t="s">
        <v>285</v>
      </c>
      <c r="E144">
        <v>1</v>
      </c>
      <c r="F144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144" s="13">
        <v>100</v>
      </c>
      <c r="O14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44" s="13">
        <v>0</v>
      </c>
      <c r="X144" s="13">
        <v>0</v>
      </c>
      <c r="Y144" s="13">
        <v>100</v>
      </c>
      <c r="AB144" s="13">
        <v>40.5</v>
      </c>
      <c r="AC144" s="13">
        <v>8.1999999999999993</v>
      </c>
      <c r="AD144" s="13">
        <v>51.1</v>
      </c>
      <c r="AE144" s="13">
        <v>0.2</v>
      </c>
      <c r="AH144" s="13">
        <v>19.3</v>
      </c>
      <c r="AI144" s="13">
        <v>4.1000000000000003E-3</v>
      </c>
      <c r="AL144" s="13">
        <v>5</v>
      </c>
      <c r="AT144" s="13" t="e">
        <f>LN(25/Table26[[#This Row],[Temperature (C)]]/(1-SQRT((Table26[[#This Row],[Temperature (C)]]-5)/Table26[[#This Row],[Temperature (C)]])))/Table26[[#This Row],[b]]</f>
        <v>#DIV/0!</v>
      </c>
      <c r="AU144" s="13">
        <f>IF(Table26[[#This Row],[b]]&lt;&gt;"",Table26[[#This Row],[T-5]], 0)</f>
        <v>0</v>
      </c>
      <c r="AV144" s="13">
        <v>1</v>
      </c>
      <c r="AW144" s="13">
        <v>400</v>
      </c>
      <c r="AY144" t="s">
        <v>503</v>
      </c>
      <c r="AZ144" s="13">
        <v>3.4285714285714399</v>
      </c>
      <c r="BA144" s="13">
        <v>6.1732851985559503</v>
      </c>
      <c r="BB144" s="13">
        <v>73.798449612403104</v>
      </c>
      <c r="BD144" s="13">
        <f>100-SUM(Table26[[#This Row],[Solids wt%]:[Aquous wt%]])</f>
        <v>16.599693760469506</v>
      </c>
      <c r="BE144" s="13">
        <v>23.837974683544299</v>
      </c>
      <c r="BQ144" s="13" t="s">
        <v>506</v>
      </c>
      <c r="CV144" s="13">
        <v>0</v>
      </c>
    </row>
    <row r="145" spans="1:100" x14ac:dyDescent="0.25">
      <c r="A145" t="s">
        <v>290</v>
      </c>
      <c r="B145" t="s">
        <v>282</v>
      </c>
      <c r="C145">
        <v>2020</v>
      </c>
      <c r="D145" t="s">
        <v>285</v>
      </c>
      <c r="E145">
        <v>1</v>
      </c>
      <c r="F145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145" s="13">
        <v>100</v>
      </c>
      <c r="O14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45" s="13">
        <v>0</v>
      </c>
      <c r="X145" s="13">
        <v>0</v>
      </c>
      <c r="Y145" s="13">
        <v>100</v>
      </c>
      <c r="AB145" s="13">
        <v>40.5</v>
      </c>
      <c r="AC145" s="13">
        <v>8.1999999999999993</v>
      </c>
      <c r="AD145" s="13">
        <v>51.1</v>
      </c>
      <c r="AE145" s="13">
        <v>0.2</v>
      </c>
      <c r="AH145" s="13">
        <v>19.3</v>
      </c>
      <c r="AI145" s="13">
        <v>4.1000000000000003E-3</v>
      </c>
      <c r="AL145" s="13">
        <v>5</v>
      </c>
      <c r="AT145" s="13" t="e">
        <f>LN(25/Table26[[#This Row],[Temperature (C)]]/(1-SQRT((Table26[[#This Row],[Temperature (C)]]-5)/Table26[[#This Row],[Temperature (C)]])))/Table26[[#This Row],[b]]</f>
        <v>#DIV/0!</v>
      </c>
      <c r="AU145" s="13">
        <f>IF(Table26[[#This Row],[b]]&lt;&gt;"",Table26[[#This Row],[T-5]], 0)</f>
        <v>0</v>
      </c>
      <c r="AV145" s="13">
        <v>3.2</v>
      </c>
      <c r="AW145" s="13">
        <v>400</v>
      </c>
      <c r="AY145" t="s">
        <v>503</v>
      </c>
      <c r="AZ145" s="13">
        <v>4</v>
      </c>
      <c r="BA145" s="13">
        <v>17.978339350180502</v>
      </c>
      <c r="BB145" s="13">
        <v>19.224806201550301</v>
      </c>
      <c r="BD145" s="13">
        <f>100-SUM(Table26[[#This Row],[Solids wt%]:[Aquous wt%]])</f>
        <v>58.796854448269201</v>
      </c>
      <c r="BE145" s="13">
        <v>27.301265822784799</v>
      </c>
      <c r="BQ145" s="13" t="s">
        <v>506</v>
      </c>
      <c r="CV145" s="13">
        <v>0</v>
      </c>
    </row>
    <row r="146" spans="1:100" x14ac:dyDescent="0.25">
      <c r="A146" t="s">
        <v>290</v>
      </c>
      <c r="B146" t="s">
        <v>282</v>
      </c>
      <c r="C146">
        <v>2020</v>
      </c>
      <c r="D146" t="s">
        <v>285</v>
      </c>
      <c r="E146">
        <v>1</v>
      </c>
      <c r="F146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146" s="13">
        <v>100</v>
      </c>
      <c r="O14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46" s="13">
        <v>0</v>
      </c>
      <c r="X146" s="13">
        <v>0</v>
      </c>
      <c r="Y146" s="13">
        <v>100</v>
      </c>
      <c r="AB146" s="13">
        <v>40.5</v>
      </c>
      <c r="AC146" s="13">
        <v>8.1999999999999993</v>
      </c>
      <c r="AD146" s="13">
        <v>51.1</v>
      </c>
      <c r="AE146" s="13">
        <v>0.2</v>
      </c>
      <c r="AH146" s="13">
        <v>19.3</v>
      </c>
      <c r="AI146" s="13">
        <v>4.1000000000000003E-3</v>
      </c>
      <c r="AL146" s="13">
        <v>5</v>
      </c>
      <c r="AT146" s="13" t="e">
        <f>LN(25/Table26[[#This Row],[Temperature (C)]]/(1-SQRT((Table26[[#This Row],[Temperature (C)]]-5)/Table26[[#This Row],[Temperature (C)]])))/Table26[[#This Row],[b]]</f>
        <v>#DIV/0!</v>
      </c>
      <c r="AU146" s="13">
        <f>IF(Table26[[#This Row],[b]]&lt;&gt;"",Table26[[#This Row],[T-5]], 0)</f>
        <v>0</v>
      </c>
      <c r="AV146" s="13">
        <v>1</v>
      </c>
      <c r="AW146" s="13">
        <v>450</v>
      </c>
      <c r="AY146" t="s">
        <v>503</v>
      </c>
      <c r="AZ146" s="13">
        <v>1.4285714285714299</v>
      </c>
      <c r="BA146" s="13">
        <v>18.519855595667799</v>
      </c>
      <c r="BB146" s="13">
        <v>23.565891472868199</v>
      </c>
      <c r="BD146" s="13">
        <f>100-SUM(Table26[[#This Row],[Solids wt%]:[Aquous wt%]])</f>
        <v>56.485681502892575</v>
      </c>
      <c r="BE146" s="13">
        <v>27.0126582278481</v>
      </c>
      <c r="BQ146" s="13" t="s">
        <v>506</v>
      </c>
      <c r="CV146" s="13">
        <v>0</v>
      </c>
    </row>
    <row r="147" spans="1:100" x14ac:dyDescent="0.25">
      <c r="A147" t="s">
        <v>290</v>
      </c>
      <c r="B147" t="s">
        <v>282</v>
      </c>
      <c r="C147">
        <v>2020</v>
      </c>
      <c r="D147" t="s">
        <v>285</v>
      </c>
      <c r="E147">
        <v>1</v>
      </c>
      <c r="F14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147" s="13">
        <v>100</v>
      </c>
      <c r="O14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47" s="13">
        <v>0</v>
      </c>
      <c r="X147" s="13">
        <v>0</v>
      </c>
      <c r="Y147" s="13">
        <v>100</v>
      </c>
      <c r="AB147" s="13">
        <v>40.5</v>
      </c>
      <c r="AC147" s="13">
        <v>8.1999999999999993</v>
      </c>
      <c r="AD147" s="13">
        <v>51.1</v>
      </c>
      <c r="AE147" s="13">
        <v>0.2</v>
      </c>
      <c r="AH147" s="13">
        <v>19.3</v>
      </c>
      <c r="AI147" s="13">
        <v>4.1000000000000003E-3</v>
      </c>
      <c r="AL147" s="13">
        <v>5</v>
      </c>
      <c r="AT147" s="13" t="e">
        <f>LN(25/Table26[[#This Row],[Temperature (C)]]/(1-SQRT((Table26[[#This Row],[Temperature (C)]]-5)/Table26[[#This Row],[Temperature (C)]])))/Table26[[#This Row],[b]]</f>
        <v>#DIV/0!</v>
      </c>
      <c r="AU147" s="13">
        <f>IF(Table26[[#This Row],[b]]&lt;&gt;"",Table26[[#This Row],[T-5]], 0)</f>
        <v>0</v>
      </c>
      <c r="AV147" s="13">
        <v>3.2</v>
      </c>
      <c r="AW147" s="13">
        <v>450</v>
      </c>
      <c r="AY147" t="s">
        <v>503</v>
      </c>
      <c r="AZ147" s="13">
        <v>1.4285714285714299</v>
      </c>
      <c r="BA147" s="13">
        <v>16.1371841155234</v>
      </c>
      <c r="BB147" s="13">
        <v>4.3410852713178398</v>
      </c>
      <c r="BD147" s="13">
        <f>100-SUM(Table26[[#This Row],[Solids wt%]:[Aquous wt%]])</f>
        <v>78.093159184587336</v>
      </c>
      <c r="BE147" s="13" t="s">
        <v>506</v>
      </c>
      <c r="BQ147" s="13" t="s">
        <v>506</v>
      </c>
      <c r="CV147" s="13">
        <v>0</v>
      </c>
    </row>
    <row r="148" spans="1:100" x14ac:dyDescent="0.25">
      <c r="A148" t="s">
        <v>290</v>
      </c>
      <c r="B148" t="s">
        <v>282</v>
      </c>
      <c r="C148">
        <v>2020</v>
      </c>
      <c r="D148" t="s">
        <v>285</v>
      </c>
      <c r="E148">
        <v>1</v>
      </c>
      <c r="F148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148" s="13">
        <v>100</v>
      </c>
      <c r="O14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48" s="13">
        <v>0</v>
      </c>
      <c r="X148" s="13">
        <v>0</v>
      </c>
      <c r="Y148" s="13">
        <v>100</v>
      </c>
      <c r="AB148" s="13">
        <v>40.5</v>
      </c>
      <c r="AC148" s="13">
        <v>8.1999999999999993</v>
      </c>
      <c r="AD148" s="13">
        <v>51.1</v>
      </c>
      <c r="AE148" s="13">
        <v>0.2</v>
      </c>
      <c r="AH148" s="13">
        <v>19.3</v>
      </c>
      <c r="AI148" s="13">
        <v>4.1000000000000003E-3</v>
      </c>
      <c r="AL148" s="13">
        <v>5</v>
      </c>
      <c r="AT148" s="13" t="e">
        <f>LN(25/Table26[[#This Row],[Temperature (C)]]/(1-SQRT((Table26[[#This Row],[Temperature (C)]]-5)/Table26[[#This Row],[Temperature (C)]])))/Table26[[#This Row],[b]]</f>
        <v>#DIV/0!</v>
      </c>
      <c r="AU148" s="13">
        <f>IF(Table26[[#This Row],[b]]&lt;&gt;"",Table26[[#This Row],[T-5]], 0)</f>
        <v>0</v>
      </c>
      <c r="AV148" s="13">
        <v>1</v>
      </c>
      <c r="AW148" s="13">
        <v>500</v>
      </c>
      <c r="AY148" t="s">
        <v>503</v>
      </c>
      <c r="AZ148" s="13">
        <v>1.1428571428571399</v>
      </c>
      <c r="BA148" s="13">
        <v>22.7436823104693</v>
      </c>
      <c r="BB148" s="13">
        <v>22.015503875968999</v>
      </c>
      <c r="BD148" s="13">
        <f>100-SUM(Table26[[#This Row],[Solids wt%]:[Aquous wt%]])</f>
        <v>54.097956670704562</v>
      </c>
      <c r="BE148" s="13" t="s">
        <v>506</v>
      </c>
      <c r="BI148" s="13">
        <v>65.599999999999994</v>
      </c>
      <c r="BJ148" s="13">
        <v>8.1999999999999993</v>
      </c>
      <c r="BK148" s="13">
        <v>26.2</v>
      </c>
      <c r="BN148" s="13">
        <v>31</v>
      </c>
      <c r="BP148" s="13">
        <v>38.1</v>
      </c>
      <c r="BQ148" s="13" t="s">
        <v>506</v>
      </c>
      <c r="CV148" s="13">
        <v>0</v>
      </c>
    </row>
    <row r="149" spans="1:100" x14ac:dyDescent="0.25">
      <c r="A149" t="s">
        <v>291</v>
      </c>
      <c r="B149" t="s">
        <v>282</v>
      </c>
      <c r="C149">
        <v>2020</v>
      </c>
      <c r="D149" t="s">
        <v>286</v>
      </c>
      <c r="E149">
        <v>1</v>
      </c>
      <c r="F149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149" s="13">
        <v>100</v>
      </c>
      <c r="O14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49" s="13">
        <v>100</v>
      </c>
      <c r="X149" s="13">
        <v>0</v>
      </c>
      <c r="Y149" s="13">
        <v>0</v>
      </c>
      <c r="AB149" s="13">
        <v>42.3</v>
      </c>
      <c r="AC149" s="13">
        <v>7.6</v>
      </c>
      <c r="AD149" s="13">
        <v>50</v>
      </c>
      <c r="AE149" s="13">
        <v>0.1</v>
      </c>
      <c r="AH149" s="13">
        <v>19.3</v>
      </c>
      <c r="AI149" s="13">
        <v>4.1000000000000003E-3</v>
      </c>
      <c r="AL149" s="13">
        <v>5</v>
      </c>
      <c r="AT149" s="13" t="e">
        <f>LN(25/Table26[[#This Row],[Temperature (C)]]/(1-SQRT((Table26[[#This Row],[Temperature (C)]]-5)/Table26[[#This Row],[Temperature (C)]])))/Table26[[#This Row],[b]]</f>
        <v>#DIV/0!</v>
      </c>
      <c r="AU149" s="13">
        <f>IF(Table26[[#This Row],[b]]&lt;&gt;"",Table26[[#This Row],[T-5]], 0)</f>
        <v>0</v>
      </c>
      <c r="AV149" s="13">
        <v>3.2</v>
      </c>
      <c r="AW149" s="13">
        <v>350</v>
      </c>
      <c r="AY149" t="s">
        <v>503</v>
      </c>
      <c r="AZ149" s="13">
        <v>9.7450980392156801</v>
      </c>
      <c r="BA149" s="13">
        <v>11.1563517915309</v>
      </c>
      <c r="BB149" s="13">
        <v>23.648208469055302</v>
      </c>
      <c r="BD149" s="13">
        <v>55.813953488372</v>
      </c>
      <c r="BE149" s="13" t="s">
        <v>506</v>
      </c>
      <c r="BI149" s="13">
        <v>60.7</v>
      </c>
      <c r="BJ149" s="13">
        <v>6.5</v>
      </c>
      <c r="BK149" s="13">
        <v>32.700000000000003</v>
      </c>
      <c r="BL149" s="13">
        <v>0.1</v>
      </c>
      <c r="BN149" s="13">
        <v>26.1</v>
      </c>
      <c r="BP149" s="13">
        <v>15.2</v>
      </c>
      <c r="BQ149" s="13" t="s">
        <v>506</v>
      </c>
      <c r="CV149" s="13">
        <v>0</v>
      </c>
    </row>
    <row r="150" spans="1:100" x14ac:dyDescent="0.25">
      <c r="A150" t="s">
        <v>291</v>
      </c>
      <c r="B150" t="s">
        <v>282</v>
      </c>
      <c r="C150">
        <v>2020</v>
      </c>
      <c r="D150" t="s">
        <v>286</v>
      </c>
      <c r="E150">
        <v>1</v>
      </c>
      <c r="F150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150" s="13">
        <v>100</v>
      </c>
      <c r="O15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50" s="13">
        <v>100</v>
      </c>
      <c r="X150" s="13">
        <v>0</v>
      </c>
      <c r="Y150" s="13">
        <v>0</v>
      </c>
      <c r="AB150" s="13">
        <v>42.3</v>
      </c>
      <c r="AC150" s="13">
        <v>7.6</v>
      </c>
      <c r="AD150" s="13">
        <v>50</v>
      </c>
      <c r="AE150" s="13">
        <v>0.1</v>
      </c>
      <c r="AH150" s="13">
        <v>19.3</v>
      </c>
      <c r="AI150" s="13">
        <v>4.1000000000000003E-3</v>
      </c>
      <c r="AL150" s="13">
        <v>5</v>
      </c>
      <c r="AT150" s="13" t="e">
        <f>LN(25/Table26[[#This Row],[Temperature (C)]]/(1-SQRT((Table26[[#This Row],[Temperature (C)]]-5)/Table26[[#This Row],[Temperature (C)]])))/Table26[[#This Row],[b]]</f>
        <v>#DIV/0!</v>
      </c>
      <c r="AU150" s="13">
        <f>IF(Table26[[#This Row],[b]]&lt;&gt;"",Table26[[#This Row],[T-5]], 0)</f>
        <v>0</v>
      </c>
      <c r="AV150" s="13">
        <v>5.6</v>
      </c>
      <c r="AW150" s="13">
        <v>350</v>
      </c>
      <c r="AY150" t="s">
        <v>503</v>
      </c>
      <c r="AZ150" s="13">
        <v>9.5620915032679701</v>
      </c>
      <c r="BA150" s="13">
        <v>13.029315960911999</v>
      </c>
      <c r="BB150" s="13">
        <v>18.371335504885899</v>
      </c>
      <c r="BD150" s="13">
        <v>59.136212624584701</v>
      </c>
      <c r="BE150" s="13" t="s">
        <v>506</v>
      </c>
      <c r="BI150" s="13">
        <v>55.6</v>
      </c>
      <c r="BJ150" s="13">
        <v>7.4</v>
      </c>
      <c r="BK150" s="13">
        <v>36.9</v>
      </c>
      <c r="BL150" s="13">
        <v>0.1</v>
      </c>
      <c r="BN150" s="13">
        <v>25.3</v>
      </c>
      <c r="BP150" s="13">
        <v>17.100000000000001</v>
      </c>
      <c r="BQ150" s="13" t="s">
        <v>506</v>
      </c>
      <c r="CV150" s="13">
        <v>0</v>
      </c>
    </row>
    <row r="151" spans="1:100" x14ac:dyDescent="0.25">
      <c r="A151" t="s">
        <v>291</v>
      </c>
      <c r="B151" t="s">
        <v>282</v>
      </c>
      <c r="C151">
        <v>2020</v>
      </c>
      <c r="D151" t="s">
        <v>286</v>
      </c>
      <c r="E151">
        <v>1</v>
      </c>
      <c r="F151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151" s="13">
        <v>100</v>
      </c>
      <c r="O15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51" s="13">
        <v>100</v>
      </c>
      <c r="X151" s="13">
        <v>0</v>
      </c>
      <c r="Y151" s="13">
        <v>0</v>
      </c>
      <c r="AB151" s="13">
        <v>42.3</v>
      </c>
      <c r="AC151" s="13">
        <v>7.6</v>
      </c>
      <c r="AD151" s="13">
        <v>50</v>
      </c>
      <c r="AE151" s="13">
        <v>0.1</v>
      </c>
      <c r="AH151" s="13">
        <v>19.3</v>
      </c>
      <c r="AI151" s="13">
        <v>4.1000000000000003E-3</v>
      </c>
      <c r="AL151" s="13">
        <v>5</v>
      </c>
      <c r="AT151" s="13" t="e">
        <f>LN(25/Table26[[#This Row],[Temperature (C)]]/(1-SQRT((Table26[[#This Row],[Temperature (C)]]-5)/Table26[[#This Row],[Temperature (C)]])))/Table26[[#This Row],[b]]</f>
        <v>#DIV/0!</v>
      </c>
      <c r="AU151" s="13">
        <f>IF(Table26[[#This Row],[b]]&lt;&gt;"",Table26[[#This Row],[T-5]], 0)</f>
        <v>0</v>
      </c>
      <c r="AV151" s="13">
        <v>10</v>
      </c>
      <c r="AW151" s="13">
        <v>350</v>
      </c>
      <c r="AY151" t="s">
        <v>503</v>
      </c>
      <c r="AZ151" s="13">
        <v>8.2810457516339806</v>
      </c>
      <c r="BA151" s="13">
        <v>15.553745928338699</v>
      </c>
      <c r="BB151" s="13">
        <v>14.462540716612301</v>
      </c>
      <c r="BD151" s="13">
        <v>62.126245847176101</v>
      </c>
      <c r="BE151" s="13">
        <v>48.051948051948102</v>
      </c>
      <c r="BI151" s="13">
        <v>58</v>
      </c>
      <c r="BJ151" s="13">
        <v>7.5</v>
      </c>
      <c r="BK151" s="13">
        <v>34.4</v>
      </c>
      <c r="BL151" s="13">
        <v>0.1</v>
      </c>
      <c r="BN151" s="13">
        <v>26.4</v>
      </c>
      <c r="BP151" s="13">
        <v>21.3</v>
      </c>
      <c r="BQ151" s="13" t="s">
        <v>506</v>
      </c>
      <c r="CV151" s="13">
        <v>0</v>
      </c>
    </row>
    <row r="152" spans="1:100" x14ac:dyDescent="0.25">
      <c r="A152" t="s">
        <v>291</v>
      </c>
      <c r="B152" t="s">
        <v>282</v>
      </c>
      <c r="C152">
        <v>2020</v>
      </c>
      <c r="D152" t="s">
        <v>286</v>
      </c>
      <c r="E152">
        <v>1</v>
      </c>
      <c r="F152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152" s="13">
        <v>100</v>
      </c>
      <c r="O15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52" s="13">
        <v>100</v>
      </c>
      <c r="X152" s="13">
        <v>0</v>
      </c>
      <c r="Y152" s="13">
        <v>0</v>
      </c>
      <c r="AB152" s="13">
        <v>42.3</v>
      </c>
      <c r="AC152" s="13">
        <v>7.6</v>
      </c>
      <c r="AD152" s="13">
        <v>50</v>
      </c>
      <c r="AE152" s="13">
        <v>0.1</v>
      </c>
      <c r="AH152" s="13">
        <v>19.3</v>
      </c>
      <c r="AI152" s="13">
        <v>4.1000000000000003E-3</v>
      </c>
      <c r="AL152" s="13">
        <v>5</v>
      </c>
      <c r="AT152" s="13" t="e">
        <f>LN(25/Table26[[#This Row],[Temperature (C)]]/(1-SQRT((Table26[[#This Row],[Temperature (C)]]-5)/Table26[[#This Row],[Temperature (C)]])))/Table26[[#This Row],[b]]</f>
        <v>#DIV/0!</v>
      </c>
      <c r="AU152" s="13">
        <f>IF(Table26[[#This Row],[b]]&lt;&gt;"",Table26[[#This Row],[T-5]], 0)</f>
        <v>0</v>
      </c>
      <c r="AV152" s="13">
        <v>31.6</v>
      </c>
      <c r="AW152" s="13">
        <v>350</v>
      </c>
      <c r="AY152" t="s">
        <v>503</v>
      </c>
      <c r="AZ152" s="13">
        <v>4.9869281045751599</v>
      </c>
      <c r="BA152" s="13">
        <v>18.729641693811001</v>
      </c>
      <c r="BB152" s="13">
        <v>12.312703583061801</v>
      </c>
      <c r="BD152" s="13">
        <v>64.4518272425248</v>
      </c>
      <c r="BE152" s="13">
        <v>47.077922077922103</v>
      </c>
      <c r="BI152" s="13">
        <v>70.900000000000006</v>
      </c>
      <c r="BJ152" s="13">
        <v>7.8</v>
      </c>
      <c r="BK152" s="13">
        <v>21.2</v>
      </c>
      <c r="BL152" s="13">
        <v>0.1</v>
      </c>
      <c r="BN152" s="13">
        <v>32.9</v>
      </c>
      <c r="BP152" s="13">
        <v>31.8</v>
      </c>
      <c r="BQ152" s="13" t="s">
        <v>506</v>
      </c>
      <c r="CV152" s="13">
        <v>0</v>
      </c>
    </row>
    <row r="153" spans="1:100" x14ac:dyDescent="0.25">
      <c r="A153" t="s">
        <v>291</v>
      </c>
      <c r="B153" t="s">
        <v>282</v>
      </c>
      <c r="C153">
        <v>2020</v>
      </c>
      <c r="D153" t="s">
        <v>286</v>
      </c>
      <c r="E153">
        <v>1</v>
      </c>
      <c r="F153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153" s="13">
        <v>100</v>
      </c>
      <c r="O15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53" s="13">
        <v>100</v>
      </c>
      <c r="X153" s="13">
        <v>0</v>
      </c>
      <c r="Y153" s="13">
        <v>0</v>
      </c>
      <c r="AB153" s="13">
        <v>42.3</v>
      </c>
      <c r="AC153" s="13">
        <v>7.6</v>
      </c>
      <c r="AD153" s="13">
        <v>50</v>
      </c>
      <c r="AE153" s="13">
        <v>0.1</v>
      </c>
      <c r="AH153" s="13">
        <v>19.3</v>
      </c>
      <c r="AI153" s="13">
        <v>4.1000000000000003E-3</v>
      </c>
      <c r="AL153" s="13">
        <v>5</v>
      </c>
      <c r="AT153" s="13" t="e">
        <f>LN(25/Table26[[#This Row],[Temperature (C)]]/(1-SQRT((Table26[[#This Row],[Temperature (C)]]-5)/Table26[[#This Row],[Temperature (C)]])))/Table26[[#This Row],[b]]</f>
        <v>#DIV/0!</v>
      </c>
      <c r="AU153" s="13">
        <f>IF(Table26[[#This Row],[b]]&lt;&gt;"",Table26[[#This Row],[T-5]], 0)</f>
        <v>0</v>
      </c>
      <c r="AV153" s="13">
        <v>1</v>
      </c>
      <c r="AW153" s="13">
        <v>400</v>
      </c>
      <c r="AY153" t="s">
        <v>503</v>
      </c>
      <c r="AZ153" s="13">
        <v>2.2857142857142798</v>
      </c>
      <c r="BA153" s="13">
        <v>7.2563176895306798</v>
      </c>
      <c r="BB153" s="13">
        <v>45.271317829457303</v>
      </c>
      <c r="BD153" s="13">
        <f>100-SUM(Table26[[#This Row],[Solids wt%]:[Aquous wt%]])</f>
        <v>45.186650195297737</v>
      </c>
      <c r="BE153" s="13">
        <v>50.649350649350701</v>
      </c>
      <c r="BQ153" s="13" t="s">
        <v>506</v>
      </c>
      <c r="CV153" s="13">
        <v>0</v>
      </c>
    </row>
    <row r="154" spans="1:100" x14ac:dyDescent="0.25">
      <c r="A154" t="s">
        <v>291</v>
      </c>
      <c r="B154" t="s">
        <v>282</v>
      </c>
      <c r="C154">
        <v>2020</v>
      </c>
      <c r="D154" t="s">
        <v>286</v>
      </c>
      <c r="E154">
        <v>1</v>
      </c>
      <c r="F154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154" s="13">
        <v>100</v>
      </c>
      <c r="O15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54" s="13">
        <v>100</v>
      </c>
      <c r="X154" s="13">
        <v>0</v>
      </c>
      <c r="Y154" s="13">
        <v>0</v>
      </c>
      <c r="AB154" s="13">
        <v>42.3</v>
      </c>
      <c r="AC154" s="13">
        <v>7.6</v>
      </c>
      <c r="AD154" s="13">
        <v>50</v>
      </c>
      <c r="AE154" s="13">
        <v>0.1</v>
      </c>
      <c r="AH154" s="13">
        <v>19.3</v>
      </c>
      <c r="AI154" s="13">
        <v>4.1000000000000003E-3</v>
      </c>
      <c r="AL154" s="13">
        <v>5</v>
      </c>
      <c r="AT154" s="13" t="e">
        <f>LN(25/Table26[[#This Row],[Temperature (C)]]/(1-SQRT((Table26[[#This Row],[Temperature (C)]]-5)/Table26[[#This Row],[Temperature (C)]])))/Table26[[#This Row],[b]]</f>
        <v>#DIV/0!</v>
      </c>
      <c r="AU154" s="13">
        <f>IF(Table26[[#This Row],[b]]&lt;&gt;"",Table26[[#This Row],[T-5]], 0)</f>
        <v>0</v>
      </c>
      <c r="AV154" s="13">
        <v>3.2</v>
      </c>
      <c r="AW154" s="13">
        <v>400</v>
      </c>
      <c r="AY154" t="s">
        <v>503</v>
      </c>
      <c r="AZ154" s="13">
        <v>5.1428571428571299</v>
      </c>
      <c r="BA154" s="13">
        <v>16.1371841155234</v>
      </c>
      <c r="BB154" s="13">
        <v>18.914728682170502</v>
      </c>
      <c r="BD154" s="13">
        <f>100-SUM(Table26[[#This Row],[Solids wt%]:[Aquous wt%]])</f>
        <v>59.805230059448974</v>
      </c>
      <c r="BE154" s="13">
        <v>51.298701298701303</v>
      </c>
      <c r="BQ154" s="13" t="s">
        <v>506</v>
      </c>
      <c r="CV154" s="13">
        <v>0</v>
      </c>
    </row>
    <row r="155" spans="1:100" x14ac:dyDescent="0.25">
      <c r="A155" t="s">
        <v>291</v>
      </c>
      <c r="B155" t="s">
        <v>282</v>
      </c>
      <c r="C155">
        <v>2020</v>
      </c>
      <c r="D155" t="s">
        <v>286</v>
      </c>
      <c r="E155">
        <v>1</v>
      </c>
      <c r="F155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155" s="13">
        <v>100</v>
      </c>
      <c r="O15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55" s="13">
        <v>100</v>
      </c>
      <c r="X155" s="13">
        <v>0</v>
      </c>
      <c r="Y155" s="13">
        <v>0</v>
      </c>
      <c r="AB155" s="13">
        <v>42.3</v>
      </c>
      <c r="AC155" s="13">
        <v>7.6</v>
      </c>
      <c r="AD155" s="13">
        <v>50</v>
      </c>
      <c r="AE155" s="13">
        <v>0.1</v>
      </c>
      <c r="AH155" s="13">
        <v>19.3</v>
      </c>
      <c r="AI155" s="13">
        <v>4.1000000000000003E-3</v>
      </c>
      <c r="AL155" s="13">
        <v>5</v>
      </c>
      <c r="AT155" s="13" t="e">
        <f>LN(25/Table26[[#This Row],[Temperature (C)]]/(1-SQRT((Table26[[#This Row],[Temperature (C)]]-5)/Table26[[#This Row],[Temperature (C)]])))/Table26[[#This Row],[b]]</f>
        <v>#DIV/0!</v>
      </c>
      <c r="AU155" s="13">
        <f>IF(Table26[[#This Row],[b]]&lt;&gt;"",Table26[[#This Row],[T-5]], 0)</f>
        <v>0</v>
      </c>
      <c r="AV155" s="13">
        <v>1</v>
      </c>
      <c r="AW155" s="13">
        <v>450</v>
      </c>
      <c r="AY155" t="s">
        <v>503</v>
      </c>
      <c r="AZ155" s="13">
        <v>2.8571428571428501</v>
      </c>
      <c r="BA155" s="13">
        <v>17.5451263537906</v>
      </c>
      <c r="BB155" s="13">
        <v>26.356589147286801</v>
      </c>
      <c r="BD155" s="13">
        <f>100-SUM(Table26[[#This Row],[Solids wt%]:[Aquous wt%]])</f>
        <v>53.241141641779748</v>
      </c>
      <c r="BE155" s="13">
        <v>12.662337662337706</v>
      </c>
      <c r="BQ155" s="13" t="s">
        <v>506</v>
      </c>
      <c r="CV155" s="13">
        <v>0</v>
      </c>
    </row>
    <row r="156" spans="1:100" x14ac:dyDescent="0.25">
      <c r="A156" t="s">
        <v>291</v>
      </c>
      <c r="B156" t="s">
        <v>282</v>
      </c>
      <c r="C156">
        <v>2020</v>
      </c>
      <c r="D156" t="s">
        <v>286</v>
      </c>
      <c r="E156">
        <v>1</v>
      </c>
      <c r="F156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156" s="13">
        <v>100</v>
      </c>
      <c r="O15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56" s="13">
        <v>100</v>
      </c>
      <c r="X156" s="13">
        <v>0</v>
      </c>
      <c r="Y156" s="13">
        <v>0</v>
      </c>
      <c r="AB156" s="13">
        <v>42.3</v>
      </c>
      <c r="AC156" s="13">
        <v>7.6</v>
      </c>
      <c r="AD156" s="13">
        <v>50</v>
      </c>
      <c r="AE156" s="13">
        <v>0.1</v>
      </c>
      <c r="AH156" s="13">
        <v>19.3</v>
      </c>
      <c r="AI156" s="13">
        <v>4.1000000000000003E-3</v>
      </c>
      <c r="AL156" s="13">
        <v>5</v>
      </c>
      <c r="AT156" s="13" t="e">
        <f>LN(25/Table26[[#This Row],[Temperature (C)]]/(1-SQRT((Table26[[#This Row],[Temperature (C)]]-5)/Table26[[#This Row],[Temperature (C)]])))/Table26[[#This Row],[b]]</f>
        <v>#DIV/0!</v>
      </c>
      <c r="AU156" s="13">
        <f>IF(Table26[[#This Row],[b]]&lt;&gt;"",Table26[[#This Row],[T-5]], 0)</f>
        <v>0</v>
      </c>
      <c r="AV156" s="13">
        <v>3.2</v>
      </c>
      <c r="AW156" s="13">
        <v>450</v>
      </c>
      <c r="AY156" t="s">
        <v>503</v>
      </c>
      <c r="AZ156" s="13">
        <v>2.2857142857142798</v>
      </c>
      <c r="BA156" s="13">
        <v>16.353790613718399</v>
      </c>
      <c r="BB156" s="13">
        <v>8.6821705426356601</v>
      </c>
      <c r="BD156" s="13">
        <f>100-SUM(Table26[[#This Row],[Solids wt%]:[Aquous wt%]])</f>
        <v>72.67832455793166</v>
      </c>
      <c r="BE156" s="13">
        <v>20.454545454545496</v>
      </c>
      <c r="BQ156" s="13" t="s">
        <v>506</v>
      </c>
      <c r="CV156" s="13">
        <v>0</v>
      </c>
    </row>
    <row r="157" spans="1:100" x14ac:dyDescent="0.25">
      <c r="A157" t="s">
        <v>291</v>
      </c>
      <c r="B157" t="s">
        <v>282</v>
      </c>
      <c r="C157">
        <v>2020</v>
      </c>
      <c r="D157" t="s">
        <v>286</v>
      </c>
      <c r="E157">
        <v>1</v>
      </c>
      <c r="F15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157" s="13">
        <v>100</v>
      </c>
      <c r="O15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57" s="13">
        <v>100</v>
      </c>
      <c r="X157" s="13">
        <v>0</v>
      </c>
      <c r="Y157" s="13">
        <v>0</v>
      </c>
      <c r="AB157" s="13">
        <v>42.3</v>
      </c>
      <c r="AC157" s="13">
        <v>7.6</v>
      </c>
      <c r="AD157" s="13">
        <v>50</v>
      </c>
      <c r="AE157" s="13">
        <v>0.1</v>
      </c>
      <c r="AH157" s="13">
        <v>19.3</v>
      </c>
      <c r="AI157" s="13">
        <v>4.1000000000000003E-3</v>
      </c>
      <c r="AL157" s="13">
        <v>5</v>
      </c>
      <c r="AT157" s="13" t="e">
        <f>LN(25/Table26[[#This Row],[Temperature (C)]]/(1-SQRT((Table26[[#This Row],[Temperature (C)]]-5)/Table26[[#This Row],[Temperature (C)]])))/Table26[[#This Row],[b]]</f>
        <v>#DIV/0!</v>
      </c>
      <c r="AU157" s="13">
        <f>IF(Table26[[#This Row],[b]]&lt;&gt;"",Table26[[#This Row],[T-5]], 0)</f>
        <v>0</v>
      </c>
      <c r="AV157" s="13">
        <v>1</v>
      </c>
      <c r="AW157" s="13">
        <v>500</v>
      </c>
      <c r="AY157" t="s">
        <v>503</v>
      </c>
      <c r="AZ157" s="13">
        <v>0.57142857142857095</v>
      </c>
      <c r="BA157" s="13">
        <v>21.768953068592001</v>
      </c>
      <c r="BB157" s="13">
        <v>19.844961240309999</v>
      </c>
      <c r="BD157" s="13">
        <f>100-SUM(Table26[[#This Row],[Solids wt%]:[Aquous wt%]])</f>
        <v>57.814657119669434</v>
      </c>
      <c r="BE157" s="13">
        <v>32.792207792207805</v>
      </c>
      <c r="BI157" s="13">
        <v>64.7</v>
      </c>
      <c r="BJ157" s="13">
        <v>7.1</v>
      </c>
      <c r="BK157" s="13">
        <v>28.1</v>
      </c>
      <c r="BL157" s="13">
        <v>0.1</v>
      </c>
      <c r="BN157" s="13">
        <v>28.9</v>
      </c>
      <c r="BP157" s="13">
        <v>32.700000000000003</v>
      </c>
      <c r="BQ157" s="13" t="s">
        <v>506</v>
      </c>
      <c r="CV157" s="13">
        <v>0</v>
      </c>
    </row>
    <row r="158" spans="1:100" x14ac:dyDescent="0.25">
      <c r="A158" t="s">
        <v>292</v>
      </c>
      <c r="B158" t="s">
        <v>282</v>
      </c>
      <c r="C158">
        <v>2020</v>
      </c>
      <c r="D158" t="s">
        <v>287</v>
      </c>
      <c r="E158">
        <v>1</v>
      </c>
      <c r="F158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158" s="13">
        <v>100</v>
      </c>
      <c r="O15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58" s="13">
        <v>89.7</v>
      </c>
      <c r="X158" s="13">
        <v>5.0000000000000001E-4</v>
      </c>
      <c r="Y158" s="13">
        <v>10.3</v>
      </c>
      <c r="AB158" s="13">
        <v>38.9</v>
      </c>
      <c r="AC158" s="13">
        <v>7</v>
      </c>
      <c r="AD158" s="13">
        <v>53.9</v>
      </c>
      <c r="AE158" s="13">
        <v>0.2</v>
      </c>
      <c r="AH158" s="13">
        <v>17.600000000000001</v>
      </c>
      <c r="AI158" s="13">
        <v>4.1000000000000003E-3</v>
      </c>
      <c r="AL158" s="13">
        <v>5</v>
      </c>
      <c r="AT158" s="13" t="e">
        <f>LN(25/Table26[[#This Row],[Temperature (C)]]/(1-SQRT((Table26[[#This Row],[Temperature (C)]]-5)/Table26[[#This Row],[Temperature (C)]])))/Table26[[#This Row],[b]]</f>
        <v>#DIV/0!</v>
      </c>
      <c r="AU158" s="13">
        <f>IF(Table26[[#This Row],[b]]&lt;&gt;"",Table26[[#This Row],[T-5]], 0)</f>
        <v>0</v>
      </c>
      <c r="AV158" s="13">
        <v>3.2</v>
      </c>
      <c r="AW158" s="13">
        <v>350</v>
      </c>
      <c r="AY158" t="s">
        <v>503</v>
      </c>
      <c r="AZ158" s="13">
        <v>10.1111111111111</v>
      </c>
      <c r="BA158" s="13">
        <v>11.1563517915309</v>
      </c>
      <c r="BB158" s="13">
        <v>12.312703583061801</v>
      </c>
      <c r="BD158" s="13">
        <v>67.109634551494906</v>
      </c>
      <c r="BE158" s="13">
        <v>35.714285714285737</v>
      </c>
      <c r="BI158" s="13">
        <v>62.3</v>
      </c>
      <c r="BJ158" s="13">
        <v>7.5</v>
      </c>
      <c r="BK158" s="13">
        <v>30.1</v>
      </c>
      <c r="BL158" s="13">
        <v>0.1</v>
      </c>
      <c r="BN158" s="13">
        <v>28.4</v>
      </c>
      <c r="BP158" s="13">
        <v>19</v>
      </c>
      <c r="BQ158" s="13" t="s">
        <v>506</v>
      </c>
      <c r="CV158" s="13">
        <v>0</v>
      </c>
    </row>
    <row r="159" spans="1:100" x14ac:dyDescent="0.25">
      <c r="A159" t="s">
        <v>292</v>
      </c>
      <c r="B159" t="s">
        <v>282</v>
      </c>
      <c r="C159">
        <v>2020</v>
      </c>
      <c r="D159" t="s">
        <v>287</v>
      </c>
      <c r="E159">
        <v>1</v>
      </c>
      <c r="F159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159" s="13">
        <v>100</v>
      </c>
      <c r="O15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59" s="13">
        <v>89.7</v>
      </c>
      <c r="X159" s="13">
        <v>5.0000000000000001E-4</v>
      </c>
      <c r="Y159" s="13">
        <v>10.3</v>
      </c>
      <c r="AB159" s="13">
        <v>38.9</v>
      </c>
      <c r="AC159" s="13">
        <v>7</v>
      </c>
      <c r="AD159" s="13">
        <v>53.9</v>
      </c>
      <c r="AE159" s="13">
        <v>0.2</v>
      </c>
      <c r="AH159" s="13">
        <v>17.600000000000001</v>
      </c>
      <c r="AI159" s="13">
        <v>4.1000000000000003E-3</v>
      </c>
      <c r="AL159" s="13">
        <v>5</v>
      </c>
      <c r="AT159" s="13" t="e">
        <f>LN(25/Table26[[#This Row],[Temperature (C)]]/(1-SQRT((Table26[[#This Row],[Temperature (C)]]-5)/Table26[[#This Row],[Temperature (C)]])))/Table26[[#This Row],[b]]</f>
        <v>#DIV/0!</v>
      </c>
      <c r="AU159" s="13">
        <f>IF(Table26[[#This Row],[b]]&lt;&gt;"",Table26[[#This Row],[T-5]], 0)</f>
        <v>0</v>
      </c>
      <c r="AV159" s="13">
        <v>5.6</v>
      </c>
      <c r="AW159" s="13">
        <v>350</v>
      </c>
      <c r="AY159" t="s">
        <v>503</v>
      </c>
      <c r="AZ159" s="13">
        <v>6.9542483660130703</v>
      </c>
      <c r="BA159" s="13">
        <v>12.3778501628664</v>
      </c>
      <c r="BB159" s="13">
        <v>12.508143322475499</v>
      </c>
      <c r="BD159" s="13">
        <v>68.438538205979995</v>
      </c>
      <c r="BE159" s="13" t="s">
        <v>506</v>
      </c>
      <c r="BI159" s="13">
        <v>63.2</v>
      </c>
      <c r="BJ159" s="13">
        <v>7.7</v>
      </c>
      <c r="BK159" s="13">
        <v>29</v>
      </c>
      <c r="BL159" s="13">
        <v>0.1</v>
      </c>
      <c r="BN159" s="13">
        <v>29.2</v>
      </c>
      <c r="BP159" s="13">
        <v>21.7</v>
      </c>
      <c r="BQ159" s="13">
        <v>10.935023771790808</v>
      </c>
      <c r="CV159" s="13">
        <v>0</v>
      </c>
    </row>
    <row r="160" spans="1:100" x14ac:dyDescent="0.25">
      <c r="A160" t="s">
        <v>292</v>
      </c>
      <c r="B160" t="s">
        <v>282</v>
      </c>
      <c r="C160">
        <v>2020</v>
      </c>
      <c r="D160" t="s">
        <v>287</v>
      </c>
      <c r="E160">
        <v>1</v>
      </c>
      <c r="F160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160" s="13">
        <v>100</v>
      </c>
      <c r="O16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60" s="13">
        <v>89.7</v>
      </c>
      <c r="X160" s="13">
        <v>5.0000000000000001E-4</v>
      </c>
      <c r="Y160" s="13">
        <v>10.3</v>
      </c>
      <c r="AB160" s="13">
        <v>38.9</v>
      </c>
      <c r="AC160" s="13">
        <v>7</v>
      </c>
      <c r="AD160" s="13">
        <v>53.9</v>
      </c>
      <c r="AE160" s="13">
        <v>0.2</v>
      </c>
      <c r="AH160" s="13">
        <v>17.600000000000001</v>
      </c>
      <c r="AI160" s="13">
        <v>4.1000000000000003E-3</v>
      </c>
      <c r="AL160" s="13">
        <v>5</v>
      </c>
      <c r="AT160" s="13" t="e">
        <f>LN(25/Table26[[#This Row],[Temperature (C)]]/(1-SQRT((Table26[[#This Row],[Temperature (C)]]-5)/Table26[[#This Row],[Temperature (C)]])))/Table26[[#This Row],[b]]</f>
        <v>#DIV/0!</v>
      </c>
      <c r="AU160" s="13">
        <f>IF(Table26[[#This Row],[b]]&lt;&gt;"",Table26[[#This Row],[T-5]], 0)</f>
        <v>0</v>
      </c>
      <c r="AV160" s="13">
        <v>10</v>
      </c>
      <c r="AW160" s="13">
        <v>350</v>
      </c>
      <c r="AY160" t="s">
        <v>503</v>
      </c>
      <c r="AZ160" s="13">
        <v>6.5882352941176396</v>
      </c>
      <c r="BA160" s="13">
        <v>13.1107491856677</v>
      </c>
      <c r="BB160" s="13">
        <v>12.214983713355</v>
      </c>
      <c r="BD160" s="13">
        <v>81.063122923587997</v>
      </c>
      <c r="BE160" s="13" t="s">
        <v>506</v>
      </c>
      <c r="BI160" s="13">
        <v>64.5</v>
      </c>
      <c r="BJ160" s="13">
        <v>8.1999999999999993</v>
      </c>
      <c r="BK160" s="13">
        <v>27.2</v>
      </c>
      <c r="BL160" s="13">
        <v>0.1</v>
      </c>
      <c r="BN160" s="13">
        <v>30.6</v>
      </c>
      <c r="BP160" s="13">
        <v>23.9</v>
      </c>
      <c r="BQ160" s="13">
        <v>10.509031198686372</v>
      </c>
      <c r="CV160" s="13">
        <v>0</v>
      </c>
    </row>
    <row r="161" spans="1:100" x14ac:dyDescent="0.25">
      <c r="A161" t="s">
        <v>292</v>
      </c>
      <c r="B161" t="s">
        <v>282</v>
      </c>
      <c r="C161">
        <v>2020</v>
      </c>
      <c r="D161" t="s">
        <v>287</v>
      </c>
      <c r="E161">
        <v>1</v>
      </c>
      <c r="F161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161" s="13">
        <v>100</v>
      </c>
      <c r="O16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61" s="13">
        <v>89.7</v>
      </c>
      <c r="X161" s="13">
        <v>5.0000000000000001E-4</v>
      </c>
      <c r="Y161" s="13">
        <v>10.3</v>
      </c>
      <c r="AB161" s="13">
        <v>38.9</v>
      </c>
      <c r="AC161" s="13">
        <v>7</v>
      </c>
      <c r="AD161" s="13">
        <v>53.9</v>
      </c>
      <c r="AE161" s="13">
        <v>0.2</v>
      </c>
      <c r="AH161" s="13">
        <v>17.600000000000001</v>
      </c>
      <c r="AI161" s="13">
        <v>4.1000000000000003E-3</v>
      </c>
      <c r="AL161" s="13">
        <v>5</v>
      </c>
      <c r="AT161" s="13" t="e">
        <f>LN(25/Table26[[#This Row],[Temperature (C)]]/(1-SQRT((Table26[[#This Row],[Temperature (C)]]-5)/Table26[[#This Row],[Temperature (C)]])))/Table26[[#This Row],[b]]</f>
        <v>#DIV/0!</v>
      </c>
      <c r="AU161" s="13">
        <f>IF(Table26[[#This Row],[b]]&lt;&gt;"",Table26[[#This Row],[T-5]], 0)</f>
        <v>0</v>
      </c>
      <c r="AV161" s="13">
        <v>31.6</v>
      </c>
      <c r="AW161" s="13">
        <v>350</v>
      </c>
      <c r="AY161" t="s">
        <v>503</v>
      </c>
      <c r="AZ161" s="13">
        <v>6.1764705882352899</v>
      </c>
      <c r="BA161" s="13">
        <v>13.1107491856677</v>
      </c>
      <c r="BB161" s="13">
        <v>8.3061889250814307</v>
      </c>
      <c r="BD161" s="13">
        <v>72.757475083056406</v>
      </c>
      <c r="BE161" s="13" t="s">
        <v>506</v>
      </c>
      <c r="BI161" s="13">
        <v>66.8</v>
      </c>
      <c r="BJ161" s="13">
        <v>8.6</v>
      </c>
      <c r="BK161" s="13">
        <v>24.6</v>
      </c>
      <c r="BL161" s="13">
        <v>0.1</v>
      </c>
      <c r="BN161" s="13">
        <v>32.200000000000003</v>
      </c>
      <c r="BP161" s="13">
        <v>25.4</v>
      </c>
      <c r="BQ161" s="13">
        <v>9.9567099567099575</v>
      </c>
      <c r="CV161" s="13">
        <v>0</v>
      </c>
    </row>
    <row r="162" spans="1:100" x14ac:dyDescent="0.25">
      <c r="A162" t="s">
        <v>292</v>
      </c>
      <c r="B162" t="s">
        <v>282</v>
      </c>
      <c r="C162">
        <v>2020</v>
      </c>
      <c r="D162" t="s">
        <v>287</v>
      </c>
      <c r="E162">
        <v>1</v>
      </c>
      <c r="F162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162" s="13">
        <v>100</v>
      </c>
      <c r="O16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62" s="13">
        <v>89.7</v>
      </c>
      <c r="X162" s="13">
        <v>5.0000000000000001E-4</v>
      </c>
      <c r="Y162" s="13">
        <v>10.3</v>
      </c>
      <c r="AB162" s="13">
        <v>38.9</v>
      </c>
      <c r="AC162" s="13">
        <v>7</v>
      </c>
      <c r="AD162" s="13">
        <v>53.9</v>
      </c>
      <c r="AE162" s="13">
        <v>0.2</v>
      </c>
      <c r="AH162" s="13">
        <v>17.600000000000001</v>
      </c>
      <c r="AI162" s="13">
        <v>4.1000000000000003E-3</v>
      </c>
      <c r="AL162" s="13">
        <v>5</v>
      </c>
      <c r="AT162" s="13" t="e">
        <f>LN(25/Table26[[#This Row],[Temperature (C)]]/(1-SQRT((Table26[[#This Row],[Temperature (C)]]-5)/Table26[[#This Row],[Temperature (C)]])))/Table26[[#This Row],[b]]</f>
        <v>#DIV/0!</v>
      </c>
      <c r="AU162" s="13">
        <f>IF(Table26[[#This Row],[b]]&lt;&gt;"",Table26[[#This Row],[T-5]], 0)</f>
        <v>0</v>
      </c>
      <c r="AV162" s="13">
        <v>1</v>
      </c>
      <c r="AW162" s="13">
        <v>400</v>
      </c>
      <c r="AY162" t="s">
        <v>503</v>
      </c>
      <c r="AZ162" s="13">
        <v>80.285714285714207</v>
      </c>
      <c r="BA162" s="13">
        <v>2.3826714801444</v>
      </c>
      <c r="BB162" s="13">
        <v>3.7209302325581399</v>
      </c>
      <c r="BD162" s="13">
        <f>100-SUM(Table26[[#This Row],[Solids wt%]:[Aquous wt%]])</f>
        <v>13.610684001583252</v>
      </c>
      <c r="BE162" s="13" t="s">
        <v>506</v>
      </c>
      <c r="BQ162" s="13">
        <v>9.3749999999999982</v>
      </c>
      <c r="CV162" s="13">
        <v>0</v>
      </c>
    </row>
    <row r="163" spans="1:100" x14ac:dyDescent="0.25">
      <c r="A163" t="s">
        <v>292</v>
      </c>
      <c r="B163" t="s">
        <v>282</v>
      </c>
      <c r="C163">
        <v>2020</v>
      </c>
      <c r="D163" t="s">
        <v>287</v>
      </c>
      <c r="E163">
        <v>1</v>
      </c>
      <c r="F163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163" s="13">
        <v>100</v>
      </c>
      <c r="O16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63" s="13">
        <v>89.7</v>
      </c>
      <c r="X163" s="13">
        <v>5.0000000000000001E-4</v>
      </c>
      <c r="Y163" s="13">
        <v>10.3</v>
      </c>
      <c r="AB163" s="13">
        <v>38.9</v>
      </c>
      <c r="AC163" s="13">
        <v>7</v>
      </c>
      <c r="AD163" s="13">
        <v>53.9</v>
      </c>
      <c r="AE163" s="13">
        <v>0.2</v>
      </c>
      <c r="AH163" s="13">
        <v>17.600000000000001</v>
      </c>
      <c r="AI163" s="13">
        <v>4.1000000000000003E-3</v>
      </c>
      <c r="AL163" s="13">
        <v>5</v>
      </c>
      <c r="AT163" s="13" t="e">
        <f>LN(25/Table26[[#This Row],[Temperature (C)]]/(1-SQRT((Table26[[#This Row],[Temperature (C)]]-5)/Table26[[#This Row],[Temperature (C)]])))/Table26[[#This Row],[b]]</f>
        <v>#DIV/0!</v>
      </c>
      <c r="AU163" s="13">
        <f>IF(Table26[[#This Row],[b]]&lt;&gt;"",Table26[[#This Row],[T-5]], 0)</f>
        <v>0</v>
      </c>
      <c r="AV163" s="13">
        <v>3.2</v>
      </c>
      <c r="AW163" s="13">
        <v>400</v>
      </c>
      <c r="AY163" t="s">
        <v>503</v>
      </c>
      <c r="AZ163" s="13">
        <v>6.0000000000000098</v>
      </c>
      <c r="BA163" s="13">
        <v>16.462093862815799</v>
      </c>
      <c r="BB163" s="13">
        <v>14.883720930232499</v>
      </c>
      <c r="BD163" s="13">
        <f>100-SUM(Table26[[#This Row],[Solids wt%]:[Aquous wt%]])</f>
        <v>62.654185206951695</v>
      </c>
      <c r="BE163" s="13" t="s">
        <v>506</v>
      </c>
      <c r="BQ163" s="13">
        <v>9.1042584434654934</v>
      </c>
      <c r="CV163" s="13">
        <v>0</v>
      </c>
    </row>
    <row r="164" spans="1:100" x14ac:dyDescent="0.25">
      <c r="A164" t="s">
        <v>292</v>
      </c>
      <c r="B164" t="s">
        <v>282</v>
      </c>
      <c r="C164">
        <v>2020</v>
      </c>
      <c r="D164" t="s">
        <v>287</v>
      </c>
      <c r="E164">
        <v>1</v>
      </c>
      <c r="F164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164" s="13">
        <v>100</v>
      </c>
      <c r="O16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64" s="13">
        <v>89.7</v>
      </c>
      <c r="X164" s="13">
        <v>5.0000000000000001E-4</v>
      </c>
      <c r="Y164" s="13">
        <v>10.3</v>
      </c>
      <c r="AB164" s="13">
        <v>38.9</v>
      </c>
      <c r="AC164" s="13">
        <v>7</v>
      </c>
      <c r="AD164" s="13">
        <v>53.9</v>
      </c>
      <c r="AE164" s="13">
        <v>0.2</v>
      </c>
      <c r="AH164" s="13">
        <v>17.600000000000001</v>
      </c>
      <c r="AI164" s="13">
        <v>4.1000000000000003E-3</v>
      </c>
      <c r="AL164" s="13">
        <v>5</v>
      </c>
      <c r="AT164" s="13" t="e">
        <f>LN(25/Table26[[#This Row],[Temperature (C)]]/(1-SQRT((Table26[[#This Row],[Temperature (C)]]-5)/Table26[[#This Row],[Temperature (C)]])))/Table26[[#This Row],[b]]</f>
        <v>#DIV/0!</v>
      </c>
      <c r="AU164" s="13">
        <f>IF(Table26[[#This Row],[b]]&lt;&gt;"",Table26[[#This Row],[T-5]], 0)</f>
        <v>0</v>
      </c>
      <c r="AV164" s="13">
        <v>1</v>
      </c>
      <c r="AW164" s="13">
        <v>450</v>
      </c>
      <c r="AY164" t="s">
        <v>503</v>
      </c>
      <c r="AZ164" s="13">
        <v>7.4285714285714297</v>
      </c>
      <c r="BA164" s="13">
        <v>13.8628158844765</v>
      </c>
      <c r="BB164" s="13">
        <v>12.403100775193799</v>
      </c>
      <c r="BD164" s="13">
        <f>100-SUM(Table26[[#This Row],[Solids wt%]:[Aquous wt%]])</f>
        <v>66.305511911758273</v>
      </c>
      <c r="BE164" s="13" t="s">
        <v>506</v>
      </c>
      <c r="BQ164" s="13">
        <v>9.9554234769687966</v>
      </c>
      <c r="CV164" s="13">
        <v>0</v>
      </c>
    </row>
    <row r="165" spans="1:100" x14ac:dyDescent="0.25">
      <c r="A165" t="s">
        <v>292</v>
      </c>
      <c r="B165" t="s">
        <v>282</v>
      </c>
      <c r="C165">
        <v>2020</v>
      </c>
      <c r="D165" t="s">
        <v>287</v>
      </c>
      <c r="E165">
        <v>1</v>
      </c>
      <c r="F165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165" s="13">
        <v>100</v>
      </c>
      <c r="O16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65" s="13">
        <v>89.7</v>
      </c>
      <c r="X165" s="13">
        <v>5.0000000000000001E-4</v>
      </c>
      <c r="Y165" s="13">
        <v>10.3</v>
      </c>
      <c r="AB165" s="13">
        <v>38.9</v>
      </c>
      <c r="AC165" s="13">
        <v>7</v>
      </c>
      <c r="AD165" s="13">
        <v>53.9</v>
      </c>
      <c r="AE165" s="13">
        <v>0.2</v>
      </c>
      <c r="AH165" s="13">
        <v>17.600000000000001</v>
      </c>
      <c r="AI165" s="13">
        <v>4.1000000000000003E-3</v>
      </c>
      <c r="AL165" s="13">
        <v>5</v>
      </c>
      <c r="AT165" s="13" t="e">
        <f>LN(25/Table26[[#This Row],[Temperature (C)]]/(1-SQRT((Table26[[#This Row],[Temperature (C)]]-5)/Table26[[#This Row],[Temperature (C)]])))/Table26[[#This Row],[b]]</f>
        <v>#DIV/0!</v>
      </c>
      <c r="AU165" s="13">
        <f>IF(Table26[[#This Row],[b]]&lt;&gt;"",Table26[[#This Row],[T-5]], 0)</f>
        <v>0</v>
      </c>
      <c r="AV165" s="13">
        <v>3.2</v>
      </c>
      <c r="AW165" s="13">
        <v>450</v>
      </c>
      <c r="AY165" t="s">
        <v>503</v>
      </c>
      <c r="AZ165" s="13">
        <v>5.71428571428571</v>
      </c>
      <c r="BA165" s="13">
        <v>14.945848375451201</v>
      </c>
      <c r="BB165" s="13">
        <v>8.0620155038759798</v>
      </c>
      <c r="BD165" s="13">
        <f>100-SUM(Table26[[#This Row],[Solids wt%]:[Aquous wt%]])</f>
        <v>71.277850406387103</v>
      </c>
      <c r="BE165" s="13" t="s">
        <v>506</v>
      </c>
      <c r="BQ165" s="13">
        <v>9.7142857142857135</v>
      </c>
      <c r="CV165" s="13">
        <v>0</v>
      </c>
    </row>
    <row r="166" spans="1:100" x14ac:dyDescent="0.25">
      <c r="A166" t="s">
        <v>292</v>
      </c>
      <c r="B166" t="s">
        <v>282</v>
      </c>
      <c r="C166">
        <v>2020</v>
      </c>
      <c r="D166" t="s">
        <v>287</v>
      </c>
      <c r="E166">
        <v>1</v>
      </c>
      <c r="F166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166" s="13">
        <v>100</v>
      </c>
      <c r="O16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66" s="13">
        <v>89.7</v>
      </c>
      <c r="X166" s="13">
        <v>5.0000000000000001E-4</v>
      </c>
      <c r="Y166" s="13">
        <v>10.3</v>
      </c>
      <c r="AB166" s="13">
        <v>38.9</v>
      </c>
      <c r="AC166" s="13">
        <v>7</v>
      </c>
      <c r="AD166" s="13">
        <v>53.9</v>
      </c>
      <c r="AE166" s="13">
        <v>0.2</v>
      </c>
      <c r="AH166" s="13">
        <v>17.600000000000001</v>
      </c>
      <c r="AI166" s="13">
        <v>4.1000000000000003E-3</v>
      </c>
      <c r="AL166" s="13">
        <v>5</v>
      </c>
      <c r="AT166" s="13" t="e">
        <f>LN(25/Table26[[#This Row],[Temperature (C)]]/(1-SQRT((Table26[[#This Row],[Temperature (C)]]-5)/Table26[[#This Row],[Temperature (C)]])))/Table26[[#This Row],[b]]</f>
        <v>#DIV/0!</v>
      </c>
      <c r="AU166" s="13">
        <f>IF(Table26[[#This Row],[b]]&lt;&gt;"",Table26[[#This Row],[T-5]], 0)</f>
        <v>0</v>
      </c>
      <c r="AV166" s="13">
        <v>1</v>
      </c>
      <c r="AW166" s="13">
        <v>500</v>
      </c>
      <c r="AY166" t="s">
        <v>503</v>
      </c>
      <c r="AZ166" s="13">
        <v>4.8571428571428603</v>
      </c>
      <c r="BA166" s="13">
        <v>17.220216606498099</v>
      </c>
      <c r="BB166" s="13">
        <v>8.3720930232558501</v>
      </c>
      <c r="BD166" s="13">
        <f>100-SUM(Table26[[#This Row],[Solids wt%]:[Aquous wt%]])</f>
        <v>69.550547513103197</v>
      </c>
      <c r="BE166" s="13" t="s">
        <v>506</v>
      </c>
      <c r="BI166" s="13">
        <v>63.8</v>
      </c>
      <c r="BJ166" s="13">
        <v>7.2</v>
      </c>
      <c r="BK166" s="13">
        <v>28.9</v>
      </c>
      <c r="BL166" s="13">
        <v>0.1</v>
      </c>
      <c r="BN166" s="13">
        <v>28.7</v>
      </c>
      <c r="BP166" s="13">
        <v>29.5</v>
      </c>
      <c r="BQ166" s="13">
        <v>9.8265895953757223</v>
      </c>
      <c r="CV166" s="13">
        <v>0</v>
      </c>
    </row>
    <row r="167" spans="1:100" x14ac:dyDescent="0.25">
      <c r="A167" t="s">
        <v>293</v>
      </c>
      <c r="B167" t="s">
        <v>282</v>
      </c>
      <c r="C167">
        <v>2020</v>
      </c>
      <c r="D167" t="s">
        <v>288</v>
      </c>
      <c r="E167">
        <v>1</v>
      </c>
      <c r="F16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167" s="13">
        <v>100</v>
      </c>
      <c r="O16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67" s="13">
        <v>100</v>
      </c>
      <c r="X167" s="13">
        <v>0</v>
      </c>
      <c r="Y167" s="13">
        <v>0</v>
      </c>
      <c r="AB167" s="13">
        <v>44.5</v>
      </c>
      <c r="AC167" s="13">
        <v>6.6</v>
      </c>
      <c r="AD167" s="13">
        <v>42.3</v>
      </c>
      <c r="AE167" s="13">
        <v>6.6</v>
      </c>
      <c r="AH167" s="13">
        <v>18.7</v>
      </c>
      <c r="AI167" s="13">
        <v>4.1000000000000003E-3</v>
      </c>
      <c r="AL167" s="13">
        <v>5</v>
      </c>
      <c r="AT167" s="13" t="e">
        <f>LN(25/Table26[[#This Row],[Temperature (C)]]/(1-SQRT((Table26[[#This Row],[Temperature (C)]]-5)/Table26[[#This Row],[Temperature (C)]])))/Table26[[#This Row],[b]]</f>
        <v>#DIV/0!</v>
      </c>
      <c r="AU167" s="13">
        <f>IF(Table26[[#This Row],[b]]&lt;&gt;"",Table26[[#This Row],[T-5]], 0)</f>
        <v>0</v>
      </c>
      <c r="AV167" s="13">
        <v>3.2</v>
      </c>
      <c r="AW167" s="13">
        <v>350</v>
      </c>
      <c r="AY167" t="s">
        <v>503</v>
      </c>
      <c r="AZ167" s="13">
        <v>10.843137254901899</v>
      </c>
      <c r="BA167" s="13">
        <v>7.0846905537459204</v>
      </c>
      <c r="BB167" s="13">
        <v>13.5830618892508</v>
      </c>
      <c r="BD167" s="13">
        <v>69.102990033222497</v>
      </c>
      <c r="BE167" s="13" t="s">
        <v>506</v>
      </c>
      <c r="BI167" s="13">
        <v>65.7</v>
      </c>
      <c r="BJ167" s="13">
        <v>7.1</v>
      </c>
      <c r="BK167" s="13">
        <v>22.4</v>
      </c>
      <c r="BL167" s="13">
        <v>4.8</v>
      </c>
      <c r="BN167" s="13">
        <v>29.4</v>
      </c>
      <c r="BP167" s="13">
        <v>11.1</v>
      </c>
      <c r="BQ167" s="13">
        <v>9.4052558782849243</v>
      </c>
      <c r="CV167" s="13">
        <v>0</v>
      </c>
    </row>
    <row r="168" spans="1:100" x14ac:dyDescent="0.25">
      <c r="A168" t="s">
        <v>293</v>
      </c>
      <c r="B168" t="s">
        <v>282</v>
      </c>
      <c r="C168">
        <v>2020</v>
      </c>
      <c r="D168" t="s">
        <v>288</v>
      </c>
      <c r="E168">
        <v>1</v>
      </c>
      <c r="F168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168" s="13">
        <v>100</v>
      </c>
      <c r="O16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68" s="13">
        <v>100</v>
      </c>
      <c r="X168" s="13">
        <v>0</v>
      </c>
      <c r="Y168" s="13">
        <v>0</v>
      </c>
      <c r="AB168" s="13">
        <v>44.5</v>
      </c>
      <c r="AC168" s="13">
        <v>6.6</v>
      </c>
      <c r="AD168" s="13">
        <v>42.3</v>
      </c>
      <c r="AE168" s="13">
        <v>6.6</v>
      </c>
      <c r="AH168" s="13">
        <v>18.7</v>
      </c>
      <c r="AI168" s="13">
        <v>4.1000000000000003E-3</v>
      </c>
      <c r="AL168" s="13">
        <v>5</v>
      </c>
      <c r="AT168" s="13" t="e">
        <f>LN(25/Table26[[#This Row],[Temperature (C)]]/(1-SQRT((Table26[[#This Row],[Temperature (C)]]-5)/Table26[[#This Row],[Temperature (C)]])))/Table26[[#This Row],[b]]</f>
        <v>#DIV/0!</v>
      </c>
      <c r="AU168" s="13">
        <f>IF(Table26[[#This Row],[b]]&lt;&gt;"",Table26[[#This Row],[T-5]], 0)</f>
        <v>0</v>
      </c>
      <c r="AV168" s="13">
        <v>5.6</v>
      </c>
      <c r="AW168" s="13">
        <v>350</v>
      </c>
      <c r="AY168" t="s">
        <v>503</v>
      </c>
      <c r="AZ168" s="13">
        <v>8.8758169934640492</v>
      </c>
      <c r="BA168" s="13">
        <v>15.3908794788273</v>
      </c>
      <c r="BB168" s="13">
        <v>19.0553745928338</v>
      </c>
      <c r="BD168" s="13">
        <v>57.807308970099598</v>
      </c>
      <c r="BE168" s="13" t="s">
        <v>506</v>
      </c>
      <c r="BI168" s="13">
        <v>67.900000000000006</v>
      </c>
      <c r="BJ168" s="13">
        <v>7.2</v>
      </c>
      <c r="BK168" s="13">
        <v>19</v>
      </c>
      <c r="BL168" s="13">
        <v>5.9</v>
      </c>
      <c r="BN168" s="13">
        <v>30.6</v>
      </c>
      <c r="BP168" s="13">
        <v>25.1</v>
      </c>
      <c r="BQ168" s="13">
        <v>9.7026604068857587</v>
      </c>
      <c r="CV168" s="13">
        <v>0</v>
      </c>
    </row>
    <row r="169" spans="1:100" x14ac:dyDescent="0.25">
      <c r="A169" t="s">
        <v>293</v>
      </c>
      <c r="B169" t="s">
        <v>282</v>
      </c>
      <c r="C169">
        <v>2020</v>
      </c>
      <c r="D169" t="s">
        <v>288</v>
      </c>
      <c r="E169">
        <v>1</v>
      </c>
      <c r="F169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169" s="13">
        <v>100</v>
      </c>
      <c r="O16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69" s="13">
        <v>100</v>
      </c>
      <c r="X169" s="13">
        <v>0</v>
      </c>
      <c r="Y169" s="13">
        <v>0</v>
      </c>
      <c r="AB169" s="13">
        <v>44.5</v>
      </c>
      <c r="AC169" s="13">
        <v>6.6</v>
      </c>
      <c r="AD169" s="13">
        <v>42.3</v>
      </c>
      <c r="AE169" s="13">
        <v>6.6</v>
      </c>
      <c r="AH169" s="13">
        <v>18.7</v>
      </c>
      <c r="AI169" s="13">
        <v>4.1000000000000003E-3</v>
      </c>
      <c r="AL169" s="13">
        <v>5</v>
      </c>
      <c r="AT169" s="13" t="e">
        <f>LN(25/Table26[[#This Row],[Temperature (C)]]/(1-SQRT((Table26[[#This Row],[Temperature (C)]]-5)/Table26[[#This Row],[Temperature (C)]])))/Table26[[#This Row],[b]]</f>
        <v>#DIV/0!</v>
      </c>
      <c r="AU169" s="13">
        <f>IF(Table26[[#This Row],[b]]&lt;&gt;"",Table26[[#This Row],[T-5]], 0)</f>
        <v>0</v>
      </c>
      <c r="AV169" s="13">
        <v>10</v>
      </c>
      <c r="AW169" s="13">
        <v>350</v>
      </c>
      <c r="AY169" t="s">
        <v>503</v>
      </c>
      <c r="AZ169" s="13">
        <v>6.5424836601307099</v>
      </c>
      <c r="BA169" s="13">
        <v>18.403908794788201</v>
      </c>
      <c r="BB169" s="13">
        <v>14.1693811074918</v>
      </c>
      <c r="BD169" s="13">
        <v>60.797342192690998</v>
      </c>
      <c r="BE169" s="13" t="s">
        <v>506</v>
      </c>
      <c r="BI169" s="13">
        <v>71.900000000000006</v>
      </c>
      <c r="BJ169" s="13">
        <v>7.6</v>
      </c>
      <c r="BK169" s="13">
        <v>14.8</v>
      </c>
      <c r="BL169" s="13">
        <v>5.7</v>
      </c>
      <c r="BN169" s="13">
        <v>33.1</v>
      </c>
      <c r="BP169" s="13">
        <v>32.799999999999997</v>
      </c>
      <c r="BQ169" s="13">
        <v>9.3390804597701162</v>
      </c>
      <c r="CV169" s="13">
        <v>0</v>
      </c>
    </row>
    <row r="170" spans="1:100" x14ac:dyDescent="0.25">
      <c r="A170" t="s">
        <v>293</v>
      </c>
      <c r="B170" t="s">
        <v>282</v>
      </c>
      <c r="C170">
        <v>2020</v>
      </c>
      <c r="D170" t="s">
        <v>288</v>
      </c>
      <c r="E170">
        <v>1</v>
      </c>
      <c r="F170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170" s="13">
        <v>100</v>
      </c>
      <c r="O17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70" s="13">
        <v>100</v>
      </c>
      <c r="X170" s="13">
        <v>0</v>
      </c>
      <c r="Y170" s="13">
        <v>0</v>
      </c>
      <c r="AB170" s="13">
        <v>44.5</v>
      </c>
      <c r="AC170" s="13">
        <v>6.6</v>
      </c>
      <c r="AD170" s="13">
        <v>42.3</v>
      </c>
      <c r="AE170" s="13">
        <v>6.6</v>
      </c>
      <c r="AH170" s="13">
        <v>18.7</v>
      </c>
      <c r="AI170" s="13">
        <v>4.1000000000000003E-3</v>
      </c>
      <c r="AL170" s="13">
        <v>5</v>
      </c>
      <c r="AT170" s="13" t="e">
        <f>LN(25/Table26[[#This Row],[Temperature (C)]]/(1-SQRT((Table26[[#This Row],[Temperature (C)]]-5)/Table26[[#This Row],[Temperature (C)]])))/Table26[[#This Row],[b]]</f>
        <v>#DIV/0!</v>
      </c>
      <c r="AU170" s="13">
        <f>IF(Table26[[#This Row],[b]]&lt;&gt;"",Table26[[#This Row],[T-5]], 0)</f>
        <v>0</v>
      </c>
      <c r="AV170" s="13">
        <v>31.6</v>
      </c>
      <c r="AW170" s="13">
        <v>350</v>
      </c>
      <c r="AY170" t="s">
        <v>503</v>
      </c>
      <c r="AZ170" s="13">
        <v>5.5359477124182996</v>
      </c>
      <c r="BA170" s="13">
        <v>19.543973941368002</v>
      </c>
      <c r="BB170" s="13">
        <v>10.358306188925001</v>
      </c>
      <c r="BD170" s="13">
        <v>64.784053156146101</v>
      </c>
      <c r="BE170" s="13" t="s">
        <v>506</v>
      </c>
      <c r="BI170" s="13">
        <v>74.5</v>
      </c>
      <c r="BJ170" s="13">
        <v>8.3000000000000007</v>
      </c>
      <c r="BK170" s="13">
        <v>12</v>
      </c>
      <c r="BL170" s="13">
        <v>5.2</v>
      </c>
      <c r="BN170" s="13">
        <v>35.4</v>
      </c>
      <c r="BP170" s="13">
        <v>37</v>
      </c>
      <c r="BQ170" s="13">
        <v>9.4614264919941764</v>
      </c>
      <c r="CV170" s="13">
        <v>0</v>
      </c>
    </row>
    <row r="171" spans="1:100" x14ac:dyDescent="0.25">
      <c r="A171" t="s">
        <v>293</v>
      </c>
      <c r="B171" t="s">
        <v>282</v>
      </c>
      <c r="C171">
        <v>2020</v>
      </c>
      <c r="D171" t="s">
        <v>288</v>
      </c>
      <c r="E171">
        <v>1</v>
      </c>
      <c r="F171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171" s="13">
        <v>100</v>
      </c>
      <c r="O17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71" s="13">
        <v>100</v>
      </c>
      <c r="X171" s="13">
        <v>0</v>
      </c>
      <c r="Y171" s="13">
        <v>0</v>
      </c>
      <c r="AB171" s="13">
        <v>44.5</v>
      </c>
      <c r="AC171" s="13">
        <v>6.6</v>
      </c>
      <c r="AD171" s="13">
        <v>42.3</v>
      </c>
      <c r="AE171" s="13">
        <v>6.6</v>
      </c>
      <c r="AH171" s="13">
        <v>18.7</v>
      </c>
      <c r="AI171" s="13">
        <v>4.1000000000000003E-3</v>
      </c>
      <c r="AL171" s="13">
        <v>5</v>
      </c>
      <c r="AT171" s="13" t="e">
        <f>LN(25/Table26[[#This Row],[Temperature (C)]]/(1-SQRT((Table26[[#This Row],[Temperature (C)]]-5)/Table26[[#This Row],[Temperature (C)]])))/Table26[[#This Row],[b]]</f>
        <v>#DIV/0!</v>
      </c>
      <c r="AU171" s="13">
        <f>IF(Table26[[#This Row],[b]]&lt;&gt;"",Table26[[#This Row],[T-5]], 0)</f>
        <v>0</v>
      </c>
      <c r="AV171" s="13">
        <v>1</v>
      </c>
      <c r="AW171" s="13">
        <v>400</v>
      </c>
      <c r="AY171" t="s">
        <v>503</v>
      </c>
      <c r="AZ171" s="13">
        <v>70.285714285714207</v>
      </c>
      <c r="BA171" s="13">
        <v>7.2563176895306798</v>
      </c>
      <c r="BB171" s="13">
        <v>4.9612403100775202</v>
      </c>
      <c r="BD171" s="13">
        <f>100-SUM(Table26[[#This Row],[Solids wt%]:[Aquous wt%]])</f>
        <v>17.496727714677604</v>
      </c>
      <c r="BE171" s="13" t="s">
        <v>506</v>
      </c>
      <c r="BQ171" s="13">
        <v>10.64425770308123</v>
      </c>
      <c r="CV171" s="13">
        <v>0</v>
      </c>
    </row>
    <row r="172" spans="1:100" x14ac:dyDescent="0.25">
      <c r="A172" t="s">
        <v>293</v>
      </c>
      <c r="B172" t="s">
        <v>282</v>
      </c>
      <c r="C172">
        <v>2020</v>
      </c>
      <c r="D172" t="s">
        <v>288</v>
      </c>
      <c r="E172">
        <v>1</v>
      </c>
      <c r="F172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172" s="13">
        <v>100</v>
      </c>
      <c r="O17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72" s="13">
        <v>100</v>
      </c>
      <c r="X172" s="13">
        <v>0</v>
      </c>
      <c r="Y172" s="13">
        <v>0</v>
      </c>
      <c r="AB172" s="13">
        <v>44.5</v>
      </c>
      <c r="AC172" s="13">
        <v>6.6</v>
      </c>
      <c r="AD172" s="13">
        <v>42.3</v>
      </c>
      <c r="AE172" s="13">
        <v>6.6</v>
      </c>
      <c r="AH172" s="13">
        <v>18.7</v>
      </c>
      <c r="AI172" s="13">
        <v>4.1000000000000003E-3</v>
      </c>
      <c r="AL172" s="13">
        <v>5</v>
      </c>
      <c r="AT172" s="13" t="e">
        <f>LN(25/Table26[[#This Row],[Temperature (C)]]/(1-SQRT((Table26[[#This Row],[Temperature (C)]]-5)/Table26[[#This Row],[Temperature (C)]])))/Table26[[#This Row],[b]]</f>
        <v>#DIV/0!</v>
      </c>
      <c r="AU172" s="13">
        <f>IF(Table26[[#This Row],[b]]&lt;&gt;"",Table26[[#This Row],[T-5]], 0)</f>
        <v>0</v>
      </c>
      <c r="AV172" s="13">
        <v>3.2</v>
      </c>
      <c r="AW172" s="13">
        <v>400</v>
      </c>
      <c r="AY172" t="s">
        <v>503</v>
      </c>
      <c r="AZ172" s="13">
        <v>8</v>
      </c>
      <c r="BA172" s="13">
        <v>22.8519855595667</v>
      </c>
      <c r="BB172" s="13">
        <v>15.1937984496124</v>
      </c>
      <c r="BD172" s="13">
        <f>100-SUM(Table26[[#This Row],[Solids wt%]:[Aquous wt%]])</f>
        <v>53.954215990820899</v>
      </c>
      <c r="BE172" s="13" t="s">
        <v>506</v>
      </c>
      <c r="BQ172" s="13" t="s">
        <v>506</v>
      </c>
      <c r="CV172" s="13">
        <v>0</v>
      </c>
    </row>
    <row r="173" spans="1:100" x14ac:dyDescent="0.25">
      <c r="A173" t="s">
        <v>293</v>
      </c>
      <c r="B173" t="s">
        <v>282</v>
      </c>
      <c r="C173">
        <v>2020</v>
      </c>
      <c r="D173" t="s">
        <v>288</v>
      </c>
      <c r="E173">
        <v>1</v>
      </c>
      <c r="F173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173" s="13">
        <v>100</v>
      </c>
      <c r="O17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73" s="13">
        <v>100</v>
      </c>
      <c r="X173" s="13">
        <v>0</v>
      </c>
      <c r="Y173" s="13">
        <v>0</v>
      </c>
      <c r="AB173" s="13">
        <v>44.5</v>
      </c>
      <c r="AC173" s="13">
        <v>6.6</v>
      </c>
      <c r="AD173" s="13">
        <v>42.3</v>
      </c>
      <c r="AE173" s="13">
        <v>6.6</v>
      </c>
      <c r="AH173" s="13">
        <v>18.7</v>
      </c>
      <c r="AI173" s="13">
        <v>4.1000000000000003E-3</v>
      </c>
      <c r="AL173" s="13">
        <v>5</v>
      </c>
      <c r="AT173" s="13" t="e">
        <f>LN(25/Table26[[#This Row],[Temperature (C)]]/(1-SQRT((Table26[[#This Row],[Temperature (C)]]-5)/Table26[[#This Row],[Temperature (C)]])))/Table26[[#This Row],[b]]</f>
        <v>#DIV/0!</v>
      </c>
      <c r="AU173" s="13">
        <f>IF(Table26[[#This Row],[b]]&lt;&gt;"",Table26[[#This Row],[T-5]], 0)</f>
        <v>0</v>
      </c>
      <c r="AV173" s="13">
        <v>1</v>
      </c>
      <c r="AW173" s="13">
        <v>450</v>
      </c>
      <c r="AY173" t="s">
        <v>503</v>
      </c>
      <c r="AZ173" s="13">
        <v>10.285714285714199</v>
      </c>
      <c r="BA173" s="13">
        <v>14.837545126353699</v>
      </c>
      <c r="BB173" s="13">
        <v>13.3333333333333</v>
      </c>
      <c r="BD173" s="13">
        <f>100-SUM(Table26[[#This Row],[Solids wt%]:[Aquous wt%]])</f>
        <v>61.543407254598804</v>
      </c>
      <c r="BE173" s="13" t="s">
        <v>506</v>
      </c>
      <c r="BQ173" s="13" t="s">
        <v>506</v>
      </c>
      <c r="CV173" s="13">
        <v>0</v>
      </c>
    </row>
    <row r="174" spans="1:100" x14ac:dyDescent="0.25">
      <c r="A174" t="s">
        <v>293</v>
      </c>
      <c r="B174" t="s">
        <v>282</v>
      </c>
      <c r="C174">
        <v>2020</v>
      </c>
      <c r="D174" t="s">
        <v>288</v>
      </c>
      <c r="E174">
        <v>1</v>
      </c>
      <c r="F174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174" s="13">
        <v>100</v>
      </c>
      <c r="O17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74" s="13">
        <v>100</v>
      </c>
      <c r="X174" s="13">
        <v>0</v>
      </c>
      <c r="Y174" s="13">
        <v>0</v>
      </c>
      <c r="AB174" s="13">
        <v>44.5</v>
      </c>
      <c r="AC174" s="13">
        <v>6.6</v>
      </c>
      <c r="AD174" s="13">
        <v>42.3</v>
      </c>
      <c r="AE174" s="13">
        <v>6.6</v>
      </c>
      <c r="AH174" s="13">
        <v>18.7</v>
      </c>
      <c r="AI174" s="13">
        <v>4.1000000000000003E-3</v>
      </c>
      <c r="AL174" s="13">
        <v>5</v>
      </c>
      <c r="AT174" s="13" t="e">
        <f>LN(25/Table26[[#This Row],[Temperature (C)]]/(1-SQRT((Table26[[#This Row],[Temperature (C)]]-5)/Table26[[#This Row],[Temperature (C)]])))/Table26[[#This Row],[b]]</f>
        <v>#DIV/0!</v>
      </c>
      <c r="AU174" s="13">
        <f>IF(Table26[[#This Row],[b]]&lt;&gt;"",Table26[[#This Row],[T-5]], 0)</f>
        <v>0</v>
      </c>
      <c r="AV174" s="13">
        <v>3.2</v>
      </c>
      <c r="AW174" s="13">
        <v>450</v>
      </c>
      <c r="AY174" t="s">
        <v>503</v>
      </c>
      <c r="AZ174" s="13">
        <v>8.5714285714285694</v>
      </c>
      <c r="BA174" s="13">
        <v>22.8519855595667</v>
      </c>
      <c r="BB174" s="13">
        <v>11.4728682170542</v>
      </c>
      <c r="BD174" s="13">
        <f>100-SUM(Table26[[#This Row],[Solids wt%]:[Aquous wt%]])</f>
        <v>57.103717651950532</v>
      </c>
      <c r="BE174" s="13" t="s">
        <v>506</v>
      </c>
      <c r="BQ174" s="13" t="s">
        <v>506</v>
      </c>
      <c r="CV174" s="13">
        <v>0</v>
      </c>
    </row>
    <row r="175" spans="1:100" x14ac:dyDescent="0.25">
      <c r="A175" t="s">
        <v>293</v>
      </c>
      <c r="B175" t="s">
        <v>282</v>
      </c>
      <c r="C175">
        <v>2020</v>
      </c>
      <c r="D175" t="s">
        <v>288</v>
      </c>
      <c r="E175">
        <v>1</v>
      </c>
      <c r="F175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175" s="13">
        <v>100</v>
      </c>
      <c r="O17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175" s="13">
        <v>100</v>
      </c>
      <c r="X175" s="13">
        <v>0</v>
      </c>
      <c r="Y175" s="13">
        <v>0</v>
      </c>
      <c r="AB175" s="13">
        <v>44.5</v>
      </c>
      <c r="AC175" s="13">
        <v>6.6</v>
      </c>
      <c r="AD175" s="13">
        <v>42.3</v>
      </c>
      <c r="AE175" s="13">
        <v>6.6</v>
      </c>
      <c r="AH175" s="13">
        <v>18.7</v>
      </c>
      <c r="AI175" s="13">
        <v>4.1000000000000003E-3</v>
      </c>
      <c r="AL175" s="13">
        <v>5</v>
      </c>
      <c r="AT175" s="13" t="e">
        <f>LN(25/Table26[[#This Row],[Temperature (C)]]/(1-SQRT((Table26[[#This Row],[Temperature (C)]]-5)/Table26[[#This Row],[Temperature (C)]])))/Table26[[#This Row],[b]]</f>
        <v>#DIV/0!</v>
      </c>
      <c r="AU175" s="13">
        <f>IF(Table26[[#This Row],[b]]&lt;&gt;"",Table26[[#This Row],[T-5]], 0)</f>
        <v>0</v>
      </c>
      <c r="AV175" s="13">
        <v>1</v>
      </c>
      <c r="AW175" s="13">
        <v>500</v>
      </c>
      <c r="AY175" t="s">
        <v>503</v>
      </c>
      <c r="AZ175" s="13">
        <v>5.4285714285714199</v>
      </c>
      <c r="BA175" s="13">
        <v>24.043321299638901</v>
      </c>
      <c r="BB175" s="13">
        <v>21.705426356589101</v>
      </c>
      <c r="BD175" s="13">
        <f>100-SUM(Table26[[#This Row],[Solids wt%]:[Aquous wt%]])</f>
        <v>48.822680915200579</v>
      </c>
      <c r="BE175" s="13" t="s">
        <v>506</v>
      </c>
      <c r="BI175" s="13">
        <v>73.3</v>
      </c>
      <c r="BJ175" s="13">
        <v>8.5</v>
      </c>
      <c r="BK175" s="13">
        <v>11.4</v>
      </c>
      <c r="BL175" s="13">
        <v>6.9</v>
      </c>
      <c r="BN175" s="13">
        <v>35.1</v>
      </c>
      <c r="BP175" s="13">
        <v>45.2</v>
      </c>
      <c r="BQ175" s="13" t="s">
        <v>506</v>
      </c>
      <c r="CV175" s="13">
        <v>0</v>
      </c>
    </row>
    <row r="176" spans="1:100" x14ac:dyDescent="0.25">
      <c r="A176" t="s">
        <v>297</v>
      </c>
      <c r="B176" t="s">
        <v>298</v>
      </c>
      <c r="C176">
        <v>2022</v>
      </c>
      <c r="D176" t="s">
        <v>296</v>
      </c>
      <c r="E176">
        <v>1</v>
      </c>
      <c r="F176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176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P176" s="13">
        <v>29.8</v>
      </c>
      <c r="R176" s="13">
        <v>82.4</v>
      </c>
      <c r="S176" s="13">
        <v>17.3</v>
      </c>
      <c r="T176" s="13">
        <v>52.9</v>
      </c>
      <c r="AB176" s="13">
        <v>33.1</v>
      </c>
      <c r="AC176" s="13">
        <v>5.5</v>
      </c>
      <c r="AD176" s="13">
        <v>25.9</v>
      </c>
      <c r="AE176" s="13">
        <v>5</v>
      </c>
      <c r="AF176" s="13">
        <v>0.7</v>
      </c>
      <c r="AH176" s="13">
        <v>14.1</v>
      </c>
      <c r="AI176" s="13">
        <v>1.8</v>
      </c>
      <c r="AL176" s="13">
        <f>100-Table26[[#This Row],[Moisture]]</f>
        <v>17.599999999999994</v>
      </c>
      <c r="AM176" s="13">
        <v>4</v>
      </c>
      <c r="AP176" s="13">
        <v>5.2200000000000003E-2</v>
      </c>
      <c r="AS176" s="13">
        <v>60</v>
      </c>
      <c r="AT176" s="13">
        <f>LN(25/Table26[[#This Row],[Temperature (C)]]/(1-SQRT((Table26[[#This Row],[Temperature (C)]]-5)/Table26[[#This Row],[Temperature (C)]])))/Table26[[#This Row],[b]]</f>
        <v>44.04203790200669</v>
      </c>
      <c r="AU176" s="13">
        <f>IF(Table26[[#This Row],[b]]&lt;&gt;"",Table26[[#This Row],[T-5]], 0)</f>
        <v>44.04203790200669</v>
      </c>
      <c r="AV176" s="13">
        <f>Table26[[#This Row],[Holding Time (min)]]+Table26[[#This Row],[Heating time]]</f>
        <v>104.04203790200668</v>
      </c>
      <c r="AW176" s="13">
        <v>350</v>
      </c>
      <c r="AY176" t="s">
        <v>503</v>
      </c>
      <c r="BA176" s="13">
        <v>38</v>
      </c>
      <c r="BE176" s="13" t="s">
        <v>506</v>
      </c>
      <c r="BI176" s="13">
        <v>53.5</v>
      </c>
      <c r="BJ176" s="13">
        <v>7</v>
      </c>
      <c r="BK176" s="13">
        <v>34.200000000000003</v>
      </c>
      <c r="BL176" s="13">
        <v>4.4000000000000004</v>
      </c>
      <c r="BM176" s="13">
        <v>0.9</v>
      </c>
      <c r="BN176" s="13">
        <v>28.2</v>
      </c>
      <c r="BQ176" s="13" t="s">
        <v>506</v>
      </c>
      <c r="CV176" s="13">
        <v>0</v>
      </c>
    </row>
    <row r="177" spans="1:100" x14ac:dyDescent="0.25">
      <c r="A177" t="s">
        <v>299</v>
      </c>
      <c r="B177" t="s">
        <v>300</v>
      </c>
      <c r="C177">
        <v>2022</v>
      </c>
      <c r="D177" t="s">
        <v>301</v>
      </c>
      <c r="E177">
        <v>1</v>
      </c>
      <c r="F17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177" s="13">
        <v>100</v>
      </c>
      <c r="O17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177" s="13">
        <v>37</v>
      </c>
      <c r="AC177" s="13">
        <v>5.42</v>
      </c>
      <c r="AD177" s="13">
        <v>57.49</v>
      </c>
      <c r="AE177" s="13">
        <v>0.08</v>
      </c>
      <c r="AF177" s="13">
        <v>0</v>
      </c>
      <c r="AH177" s="13">
        <v>13.4</v>
      </c>
      <c r="AI177" s="13">
        <v>4.0000000000000001E-3</v>
      </c>
      <c r="AJ177" s="13">
        <v>0.4</v>
      </c>
      <c r="AK177" s="13">
        <v>1.6</v>
      </c>
      <c r="AL177" s="13">
        <f>Table26[[#This Row],[Solids (g)]]/(Table26[[#This Row],[Solids (g)]]+Table26[[#This Row],[Water mL]])*100</f>
        <v>20</v>
      </c>
      <c r="AT177" s="13" t="e">
        <f>LN(25/Table26[[#This Row],[Temperature (C)]]/(1-SQRT((Table26[[#This Row],[Temperature (C)]]-5)/Table26[[#This Row],[Temperature (C)]])))/Table26[[#This Row],[b]]</f>
        <v>#DIV/0!</v>
      </c>
      <c r="AU177" s="13">
        <f>IF(Table26[[#This Row],[b]]&lt;&gt;"",Table26[[#This Row],[T-5]], 0)</f>
        <v>0</v>
      </c>
      <c r="AV177" s="13">
        <v>30</v>
      </c>
      <c r="AW177" s="13">
        <v>320</v>
      </c>
      <c r="AY177" t="s">
        <v>503</v>
      </c>
      <c r="AZ177" s="13">
        <v>16.5</v>
      </c>
      <c r="BA177" s="13">
        <v>15.1</v>
      </c>
      <c r="BE177" s="13" t="s">
        <v>506</v>
      </c>
      <c r="BI177" s="13">
        <v>73.709999999999994</v>
      </c>
      <c r="BJ177" s="13">
        <v>4.84</v>
      </c>
      <c r="BK177" s="13">
        <v>21.31</v>
      </c>
      <c r="BL177" s="13">
        <v>0.14000000000000001</v>
      </c>
      <c r="BN177" s="13">
        <v>29.6</v>
      </c>
      <c r="BP177" s="13">
        <v>24.4</v>
      </c>
      <c r="BQ177" s="13" t="s">
        <v>506</v>
      </c>
      <c r="CV177" s="13">
        <v>0</v>
      </c>
    </row>
    <row r="178" spans="1:100" x14ac:dyDescent="0.25">
      <c r="A178" t="s">
        <v>299</v>
      </c>
      <c r="B178" t="s">
        <v>300</v>
      </c>
      <c r="C178">
        <v>2022</v>
      </c>
      <c r="D178" t="s">
        <v>284</v>
      </c>
      <c r="E178">
        <v>1</v>
      </c>
      <c r="F178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I178" s="13">
        <v>100</v>
      </c>
      <c r="O17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178" s="13">
        <v>41.9</v>
      </c>
      <c r="AC178" s="13">
        <v>5.07</v>
      </c>
      <c r="AD178" s="13">
        <v>52.91</v>
      </c>
      <c r="AE178" s="13">
        <v>0.12</v>
      </c>
      <c r="AF178" s="13">
        <v>0.23</v>
      </c>
      <c r="AH178" s="13">
        <v>15.13</v>
      </c>
      <c r="AI178" s="13">
        <v>4.0000000000000001E-3</v>
      </c>
      <c r="AJ178" s="13">
        <v>0.4</v>
      </c>
      <c r="AK178" s="13">
        <v>1.6</v>
      </c>
      <c r="AL178" s="13">
        <f>Table26[[#This Row],[Solids (g)]]/(Table26[[#This Row],[Solids (g)]]+Table26[[#This Row],[Water mL]])*100</f>
        <v>20</v>
      </c>
      <c r="AT178" s="13" t="e">
        <f>LN(25/Table26[[#This Row],[Temperature (C)]]/(1-SQRT((Table26[[#This Row],[Temperature (C)]]-5)/Table26[[#This Row],[Temperature (C)]])))/Table26[[#This Row],[b]]</f>
        <v>#DIV/0!</v>
      </c>
      <c r="AU178" s="13">
        <f>IF(Table26[[#This Row],[b]]&lt;&gt;"",Table26[[#This Row],[T-5]], 0)</f>
        <v>0</v>
      </c>
      <c r="AV178" s="13">
        <v>30</v>
      </c>
      <c r="AW178" s="13">
        <v>320</v>
      </c>
      <c r="AY178" t="s">
        <v>503</v>
      </c>
      <c r="AZ178" s="13">
        <v>28.7</v>
      </c>
      <c r="BA178" s="13">
        <v>11</v>
      </c>
      <c r="BE178" s="13" t="s">
        <v>506</v>
      </c>
      <c r="BI178" s="13">
        <v>71.91</v>
      </c>
      <c r="BJ178" s="13">
        <v>5.77</v>
      </c>
      <c r="BK178" s="13">
        <v>22.2</v>
      </c>
      <c r="BL178" s="13">
        <v>0.12</v>
      </c>
      <c r="BM178" s="13">
        <v>0.18</v>
      </c>
      <c r="BN178" s="13">
        <v>30.2</v>
      </c>
      <c r="BP178" s="13">
        <v>21.9</v>
      </c>
      <c r="BQ178" s="13" t="s">
        <v>506</v>
      </c>
      <c r="CV178" s="13">
        <v>0</v>
      </c>
    </row>
    <row r="179" spans="1:100" x14ac:dyDescent="0.25">
      <c r="A179" t="s">
        <v>299</v>
      </c>
      <c r="B179" t="s">
        <v>300</v>
      </c>
      <c r="C179">
        <v>2022</v>
      </c>
      <c r="D179" t="s">
        <v>287</v>
      </c>
      <c r="E179">
        <v>1</v>
      </c>
      <c r="F179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179" s="13">
        <v>100</v>
      </c>
      <c r="O17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179" s="13">
        <v>36.299999999999997</v>
      </c>
      <c r="AC179" s="13">
        <v>4.4400000000000004</v>
      </c>
      <c r="AD179" s="13">
        <v>58.6</v>
      </c>
      <c r="AE179" s="13">
        <v>0.47</v>
      </c>
      <c r="AF179" s="13">
        <v>0.13</v>
      </c>
      <c r="AH179" s="13">
        <v>11.6</v>
      </c>
      <c r="AI179" s="13">
        <v>4.0000000000000001E-3</v>
      </c>
      <c r="AJ179" s="13">
        <v>0.4</v>
      </c>
      <c r="AK179" s="13">
        <v>1.6</v>
      </c>
      <c r="AL179" s="13">
        <f>Table26[[#This Row],[Solids (g)]]/(Table26[[#This Row],[Solids (g)]]+Table26[[#This Row],[Water mL]])*100</f>
        <v>20</v>
      </c>
      <c r="AT179" s="13" t="e">
        <f>LN(25/Table26[[#This Row],[Temperature (C)]]/(1-SQRT((Table26[[#This Row],[Temperature (C)]]-5)/Table26[[#This Row],[Temperature (C)]])))/Table26[[#This Row],[b]]</f>
        <v>#DIV/0!</v>
      </c>
      <c r="AU179" s="13">
        <f>IF(Table26[[#This Row],[b]]&lt;&gt;"",Table26[[#This Row],[T-5]], 0)</f>
        <v>0</v>
      </c>
      <c r="AV179" s="13">
        <v>30</v>
      </c>
      <c r="AW179" s="13">
        <v>320</v>
      </c>
      <c r="AY179" t="s">
        <v>503</v>
      </c>
      <c r="AZ179" s="13">
        <v>16.2</v>
      </c>
      <c r="BA179" s="13">
        <v>9.3000000000000007</v>
      </c>
      <c r="BE179" s="13" t="s">
        <v>506</v>
      </c>
      <c r="BI179" s="13">
        <v>78.150000000000006</v>
      </c>
      <c r="BJ179" s="13">
        <v>5.93</v>
      </c>
      <c r="BK179" s="13">
        <v>15.2</v>
      </c>
      <c r="BL179" s="13">
        <v>0.71</v>
      </c>
      <c r="BN179" s="13">
        <v>33.4</v>
      </c>
      <c r="BP179" s="13">
        <v>25.3</v>
      </c>
      <c r="BQ179" s="13" t="s">
        <v>506</v>
      </c>
      <c r="CV179" s="13">
        <v>0</v>
      </c>
    </row>
    <row r="180" spans="1:100" x14ac:dyDescent="0.25">
      <c r="A180" t="s">
        <v>299</v>
      </c>
      <c r="B180" t="s">
        <v>300</v>
      </c>
      <c r="C180">
        <v>2022</v>
      </c>
      <c r="D180" t="s">
        <v>288</v>
      </c>
      <c r="E180">
        <v>1</v>
      </c>
      <c r="F180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180" s="13">
        <v>100</v>
      </c>
      <c r="O18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180" s="13">
        <v>43.3</v>
      </c>
      <c r="AC180" s="13">
        <v>5.27</v>
      </c>
      <c r="AD180" s="13">
        <v>44.9</v>
      </c>
      <c r="AE180" s="13">
        <v>6.39</v>
      </c>
      <c r="AF180" s="13">
        <v>0.16</v>
      </c>
      <c r="AH180" s="13">
        <v>16.100000000000001</v>
      </c>
      <c r="AI180" s="13">
        <v>4.0000000000000001E-3</v>
      </c>
      <c r="AJ180" s="13">
        <v>0.4</v>
      </c>
      <c r="AK180" s="13">
        <v>1.6</v>
      </c>
      <c r="AL180" s="13">
        <f>Table26[[#This Row],[Solids (g)]]/(Table26[[#This Row],[Solids (g)]]+Table26[[#This Row],[Water mL]])*100</f>
        <v>20</v>
      </c>
      <c r="AT180" s="13" t="e">
        <f>LN(25/Table26[[#This Row],[Temperature (C)]]/(1-SQRT((Table26[[#This Row],[Temperature (C)]]-5)/Table26[[#This Row],[Temperature (C)]])))/Table26[[#This Row],[b]]</f>
        <v>#DIV/0!</v>
      </c>
      <c r="AU180" s="13">
        <f>IF(Table26[[#This Row],[b]]&lt;&gt;"",Table26[[#This Row],[T-5]], 0)</f>
        <v>0</v>
      </c>
      <c r="AV180" s="13">
        <v>30</v>
      </c>
      <c r="AW180" s="13">
        <v>320</v>
      </c>
      <c r="AY180" t="s">
        <v>503</v>
      </c>
      <c r="AZ180" s="13">
        <v>19.100000000000001</v>
      </c>
      <c r="BA180" s="13">
        <v>11.6</v>
      </c>
      <c r="BE180" s="13" t="s">
        <v>506</v>
      </c>
      <c r="BI180" s="13">
        <v>79.14</v>
      </c>
      <c r="BJ180" s="13">
        <v>7.13</v>
      </c>
      <c r="BK180" s="13">
        <v>9.7200000000000006</v>
      </c>
      <c r="BL180" s="13">
        <v>4.01</v>
      </c>
      <c r="BN180" s="13">
        <v>35.700000000000003</v>
      </c>
      <c r="BP180" s="13">
        <v>21.3</v>
      </c>
      <c r="BQ180" s="13" t="s">
        <v>506</v>
      </c>
      <c r="CV180" s="13">
        <v>0</v>
      </c>
    </row>
    <row r="181" spans="1:100" x14ac:dyDescent="0.25">
      <c r="A181" t="s">
        <v>299</v>
      </c>
      <c r="B181" t="s">
        <v>300</v>
      </c>
      <c r="C181">
        <v>2022</v>
      </c>
      <c r="D181" t="s">
        <v>302</v>
      </c>
      <c r="E181">
        <v>1</v>
      </c>
      <c r="F181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96.2</v>
      </c>
      <c r="H181" s="13">
        <v>42.7</v>
      </c>
      <c r="I181" s="13">
        <v>53.5</v>
      </c>
      <c r="K181" s="13">
        <v>3.5</v>
      </c>
      <c r="L181" s="13">
        <v>0.35</v>
      </c>
      <c r="O18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100.05</v>
      </c>
      <c r="AI181" s="13">
        <v>4.0000000000000001E-3</v>
      </c>
      <c r="AJ181" s="13">
        <v>0.4</v>
      </c>
      <c r="AK181" s="13">
        <v>1.6</v>
      </c>
      <c r="AL181" s="13">
        <f>Table26[[#This Row],[Solids (g)]]/(Table26[[#This Row],[Solids (g)]]+Table26[[#This Row],[Water mL]])*100</f>
        <v>20</v>
      </c>
      <c r="AT181" s="13" t="e">
        <f>LN(25/Table26[[#This Row],[Temperature (C)]]/(1-SQRT((Table26[[#This Row],[Temperature (C)]]-5)/Table26[[#This Row],[Temperature (C)]])))/Table26[[#This Row],[b]]</f>
        <v>#DIV/0!</v>
      </c>
      <c r="AU181" s="13">
        <f>IF(Table26[[#This Row],[b]]&lt;&gt;"",Table26[[#This Row],[T-5]], 0)</f>
        <v>0</v>
      </c>
      <c r="AV181" s="13">
        <v>30</v>
      </c>
      <c r="AW181" s="13">
        <v>320</v>
      </c>
      <c r="AY181" t="s">
        <v>503</v>
      </c>
      <c r="AZ181" s="13">
        <v>34.54</v>
      </c>
      <c r="BA181" s="13">
        <v>13.39</v>
      </c>
      <c r="BE181" s="13" t="s">
        <v>506</v>
      </c>
      <c r="BI181" s="13">
        <v>69.14</v>
      </c>
      <c r="BJ181" s="13">
        <v>5.78</v>
      </c>
      <c r="BK181" s="13">
        <v>24.35</v>
      </c>
      <c r="BL181" s="13">
        <v>0.72</v>
      </c>
      <c r="BN181" s="13">
        <v>29</v>
      </c>
      <c r="BP181" s="13">
        <v>26.6</v>
      </c>
      <c r="BQ181" s="13" t="s">
        <v>506</v>
      </c>
      <c r="CV181" s="13">
        <v>0</v>
      </c>
    </row>
    <row r="182" spans="1:100" x14ac:dyDescent="0.25">
      <c r="A182" t="s">
        <v>311</v>
      </c>
      <c r="B182" t="s">
        <v>312</v>
      </c>
      <c r="C182">
        <v>2021</v>
      </c>
      <c r="D182" t="s">
        <v>313</v>
      </c>
      <c r="E182">
        <v>1</v>
      </c>
      <c r="F182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1.66</v>
      </c>
      <c r="G182" s="13">
        <v>1.66</v>
      </c>
      <c r="K182" s="13">
        <v>45.4</v>
      </c>
      <c r="L182" s="13">
        <v>3.85</v>
      </c>
      <c r="N182" s="13">
        <v>8.0399999999999991</v>
      </c>
      <c r="O18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50.91</v>
      </c>
      <c r="S182" s="13">
        <v>9.34</v>
      </c>
      <c r="T182" s="13">
        <v>82.62</v>
      </c>
      <c r="AB182" s="13">
        <v>44.88</v>
      </c>
      <c r="AC182" s="13">
        <v>6.27</v>
      </c>
      <c r="AD182" s="13">
        <v>34.119999999999997</v>
      </c>
      <c r="AE182" s="13">
        <v>5.93</v>
      </c>
      <c r="AF182" s="13">
        <v>0.77</v>
      </c>
      <c r="AH182" s="13">
        <v>18.03</v>
      </c>
      <c r="AL182" s="13">
        <v>12</v>
      </c>
      <c r="AT182" s="13" t="e">
        <f>LN(25/Table26[[#This Row],[Temperature (C)]]/(1-SQRT((Table26[[#This Row],[Temperature (C)]]-5)/Table26[[#This Row],[Temperature (C)]])))/Table26[[#This Row],[b]]</f>
        <v>#DIV/0!</v>
      </c>
      <c r="AU182" s="13">
        <f>IF(Table26[[#This Row],[b]]&lt;&gt;"",Table26[[#This Row],[T-5]], 0)</f>
        <v>0</v>
      </c>
      <c r="AV182" s="13">
        <v>120</v>
      </c>
      <c r="AW182" s="13">
        <v>260</v>
      </c>
      <c r="AY182" t="s">
        <v>503</v>
      </c>
      <c r="BA182" s="13">
        <v>22.43</v>
      </c>
      <c r="BE182" s="13" t="s">
        <v>506</v>
      </c>
      <c r="BQ182" s="13" t="s">
        <v>506</v>
      </c>
      <c r="CV182" s="13">
        <v>0</v>
      </c>
    </row>
    <row r="183" spans="1:100" x14ac:dyDescent="0.25">
      <c r="A183" t="s">
        <v>311</v>
      </c>
      <c r="B183" t="s">
        <v>312</v>
      </c>
      <c r="C183">
        <v>2021</v>
      </c>
      <c r="D183" t="s">
        <v>313</v>
      </c>
      <c r="E183">
        <v>1</v>
      </c>
      <c r="F183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1.66</v>
      </c>
      <c r="G183" s="13">
        <v>1.66</v>
      </c>
      <c r="K183" s="13">
        <v>45.4</v>
      </c>
      <c r="L183" s="13">
        <v>3.85</v>
      </c>
      <c r="N183" s="13">
        <v>8.0399999999999991</v>
      </c>
      <c r="O18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50.91</v>
      </c>
      <c r="S183" s="13">
        <v>9.34</v>
      </c>
      <c r="T183" s="13">
        <v>82.62</v>
      </c>
      <c r="AB183" s="13">
        <v>44.88</v>
      </c>
      <c r="AC183" s="13">
        <v>6.27</v>
      </c>
      <c r="AD183" s="13">
        <v>34.119999999999997</v>
      </c>
      <c r="AE183" s="13">
        <v>5.93</v>
      </c>
      <c r="AF183" s="13">
        <v>0.77</v>
      </c>
      <c r="AH183" s="13">
        <v>18.03</v>
      </c>
      <c r="AL183" s="13">
        <v>12</v>
      </c>
      <c r="AT183" s="13" t="e">
        <f>LN(25/Table26[[#This Row],[Temperature (C)]]/(1-SQRT((Table26[[#This Row],[Temperature (C)]]-5)/Table26[[#This Row],[Temperature (C)]])))/Table26[[#This Row],[b]]</f>
        <v>#DIV/0!</v>
      </c>
      <c r="AU183" s="13">
        <f>IF(Table26[[#This Row],[b]]&lt;&gt;"",Table26[[#This Row],[T-5]], 0)</f>
        <v>0</v>
      </c>
      <c r="AV183" s="13">
        <v>120</v>
      </c>
      <c r="AW183" s="13">
        <v>300</v>
      </c>
      <c r="AY183" t="s">
        <v>503</v>
      </c>
      <c r="BA183" s="13">
        <v>21.04</v>
      </c>
      <c r="BE183" s="13" t="s">
        <v>506</v>
      </c>
      <c r="BQ183" s="13" t="s">
        <v>506</v>
      </c>
      <c r="CV183" s="13">
        <v>0</v>
      </c>
    </row>
    <row r="184" spans="1:100" x14ac:dyDescent="0.25">
      <c r="A184" t="s">
        <v>311</v>
      </c>
      <c r="B184" t="s">
        <v>312</v>
      </c>
      <c r="C184">
        <v>2021</v>
      </c>
      <c r="D184" t="s">
        <v>313</v>
      </c>
      <c r="E184">
        <v>1</v>
      </c>
      <c r="F184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1.66</v>
      </c>
      <c r="G184" s="13">
        <v>1.66</v>
      </c>
      <c r="K184" s="13">
        <v>45.4</v>
      </c>
      <c r="L184" s="13">
        <v>3.85</v>
      </c>
      <c r="N184" s="13">
        <v>8.0399999999999991</v>
      </c>
      <c r="O18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50.91</v>
      </c>
      <c r="S184" s="13">
        <v>9.34</v>
      </c>
      <c r="T184" s="13">
        <v>82.62</v>
      </c>
      <c r="AB184" s="13">
        <v>44.88</v>
      </c>
      <c r="AC184" s="13">
        <v>6.27</v>
      </c>
      <c r="AD184" s="13">
        <v>34.119999999999997</v>
      </c>
      <c r="AE184" s="13">
        <v>5.93</v>
      </c>
      <c r="AF184" s="13">
        <v>0.77</v>
      </c>
      <c r="AH184" s="13">
        <v>18.03</v>
      </c>
      <c r="AL184" s="13">
        <v>12</v>
      </c>
      <c r="AT184" s="13" t="e">
        <f>LN(25/Table26[[#This Row],[Temperature (C)]]/(1-SQRT((Table26[[#This Row],[Temperature (C)]]-5)/Table26[[#This Row],[Temperature (C)]])))/Table26[[#This Row],[b]]</f>
        <v>#DIV/0!</v>
      </c>
      <c r="AU184" s="13">
        <f>IF(Table26[[#This Row],[b]]&lt;&gt;"",Table26[[#This Row],[T-5]], 0)</f>
        <v>0</v>
      </c>
      <c r="AV184" s="13">
        <v>240</v>
      </c>
      <c r="AW184" s="13">
        <v>260</v>
      </c>
      <c r="AY184" t="s">
        <v>503</v>
      </c>
      <c r="BA184" s="13">
        <v>23.17</v>
      </c>
      <c r="BE184" s="13" t="s">
        <v>506</v>
      </c>
      <c r="BQ184" s="13" t="s">
        <v>506</v>
      </c>
      <c r="CV184" s="13">
        <v>0</v>
      </c>
    </row>
    <row r="185" spans="1:100" x14ac:dyDescent="0.25">
      <c r="A185" t="s">
        <v>311</v>
      </c>
      <c r="B185" t="s">
        <v>312</v>
      </c>
      <c r="C185">
        <v>2021</v>
      </c>
      <c r="D185" t="s">
        <v>313</v>
      </c>
      <c r="E185">
        <v>1</v>
      </c>
      <c r="F185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1.66</v>
      </c>
      <c r="G185" s="13">
        <v>1.66</v>
      </c>
      <c r="K185" s="13">
        <v>45.4</v>
      </c>
      <c r="L185" s="13">
        <v>3.85</v>
      </c>
      <c r="N185" s="13">
        <v>8.0399999999999991</v>
      </c>
      <c r="O18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50.91</v>
      </c>
      <c r="S185" s="13">
        <v>9.34</v>
      </c>
      <c r="T185" s="13">
        <v>82.62</v>
      </c>
      <c r="AB185" s="13">
        <v>44.88</v>
      </c>
      <c r="AC185" s="13">
        <v>6.27</v>
      </c>
      <c r="AD185" s="13">
        <v>34.119999999999997</v>
      </c>
      <c r="AE185" s="13">
        <v>5.93</v>
      </c>
      <c r="AF185" s="13">
        <v>0.77</v>
      </c>
      <c r="AH185" s="13">
        <v>18.03</v>
      </c>
      <c r="AL185" s="13">
        <v>12</v>
      </c>
      <c r="AT185" s="13" t="e">
        <f>LN(25/Table26[[#This Row],[Temperature (C)]]/(1-SQRT((Table26[[#This Row],[Temperature (C)]]-5)/Table26[[#This Row],[Temperature (C)]])))/Table26[[#This Row],[b]]</f>
        <v>#DIV/0!</v>
      </c>
      <c r="AU185" s="13">
        <f>IF(Table26[[#This Row],[b]]&lt;&gt;"",Table26[[#This Row],[T-5]], 0)</f>
        <v>0</v>
      </c>
      <c r="AV185" s="13">
        <v>240</v>
      </c>
      <c r="AW185" s="13">
        <v>300</v>
      </c>
      <c r="AY185" t="s">
        <v>503</v>
      </c>
      <c r="BA185" s="13">
        <v>19.350000000000001</v>
      </c>
      <c r="BE185" s="13" t="s">
        <v>506</v>
      </c>
      <c r="BQ185" s="13" t="s">
        <v>506</v>
      </c>
      <c r="CV185" s="13">
        <v>0</v>
      </c>
    </row>
    <row r="186" spans="1:100" x14ac:dyDescent="0.25">
      <c r="A186" t="s">
        <v>311</v>
      </c>
      <c r="B186" t="s">
        <v>312</v>
      </c>
      <c r="C186">
        <v>2021</v>
      </c>
      <c r="D186" t="s">
        <v>313</v>
      </c>
      <c r="E186">
        <v>1</v>
      </c>
      <c r="F186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1.66</v>
      </c>
      <c r="G186" s="13">
        <v>1.66</v>
      </c>
      <c r="K186" s="13">
        <v>45.4</v>
      </c>
      <c r="L186" s="13">
        <v>3.85</v>
      </c>
      <c r="N186" s="13">
        <v>8.0399999999999991</v>
      </c>
      <c r="O18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50.91</v>
      </c>
      <c r="S186" s="13">
        <v>9.34</v>
      </c>
      <c r="T186" s="13">
        <v>82.62</v>
      </c>
      <c r="AB186" s="13">
        <v>44.88</v>
      </c>
      <c r="AC186" s="13">
        <v>6.27</v>
      </c>
      <c r="AD186" s="13">
        <v>34.119999999999997</v>
      </c>
      <c r="AE186" s="13">
        <v>5.93</v>
      </c>
      <c r="AF186" s="13">
        <v>0.77</v>
      </c>
      <c r="AH186" s="13">
        <v>18.03</v>
      </c>
      <c r="AL186" s="13">
        <v>18</v>
      </c>
      <c r="AT186" s="13" t="e">
        <f>LN(25/Table26[[#This Row],[Temperature (C)]]/(1-SQRT((Table26[[#This Row],[Temperature (C)]]-5)/Table26[[#This Row],[Temperature (C)]])))/Table26[[#This Row],[b]]</f>
        <v>#DIV/0!</v>
      </c>
      <c r="AU186" s="13">
        <f>IF(Table26[[#This Row],[b]]&lt;&gt;"",Table26[[#This Row],[T-5]], 0)</f>
        <v>0</v>
      </c>
      <c r="AV186" s="13">
        <v>120</v>
      </c>
      <c r="AW186" s="13">
        <v>260</v>
      </c>
      <c r="AY186" t="s">
        <v>503</v>
      </c>
      <c r="BA186" s="13">
        <v>18.510000000000002</v>
      </c>
      <c r="BE186" s="13" t="s">
        <v>506</v>
      </c>
      <c r="BQ186" s="13" t="s">
        <v>506</v>
      </c>
      <c r="CV186" s="13">
        <v>0</v>
      </c>
    </row>
    <row r="187" spans="1:100" x14ac:dyDescent="0.25">
      <c r="A187" t="s">
        <v>311</v>
      </c>
      <c r="B187" t="s">
        <v>312</v>
      </c>
      <c r="C187">
        <v>2021</v>
      </c>
      <c r="D187" t="s">
        <v>313</v>
      </c>
      <c r="E187">
        <v>1</v>
      </c>
      <c r="F18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1.66</v>
      </c>
      <c r="G187" s="13">
        <v>1.66</v>
      </c>
      <c r="K187" s="13">
        <v>45.4</v>
      </c>
      <c r="L187" s="13">
        <v>3.85</v>
      </c>
      <c r="N187" s="13">
        <v>8.0399999999999991</v>
      </c>
      <c r="O18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50.91</v>
      </c>
      <c r="S187" s="13">
        <v>9.34</v>
      </c>
      <c r="T187" s="13">
        <v>82.62</v>
      </c>
      <c r="AB187" s="13">
        <v>44.88</v>
      </c>
      <c r="AC187" s="13">
        <v>6.27</v>
      </c>
      <c r="AD187" s="13">
        <v>34.119999999999997</v>
      </c>
      <c r="AE187" s="13">
        <v>5.93</v>
      </c>
      <c r="AF187" s="13">
        <v>0.77</v>
      </c>
      <c r="AH187" s="13">
        <v>18.03</v>
      </c>
      <c r="AL187" s="13">
        <v>18</v>
      </c>
      <c r="AT187" s="13" t="e">
        <f>LN(25/Table26[[#This Row],[Temperature (C)]]/(1-SQRT((Table26[[#This Row],[Temperature (C)]]-5)/Table26[[#This Row],[Temperature (C)]])))/Table26[[#This Row],[b]]</f>
        <v>#DIV/0!</v>
      </c>
      <c r="AU187" s="13">
        <f>IF(Table26[[#This Row],[b]]&lt;&gt;"",Table26[[#This Row],[T-5]], 0)</f>
        <v>0</v>
      </c>
      <c r="AV187" s="13">
        <v>120</v>
      </c>
      <c r="AW187" s="13">
        <v>300</v>
      </c>
      <c r="AY187" t="s">
        <v>503</v>
      </c>
      <c r="BA187" s="13">
        <v>23.81</v>
      </c>
      <c r="BE187" s="13" t="s">
        <v>506</v>
      </c>
      <c r="BQ187" s="13" t="s">
        <v>506</v>
      </c>
      <c r="CV187" s="13">
        <v>0</v>
      </c>
    </row>
    <row r="188" spans="1:100" x14ac:dyDescent="0.25">
      <c r="A188" t="s">
        <v>311</v>
      </c>
      <c r="B188" t="s">
        <v>312</v>
      </c>
      <c r="C188">
        <v>2021</v>
      </c>
      <c r="D188" t="s">
        <v>313</v>
      </c>
      <c r="E188">
        <v>1</v>
      </c>
      <c r="F188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1.66</v>
      </c>
      <c r="G188" s="13">
        <v>1.66</v>
      </c>
      <c r="K188" s="13">
        <v>45.4</v>
      </c>
      <c r="L188" s="13">
        <v>3.85</v>
      </c>
      <c r="N188" s="13">
        <v>8.0399999999999991</v>
      </c>
      <c r="O18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50.91</v>
      </c>
      <c r="S188" s="13">
        <v>9.34</v>
      </c>
      <c r="T188" s="13">
        <v>82.62</v>
      </c>
      <c r="AB188" s="13">
        <v>44.88</v>
      </c>
      <c r="AC188" s="13">
        <v>6.27</v>
      </c>
      <c r="AD188" s="13">
        <v>34.119999999999997</v>
      </c>
      <c r="AE188" s="13">
        <v>5.93</v>
      </c>
      <c r="AF188" s="13">
        <v>0.77</v>
      </c>
      <c r="AH188" s="13">
        <v>18.03</v>
      </c>
      <c r="AL188" s="13">
        <v>18</v>
      </c>
      <c r="AT188" s="13" t="e">
        <f>LN(25/Table26[[#This Row],[Temperature (C)]]/(1-SQRT((Table26[[#This Row],[Temperature (C)]]-5)/Table26[[#This Row],[Temperature (C)]])))/Table26[[#This Row],[b]]</f>
        <v>#DIV/0!</v>
      </c>
      <c r="AU188" s="13">
        <f>IF(Table26[[#This Row],[b]]&lt;&gt;"",Table26[[#This Row],[T-5]], 0)</f>
        <v>0</v>
      </c>
      <c r="AV188" s="13">
        <v>240</v>
      </c>
      <c r="AW188" s="13">
        <v>260</v>
      </c>
      <c r="AY188" t="s">
        <v>503</v>
      </c>
      <c r="BA188" s="13">
        <v>19.63</v>
      </c>
      <c r="BE188" s="13" t="s">
        <v>506</v>
      </c>
      <c r="BQ188" s="13" t="s">
        <v>506</v>
      </c>
      <c r="CV188" s="13">
        <v>0</v>
      </c>
    </row>
    <row r="189" spans="1:100" x14ac:dyDescent="0.25">
      <c r="A189" t="s">
        <v>311</v>
      </c>
      <c r="B189" t="s">
        <v>312</v>
      </c>
      <c r="C189">
        <v>2021</v>
      </c>
      <c r="D189" t="s">
        <v>313</v>
      </c>
      <c r="E189">
        <v>1</v>
      </c>
      <c r="F189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1.66</v>
      </c>
      <c r="G189" s="13">
        <v>1.66</v>
      </c>
      <c r="K189" s="13">
        <v>45.4</v>
      </c>
      <c r="L189" s="13">
        <v>3.85</v>
      </c>
      <c r="N189" s="13">
        <v>8.0399999999999991</v>
      </c>
      <c r="O18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50.91</v>
      </c>
      <c r="S189" s="13">
        <v>9.34</v>
      </c>
      <c r="T189" s="13">
        <v>82.62</v>
      </c>
      <c r="AB189" s="13">
        <v>44.88</v>
      </c>
      <c r="AC189" s="13">
        <v>6.27</v>
      </c>
      <c r="AD189" s="13">
        <v>34.119999999999997</v>
      </c>
      <c r="AE189" s="13">
        <v>5.93</v>
      </c>
      <c r="AF189" s="13">
        <v>0.77</v>
      </c>
      <c r="AH189" s="13">
        <v>18.03</v>
      </c>
      <c r="AL189" s="13">
        <v>18</v>
      </c>
      <c r="AT189" s="13" t="e">
        <f>LN(25/Table26[[#This Row],[Temperature (C)]]/(1-SQRT((Table26[[#This Row],[Temperature (C)]]-5)/Table26[[#This Row],[Temperature (C)]])))/Table26[[#This Row],[b]]</f>
        <v>#DIV/0!</v>
      </c>
      <c r="AU189" s="13">
        <f>IF(Table26[[#This Row],[b]]&lt;&gt;"",Table26[[#This Row],[T-5]], 0)</f>
        <v>0</v>
      </c>
      <c r="AV189" s="13">
        <v>240</v>
      </c>
      <c r="AW189" s="13">
        <v>300</v>
      </c>
      <c r="AY189" t="s">
        <v>503</v>
      </c>
      <c r="BA189" s="13">
        <v>23.18</v>
      </c>
      <c r="BE189" s="13" t="s">
        <v>506</v>
      </c>
      <c r="BQ189" s="13" t="s">
        <v>506</v>
      </c>
      <c r="CV189" s="13">
        <v>0</v>
      </c>
    </row>
    <row r="190" spans="1:100" x14ac:dyDescent="0.25">
      <c r="A190" t="s">
        <v>311</v>
      </c>
      <c r="B190" t="s">
        <v>312</v>
      </c>
      <c r="C190">
        <v>2021</v>
      </c>
      <c r="D190" t="s">
        <v>313</v>
      </c>
      <c r="E190">
        <v>1</v>
      </c>
      <c r="F190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1.66</v>
      </c>
      <c r="G190" s="13">
        <v>1.66</v>
      </c>
      <c r="K190" s="13">
        <v>45.4</v>
      </c>
      <c r="L190" s="13">
        <v>3.85</v>
      </c>
      <c r="N190" s="13">
        <v>8.0399999999999991</v>
      </c>
      <c r="O19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50.91</v>
      </c>
      <c r="S190" s="13">
        <v>9.34</v>
      </c>
      <c r="T190" s="13">
        <v>82.62</v>
      </c>
      <c r="AB190" s="13">
        <v>44.88</v>
      </c>
      <c r="AC190" s="13">
        <v>6.27</v>
      </c>
      <c r="AD190" s="13">
        <v>34.119999999999997</v>
      </c>
      <c r="AE190" s="13">
        <v>5.93</v>
      </c>
      <c r="AF190" s="13">
        <v>0.77</v>
      </c>
      <c r="AH190" s="13">
        <v>18.03</v>
      </c>
      <c r="AL190" s="13">
        <v>15</v>
      </c>
      <c r="AT190" s="13" t="e">
        <f>LN(25/Table26[[#This Row],[Temperature (C)]]/(1-SQRT((Table26[[#This Row],[Temperature (C)]]-5)/Table26[[#This Row],[Temperature (C)]])))/Table26[[#This Row],[b]]</f>
        <v>#DIV/0!</v>
      </c>
      <c r="AU190" s="13">
        <f>IF(Table26[[#This Row],[b]]&lt;&gt;"",Table26[[#This Row],[T-5]], 0)</f>
        <v>0</v>
      </c>
      <c r="AV190" s="13">
        <v>180</v>
      </c>
      <c r="AW190" s="13">
        <v>245</v>
      </c>
      <c r="AY190" t="s">
        <v>503</v>
      </c>
      <c r="BA190" s="13">
        <v>22.21</v>
      </c>
      <c r="BE190" s="13" t="s">
        <v>506</v>
      </c>
      <c r="BQ190" s="13" t="s">
        <v>506</v>
      </c>
      <c r="CV190" s="13">
        <v>0</v>
      </c>
    </row>
    <row r="191" spans="1:100" x14ac:dyDescent="0.25">
      <c r="A191" t="s">
        <v>311</v>
      </c>
      <c r="B191" t="s">
        <v>312</v>
      </c>
      <c r="C191">
        <v>2021</v>
      </c>
      <c r="D191" t="s">
        <v>313</v>
      </c>
      <c r="E191">
        <v>1</v>
      </c>
      <c r="F191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1.66</v>
      </c>
      <c r="G191" s="13">
        <v>1.66</v>
      </c>
      <c r="K191" s="13">
        <v>45.4</v>
      </c>
      <c r="L191" s="13">
        <v>3.85</v>
      </c>
      <c r="N191" s="13">
        <v>8.0399999999999991</v>
      </c>
      <c r="O19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50.91</v>
      </c>
      <c r="S191" s="13">
        <v>9.34</v>
      </c>
      <c r="T191" s="13">
        <v>82.62</v>
      </c>
      <c r="AB191" s="13">
        <v>44.88</v>
      </c>
      <c r="AC191" s="13">
        <v>6.27</v>
      </c>
      <c r="AD191" s="13">
        <v>34.119999999999997</v>
      </c>
      <c r="AE191" s="13">
        <v>5.93</v>
      </c>
      <c r="AF191" s="13">
        <v>0.77</v>
      </c>
      <c r="AH191" s="13">
        <v>18.03</v>
      </c>
      <c r="AL191" s="13">
        <v>15</v>
      </c>
      <c r="AT191" s="13" t="e">
        <f>LN(25/Table26[[#This Row],[Temperature (C)]]/(1-SQRT((Table26[[#This Row],[Temperature (C)]]-5)/Table26[[#This Row],[Temperature (C)]])))/Table26[[#This Row],[b]]</f>
        <v>#DIV/0!</v>
      </c>
      <c r="AU191" s="13">
        <f>IF(Table26[[#This Row],[b]]&lt;&gt;"",Table26[[#This Row],[T-5]], 0)</f>
        <v>0</v>
      </c>
      <c r="AV191" s="13">
        <v>180</v>
      </c>
      <c r="AW191" s="13">
        <v>315</v>
      </c>
      <c r="AY191" t="s">
        <v>503</v>
      </c>
      <c r="BA191" s="13">
        <v>23.75</v>
      </c>
      <c r="BE191" s="13" t="s">
        <v>506</v>
      </c>
      <c r="BQ191" s="13" t="s">
        <v>506</v>
      </c>
      <c r="CV191" s="13">
        <v>0</v>
      </c>
    </row>
    <row r="192" spans="1:100" x14ac:dyDescent="0.25">
      <c r="A192" t="s">
        <v>311</v>
      </c>
      <c r="B192" t="s">
        <v>312</v>
      </c>
      <c r="C192">
        <v>2021</v>
      </c>
      <c r="D192" t="s">
        <v>313</v>
      </c>
      <c r="E192">
        <v>1</v>
      </c>
      <c r="F192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1.66</v>
      </c>
      <c r="G192" s="13">
        <v>1.66</v>
      </c>
      <c r="K192" s="13">
        <v>45.4</v>
      </c>
      <c r="L192" s="13">
        <v>3.85</v>
      </c>
      <c r="N192" s="13">
        <v>8.0399999999999991</v>
      </c>
      <c r="O19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50.91</v>
      </c>
      <c r="S192" s="13">
        <v>9.34</v>
      </c>
      <c r="T192" s="13">
        <v>82.62</v>
      </c>
      <c r="AB192" s="13">
        <v>44.88</v>
      </c>
      <c r="AC192" s="13">
        <v>6.27</v>
      </c>
      <c r="AD192" s="13">
        <v>34.119999999999997</v>
      </c>
      <c r="AE192" s="13">
        <v>5.93</v>
      </c>
      <c r="AF192" s="13">
        <v>0.77</v>
      </c>
      <c r="AH192" s="13">
        <v>18.03</v>
      </c>
      <c r="AL192" s="13">
        <v>15</v>
      </c>
      <c r="AT192" s="13" t="e">
        <f>LN(25/Table26[[#This Row],[Temperature (C)]]/(1-SQRT((Table26[[#This Row],[Temperature (C)]]-5)/Table26[[#This Row],[Temperature (C)]])))/Table26[[#This Row],[b]]</f>
        <v>#DIV/0!</v>
      </c>
      <c r="AU192" s="13">
        <f>IF(Table26[[#This Row],[b]]&lt;&gt;"",Table26[[#This Row],[T-5]], 0)</f>
        <v>0</v>
      </c>
      <c r="AV192" s="13">
        <v>80</v>
      </c>
      <c r="AW192" s="13">
        <v>280</v>
      </c>
      <c r="AY192" t="s">
        <v>503</v>
      </c>
      <c r="BA192" s="13">
        <v>20.09</v>
      </c>
      <c r="BE192" s="13" t="s">
        <v>506</v>
      </c>
      <c r="BQ192" s="13" t="s">
        <v>506</v>
      </c>
      <c r="CV192" s="13">
        <v>0</v>
      </c>
    </row>
    <row r="193" spans="1:100" x14ac:dyDescent="0.25">
      <c r="A193" t="s">
        <v>311</v>
      </c>
      <c r="B193" t="s">
        <v>312</v>
      </c>
      <c r="C193">
        <v>2021</v>
      </c>
      <c r="D193" t="s">
        <v>313</v>
      </c>
      <c r="E193">
        <v>1</v>
      </c>
      <c r="F193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1.66</v>
      </c>
      <c r="G193" s="13">
        <v>1.66</v>
      </c>
      <c r="K193" s="13">
        <v>45.4</v>
      </c>
      <c r="L193" s="13">
        <v>3.85</v>
      </c>
      <c r="N193" s="13">
        <v>8.0399999999999991</v>
      </c>
      <c r="O19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50.91</v>
      </c>
      <c r="S193" s="13">
        <v>9.34</v>
      </c>
      <c r="T193" s="13">
        <v>82.62</v>
      </c>
      <c r="AB193" s="13">
        <v>44.88</v>
      </c>
      <c r="AC193" s="13">
        <v>6.27</v>
      </c>
      <c r="AD193" s="13">
        <v>34.119999999999997</v>
      </c>
      <c r="AE193" s="13">
        <v>5.93</v>
      </c>
      <c r="AF193" s="13">
        <v>0.77</v>
      </c>
      <c r="AH193" s="13">
        <v>18.03</v>
      </c>
      <c r="AL193" s="13">
        <v>15</v>
      </c>
      <c r="AT193" s="13" t="e">
        <f>LN(25/Table26[[#This Row],[Temperature (C)]]/(1-SQRT((Table26[[#This Row],[Temperature (C)]]-5)/Table26[[#This Row],[Temperature (C)]])))/Table26[[#This Row],[b]]</f>
        <v>#DIV/0!</v>
      </c>
      <c r="AU193" s="13">
        <f>IF(Table26[[#This Row],[b]]&lt;&gt;"",Table26[[#This Row],[T-5]], 0)</f>
        <v>0</v>
      </c>
      <c r="AV193" s="13">
        <v>280</v>
      </c>
      <c r="AW193" s="13">
        <v>280</v>
      </c>
      <c r="AY193" t="s">
        <v>503</v>
      </c>
      <c r="BA193" s="13">
        <v>19.62</v>
      </c>
      <c r="BE193" s="13" t="s">
        <v>506</v>
      </c>
      <c r="BQ193" s="13" t="s">
        <v>506</v>
      </c>
      <c r="CV193" s="13">
        <v>0</v>
      </c>
    </row>
    <row r="194" spans="1:100" x14ac:dyDescent="0.25">
      <c r="A194" t="s">
        <v>311</v>
      </c>
      <c r="B194" t="s">
        <v>312</v>
      </c>
      <c r="C194">
        <v>2021</v>
      </c>
      <c r="D194" t="s">
        <v>313</v>
      </c>
      <c r="E194">
        <v>1</v>
      </c>
      <c r="F194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1.66</v>
      </c>
      <c r="G194" s="13">
        <v>1.66</v>
      </c>
      <c r="K194" s="13">
        <v>45.4</v>
      </c>
      <c r="L194" s="13">
        <v>3.85</v>
      </c>
      <c r="N194" s="13">
        <v>8.0399999999999991</v>
      </c>
      <c r="O19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50.91</v>
      </c>
      <c r="S194" s="13">
        <v>9.34</v>
      </c>
      <c r="T194" s="13">
        <v>82.62</v>
      </c>
      <c r="AB194" s="13">
        <v>44.88</v>
      </c>
      <c r="AC194" s="13">
        <v>6.27</v>
      </c>
      <c r="AD194" s="13">
        <v>34.119999999999997</v>
      </c>
      <c r="AE194" s="13">
        <v>5.93</v>
      </c>
      <c r="AF194" s="13">
        <v>0.77</v>
      </c>
      <c r="AH194" s="13">
        <v>18.03</v>
      </c>
      <c r="AL194" s="13">
        <v>10</v>
      </c>
      <c r="AT194" s="13" t="e">
        <f>LN(25/Table26[[#This Row],[Temperature (C)]]/(1-SQRT((Table26[[#This Row],[Temperature (C)]]-5)/Table26[[#This Row],[Temperature (C)]])))/Table26[[#This Row],[b]]</f>
        <v>#DIV/0!</v>
      </c>
      <c r="AU194" s="13">
        <f>IF(Table26[[#This Row],[b]]&lt;&gt;"",Table26[[#This Row],[T-5]], 0)</f>
        <v>0</v>
      </c>
      <c r="AV194" s="13">
        <v>180</v>
      </c>
      <c r="AW194" s="13">
        <v>280</v>
      </c>
      <c r="AY194" t="s">
        <v>503</v>
      </c>
      <c r="BA194" s="13">
        <v>23.25</v>
      </c>
      <c r="BE194" s="13" t="s">
        <v>506</v>
      </c>
      <c r="BQ194" s="13" t="s">
        <v>506</v>
      </c>
      <c r="CV194" s="13">
        <v>0</v>
      </c>
    </row>
    <row r="195" spans="1:100" x14ac:dyDescent="0.25">
      <c r="A195" t="s">
        <v>311</v>
      </c>
      <c r="B195" t="s">
        <v>312</v>
      </c>
      <c r="C195">
        <v>2021</v>
      </c>
      <c r="D195" t="s">
        <v>313</v>
      </c>
      <c r="E195">
        <v>1</v>
      </c>
      <c r="F195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1.66</v>
      </c>
      <c r="G195" s="13">
        <v>1.66</v>
      </c>
      <c r="K195" s="13">
        <v>45.4</v>
      </c>
      <c r="L195" s="13">
        <v>3.85</v>
      </c>
      <c r="N195" s="13">
        <v>8.0399999999999991</v>
      </c>
      <c r="O19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50.91</v>
      </c>
      <c r="S195" s="13">
        <v>9.34</v>
      </c>
      <c r="T195" s="13">
        <v>82.62</v>
      </c>
      <c r="AB195" s="13">
        <v>44.88</v>
      </c>
      <c r="AC195" s="13">
        <v>6.27</v>
      </c>
      <c r="AD195" s="13">
        <v>34.119999999999997</v>
      </c>
      <c r="AE195" s="13">
        <v>5.93</v>
      </c>
      <c r="AF195" s="13">
        <v>0.77</v>
      </c>
      <c r="AH195" s="13">
        <v>18.03</v>
      </c>
      <c r="AL195" s="13">
        <v>20</v>
      </c>
      <c r="AT195" s="13" t="e">
        <f>LN(25/Table26[[#This Row],[Temperature (C)]]/(1-SQRT((Table26[[#This Row],[Temperature (C)]]-5)/Table26[[#This Row],[Temperature (C)]])))/Table26[[#This Row],[b]]</f>
        <v>#DIV/0!</v>
      </c>
      <c r="AU195" s="13">
        <f>IF(Table26[[#This Row],[b]]&lt;&gt;"",Table26[[#This Row],[T-5]], 0)</f>
        <v>0</v>
      </c>
      <c r="AV195" s="13">
        <v>180</v>
      </c>
      <c r="AW195" s="13">
        <v>280</v>
      </c>
      <c r="AY195" t="s">
        <v>503</v>
      </c>
      <c r="BA195" s="13">
        <v>23.78</v>
      </c>
      <c r="BE195" s="13" t="s">
        <v>506</v>
      </c>
      <c r="BQ195" s="13" t="s">
        <v>506</v>
      </c>
      <c r="CV195" s="13">
        <v>0</v>
      </c>
    </row>
    <row r="196" spans="1:100" x14ac:dyDescent="0.25">
      <c r="A196" t="s">
        <v>311</v>
      </c>
      <c r="B196" t="s">
        <v>312</v>
      </c>
      <c r="C196">
        <v>2021</v>
      </c>
      <c r="D196" t="s">
        <v>313</v>
      </c>
      <c r="E196">
        <v>1</v>
      </c>
      <c r="F196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1.66</v>
      </c>
      <c r="G196" s="13">
        <v>1.66</v>
      </c>
      <c r="K196" s="13">
        <v>45.4</v>
      </c>
      <c r="L196" s="13">
        <v>3.85</v>
      </c>
      <c r="N196" s="13">
        <v>8.0399999999999991</v>
      </c>
      <c r="O19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50.91</v>
      </c>
      <c r="S196" s="13">
        <v>9.34</v>
      </c>
      <c r="T196" s="13">
        <v>82.62</v>
      </c>
      <c r="AB196" s="13">
        <v>44.88</v>
      </c>
      <c r="AC196" s="13">
        <v>6.27</v>
      </c>
      <c r="AD196" s="13">
        <v>34.119999999999997</v>
      </c>
      <c r="AE196" s="13">
        <v>5.93</v>
      </c>
      <c r="AF196" s="13">
        <v>0.77</v>
      </c>
      <c r="AH196" s="13">
        <v>18.03</v>
      </c>
      <c r="AL196" s="13">
        <v>15</v>
      </c>
      <c r="AT196" s="13" t="e">
        <f>LN(25/Table26[[#This Row],[Temperature (C)]]/(1-SQRT((Table26[[#This Row],[Temperature (C)]]-5)/Table26[[#This Row],[Temperature (C)]])))/Table26[[#This Row],[b]]</f>
        <v>#DIV/0!</v>
      </c>
      <c r="AU196" s="13">
        <f>IF(Table26[[#This Row],[b]]&lt;&gt;"",Table26[[#This Row],[T-5]], 0)</f>
        <v>0</v>
      </c>
      <c r="AV196" s="13">
        <v>180</v>
      </c>
      <c r="AW196" s="13">
        <v>280</v>
      </c>
      <c r="AY196" t="s">
        <v>503</v>
      </c>
      <c r="BA196" s="13">
        <v>25.44</v>
      </c>
      <c r="BE196" s="13" t="s">
        <v>506</v>
      </c>
      <c r="BQ196" s="13" t="s">
        <v>506</v>
      </c>
      <c r="CV196" s="13">
        <v>0</v>
      </c>
    </row>
    <row r="197" spans="1:100" x14ac:dyDescent="0.25">
      <c r="A197" t="s">
        <v>311</v>
      </c>
      <c r="B197" t="s">
        <v>312</v>
      </c>
      <c r="C197">
        <v>2021</v>
      </c>
      <c r="D197" t="s">
        <v>313</v>
      </c>
      <c r="E197">
        <v>1</v>
      </c>
      <c r="F19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1.66</v>
      </c>
      <c r="G197" s="13">
        <v>1.66</v>
      </c>
      <c r="K197" s="13">
        <v>45.4</v>
      </c>
      <c r="L197" s="13">
        <v>3.85</v>
      </c>
      <c r="N197" s="13">
        <v>8.0399999999999991</v>
      </c>
      <c r="O19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50.91</v>
      </c>
      <c r="S197" s="13">
        <v>9.34</v>
      </c>
      <c r="T197" s="13">
        <v>82.62</v>
      </c>
      <c r="AB197" s="13">
        <v>44.88</v>
      </c>
      <c r="AC197" s="13">
        <v>6.27</v>
      </c>
      <c r="AD197" s="13">
        <v>34.119999999999997</v>
      </c>
      <c r="AE197" s="13">
        <v>5.93</v>
      </c>
      <c r="AF197" s="13">
        <v>0.77</v>
      </c>
      <c r="AH197" s="13">
        <v>18.03</v>
      </c>
      <c r="AL197" s="13">
        <v>15</v>
      </c>
      <c r="AT197" s="13" t="e">
        <f>LN(25/Table26[[#This Row],[Temperature (C)]]/(1-SQRT((Table26[[#This Row],[Temperature (C)]]-5)/Table26[[#This Row],[Temperature (C)]])))/Table26[[#This Row],[b]]</f>
        <v>#DIV/0!</v>
      </c>
      <c r="AU197" s="13">
        <f>IF(Table26[[#This Row],[b]]&lt;&gt;"",Table26[[#This Row],[T-5]], 0)</f>
        <v>0</v>
      </c>
      <c r="AV197" s="13">
        <v>180</v>
      </c>
      <c r="AW197" s="13">
        <v>280</v>
      </c>
      <c r="AY197" t="s">
        <v>503</v>
      </c>
      <c r="BA197" s="13">
        <v>24.65</v>
      </c>
      <c r="BE197" s="13" t="s">
        <v>506</v>
      </c>
      <c r="BQ197" s="13" t="s">
        <v>506</v>
      </c>
      <c r="CV197" s="13">
        <v>0</v>
      </c>
    </row>
    <row r="198" spans="1:100" x14ac:dyDescent="0.25">
      <c r="A198" t="s">
        <v>311</v>
      </c>
      <c r="B198" t="s">
        <v>312</v>
      </c>
      <c r="C198">
        <v>2021</v>
      </c>
      <c r="D198" t="s">
        <v>313</v>
      </c>
      <c r="E198">
        <v>1</v>
      </c>
      <c r="F198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1.66</v>
      </c>
      <c r="G198" s="13">
        <v>1.66</v>
      </c>
      <c r="K198" s="13">
        <v>45.4</v>
      </c>
      <c r="L198" s="13">
        <v>3.85</v>
      </c>
      <c r="N198" s="13">
        <v>8.0399999999999991</v>
      </c>
      <c r="O19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50.91</v>
      </c>
      <c r="S198" s="13">
        <v>9.34</v>
      </c>
      <c r="T198" s="13">
        <v>82.62</v>
      </c>
      <c r="AB198" s="13">
        <v>44.88</v>
      </c>
      <c r="AC198" s="13">
        <v>6.27</v>
      </c>
      <c r="AD198" s="13">
        <v>34.119999999999997</v>
      </c>
      <c r="AE198" s="13">
        <v>5.93</v>
      </c>
      <c r="AF198" s="13">
        <v>0.77</v>
      </c>
      <c r="AH198" s="13">
        <v>18.03</v>
      </c>
      <c r="AL198" s="13">
        <v>15</v>
      </c>
      <c r="AT198" s="13" t="e">
        <f>LN(25/Table26[[#This Row],[Temperature (C)]]/(1-SQRT((Table26[[#This Row],[Temperature (C)]]-5)/Table26[[#This Row],[Temperature (C)]])))/Table26[[#This Row],[b]]</f>
        <v>#DIV/0!</v>
      </c>
      <c r="AU198" s="13">
        <f>IF(Table26[[#This Row],[b]]&lt;&gt;"",Table26[[#This Row],[T-5]], 0)</f>
        <v>0</v>
      </c>
      <c r="AV198" s="13">
        <v>180</v>
      </c>
      <c r="AW198" s="13">
        <v>280</v>
      </c>
      <c r="AY198" t="s">
        <v>503</v>
      </c>
      <c r="BA198" s="13">
        <v>26.15</v>
      </c>
      <c r="BE198" s="13" t="s">
        <v>506</v>
      </c>
      <c r="BQ198" s="13" t="s">
        <v>506</v>
      </c>
      <c r="CV198" s="13">
        <v>0</v>
      </c>
    </row>
    <row r="199" spans="1:100" x14ac:dyDescent="0.25">
      <c r="A199" t="s">
        <v>311</v>
      </c>
      <c r="B199" t="s">
        <v>312</v>
      </c>
      <c r="C199">
        <v>2021</v>
      </c>
      <c r="D199" t="s">
        <v>313</v>
      </c>
      <c r="E199">
        <v>1</v>
      </c>
      <c r="F199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1.66</v>
      </c>
      <c r="G199" s="13">
        <v>1.66</v>
      </c>
      <c r="K199" s="13">
        <v>45.4</v>
      </c>
      <c r="L199" s="13">
        <v>3.85</v>
      </c>
      <c r="N199" s="13">
        <v>8.0399999999999991</v>
      </c>
      <c r="O19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50.91</v>
      </c>
      <c r="S199" s="13">
        <v>9.34</v>
      </c>
      <c r="T199" s="13">
        <v>82.62</v>
      </c>
      <c r="AB199" s="13">
        <v>44.88</v>
      </c>
      <c r="AC199" s="13">
        <v>6.27</v>
      </c>
      <c r="AD199" s="13">
        <v>34.119999999999997</v>
      </c>
      <c r="AE199" s="13">
        <v>5.93</v>
      </c>
      <c r="AF199" s="13">
        <v>0.77</v>
      </c>
      <c r="AH199" s="13">
        <v>18.03</v>
      </c>
      <c r="AL199" s="13">
        <v>15</v>
      </c>
      <c r="AT199" s="13" t="e">
        <f>LN(25/Table26[[#This Row],[Temperature (C)]]/(1-SQRT((Table26[[#This Row],[Temperature (C)]]-5)/Table26[[#This Row],[Temperature (C)]])))/Table26[[#This Row],[b]]</f>
        <v>#DIV/0!</v>
      </c>
      <c r="AU199" s="13">
        <f>IF(Table26[[#This Row],[b]]&lt;&gt;"",Table26[[#This Row],[T-5]], 0)</f>
        <v>0</v>
      </c>
      <c r="AV199" s="13">
        <v>180</v>
      </c>
      <c r="AW199" s="13">
        <v>280</v>
      </c>
      <c r="AY199" t="s">
        <v>503</v>
      </c>
      <c r="BA199" s="13">
        <v>26.05</v>
      </c>
      <c r="BE199" s="13">
        <v>20</v>
      </c>
      <c r="BQ199" s="13">
        <v>9.9706744868035191</v>
      </c>
      <c r="CV199" s="13">
        <v>0</v>
      </c>
    </row>
    <row r="200" spans="1:100" x14ac:dyDescent="0.25">
      <c r="A200" t="s">
        <v>311</v>
      </c>
      <c r="B200" t="s">
        <v>312</v>
      </c>
      <c r="C200">
        <v>2021</v>
      </c>
      <c r="D200" t="s">
        <v>313</v>
      </c>
      <c r="E200">
        <v>1</v>
      </c>
      <c r="F200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1.66</v>
      </c>
      <c r="G200" s="13">
        <v>1.66</v>
      </c>
      <c r="K200" s="13">
        <v>45.4</v>
      </c>
      <c r="L200" s="13">
        <v>3.85</v>
      </c>
      <c r="N200" s="13">
        <v>8.0399999999999991</v>
      </c>
      <c r="O20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50.91</v>
      </c>
      <c r="S200" s="13">
        <v>9.34</v>
      </c>
      <c r="T200" s="13">
        <v>82.62</v>
      </c>
      <c r="AB200" s="13">
        <v>44.88</v>
      </c>
      <c r="AC200" s="13">
        <v>6.27</v>
      </c>
      <c r="AD200" s="13">
        <v>34.119999999999997</v>
      </c>
      <c r="AE200" s="13">
        <v>5.93</v>
      </c>
      <c r="AF200" s="13">
        <v>0.77</v>
      </c>
      <c r="AH200" s="13">
        <v>18.03</v>
      </c>
      <c r="AL200" s="13">
        <v>15</v>
      </c>
      <c r="AT200" s="13" t="e">
        <f>LN(25/Table26[[#This Row],[Temperature (C)]]/(1-SQRT((Table26[[#This Row],[Temperature (C)]]-5)/Table26[[#This Row],[Temperature (C)]])))/Table26[[#This Row],[b]]</f>
        <v>#DIV/0!</v>
      </c>
      <c r="AU200" s="13">
        <f>IF(Table26[[#This Row],[b]]&lt;&gt;"",Table26[[#This Row],[T-5]], 0)</f>
        <v>0</v>
      </c>
      <c r="AV200" s="13">
        <v>180</v>
      </c>
      <c r="AW200" s="13">
        <v>280</v>
      </c>
      <c r="AY200" t="s">
        <v>503</v>
      </c>
      <c r="BA200" s="13">
        <v>25.19</v>
      </c>
      <c r="BE200" s="13">
        <v>6.8512110726645901</v>
      </c>
      <c r="BQ200" s="13">
        <v>14.618613402807931</v>
      </c>
      <c r="CV200" s="13">
        <v>0</v>
      </c>
    </row>
    <row r="201" spans="1:100" x14ac:dyDescent="0.25">
      <c r="A201" t="s">
        <v>311</v>
      </c>
      <c r="B201" t="s">
        <v>312</v>
      </c>
      <c r="C201">
        <v>2021</v>
      </c>
      <c r="D201" t="s">
        <v>313</v>
      </c>
      <c r="E201">
        <v>1</v>
      </c>
      <c r="F201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1.66</v>
      </c>
      <c r="G201" s="13">
        <v>1.66</v>
      </c>
      <c r="K201" s="13">
        <v>45.4</v>
      </c>
      <c r="L201" s="13">
        <v>3.85</v>
      </c>
      <c r="N201" s="13">
        <v>8.0399999999999991</v>
      </c>
      <c r="O20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50.91</v>
      </c>
      <c r="S201" s="13">
        <v>9.34</v>
      </c>
      <c r="T201" s="13">
        <v>82.62</v>
      </c>
      <c r="AB201" s="13">
        <v>44.88</v>
      </c>
      <c r="AC201" s="13">
        <v>6.27</v>
      </c>
      <c r="AD201" s="13">
        <v>34.119999999999997</v>
      </c>
      <c r="AE201" s="13">
        <v>5.93</v>
      </c>
      <c r="AF201" s="13">
        <v>0.77</v>
      </c>
      <c r="AH201" s="13">
        <v>18.03</v>
      </c>
      <c r="AL201" s="13">
        <v>15</v>
      </c>
      <c r="AT201" s="13" t="e">
        <f>LN(25/Table26[[#This Row],[Temperature (C)]]/(1-SQRT((Table26[[#This Row],[Temperature (C)]]-5)/Table26[[#This Row],[Temperature (C)]])))/Table26[[#This Row],[b]]</f>
        <v>#DIV/0!</v>
      </c>
      <c r="AU201" s="13">
        <f>IF(Table26[[#This Row],[b]]&lt;&gt;"",Table26[[#This Row],[T-5]], 0)</f>
        <v>0</v>
      </c>
      <c r="AV201" s="13">
        <v>180</v>
      </c>
      <c r="AW201" s="13">
        <v>280</v>
      </c>
      <c r="AY201" t="s">
        <v>503</v>
      </c>
      <c r="BA201" s="13">
        <v>24.98</v>
      </c>
      <c r="BE201" s="13">
        <v>8.3737024221455005</v>
      </c>
      <c r="BQ201" s="13">
        <v>14.055040718899187</v>
      </c>
      <c r="CV201" s="13">
        <v>0</v>
      </c>
    </row>
    <row r="202" spans="1:100" x14ac:dyDescent="0.25">
      <c r="A202" t="s">
        <v>314</v>
      </c>
      <c r="B202" t="s">
        <v>317</v>
      </c>
      <c r="C202">
        <v>2022</v>
      </c>
      <c r="D202" t="s">
        <v>315</v>
      </c>
      <c r="E202">
        <v>1</v>
      </c>
      <c r="F202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19.399999999999999</v>
      </c>
      <c r="G202" s="13">
        <v>19.399999999999999</v>
      </c>
      <c r="K202" s="13">
        <v>8.6999999999999993</v>
      </c>
      <c r="L202" s="13">
        <v>18</v>
      </c>
      <c r="M202" s="13">
        <v>1.3</v>
      </c>
      <c r="N202" s="13">
        <v>43</v>
      </c>
      <c r="O20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47.399999999999991</v>
      </c>
      <c r="AB202" s="13">
        <v>14.61</v>
      </c>
      <c r="AC202" s="13">
        <v>1.88</v>
      </c>
      <c r="AD202" s="13">
        <f>100-Table26[[#This Row],[C%]]-Table26[[#This Row],[H%]]-Table26[[#This Row],[N%]]-Table26[[#This Row],[S%]]</f>
        <v>82.12</v>
      </c>
      <c r="AE202" s="13">
        <v>1.39</v>
      </c>
      <c r="AI202" s="13">
        <v>1.0999999999999999E-2</v>
      </c>
      <c r="AK202" s="13">
        <f t="shared" ref="AK202:AK231" si="1">0.7*5.5</f>
        <v>3.8499999999999996</v>
      </c>
      <c r="AL202" s="13">
        <v>30</v>
      </c>
      <c r="AM202" s="13">
        <v>125</v>
      </c>
      <c r="AP202" s="13">
        <v>1.44</v>
      </c>
      <c r="AT202" s="13">
        <f>LN(25/Table26[[#This Row],[Temperature (C)]]/(1-SQRT((Table26[[#This Row],[Temperature (C)]]-5)/Table26[[#This Row],[Temperature (C)]])))/Table26[[#This Row],[b]]</f>
        <v>1.5955188685962922</v>
      </c>
      <c r="AU202" s="13">
        <f>IF(Table26[[#This Row],[b]]&lt;&gt;"",Table26[[#This Row],[T-5]], 0)</f>
        <v>1.5955188685962922</v>
      </c>
      <c r="AV202" s="13">
        <v>5</v>
      </c>
      <c r="AW202" s="13">
        <v>250</v>
      </c>
      <c r="AY202" t="s">
        <v>503</v>
      </c>
      <c r="AZ202" s="13">
        <v>28.90625</v>
      </c>
      <c r="BA202" s="13">
        <v>9.7656250000000089</v>
      </c>
      <c r="BB202" s="13">
        <v>48.4375</v>
      </c>
      <c r="BC202" s="13">
        <v>12.6953125</v>
      </c>
      <c r="BE202" s="13">
        <v>9.2041522491352072</v>
      </c>
      <c r="BQ202" s="13">
        <v>15.73227302849569</v>
      </c>
      <c r="CV202" s="13">
        <v>0</v>
      </c>
    </row>
    <row r="203" spans="1:100" x14ac:dyDescent="0.25">
      <c r="A203" t="s">
        <v>314</v>
      </c>
      <c r="B203" t="s">
        <v>317</v>
      </c>
      <c r="C203">
        <v>2022</v>
      </c>
      <c r="D203" t="s">
        <v>315</v>
      </c>
      <c r="E203">
        <v>1</v>
      </c>
      <c r="F203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19.399999999999999</v>
      </c>
      <c r="G203" s="13">
        <v>19.399999999999999</v>
      </c>
      <c r="K203" s="13">
        <v>8.6999999999999993</v>
      </c>
      <c r="L203" s="13">
        <v>18</v>
      </c>
      <c r="M203" s="13">
        <v>1.3</v>
      </c>
      <c r="N203" s="13">
        <v>43</v>
      </c>
      <c r="O20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47.399999999999991</v>
      </c>
      <c r="AB203" s="13">
        <v>14.61</v>
      </c>
      <c r="AC203" s="13">
        <v>1.88</v>
      </c>
      <c r="AD203" s="13">
        <f>100-Table26[[#This Row],[C%]]-Table26[[#This Row],[H%]]-Table26[[#This Row],[N%]]-Table26[[#This Row],[S%]]</f>
        <v>82.12</v>
      </c>
      <c r="AE203" s="13">
        <v>1.39</v>
      </c>
      <c r="AI203" s="13">
        <v>1.0999999999999999E-2</v>
      </c>
      <c r="AK203" s="13">
        <f t="shared" si="1"/>
        <v>3.8499999999999996</v>
      </c>
      <c r="AL203" s="13">
        <v>30</v>
      </c>
      <c r="AM203" s="13">
        <v>125</v>
      </c>
      <c r="AP203" s="13">
        <v>1.44</v>
      </c>
      <c r="AT203" s="13">
        <f>LN(25/Table26[[#This Row],[Temperature (C)]]/(1-SQRT((Table26[[#This Row],[Temperature (C)]]-5)/Table26[[#This Row],[Temperature (C)]])))/Table26[[#This Row],[b]]</f>
        <v>1.5955188685962922</v>
      </c>
      <c r="AU203" s="13">
        <f>IF(Table26[[#This Row],[b]]&lt;&gt;"",Table26[[#This Row],[T-5]], 0)</f>
        <v>1.5955188685962922</v>
      </c>
      <c r="AV203" s="13">
        <v>10</v>
      </c>
      <c r="AW203" s="13">
        <v>250</v>
      </c>
      <c r="AY203" t="s">
        <v>503</v>
      </c>
      <c r="AZ203" s="13">
        <v>20.1171875</v>
      </c>
      <c r="BA203" s="13">
        <v>11.5234375</v>
      </c>
      <c r="BB203" s="13">
        <v>55.078125</v>
      </c>
      <c r="BC203" s="13">
        <v>12.890624999999901</v>
      </c>
      <c r="BE203" s="13">
        <v>15.432525951557</v>
      </c>
      <c r="BQ203" s="13">
        <v>15.523657628920787</v>
      </c>
      <c r="CV203" s="13">
        <v>0</v>
      </c>
    </row>
    <row r="204" spans="1:100" x14ac:dyDescent="0.25">
      <c r="A204" t="s">
        <v>314</v>
      </c>
      <c r="B204" t="s">
        <v>317</v>
      </c>
      <c r="C204">
        <v>2022</v>
      </c>
      <c r="D204" t="s">
        <v>315</v>
      </c>
      <c r="E204">
        <v>1</v>
      </c>
      <c r="F204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19.399999999999999</v>
      </c>
      <c r="G204" s="13">
        <v>19.399999999999999</v>
      </c>
      <c r="K204" s="13">
        <v>8.6999999999999993</v>
      </c>
      <c r="L204" s="13">
        <v>18</v>
      </c>
      <c r="M204" s="13">
        <v>1.3</v>
      </c>
      <c r="N204" s="13">
        <v>43</v>
      </c>
      <c r="O20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47.399999999999991</v>
      </c>
      <c r="AB204" s="13">
        <v>14.61</v>
      </c>
      <c r="AC204" s="13">
        <v>1.88</v>
      </c>
      <c r="AD204" s="13">
        <f>100-Table26[[#This Row],[C%]]-Table26[[#This Row],[H%]]-Table26[[#This Row],[N%]]-Table26[[#This Row],[S%]]</f>
        <v>82.12</v>
      </c>
      <c r="AE204" s="13">
        <v>1.39</v>
      </c>
      <c r="AI204" s="13">
        <v>1.0999999999999999E-2</v>
      </c>
      <c r="AK204" s="13">
        <f t="shared" si="1"/>
        <v>3.8499999999999996</v>
      </c>
      <c r="AL204" s="13">
        <v>30</v>
      </c>
      <c r="AM204" s="13">
        <v>125</v>
      </c>
      <c r="AP204" s="13">
        <v>1.44</v>
      </c>
      <c r="AT204" s="13">
        <f>LN(25/Table26[[#This Row],[Temperature (C)]]/(1-SQRT((Table26[[#This Row],[Temperature (C)]]-5)/Table26[[#This Row],[Temperature (C)]])))/Table26[[#This Row],[b]]</f>
        <v>1.5955188685962922</v>
      </c>
      <c r="AU204" s="13">
        <f>IF(Table26[[#This Row],[b]]&lt;&gt;"",Table26[[#This Row],[T-5]], 0)</f>
        <v>1.5955188685962922</v>
      </c>
      <c r="AV204" s="13">
        <v>20</v>
      </c>
      <c r="AW204" s="13">
        <v>250</v>
      </c>
      <c r="AY204" t="s">
        <v>503</v>
      </c>
      <c r="AZ204" s="13">
        <v>21.09375</v>
      </c>
      <c r="BA204" s="13">
        <v>21.2890625</v>
      </c>
      <c r="BB204" s="13">
        <v>37.3046875</v>
      </c>
      <c r="BC204" s="13">
        <v>20.3125</v>
      </c>
      <c r="BE204" s="13">
        <v>7.1225382932166204</v>
      </c>
      <c r="BQ204" s="13" t="s">
        <v>506</v>
      </c>
      <c r="CV204" s="13">
        <v>0</v>
      </c>
    </row>
    <row r="205" spans="1:100" x14ac:dyDescent="0.25">
      <c r="A205" t="s">
        <v>314</v>
      </c>
      <c r="B205" t="s">
        <v>317</v>
      </c>
      <c r="C205">
        <v>2022</v>
      </c>
      <c r="D205" t="s">
        <v>315</v>
      </c>
      <c r="E205">
        <v>1</v>
      </c>
      <c r="F205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19.399999999999999</v>
      </c>
      <c r="G205" s="13">
        <v>19.399999999999999</v>
      </c>
      <c r="K205" s="13">
        <v>8.6999999999999993</v>
      </c>
      <c r="L205" s="13">
        <v>18</v>
      </c>
      <c r="M205" s="13">
        <v>1.3</v>
      </c>
      <c r="N205" s="13">
        <v>43</v>
      </c>
      <c r="O20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47.399999999999991</v>
      </c>
      <c r="AB205" s="13">
        <v>14.61</v>
      </c>
      <c r="AC205" s="13">
        <v>1.88</v>
      </c>
      <c r="AD205" s="13">
        <f>100-Table26[[#This Row],[C%]]-Table26[[#This Row],[H%]]-Table26[[#This Row],[N%]]-Table26[[#This Row],[S%]]</f>
        <v>82.12</v>
      </c>
      <c r="AE205" s="13">
        <v>1.39</v>
      </c>
      <c r="AI205" s="13">
        <v>1.0999999999999999E-2</v>
      </c>
      <c r="AK205" s="13">
        <f t="shared" si="1"/>
        <v>3.8499999999999996</v>
      </c>
      <c r="AL205" s="13">
        <v>30</v>
      </c>
      <c r="AM205" s="13">
        <v>125</v>
      </c>
      <c r="AP205" s="13">
        <v>1.44</v>
      </c>
      <c r="AT205" s="13">
        <f>LN(25/Table26[[#This Row],[Temperature (C)]]/(1-SQRT((Table26[[#This Row],[Temperature (C)]]-5)/Table26[[#This Row],[Temperature (C)]])))/Table26[[#This Row],[b]]</f>
        <v>1.5955188685962922</v>
      </c>
      <c r="AU205" s="13">
        <f>IF(Table26[[#This Row],[b]]&lt;&gt;"",Table26[[#This Row],[T-5]], 0)</f>
        <v>1.5955188685962922</v>
      </c>
      <c r="AV205" s="13">
        <v>30</v>
      </c>
      <c r="AW205" s="13">
        <v>250</v>
      </c>
      <c r="AY205" t="s">
        <v>503</v>
      </c>
      <c r="AZ205" s="13">
        <v>26.5625</v>
      </c>
      <c r="BA205" s="13">
        <v>13.28125</v>
      </c>
      <c r="BB205" s="13">
        <v>39.6484375</v>
      </c>
      <c r="BC205" s="13">
        <v>20.8984375</v>
      </c>
      <c r="BE205" s="13">
        <v>22.439824945295399</v>
      </c>
      <c r="BQ205" s="13" t="s">
        <v>506</v>
      </c>
      <c r="CV205" s="13">
        <v>0</v>
      </c>
    </row>
    <row r="206" spans="1:100" x14ac:dyDescent="0.25">
      <c r="A206" t="s">
        <v>314</v>
      </c>
      <c r="B206" t="s">
        <v>317</v>
      </c>
      <c r="C206">
        <v>2022</v>
      </c>
      <c r="D206" t="s">
        <v>315</v>
      </c>
      <c r="E206">
        <v>1</v>
      </c>
      <c r="F206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19.399999999999999</v>
      </c>
      <c r="G206" s="13">
        <v>19.399999999999999</v>
      </c>
      <c r="K206" s="13">
        <v>8.6999999999999993</v>
      </c>
      <c r="L206" s="13">
        <v>18</v>
      </c>
      <c r="M206" s="13">
        <v>1.3</v>
      </c>
      <c r="N206" s="13">
        <v>43</v>
      </c>
      <c r="O20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47.399999999999991</v>
      </c>
      <c r="AB206" s="13">
        <v>14.61</v>
      </c>
      <c r="AC206" s="13">
        <v>1.88</v>
      </c>
      <c r="AD206" s="13">
        <f>100-Table26[[#This Row],[C%]]-Table26[[#This Row],[H%]]-Table26[[#This Row],[N%]]-Table26[[#This Row],[S%]]</f>
        <v>82.12</v>
      </c>
      <c r="AE206" s="13">
        <v>1.39</v>
      </c>
      <c r="AI206" s="13">
        <v>1.0999999999999999E-2</v>
      </c>
      <c r="AK206" s="13">
        <f t="shared" si="1"/>
        <v>3.8499999999999996</v>
      </c>
      <c r="AL206" s="13">
        <v>30</v>
      </c>
      <c r="AM206" s="13">
        <v>125</v>
      </c>
      <c r="AP206" s="13">
        <v>1.44</v>
      </c>
      <c r="AT206" s="13">
        <f>LN(25/Table26[[#This Row],[Temperature (C)]]/(1-SQRT((Table26[[#This Row],[Temperature (C)]]-5)/Table26[[#This Row],[Temperature (C)]])))/Table26[[#This Row],[b]]</f>
        <v>1.5955188685962922</v>
      </c>
      <c r="AU206" s="13">
        <f>IF(Table26[[#This Row],[b]]&lt;&gt;"",Table26[[#This Row],[T-5]], 0)</f>
        <v>1.5955188685962922</v>
      </c>
      <c r="AV206" s="13">
        <v>60</v>
      </c>
      <c r="AW206" s="13">
        <v>250</v>
      </c>
      <c r="AY206" t="s">
        <v>503</v>
      </c>
      <c r="AZ206" s="13">
        <v>31.640625</v>
      </c>
      <c r="BA206" s="13">
        <v>15.8203125</v>
      </c>
      <c r="BB206" s="13">
        <v>39.453125</v>
      </c>
      <c r="BC206" s="13">
        <v>13.0859375</v>
      </c>
      <c r="BE206" s="13">
        <v>31.24</v>
      </c>
      <c r="BQ206" s="13" t="s">
        <v>506</v>
      </c>
      <c r="CV206" s="13">
        <v>0</v>
      </c>
    </row>
    <row r="207" spans="1:100" x14ac:dyDescent="0.25">
      <c r="A207" t="s">
        <v>314</v>
      </c>
      <c r="B207" t="s">
        <v>317</v>
      </c>
      <c r="C207">
        <v>2022</v>
      </c>
      <c r="D207" t="s">
        <v>315</v>
      </c>
      <c r="E207">
        <v>1</v>
      </c>
      <c r="F20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19.399999999999999</v>
      </c>
      <c r="G207" s="13">
        <v>19.399999999999999</v>
      </c>
      <c r="K207" s="13">
        <v>8.6999999999999993</v>
      </c>
      <c r="L207" s="13">
        <v>18</v>
      </c>
      <c r="M207" s="13">
        <v>1.3</v>
      </c>
      <c r="N207" s="13">
        <v>43</v>
      </c>
      <c r="O20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47.399999999999991</v>
      </c>
      <c r="AB207" s="13">
        <v>14.61</v>
      </c>
      <c r="AC207" s="13">
        <v>1.88</v>
      </c>
      <c r="AD207" s="13">
        <f>100-Table26[[#This Row],[C%]]-Table26[[#This Row],[H%]]-Table26[[#This Row],[N%]]-Table26[[#This Row],[S%]]</f>
        <v>82.12</v>
      </c>
      <c r="AE207" s="13">
        <v>1.39</v>
      </c>
      <c r="AI207" s="13">
        <v>1.0999999999999999E-2</v>
      </c>
      <c r="AK207" s="13">
        <f t="shared" si="1"/>
        <v>3.8499999999999996</v>
      </c>
      <c r="AL207" s="13">
        <v>30</v>
      </c>
      <c r="AM207" s="13">
        <v>125</v>
      </c>
      <c r="AP207" s="13">
        <v>1.44</v>
      </c>
      <c r="AT207" s="13">
        <f>LN(25/Table26[[#This Row],[Temperature (C)]]/(1-SQRT((Table26[[#This Row],[Temperature (C)]]-5)/Table26[[#This Row],[Temperature (C)]])))/Table26[[#This Row],[b]]</f>
        <v>1.5961056533783207</v>
      </c>
      <c r="AU207" s="13">
        <f>IF(Table26[[#This Row],[b]]&lt;&gt;"",Table26[[#This Row],[T-5]], 0)</f>
        <v>1.5961056533783207</v>
      </c>
      <c r="AV207" s="13">
        <v>5</v>
      </c>
      <c r="AW207" s="13">
        <v>300</v>
      </c>
      <c r="AY207" t="s">
        <v>503</v>
      </c>
      <c r="AZ207" s="13">
        <v>16.7953667953668</v>
      </c>
      <c r="BA207" s="13">
        <v>16.2162162162162</v>
      </c>
      <c r="BB207" s="13">
        <v>41.891891891891802</v>
      </c>
      <c r="BC207" s="13">
        <v>25.096525096525003</v>
      </c>
      <c r="BE207" s="13">
        <v>25.12</v>
      </c>
      <c r="BQ207" s="13" t="s">
        <v>506</v>
      </c>
      <c r="CV207" s="13">
        <v>0</v>
      </c>
    </row>
    <row r="208" spans="1:100" x14ac:dyDescent="0.25">
      <c r="A208" t="s">
        <v>314</v>
      </c>
      <c r="B208" t="s">
        <v>317</v>
      </c>
      <c r="C208">
        <v>2022</v>
      </c>
      <c r="D208" t="s">
        <v>315</v>
      </c>
      <c r="E208">
        <v>1</v>
      </c>
      <c r="F208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19.399999999999999</v>
      </c>
      <c r="G208" s="13">
        <v>19.399999999999999</v>
      </c>
      <c r="K208" s="13">
        <v>8.6999999999999993</v>
      </c>
      <c r="L208" s="13">
        <v>18</v>
      </c>
      <c r="M208" s="13">
        <v>1.3</v>
      </c>
      <c r="N208" s="13">
        <v>43</v>
      </c>
      <c r="O20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47.399999999999991</v>
      </c>
      <c r="AB208" s="13">
        <v>14.61</v>
      </c>
      <c r="AC208" s="13">
        <v>1.88</v>
      </c>
      <c r="AD208" s="13">
        <f>100-Table26[[#This Row],[C%]]-Table26[[#This Row],[H%]]-Table26[[#This Row],[N%]]-Table26[[#This Row],[S%]]</f>
        <v>82.12</v>
      </c>
      <c r="AE208" s="13">
        <v>1.39</v>
      </c>
      <c r="AI208" s="13">
        <v>1.0999999999999999E-2</v>
      </c>
      <c r="AK208" s="13">
        <f t="shared" si="1"/>
        <v>3.8499999999999996</v>
      </c>
      <c r="AL208" s="13">
        <v>30</v>
      </c>
      <c r="AM208" s="13">
        <v>125</v>
      </c>
      <c r="AP208" s="13">
        <v>1.44</v>
      </c>
      <c r="AT208" s="13">
        <f>LN(25/Table26[[#This Row],[Temperature (C)]]/(1-SQRT((Table26[[#This Row],[Temperature (C)]]-5)/Table26[[#This Row],[Temperature (C)]])))/Table26[[#This Row],[b]]</f>
        <v>1.5961056533783207</v>
      </c>
      <c r="AU208" s="13">
        <f>IF(Table26[[#This Row],[b]]&lt;&gt;"",Table26[[#This Row],[T-5]], 0)</f>
        <v>1.5961056533783207</v>
      </c>
      <c r="AV208" s="13">
        <v>10</v>
      </c>
      <c r="AW208" s="13">
        <v>300</v>
      </c>
      <c r="AY208" t="s">
        <v>503</v>
      </c>
      <c r="AZ208" s="13">
        <v>23.166023166023102</v>
      </c>
      <c r="BA208" s="13">
        <v>16.023166023165999</v>
      </c>
      <c r="BB208" s="13">
        <v>39.7683397683397</v>
      </c>
      <c r="BC208" s="13">
        <v>21.235521235521198</v>
      </c>
      <c r="BE208" s="13">
        <v>15.97</v>
      </c>
      <c r="BQ208" s="13" t="s">
        <v>506</v>
      </c>
      <c r="CV208" s="13">
        <v>0</v>
      </c>
    </row>
    <row r="209" spans="1:100" x14ac:dyDescent="0.25">
      <c r="A209" t="s">
        <v>314</v>
      </c>
      <c r="B209" t="s">
        <v>317</v>
      </c>
      <c r="C209">
        <v>2022</v>
      </c>
      <c r="D209" t="s">
        <v>315</v>
      </c>
      <c r="E209">
        <v>1</v>
      </c>
      <c r="F209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19.399999999999999</v>
      </c>
      <c r="G209" s="13">
        <v>19.399999999999999</v>
      </c>
      <c r="K209" s="13">
        <v>8.6999999999999993</v>
      </c>
      <c r="L209" s="13">
        <v>18</v>
      </c>
      <c r="M209" s="13">
        <v>1.3</v>
      </c>
      <c r="N209" s="13">
        <v>43</v>
      </c>
      <c r="O20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47.399999999999991</v>
      </c>
      <c r="AB209" s="13">
        <v>14.61</v>
      </c>
      <c r="AC209" s="13">
        <v>1.88</v>
      </c>
      <c r="AD209" s="13">
        <f>100-Table26[[#This Row],[C%]]-Table26[[#This Row],[H%]]-Table26[[#This Row],[N%]]-Table26[[#This Row],[S%]]</f>
        <v>82.12</v>
      </c>
      <c r="AE209" s="13">
        <v>1.39</v>
      </c>
      <c r="AI209" s="13">
        <v>1.0999999999999999E-2</v>
      </c>
      <c r="AK209" s="13">
        <f t="shared" si="1"/>
        <v>3.8499999999999996</v>
      </c>
      <c r="AL209" s="13">
        <v>30</v>
      </c>
      <c r="AM209" s="13">
        <v>125</v>
      </c>
      <c r="AP209" s="13">
        <v>1.44</v>
      </c>
      <c r="AT209" s="13">
        <f>LN(25/Table26[[#This Row],[Temperature (C)]]/(1-SQRT((Table26[[#This Row],[Temperature (C)]]-5)/Table26[[#This Row],[Temperature (C)]])))/Table26[[#This Row],[b]]</f>
        <v>1.5961056533783207</v>
      </c>
      <c r="AU209" s="13">
        <f>IF(Table26[[#This Row],[b]]&lt;&gt;"",Table26[[#This Row],[T-5]], 0)</f>
        <v>1.5961056533783207</v>
      </c>
      <c r="AV209" s="13">
        <v>20</v>
      </c>
      <c r="AW209" s="13">
        <v>300</v>
      </c>
      <c r="AY209" t="s">
        <v>503</v>
      </c>
      <c r="AZ209" s="13">
        <v>14.671814671814602</v>
      </c>
      <c r="BA209" s="13">
        <v>19.691119691119599</v>
      </c>
      <c r="BB209" s="13">
        <v>43.822393822393799</v>
      </c>
      <c r="BC209" s="13">
        <v>22.007722007721998</v>
      </c>
      <c r="BE209" s="13">
        <v>2.9000000000000021</v>
      </c>
      <c r="BQ209" s="13">
        <v>8.6956521739130448</v>
      </c>
      <c r="CV209" s="13">
        <v>0</v>
      </c>
    </row>
    <row r="210" spans="1:100" x14ac:dyDescent="0.25">
      <c r="A210" t="s">
        <v>314</v>
      </c>
      <c r="B210" t="s">
        <v>317</v>
      </c>
      <c r="C210">
        <v>2022</v>
      </c>
      <c r="D210" t="s">
        <v>315</v>
      </c>
      <c r="E210">
        <v>1</v>
      </c>
      <c r="F210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19.399999999999999</v>
      </c>
      <c r="G210" s="13">
        <v>19.399999999999999</v>
      </c>
      <c r="K210" s="13">
        <v>8.6999999999999993</v>
      </c>
      <c r="L210" s="13">
        <v>18</v>
      </c>
      <c r="M210" s="13">
        <v>1.3</v>
      </c>
      <c r="N210" s="13">
        <v>43</v>
      </c>
      <c r="O21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47.399999999999991</v>
      </c>
      <c r="AB210" s="13">
        <v>14.61</v>
      </c>
      <c r="AC210" s="13">
        <v>1.88</v>
      </c>
      <c r="AD210" s="13">
        <f>100-Table26[[#This Row],[C%]]-Table26[[#This Row],[H%]]-Table26[[#This Row],[N%]]-Table26[[#This Row],[S%]]</f>
        <v>82.12</v>
      </c>
      <c r="AE210" s="13">
        <v>1.39</v>
      </c>
      <c r="AI210" s="13">
        <v>1.0999999999999999E-2</v>
      </c>
      <c r="AK210" s="13">
        <f t="shared" si="1"/>
        <v>3.8499999999999996</v>
      </c>
      <c r="AL210" s="13">
        <v>30</v>
      </c>
      <c r="AM210" s="13">
        <v>125</v>
      </c>
      <c r="AP210" s="13">
        <v>1.44</v>
      </c>
      <c r="AT210" s="13">
        <f>LN(25/Table26[[#This Row],[Temperature (C)]]/(1-SQRT((Table26[[#This Row],[Temperature (C)]]-5)/Table26[[#This Row],[Temperature (C)]])))/Table26[[#This Row],[b]]</f>
        <v>1.5961056533783207</v>
      </c>
      <c r="AU210" s="13">
        <f>IF(Table26[[#This Row],[b]]&lt;&gt;"",Table26[[#This Row],[T-5]], 0)</f>
        <v>1.5961056533783207</v>
      </c>
      <c r="AV210" s="13">
        <v>30</v>
      </c>
      <c r="AW210" s="13">
        <v>300</v>
      </c>
      <c r="AY210" t="s">
        <v>503</v>
      </c>
      <c r="AZ210" s="13">
        <v>10.2316602316602</v>
      </c>
      <c r="BA210" s="13">
        <v>14.092664092664</v>
      </c>
      <c r="BB210" s="13">
        <v>59.6525096525096</v>
      </c>
      <c r="BC210" s="13">
        <v>16.023166023165999</v>
      </c>
      <c r="BE210" s="13" t="s">
        <v>506</v>
      </c>
      <c r="BQ210" s="13" t="s">
        <v>506</v>
      </c>
      <c r="CV210" s="13">
        <v>0</v>
      </c>
    </row>
    <row r="211" spans="1:100" x14ac:dyDescent="0.25">
      <c r="A211" t="s">
        <v>314</v>
      </c>
      <c r="B211" t="s">
        <v>317</v>
      </c>
      <c r="C211">
        <v>2022</v>
      </c>
      <c r="D211" t="s">
        <v>315</v>
      </c>
      <c r="E211">
        <v>1</v>
      </c>
      <c r="F211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19.399999999999999</v>
      </c>
      <c r="G211" s="13">
        <v>19.399999999999999</v>
      </c>
      <c r="K211" s="13">
        <v>8.6999999999999993</v>
      </c>
      <c r="L211" s="13">
        <v>18</v>
      </c>
      <c r="M211" s="13">
        <v>1.3</v>
      </c>
      <c r="N211" s="13">
        <v>43</v>
      </c>
      <c r="O21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47.399999999999991</v>
      </c>
      <c r="AB211" s="13">
        <v>14.61</v>
      </c>
      <c r="AC211" s="13">
        <v>1.88</v>
      </c>
      <c r="AD211" s="13">
        <f>100-Table26[[#This Row],[C%]]-Table26[[#This Row],[H%]]-Table26[[#This Row],[N%]]-Table26[[#This Row],[S%]]</f>
        <v>82.12</v>
      </c>
      <c r="AE211" s="13">
        <v>1.39</v>
      </c>
      <c r="AI211" s="13">
        <v>1.0999999999999999E-2</v>
      </c>
      <c r="AK211" s="13">
        <f t="shared" si="1"/>
        <v>3.8499999999999996</v>
      </c>
      <c r="AL211" s="13">
        <v>30</v>
      </c>
      <c r="AM211" s="13">
        <v>125</v>
      </c>
      <c r="AP211" s="13">
        <v>1.44</v>
      </c>
      <c r="AT211" s="13">
        <f>LN(25/Table26[[#This Row],[Temperature (C)]]/(1-SQRT((Table26[[#This Row],[Temperature (C)]]-5)/Table26[[#This Row],[Temperature (C)]])))/Table26[[#This Row],[b]]</f>
        <v>1.5961056533783207</v>
      </c>
      <c r="AU211" s="13">
        <f>IF(Table26[[#This Row],[b]]&lt;&gt;"",Table26[[#This Row],[T-5]], 0)</f>
        <v>1.5961056533783207</v>
      </c>
      <c r="AV211" s="13">
        <v>60</v>
      </c>
      <c r="AW211" s="13">
        <v>300</v>
      </c>
      <c r="AY211" t="s">
        <v>503</v>
      </c>
      <c r="AZ211" s="13">
        <v>10.038610038610001</v>
      </c>
      <c r="BA211" s="13">
        <v>19.8841698841698</v>
      </c>
      <c r="BB211" s="13">
        <v>57.722007722007696</v>
      </c>
      <c r="BC211" s="13">
        <v>12.3552123552123</v>
      </c>
      <c r="BE211" s="13" t="s">
        <v>506</v>
      </c>
      <c r="BQ211" s="13">
        <v>11.224038886433938</v>
      </c>
      <c r="CV211" s="13">
        <v>0</v>
      </c>
    </row>
    <row r="212" spans="1:100" x14ac:dyDescent="0.25">
      <c r="A212" t="s">
        <v>314</v>
      </c>
      <c r="B212" t="s">
        <v>317</v>
      </c>
      <c r="C212">
        <v>2022</v>
      </c>
      <c r="D212" t="s">
        <v>315</v>
      </c>
      <c r="E212">
        <v>1</v>
      </c>
      <c r="F212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19.399999999999999</v>
      </c>
      <c r="G212" s="13">
        <v>19.399999999999999</v>
      </c>
      <c r="K212" s="13">
        <v>8.6999999999999993</v>
      </c>
      <c r="L212" s="13">
        <v>18</v>
      </c>
      <c r="M212" s="13">
        <v>1.3</v>
      </c>
      <c r="N212" s="13">
        <v>43</v>
      </c>
      <c r="O21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47.399999999999991</v>
      </c>
      <c r="AB212" s="13">
        <v>14.61</v>
      </c>
      <c r="AC212" s="13">
        <v>1.88</v>
      </c>
      <c r="AD212" s="13">
        <f>100-Table26[[#This Row],[C%]]-Table26[[#This Row],[H%]]-Table26[[#This Row],[N%]]-Table26[[#This Row],[S%]]</f>
        <v>82.12</v>
      </c>
      <c r="AE212" s="13">
        <v>1.39</v>
      </c>
      <c r="AI212" s="13">
        <v>1.0999999999999999E-2</v>
      </c>
      <c r="AK212" s="13">
        <f t="shared" si="1"/>
        <v>3.8499999999999996</v>
      </c>
      <c r="AL212" s="13">
        <v>30</v>
      </c>
      <c r="AM212" s="13">
        <v>125</v>
      </c>
      <c r="AP212" s="13">
        <v>1.44</v>
      </c>
      <c r="AT212" s="13">
        <f>LN(25/Table26[[#This Row],[Temperature (C)]]/(1-SQRT((Table26[[#This Row],[Temperature (C)]]-5)/Table26[[#This Row],[Temperature (C)]])))/Table26[[#This Row],[b]]</f>
        <v>1.5965238739477425</v>
      </c>
      <c r="AU212" s="13">
        <f>IF(Table26[[#This Row],[b]]&lt;&gt;"",Table26[[#This Row],[T-5]], 0)</f>
        <v>1.5965238739477425</v>
      </c>
      <c r="AV212" s="13">
        <v>5</v>
      </c>
      <c r="AW212" s="13">
        <v>350</v>
      </c>
      <c r="AY212" t="s">
        <v>503</v>
      </c>
      <c r="AZ212" s="13">
        <v>25.976562499999901</v>
      </c>
      <c r="BA212" s="13">
        <v>9.375</v>
      </c>
      <c r="BB212" s="13">
        <v>46.875</v>
      </c>
      <c r="BC212" s="13">
        <v>17.773437499999901</v>
      </c>
      <c r="BE212" s="13" t="s">
        <v>506</v>
      </c>
      <c r="BQ212" s="13" t="s">
        <v>506</v>
      </c>
      <c r="CV212" s="13">
        <v>0</v>
      </c>
    </row>
    <row r="213" spans="1:100" x14ac:dyDescent="0.25">
      <c r="A213" t="s">
        <v>314</v>
      </c>
      <c r="B213" t="s">
        <v>317</v>
      </c>
      <c r="C213">
        <v>2022</v>
      </c>
      <c r="D213" t="s">
        <v>315</v>
      </c>
      <c r="E213">
        <v>1</v>
      </c>
      <c r="F213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19.399999999999999</v>
      </c>
      <c r="G213" s="13">
        <v>19.399999999999999</v>
      </c>
      <c r="K213" s="13">
        <v>8.6999999999999993</v>
      </c>
      <c r="L213" s="13">
        <v>18</v>
      </c>
      <c r="M213" s="13">
        <v>1.3</v>
      </c>
      <c r="N213" s="13">
        <v>43</v>
      </c>
      <c r="O21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47.399999999999991</v>
      </c>
      <c r="AB213" s="13">
        <v>14.61</v>
      </c>
      <c r="AC213" s="13">
        <v>1.88</v>
      </c>
      <c r="AD213" s="13">
        <f>100-Table26[[#This Row],[C%]]-Table26[[#This Row],[H%]]-Table26[[#This Row],[N%]]-Table26[[#This Row],[S%]]</f>
        <v>82.12</v>
      </c>
      <c r="AE213" s="13">
        <v>1.39</v>
      </c>
      <c r="AI213" s="13">
        <v>1.0999999999999999E-2</v>
      </c>
      <c r="AK213" s="13">
        <f t="shared" si="1"/>
        <v>3.8499999999999996</v>
      </c>
      <c r="AL213" s="13">
        <v>30</v>
      </c>
      <c r="AM213" s="13">
        <v>125</v>
      </c>
      <c r="AP213" s="13">
        <v>1.44</v>
      </c>
      <c r="AT213" s="13">
        <f>LN(25/Table26[[#This Row],[Temperature (C)]]/(1-SQRT((Table26[[#This Row],[Temperature (C)]]-5)/Table26[[#This Row],[Temperature (C)]])))/Table26[[#This Row],[b]]</f>
        <v>1.5965238739477425</v>
      </c>
      <c r="AU213" s="13">
        <f>IF(Table26[[#This Row],[b]]&lt;&gt;"",Table26[[#This Row],[T-5]], 0)</f>
        <v>1.5965238739477425</v>
      </c>
      <c r="AV213" s="13">
        <v>10</v>
      </c>
      <c r="AW213" s="13">
        <v>350</v>
      </c>
      <c r="AY213" t="s">
        <v>503</v>
      </c>
      <c r="AZ213" s="13">
        <v>25.1953125</v>
      </c>
      <c r="BA213" s="13">
        <v>15.4296875</v>
      </c>
      <c r="BB213" s="13">
        <v>40.625</v>
      </c>
      <c r="BC213" s="13">
        <v>18.749999999999901</v>
      </c>
      <c r="BE213" s="13" t="s">
        <v>506</v>
      </c>
      <c r="BQ213" s="13" t="s">
        <v>506</v>
      </c>
      <c r="CV213" s="13">
        <v>0</v>
      </c>
    </row>
    <row r="214" spans="1:100" x14ac:dyDescent="0.25">
      <c r="A214" t="s">
        <v>314</v>
      </c>
      <c r="B214" t="s">
        <v>317</v>
      </c>
      <c r="C214">
        <v>2022</v>
      </c>
      <c r="D214" t="s">
        <v>315</v>
      </c>
      <c r="E214">
        <v>1</v>
      </c>
      <c r="F214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19.399999999999999</v>
      </c>
      <c r="G214" s="13">
        <v>19.399999999999999</v>
      </c>
      <c r="K214" s="13">
        <v>8.6999999999999993</v>
      </c>
      <c r="L214" s="13">
        <v>18</v>
      </c>
      <c r="M214" s="13">
        <v>1.3</v>
      </c>
      <c r="N214" s="13">
        <v>43</v>
      </c>
      <c r="O21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47.399999999999991</v>
      </c>
      <c r="AB214" s="13">
        <v>14.61</v>
      </c>
      <c r="AC214" s="13">
        <v>1.88</v>
      </c>
      <c r="AD214" s="13">
        <f>100-Table26[[#This Row],[C%]]-Table26[[#This Row],[H%]]-Table26[[#This Row],[N%]]-Table26[[#This Row],[S%]]</f>
        <v>82.12</v>
      </c>
      <c r="AE214" s="13">
        <v>1.39</v>
      </c>
      <c r="AI214" s="13">
        <v>1.0999999999999999E-2</v>
      </c>
      <c r="AK214" s="13">
        <f t="shared" si="1"/>
        <v>3.8499999999999996</v>
      </c>
      <c r="AL214" s="13">
        <v>30</v>
      </c>
      <c r="AM214" s="13">
        <v>125</v>
      </c>
      <c r="AP214" s="13">
        <v>1.44</v>
      </c>
      <c r="AT214" s="13">
        <f>LN(25/Table26[[#This Row],[Temperature (C)]]/(1-SQRT((Table26[[#This Row],[Temperature (C)]]-5)/Table26[[#This Row],[Temperature (C)]])))/Table26[[#This Row],[b]]</f>
        <v>1.5965238739477425</v>
      </c>
      <c r="AU214" s="13">
        <f>IF(Table26[[#This Row],[b]]&lt;&gt;"",Table26[[#This Row],[T-5]], 0)</f>
        <v>1.5965238739477425</v>
      </c>
      <c r="AV214" s="13">
        <v>20</v>
      </c>
      <c r="AW214" s="13">
        <v>350</v>
      </c>
      <c r="AY214" t="s">
        <v>503</v>
      </c>
      <c r="AZ214" s="13">
        <v>20.1171875</v>
      </c>
      <c r="BA214" s="13">
        <v>15.429687499999901</v>
      </c>
      <c r="BB214" s="13">
        <v>47.4609375</v>
      </c>
      <c r="BC214" s="13">
        <v>16.9921875</v>
      </c>
      <c r="BE214" s="13" t="s">
        <v>506</v>
      </c>
      <c r="BQ214" s="13" t="s">
        <v>506</v>
      </c>
      <c r="CV214" s="13">
        <v>0</v>
      </c>
    </row>
    <row r="215" spans="1:100" x14ac:dyDescent="0.25">
      <c r="A215" t="s">
        <v>314</v>
      </c>
      <c r="B215" t="s">
        <v>317</v>
      </c>
      <c r="C215">
        <v>2022</v>
      </c>
      <c r="D215" t="s">
        <v>315</v>
      </c>
      <c r="E215">
        <v>1</v>
      </c>
      <c r="F215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19.399999999999999</v>
      </c>
      <c r="G215" s="13">
        <v>19.399999999999999</v>
      </c>
      <c r="K215" s="13">
        <v>8.6999999999999993</v>
      </c>
      <c r="L215" s="13">
        <v>18</v>
      </c>
      <c r="M215" s="13">
        <v>1.3</v>
      </c>
      <c r="N215" s="13">
        <v>43</v>
      </c>
      <c r="O21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47.399999999999991</v>
      </c>
      <c r="AB215" s="13">
        <v>14.61</v>
      </c>
      <c r="AC215" s="13">
        <v>1.88</v>
      </c>
      <c r="AD215" s="13">
        <f>100-Table26[[#This Row],[C%]]-Table26[[#This Row],[H%]]-Table26[[#This Row],[N%]]-Table26[[#This Row],[S%]]</f>
        <v>82.12</v>
      </c>
      <c r="AE215" s="13">
        <v>1.39</v>
      </c>
      <c r="AI215" s="13">
        <v>1.0999999999999999E-2</v>
      </c>
      <c r="AK215" s="13">
        <f t="shared" si="1"/>
        <v>3.8499999999999996</v>
      </c>
      <c r="AL215" s="13">
        <v>30</v>
      </c>
      <c r="AM215" s="13">
        <v>125</v>
      </c>
      <c r="AP215" s="13">
        <v>1.44</v>
      </c>
      <c r="AT215" s="13">
        <f>LN(25/Table26[[#This Row],[Temperature (C)]]/(1-SQRT((Table26[[#This Row],[Temperature (C)]]-5)/Table26[[#This Row],[Temperature (C)]])))/Table26[[#This Row],[b]]</f>
        <v>1.5965238739477425</v>
      </c>
      <c r="AU215" s="13">
        <f>IF(Table26[[#This Row],[b]]&lt;&gt;"",Table26[[#This Row],[T-5]], 0)</f>
        <v>1.5965238739477425</v>
      </c>
      <c r="AV215" s="13">
        <v>30</v>
      </c>
      <c r="AW215" s="13">
        <v>350</v>
      </c>
      <c r="AY215" t="s">
        <v>503</v>
      </c>
      <c r="AZ215" s="13">
        <v>12.109375</v>
      </c>
      <c r="BA215" s="13">
        <v>17.96875</v>
      </c>
      <c r="BB215" s="13">
        <v>42.773437499999901</v>
      </c>
      <c r="BC215" s="13">
        <v>27.343749999999901</v>
      </c>
      <c r="BE215" s="13" t="s">
        <v>506</v>
      </c>
      <c r="BQ215" s="13" t="s">
        <v>506</v>
      </c>
      <c r="CV215" s="13">
        <v>0</v>
      </c>
    </row>
    <row r="216" spans="1:100" x14ac:dyDescent="0.25">
      <c r="A216" t="s">
        <v>314</v>
      </c>
      <c r="B216" t="s">
        <v>317</v>
      </c>
      <c r="C216">
        <v>2022</v>
      </c>
      <c r="D216" t="s">
        <v>315</v>
      </c>
      <c r="E216">
        <v>1</v>
      </c>
      <c r="F216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19.399999999999999</v>
      </c>
      <c r="G216" s="13">
        <v>19.399999999999999</v>
      </c>
      <c r="K216" s="13">
        <v>8.6999999999999993</v>
      </c>
      <c r="L216" s="13">
        <v>18</v>
      </c>
      <c r="M216" s="13">
        <v>1.3</v>
      </c>
      <c r="N216" s="13">
        <v>43</v>
      </c>
      <c r="O21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47.399999999999991</v>
      </c>
      <c r="AB216" s="13">
        <v>14.61</v>
      </c>
      <c r="AC216" s="13">
        <v>1.88</v>
      </c>
      <c r="AD216" s="13">
        <f>100-Table26[[#This Row],[C%]]-Table26[[#This Row],[H%]]-Table26[[#This Row],[N%]]-Table26[[#This Row],[S%]]</f>
        <v>82.12</v>
      </c>
      <c r="AE216" s="13">
        <v>1.39</v>
      </c>
      <c r="AI216" s="13">
        <v>1.0999999999999999E-2</v>
      </c>
      <c r="AK216" s="13">
        <f t="shared" si="1"/>
        <v>3.8499999999999996</v>
      </c>
      <c r="AL216" s="13">
        <v>30</v>
      </c>
      <c r="AM216" s="13">
        <v>125</v>
      </c>
      <c r="AP216" s="13">
        <v>1.44</v>
      </c>
      <c r="AT216" s="13">
        <f>LN(25/Table26[[#This Row],[Temperature (C)]]/(1-SQRT((Table26[[#This Row],[Temperature (C)]]-5)/Table26[[#This Row],[Temperature (C)]])))/Table26[[#This Row],[b]]</f>
        <v>1.5965238739477425</v>
      </c>
      <c r="AU216" s="13">
        <f>IF(Table26[[#This Row],[b]]&lt;&gt;"",Table26[[#This Row],[T-5]], 0)</f>
        <v>1.5965238739477425</v>
      </c>
      <c r="AV216" s="13">
        <v>60</v>
      </c>
      <c r="AW216" s="13">
        <v>350</v>
      </c>
      <c r="AY216" t="s">
        <v>503</v>
      </c>
      <c r="AZ216" s="13">
        <v>16.406249999999901</v>
      </c>
      <c r="BA216" s="13">
        <v>12.890624999999901</v>
      </c>
      <c r="BB216" s="13">
        <v>56.0546875</v>
      </c>
      <c r="BC216" s="13">
        <v>15.0390625</v>
      </c>
      <c r="BE216" s="13" t="s">
        <v>506</v>
      </c>
      <c r="BQ216" s="13" t="s">
        <v>506</v>
      </c>
      <c r="CV216" s="13">
        <v>0</v>
      </c>
    </row>
    <row r="217" spans="1:100" x14ac:dyDescent="0.25">
      <c r="A217" t="s">
        <v>314</v>
      </c>
      <c r="B217" t="s">
        <v>317</v>
      </c>
      <c r="C217">
        <v>2022</v>
      </c>
      <c r="D217" t="s">
        <v>316</v>
      </c>
      <c r="E217">
        <v>1</v>
      </c>
      <c r="F21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66.900000000000006</v>
      </c>
      <c r="G217" s="13">
        <v>66.900000000000006</v>
      </c>
      <c r="K217" s="13">
        <v>0.5</v>
      </c>
      <c r="L217" s="13">
        <v>2.8</v>
      </c>
      <c r="M217" s="13">
        <v>19.5</v>
      </c>
      <c r="N217" s="13">
        <v>1.4</v>
      </c>
      <c r="O21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89.7</v>
      </c>
      <c r="AB217" s="13">
        <v>44.68</v>
      </c>
      <c r="AC217" s="13">
        <v>2.4500000000000002</v>
      </c>
      <c r="AD217" s="13">
        <f>100-Table26[[#This Row],[C%]]-Table26[[#This Row],[H%]]-Table26[[#This Row],[N%]]-Table26[[#This Row],[S%]]</f>
        <v>52.809999999999995</v>
      </c>
      <c r="AE217" s="13">
        <v>0.06</v>
      </c>
      <c r="AI217" s="13">
        <v>1.0999999999999999E-2</v>
      </c>
      <c r="AK217" s="13">
        <f t="shared" si="1"/>
        <v>3.8499999999999996</v>
      </c>
      <c r="AL217" s="13">
        <v>30</v>
      </c>
      <c r="AM217" s="13">
        <v>125</v>
      </c>
      <c r="AP217" s="13">
        <v>1.44</v>
      </c>
      <c r="AT217" s="13">
        <f>LN(25/Table26[[#This Row],[Temperature (C)]]/(1-SQRT((Table26[[#This Row],[Temperature (C)]]-5)/Table26[[#This Row],[Temperature (C)]])))/Table26[[#This Row],[b]]</f>
        <v>1.5955188685962922</v>
      </c>
      <c r="AU217" s="13">
        <f>IF(Table26[[#This Row],[b]]&lt;&gt;"",Table26[[#This Row],[T-5]], 0)</f>
        <v>1.5955188685962922</v>
      </c>
      <c r="AV217" s="13">
        <v>5</v>
      </c>
      <c r="AW217" s="13">
        <v>250</v>
      </c>
      <c r="AY217" t="s">
        <v>503</v>
      </c>
      <c r="AZ217" s="13">
        <v>52.5</v>
      </c>
      <c r="BA217" s="13">
        <v>5.3846153846153904</v>
      </c>
      <c r="BB217" s="13">
        <v>24.423076923076898</v>
      </c>
      <c r="BC217" s="13">
        <v>19.038461538461501</v>
      </c>
      <c r="BE217" s="13" t="s">
        <v>506</v>
      </c>
      <c r="BQ217" s="13" t="s">
        <v>506</v>
      </c>
      <c r="CV217" s="13">
        <v>0</v>
      </c>
    </row>
    <row r="218" spans="1:100" x14ac:dyDescent="0.25">
      <c r="A218" t="s">
        <v>314</v>
      </c>
      <c r="B218" t="s">
        <v>317</v>
      </c>
      <c r="C218">
        <v>2022</v>
      </c>
      <c r="D218" t="s">
        <v>316</v>
      </c>
      <c r="E218">
        <v>1</v>
      </c>
      <c r="F218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66.900000000000006</v>
      </c>
      <c r="G218" s="13">
        <v>66.900000000000006</v>
      </c>
      <c r="K218" s="13">
        <v>0.5</v>
      </c>
      <c r="L218" s="13">
        <v>2.8</v>
      </c>
      <c r="M218" s="13">
        <v>19.5</v>
      </c>
      <c r="N218" s="13">
        <v>1.4</v>
      </c>
      <c r="O21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89.7</v>
      </c>
      <c r="AB218" s="13">
        <v>44.68</v>
      </c>
      <c r="AC218" s="13">
        <v>2.4500000000000002</v>
      </c>
      <c r="AD218" s="13">
        <f>100-Table26[[#This Row],[C%]]-Table26[[#This Row],[H%]]-Table26[[#This Row],[N%]]-Table26[[#This Row],[S%]]</f>
        <v>52.809999999999995</v>
      </c>
      <c r="AE218" s="13">
        <v>0.06</v>
      </c>
      <c r="AI218" s="13">
        <v>1.0999999999999999E-2</v>
      </c>
      <c r="AK218" s="13">
        <f t="shared" si="1"/>
        <v>3.8499999999999996</v>
      </c>
      <c r="AL218" s="13">
        <v>30</v>
      </c>
      <c r="AM218" s="13">
        <v>125</v>
      </c>
      <c r="AP218" s="13">
        <v>1.44</v>
      </c>
      <c r="AT218" s="13">
        <f>LN(25/Table26[[#This Row],[Temperature (C)]]/(1-SQRT((Table26[[#This Row],[Temperature (C)]]-5)/Table26[[#This Row],[Temperature (C)]])))/Table26[[#This Row],[b]]</f>
        <v>1.5955188685962922</v>
      </c>
      <c r="AU218" s="13">
        <f>IF(Table26[[#This Row],[b]]&lt;&gt;"",Table26[[#This Row],[T-5]], 0)</f>
        <v>1.5955188685962922</v>
      </c>
      <c r="AV218" s="13">
        <v>10</v>
      </c>
      <c r="AW218" s="13">
        <v>250</v>
      </c>
      <c r="AY218" t="s">
        <v>503</v>
      </c>
      <c r="AZ218" s="13">
        <v>46.923076923076898</v>
      </c>
      <c r="BA218" s="13">
        <v>5.1923076923077103</v>
      </c>
      <c r="BB218" s="13">
        <v>31.346153846153801</v>
      </c>
      <c r="BC218" s="13">
        <v>17.5</v>
      </c>
      <c r="BE218" s="13" t="s">
        <v>506</v>
      </c>
      <c r="BQ218" s="13" t="s">
        <v>506</v>
      </c>
      <c r="CV218" s="13">
        <v>0</v>
      </c>
    </row>
    <row r="219" spans="1:100" x14ac:dyDescent="0.25">
      <c r="A219" t="s">
        <v>314</v>
      </c>
      <c r="B219" t="s">
        <v>317</v>
      </c>
      <c r="C219">
        <v>2022</v>
      </c>
      <c r="D219" t="s">
        <v>316</v>
      </c>
      <c r="E219">
        <v>1</v>
      </c>
      <c r="F219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66.900000000000006</v>
      </c>
      <c r="G219" s="13">
        <v>66.900000000000006</v>
      </c>
      <c r="K219" s="13">
        <v>0.5</v>
      </c>
      <c r="L219" s="13">
        <v>2.8</v>
      </c>
      <c r="M219" s="13">
        <v>19.5</v>
      </c>
      <c r="N219" s="13">
        <v>1.4</v>
      </c>
      <c r="O21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89.7</v>
      </c>
      <c r="AB219" s="13">
        <v>44.68</v>
      </c>
      <c r="AC219" s="13">
        <v>2.4500000000000002</v>
      </c>
      <c r="AD219" s="13">
        <f>100-Table26[[#This Row],[C%]]-Table26[[#This Row],[H%]]-Table26[[#This Row],[N%]]-Table26[[#This Row],[S%]]</f>
        <v>52.809999999999995</v>
      </c>
      <c r="AE219" s="13">
        <v>0.06</v>
      </c>
      <c r="AI219" s="13">
        <v>1.0999999999999999E-2</v>
      </c>
      <c r="AK219" s="13">
        <f t="shared" si="1"/>
        <v>3.8499999999999996</v>
      </c>
      <c r="AL219" s="13">
        <v>30</v>
      </c>
      <c r="AM219" s="13">
        <v>125</v>
      </c>
      <c r="AP219" s="13">
        <v>1.44</v>
      </c>
      <c r="AT219" s="13">
        <f>LN(25/Table26[[#This Row],[Temperature (C)]]/(1-SQRT((Table26[[#This Row],[Temperature (C)]]-5)/Table26[[#This Row],[Temperature (C)]])))/Table26[[#This Row],[b]]</f>
        <v>1.5955188685962922</v>
      </c>
      <c r="AU219" s="13">
        <f>IF(Table26[[#This Row],[b]]&lt;&gt;"",Table26[[#This Row],[T-5]], 0)</f>
        <v>1.5955188685962922</v>
      </c>
      <c r="AV219" s="13">
        <v>20</v>
      </c>
      <c r="AW219" s="13">
        <v>250</v>
      </c>
      <c r="AY219" t="s">
        <v>503</v>
      </c>
      <c r="AZ219" s="13">
        <v>44.423076923076898</v>
      </c>
      <c r="BA219" s="13">
        <v>3.84615384615388</v>
      </c>
      <c r="BB219" s="13">
        <v>34.807692307692299</v>
      </c>
      <c r="BC219" s="13">
        <v>17.884615384615401</v>
      </c>
      <c r="BE219" s="13" t="s">
        <v>506</v>
      </c>
      <c r="BQ219" s="13">
        <v>10.379709719982408</v>
      </c>
      <c r="CV219" s="13">
        <v>0</v>
      </c>
    </row>
    <row r="220" spans="1:100" x14ac:dyDescent="0.25">
      <c r="A220" t="s">
        <v>314</v>
      </c>
      <c r="B220" t="s">
        <v>317</v>
      </c>
      <c r="C220">
        <v>2022</v>
      </c>
      <c r="D220" t="s">
        <v>316</v>
      </c>
      <c r="E220">
        <v>1</v>
      </c>
      <c r="F220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66.900000000000006</v>
      </c>
      <c r="G220" s="13">
        <v>66.900000000000006</v>
      </c>
      <c r="K220" s="13">
        <v>0.5</v>
      </c>
      <c r="L220" s="13">
        <v>2.8</v>
      </c>
      <c r="M220" s="13">
        <v>19.5</v>
      </c>
      <c r="N220" s="13">
        <v>1.4</v>
      </c>
      <c r="O22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89.7</v>
      </c>
      <c r="AB220" s="13">
        <v>44.68</v>
      </c>
      <c r="AC220" s="13">
        <v>2.4500000000000002</v>
      </c>
      <c r="AD220" s="13">
        <f>100-Table26[[#This Row],[C%]]-Table26[[#This Row],[H%]]-Table26[[#This Row],[N%]]-Table26[[#This Row],[S%]]</f>
        <v>52.809999999999995</v>
      </c>
      <c r="AE220" s="13">
        <v>0.06</v>
      </c>
      <c r="AI220" s="13">
        <v>1.0999999999999999E-2</v>
      </c>
      <c r="AK220" s="13">
        <f t="shared" si="1"/>
        <v>3.8499999999999996</v>
      </c>
      <c r="AL220" s="13">
        <v>30</v>
      </c>
      <c r="AM220" s="13">
        <v>125</v>
      </c>
      <c r="AP220" s="13">
        <v>1.44</v>
      </c>
      <c r="AT220" s="13">
        <f>LN(25/Table26[[#This Row],[Temperature (C)]]/(1-SQRT((Table26[[#This Row],[Temperature (C)]]-5)/Table26[[#This Row],[Temperature (C)]])))/Table26[[#This Row],[b]]</f>
        <v>1.5955188685962922</v>
      </c>
      <c r="AU220" s="13">
        <f>IF(Table26[[#This Row],[b]]&lt;&gt;"",Table26[[#This Row],[T-5]], 0)</f>
        <v>1.5955188685962922</v>
      </c>
      <c r="AV220" s="13">
        <v>30</v>
      </c>
      <c r="AW220" s="13">
        <v>250</v>
      </c>
      <c r="AY220" t="s">
        <v>503</v>
      </c>
      <c r="AZ220" s="13">
        <v>58.653846153846096</v>
      </c>
      <c r="BA220" s="13">
        <v>4.2307692307692299</v>
      </c>
      <c r="BB220" s="13">
        <v>25.384615384615401</v>
      </c>
      <c r="BC220" s="13">
        <v>12.5</v>
      </c>
      <c r="BE220" s="13" t="s">
        <v>506</v>
      </c>
      <c r="BQ220" s="13" t="s">
        <v>506</v>
      </c>
      <c r="CV220" s="13">
        <v>0</v>
      </c>
    </row>
    <row r="221" spans="1:100" x14ac:dyDescent="0.25">
      <c r="A221" t="s">
        <v>314</v>
      </c>
      <c r="B221" t="s">
        <v>317</v>
      </c>
      <c r="C221">
        <v>2022</v>
      </c>
      <c r="D221" t="s">
        <v>316</v>
      </c>
      <c r="E221">
        <v>1</v>
      </c>
      <c r="F221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66.900000000000006</v>
      </c>
      <c r="G221" s="13">
        <v>66.900000000000006</v>
      </c>
      <c r="K221" s="13">
        <v>0.5</v>
      </c>
      <c r="L221" s="13">
        <v>2.8</v>
      </c>
      <c r="M221" s="13">
        <v>19.5</v>
      </c>
      <c r="N221" s="13">
        <v>1.4</v>
      </c>
      <c r="O22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89.7</v>
      </c>
      <c r="AB221" s="13">
        <v>44.68</v>
      </c>
      <c r="AC221" s="13">
        <v>2.4500000000000002</v>
      </c>
      <c r="AD221" s="13">
        <f>100-Table26[[#This Row],[C%]]-Table26[[#This Row],[H%]]-Table26[[#This Row],[N%]]-Table26[[#This Row],[S%]]</f>
        <v>52.809999999999995</v>
      </c>
      <c r="AE221" s="13">
        <v>0.06</v>
      </c>
      <c r="AI221" s="13">
        <v>1.0999999999999999E-2</v>
      </c>
      <c r="AK221" s="13">
        <f t="shared" si="1"/>
        <v>3.8499999999999996</v>
      </c>
      <c r="AL221" s="13">
        <v>30</v>
      </c>
      <c r="AM221" s="13">
        <v>125</v>
      </c>
      <c r="AP221" s="13">
        <v>1.44</v>
      </c>
      <c r="AT221" s="13">
        <f>LN(25/Table26[[#This Row],[Temperature (C)]]/(1-SQRT((Table26[[#This Row],[Temperature (C)]]-5)/Table26[[#This Row],[Temperature (C)]])))/Table26[[#This Row],[b]]</f>
        <v>1.5955188685962922</v>
      </c>
      <c r="AU221" s="13">
        <f>IF(Table26[[#This Row],[b]]&lt;&gt;"",Table26[[#This Row],[T-5]], 0)</f>
        <v>1.5955188685962922</v>
      </c>
      <c r="AV221" s="13">
        <v>60</v>
      </c>
      <c r="AW221" s="13">
        <v>250</v>
      </c>
      <c r="AY221" t="s">
        <v>503</v>
      </c>
      <c r="AZ221" s="13">
        <v>59.8076923076922</v>
      </c>
      <c r="BA221" s="13">
        <v>3.6538461538461502</v>
      </c>
      <c r="BB221" s="13">
        <v>31.1538461538461</v>
      </c>
      <c r="BC221" s="13">
        <v>6.3461538461538698</v>
      </c>
      <c r="BE221" s="13">
        <v>12.7962085308057</v>
      </c>
      <c r="BQ221" s="13">
        <v>14.467095851216023</v>
      </c>
      <c r="CV221" s="13">
        <v>0</v>
      </c>
    </row>
    <row r="222" spans="1:100" x14ac:dyDescent="0.25">
      <c r="A222" t="s">
        <v>314</v>
      </c>
      <c r="B222" t="s">
        <v>317</v>
      </c>
      <c r="C222">
        <v>2022</v>
      </c>
      <c r="D222" t="s">
        <v>316</v>
      </c>
      <c r="E222">
        <v>1</v>
      </c>
      <c r="F222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66.900000000000006</v>
      </c>
      <c r="G222" s="13">
        <v>66.900000000000006</v>
      </c>
      <c r="K222" s="13">
        <v>0.5</v>
      </c>
      <c r="L222" s="13">
        <v>2.8</v>
      </c>
      <c r="M222" s="13">
        <v>19.5</v>
      </c>
      <c r="N222" s="13">
        <v>1.4</v>
      </c>
      <c r="O22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89.7</v>
      </c>
      <c r="AB222" s="13">
        <v>44.68</v>
      </c>
      <c r="AC222" s="13">
        <v>2.4500000000000002</v>
      </c>
      <c r="AD222" s="13">
        <f>100-Table26[[#This Row],[C%]]-Table26[[#This Row],[H%]]-Table26[[#This Row],[N%]]-Table26[[#This Row],[S%]]</f>
        <v>52.809999999999995</v>
      </c>
      <c r="AE222" s="13">
        <v>0.06</v>
      </c>
      <c r="AI222" s="13">
        <v>1.0999999999999999E-2</v>
      </c>
      <c r="AK222" s="13">
        <f t="shared" si="1"/>
        <v>3.8499999999999996</v>
      </c>
      <c r="AL222" s="13">
        <v>30</v>
      </c>
      <c r="AM222" s="13">
        <v>125</v>
      </c>
      <c r="AP222" s="13">
        <v>1.44</v>
      </c>
      <c r="AT222" s="13">
        <f>LN(25/Table26[[#This Row],[Temperature (C)]]/(1-SQRT((Table26[[#This Row],[Temperature (C)]]-5)/Table26[[#This Row],[Temperature (C)]])))/Table26[[#This Row],[b]]</f>
        <v>1.5961056533783207</v>
      </c>
      <c r="AU222" s="13">
        <f>IF(Table26[[#This Row],[b]]&lt;&gt;"",Table26[[#This Row],[T-5]], 0)</f>
        <v>1.5961056533783207</v>
      </c>
      <c r="AV222" s="13">
        <v>5</v>
      </c>
      <c r="AW222" s="13">
        <v>300</v>
      </c>
      <c r="AY222" t="s">
        <v>503</v>
      </c>
      <c r="AZ222" s="13">
        <v>50.5791505791505</v>
      </c>
      <c r="BA222" s="13">
        <v>3.47490347490346</v>
      </c>
      <c r="BB222" s="13">
        <v>37.258687258687203</v>
      </c>
      <c r="BC222" s="13">
        <v>8.8803088803088599</v>
      </c>
      <c r="BE222" s="13">
        <v>11.1111111111112</v>
      </c>
      <c r="BQ222" s="13">
        <v>14.003504859009078</v>
      </c>
      <c r="CV222" s="13">
        <v>0</v>
      </c>
    </row>
    <row r="223" spans="1:100" x14ac:dyDescent="0.25">
      <c r="A223" t="s">
        <v>314</v>
      </c>
      <c r="B223" t="s">
        <v>317</v>
      </c>
      <c r="C223">
        <v>2022</v>
      </c>
      <c r="D223" t="s">
        <v>316</v>
      </c>
      <c r="E223">
        <v>1</v>
      </c>
      <c r="F223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66.900000000000006</v>
      </c>
      <c r="G223" s="13">
        <v>66.900000000000006</v>
      </c>
      <c r="K223" s="13">
        <v>0.5</v>
      </c>
      <c r="L223" s="13">
        <v>2.8</v>
      </c>
      <c r="M223" s="13">
        <v>19.5</v>
      </c>
      <c r="N223" s="13">
        <v>1.4</v>
      </c>
      <c r="O22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89.7</v>
      </c>
      <c r="AB223" s="13">
        <v>44.68</v>
      </c>
      <c r="AC223" s="13">
        <v>2.4500000000000002</v>
      </c>
      <c r="AD223" s="13">
        <f>100-Table26[[#This Row],[C%]]-Table26[[#This Row],[H%]]-Table26[[#This Row],[N%]]-Table26[[#This Row],[S%]]</f>
        <v>52.809999999999995</v>
      </c>
      <c r="AE223" s="13">
        <v>0.06</v>
      </c>
      <c r="AI223" s="13">
        <v>1.0999999999999999E-2</v>
      </c>
      <c r="AK223" s="13">
        <f t="shared" si="1"/>
        <v>3.8499999999999996</v>
      </c>
      <c r="AL223" s="13">
        <v>30</v>
      </c>
      <c r="AM223" s="13">
        <v>125</v>
      </c>
      <c r="AP223" s="13">
        <v>1.44</v>
      </c>
      <c r="AT223" s="13">
        <f>LN(25/Table26[[#This Row],[Temperature (C)]]/(1-SQRT((Table26[[#This Row],[Temperature (C)]]-5)/Table26[[#This Row],[Temperature (C)]])))/Table26[[#This Row],[b]]</f>
        <v>1.5961056533783207</v>
      </c>
      <c r="AU223" s="13">
        <f>IF(Table26[[#This Row],[b]]&lt;&gt;"",Table26[[#This Row],[T-5]], 0)</f>
        <v>1.5961056533783207</v>
      </c>
      <c r="AV223" s="13">
        <v>10</v>
      </c>
      <c r="AW223" s="13">
        <v>300</v>
      </c>
      <c r="AY223" t="s">
        <v>503</v>
      </c>
      <c r="AZ223" s="13">
        <v>36.100386100385997</v>
      </c>
      <c r="BA223" s="13">
        <v>7.9150579150578899</v>
      </c>
      <c r="BB223" s="13">
        <v>36.100386100385997</v>
      </c>
      <c r="BC223" s="13">
        <v>20.270270270270199</v>
      </c>
      <c r="BE223" s="13">
        <v>8.056872037914701</v>
      </c>
      <c r="BQ223" s="13">
        <v>12.070610687022899</v>
      </c>
      <c r="CV223" s="13">
        <v>0</v>
      </c>
    </row>
    <row r="224" spans="1:100" x14ac:dyDescent="0.25">
      <c r="A224" t="s">
        <v>314</v>
      </c>
      <c r="B224" t="s">
        <v>317</v>
      </c>
      <c r="C224">
        <v>2022</v>
      </c>
      <c r="D224" t="s">
        <v>316</v>
      </c>
      <c r="E224">
        <v>1</v>
      </c>
      <c r="F224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66.900000000000006</v>
      </c>
      <c r="G224" s="13">
        <v>66.900000000000006</v>
      </c>
      <c r="K224" s="13">
        <v>0.5</v>
      </c>
      <c r="L224" s="13">
        <v>2.8</v>
      </c>
      <c r="M224" s="13">
        <v>19.5</v>
      </c>
      <c r="N224" s="13">
        <v>1.4</v>
      </c>
      <c r="O22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89.7</v>
      </c>
      <c r="AB224" s="13">
        <v>44.68</v>
      </c>
      <c r="AC224" s="13">
        <v>2.4500000000000002</v>
      </c>
      <c r="AD224" s="13">
        <f>100-Table26[[#This Row],[C%]]-Table26[[#This Row],[H%]]-Table26[[#This Row],[N%]]-Table26[[#This Row],[S%]]</f>
        <v>52.809999999999995</v>
      </c>
      <c r="AE224" s="13">
        <v>0.06</v>
      </c>
      <c r="AI224" s="13">
        <v>1.0999999999999999E-2</v>
      </c>
      <c r="AK224" s="13">
        <f t="shared" si="1"/>
        <v>3.8499999999999996</v>
      </c>
      <c r="AL224" s="13">
        <v>30</v>
      </c>
      <c r="AM224" s="13">
        <v>125</v>
      </c>
      <c r="AP224" s="13">
        <v>1.44</v>
      </c>
      <c r="AT224" s="13">
        <f>LN(25/Table26[[#This Row],[Temperature (C)]]/(1-SQRT((Table26[[#This Row],[Temperature (C)]]-5)/Table26[[#This Row],[Temperature (C)]])))/Table26[[#This Row],[b]]</f>
        <v>1.5961056533783207</v>
      </c>
      <c r="AU224" s="13">
        <f>IF(Table26[[#This Row],[b]]&lt;&gt;"",Table26[[#This Row],[T-5]], 0)</f>
        <v>1.5961056533783207</v>
      </c>
      <c r="AV224" s="13">
        <v>20</v>
      </c>
      <c r="AW224" s="13">
        <v>300</v>
      </c>
      <c r="AY224" t="s">
        <v>503</v>
      </c>
      <c r="AZ224" s="13">
        <v>35.135135135135101</v>
      </c>
      <c r="BA224" s="13">
        <v>4.4401544401544299</v>
      </c>
      <c r="BB224" s="13">
        <v>37.258687258687203</v>
      </c>
      <c r="BC224" s="13">
        <v>23.552123552123501</v>
      </c>
      <c r="BE224" s="13">
        <v>10.096153846153797</v>
      </c>
      <c r="BQ224" s="13">
        <v>13.879063500084218</v>
      </c>
      <c r="CV224" s="13">
        <v>0</v>
      </c>
    </row>
    <row r="225" spans="1:100" x14ac:dyDescent="0.25">
      <c r="A225" t="s">
        <v>314</v>
      </c>
      <c r="B225" t="s">
        <v>317</v>
      </c>
      <c r="C225">
        <v>2022</v>
      </c>
      <c r="D225" t="s">
        <v>316</v>
      </c>
      <c r="E225">
        <v>1</v>
      </c>
      <c r="F225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66.900000000000006</v>
      </c>
      <c r="G225" s="13">
        <v>66.900000000000006</v>
      </c>
      <c r="K225" s="13">
        <v>0.5</v>
      </c>
      <c r="L225" s="13">
        <v>2.8</v>
      </c>
      <c r="M225" s="13">
        <v>19.5</v>
      </c>
      <c r="N225" s="13">
        <v>1.4</v>
      </c>
      <c r="O22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89.7</v>
      </c>
      <c r="AB225" s="13">
        <v>44.68</v>
      </c>
      <c r="AC225" s="13">
        <v>2.4500000000000002</v>
      </c>
      <c r="AD225" s="13">
        <f>100-Table26[[#This Row],[C%]]-Table26[[#This Row],[H%]]-Table26[[#This Row],[N%]]-Table26[[#This Row],[S%]]</f>
        <v>52.809999999999995</v>
      </c>
      <c r="AE225" s="13">
        <v>0.06</v>
      </c>
      <c r="AI225" s="13">
        <v>1.0999999999999999E-2</v>
      </c>
      <c r="AK225" s="13">
        <f t="shared" si="1"/>
        <v>3.8499999999999996</v>
      </c>
      <c r="AL225" s="13">
        <v>30</v>
      </c>
      <c r="AM225" s="13">
        <v>125</v>
      </c>
      <c r="AP225" s="13">
        <v>1.44</v>
      </c>
      <c r="AT225" s="13">
        <f>LN(25/Table26[[#This Row],[Temperature (C)]]/(1-SQRT((Table26[[#This Row],[Temperature (C)]]-5)/Table26[[#This Row],[Temperature (C)]])))/Table26[[#This Row],[b]]</f>
        <v>1.5961056533783207</v>
      </c>
      <c r="AU225" s="13">
        <f>IF(Table26[[#This Row],[b]]&lt;&gt;"",Table26[[#This Row],[T-5]], 0)</f>
        <v>1.5961056533783207</v>
      </c>
      <c r="AV225" s="13">
        <v>30</v>
      </c>
      <c r="AW225" s="13">
        <v>300</v>
      </c>
      <c r="AY225" t="s">
        <v>503</v>
      </c>
      <c r="AZ225" s="13">
        <v>41.312741312741302</v>
      </c>
      <c r="BA225" s="13">
        <v>4.0540540540540198</v>
      </c>
      <c r="BB225" s="13">
        <v>28.378378378378301</v>
      </c>
      <c r="BC225" s="13">
        <v>26.833976833976799</v>
      </c>
      <c r="BE225" s="13">
        <v>14.691943127962105</v>
      </c>
      <c r="BQ225" s="13">
        <v>12.317257603764075</v>
      </c>
      <c r="CV225" s="13">
        <v>0</v>
      </c>
    </row>
    <row r="226" spans="1:100" x14ac:dyDescent="0.25">
      <c r="A226" t="s">
        <v>314</v>
      </c>
      <c r="B226" t="s">
        <v>317</v>
      </c>
      <c r="C226">
        <v>2022</v>
      </c>
      <c r="D226" t="s">
        <v>316</v>
      </c>
      <c r="E226">
        <v>1</v>
      </c>
      <c r="F226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66.900000000000006</v>
      </c>
      <c r="G226" s="13">
        <v>66.900000000000006</v>
      </c>
      <c r="K226" s="13">
        <v>0.5</v>
      </c>
      <c r="L226" s="13">
        <v>2.8</v>
      </c>
      <c r="M226" s="13">
        <v>19.5</v>
      </c>
      <c r="N226" s="13">
        <v>1.4</v>
      </c>
      <c r="O22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89.7</v>
      </c>
      <c r="AB226" s="13">
        <v>44.68</v>
      </c>
      <c r="AC226" s="13">
        <v>2.4500000000000002</v>
      </c>
      <c r="AD226" s="13">
        <f>100-Table26[[#This Row],[C%]]-Table26[[#This Row],[H%]]-Table26[[#This Row],[N%]]-Table26[[#This Row],[S%]]</f>
        <v>52.809999999999995</v>
      </c>
      <c r="AE226" s="13">
        <v>0.06</v>
      </c>
      <c r="AI226" s="13">
        <v>1.0999999999999999E-2</v>
      </c>
      <c r="AK226" s="13">
        <f t="shared" si="1"/>
        <v>3.8499999999999996</v>
      </c>
      <c r="AL226" s="13">
        <v>30</v>
      </c>
      <c r="AM226" s="13">
        <v>125</v>
      </c>
      <c r="AP226" s="13">
        <v>1.44</v>
      </c>
      <c r="AT226" s="13">
        <f>LN(25/Table26[[#This Row],[Temperature (C)]]/(1-SQRT((Table26[[#This Row],[Temperature (C)]]-5)/Table26[[#This Row],[Temperature (C)]])))/Table26[[#This Row],[b]]</f>
        <v>1.5961056533783207</v>
      </c>
      <c r="AU226" s="13">
        <f>IF(Table26[[#This Row],[b]]&lt;&gt;"",Table26[[#This Row],[T-5]], 0)</f>
        <v>1.5961056533783207</v>
      </c>
      <c r="AV226" s="13">
        <v>60</v>
      </c>
      <c r="AW226" s="13">
        <v>300</v>
      </c>
      <c r="AY226" t="s">
        <v>503</v>
      </c>
      <c r="AZ226" s="13">
        <v>37.065637065636999</v>
      </c>
      <c r="BA226" s="13">
        <v>3.8610038610038302</v>
      </c>
      <c r="BB226" s="13">
        <v>41.698841698841598</v>
      </c>
      <c r="BC226" s="13">
        <v>18.146718146718101</v>
      </c>
      <c r="BE226" s="13">
        <v>12.7962085308057</v>
      </c>
      <c r="BQ226" s="13">
        <v>15.220362145541511</v>
      </c>
      <c r="CV226" s="13">
        <v>0</v>
      </c>
    </row>
    <row r="227" spans="1:100" x14ac:dyDescent="0.25">
      <c r="A227" t="s">
        <v>314</v>
      </c>
      <c r="B227" t="s">
        <v>317</v>
      </c>
      <c r="C227">
        <v>2022</v>
      </c>
      <c r="D227" t="s">
        <v>316</v>
      </c>
      <c r="E227">
        <v>1</v>
      </c>
      <c r="F22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66.900000000000006</v>
      </c>
      <c r="G227" s="13">
        <v>66.900000000000006</v>
      </c>
      <c r="K227" s="13">
        <v>0.5</v>
      </c>
      <c r="L227" s="13">
        <v>2.8</v>
      </c>
      <c r="M227" s="13">
        <v>19.5</v>
      </c>
      <c r="N227" s="13">
        <v>1.4</v>
      </c>
      <c r="O22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89.7</v>
      </c>
      <c r="AB227" s="13">
        <v>44.68</v>
      </c>
      <c r="AC227" s="13">
        <v>2.4500000000000002</v>
      </c>
      <c r="AD227" s="13">
        <f>100-Table26[[#This Row],[C%]]-Table26[[#This Row],[H%]]-Table26[[#This Row],[N%]]-Table26[[#This Row],[S%]]</f>
        <v>52.809999999999995</v>
      </c>
      <c r="AE227" s="13">
        <v>0.06</v>
      </c>
      <c r="AI227" s="13">
        <v>1.0999999999999999E-2</v>
      </c>
      <c r="AK227" s="13">
        <f t="shared" si="1"/>
        <v>3.8499999999999996</v>
      </c>
      <c r="AL227" s="13">
        <v>30</v>
      </c>
      <c r="AM227" s="13">
        <v>125</v>
      </c>
      <c r="AP227" s="13">
        <v>1.44</v>
      </c>
      <c r="AT227" s="13">
        <f>LN(25/Table26[[#This Row],[Temperature (C)]]/(1-SQRT((Table26[[#This Row],[Temperature (C)]]-5)/Table26[[#This Row],[Temperature (C)]])))/Table26[[#This Row],[b]]</f>
        <v>1.5965238739477425</v>
      </c>
      <c r="AU227" s="13">
        <f>IF(Table26[[#This Row],[b]]&lt;&gt;"",Table26[[#This Row],[T-5]], 0)</f>
        <v>1.5965238739477425</v>
      </c>
      <c r="AV227" s="13">
        <v>5</v>
      </c>
      <c r="AW227" s="13">
        <v>350</v>
      </c>
      <c r="AY227" t="s">
        <v>503</v>
      </c>
      <c r="AZ227" s="13">
        <v>25.725338491296</v>
      </c>
      <c r="BA227" s="13">
        <v>8.7040618955513391</v>
      </c>
      <c r="BB227" s="13">
        <v>46.228239845261101</v>
      </c>
      <c r="BC227" s="13">
        <v>19.535783365570499</v>
      </c>
      <c r="BE227" s="13">
        <v>12.7962085308057</v>
      </c>
      <c r="BQ227" s="13">
        <v>12.438364879910928</v>
      </c>
      <c r="CV227" s="13">
        <v>0</v>
      </c>
    </row>
    <row r="228" spans="1:100" x14ac:dyDescent="0.25">
      <c r="A228" t="s">
        <v>314</v>
      </c>
      <c r="B228" t="s">
        <v>317</v>
      </c>
      <c r="C228">
        <v>2022</v>
      </c>
      <c r="D228" t="s">
        <v>316</v>
      </c>
      <c r="E228">
        <v>1</v>
      </c>
      <c r="F228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66.900000000000006</v>
      </c>
      <c r="G228" s="13">
        <v>66.900000000000006</v>
      </c>
      <c r="K228" s="13">
        <v>0.5</v>
      </c>
      <c r="L228" s="13">
        <v>2.8</v>
      </c>
      <c r="M228" s="13">
        <v>19.5</v>
      </c>
      <c r="N228" s="13">
        <v>1.4</v>
      </c>
      <c r="O22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89.7</v>
      </c>
      <c r="AB228" s="13">
        <v>44.68</v>
      </c>
      <c r="AC228" s="13">
        <v>2.4500000000000002</v>
      </c>
      <c r="AD228" s="13">
        <f>100-Table26[[#This Row],[C%]]-Table26[[#This Row],[H%]]-Table26[[#This Row],[N%]]-Table26[[#This Row],[S%]]</f>
        <v>52.809999999999995</v>
      </c>
      <c r="AE228" s="13">
        <v>0.06</v>
      </c>
      <c r="AI228" s="13">
        <v>1.0999999999999999E-2</v>
      </c>
      <c r="AK228" s="13">
        <f t="shared" si="1"/>
        <v>3.8499999999999996</v>
      </c>
      <c r="AL228" s="13">
        <v>30</v>
      </c>
      <c r="AM228" s="13">
        <v>125</v>
      </c>
      <c r="AP228" s="13">
        <v>1.44</v>
      </c>
      <c r="AT228" s="13">
        <f>LN(25/Table26[[#This Row],[Temperature (C)]]/(1-SQRT((Table26[[#This Row],[Temperature (C)]]-5)/Table26[[#This Row],[Temperature (C)]])))/Table26[[#This Row],[b]]</f>
        <v>1.5965238739477425</v>
      </c>
      <c r="AU228" s="13">
        <f>IF(Table26[[#This Row],[b]]&lt;&gt;"",Table26[[#This Row],[T-5]], 0)</f>
        <v>1.5965238739477425</v>
      </c>
      <c r="AV228" s="13">
        <v>10</v>
      </c>
      <c r="AW228" s="13">
        <v>350</v>
      </c>
      <c r="AY228" t="s">
        <v>503</v>
      </c>
      <c r="AZ228" s="13">
        <v>34.429400386847199</v>
      </c>
      <c r="BA228" s="13">
        <v>4.4487427466150899</v>
      </c>
      <c r="BB228" s="13">
        <v>36.750483558994198</v>
      </c>
      <c r="BC228" s="13">
        <v>24.3713733075435</v>
      </c>
      <c r="BE228" s="13">
        <v>10.576923076922995</v>
      </c>
      <c r="BQ228" s="13">
        <v>11.99616122840691</v>
      </c>
      <c r="CV228" s="13">
        <v>0</v>
      </c>
    </row>
    <row r="229" spans="1:100" x14ac:dyDescent="0.25">
      <c r="A229" t="s">
        <v>314</v>
      </c>
      <c r="B229" t="s">
        <v>317</v>
      </c>
      <c r="C229">
        <v>2022</v>
      </c>
      <c r="D229" t="s">
        <v>316</v>
      </c>
      <c r="E229">
        <v>1</v>
      </c>
      <c r="F229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66.900000000000006</v>
      </c>
      <c r="G229" s="13">
        <v>66.900000000000006</v>
      </c>
      <c r="K229" s="13">
        <v>0.5</v>
      </c>
      <c r="L229" s="13">
        <v>2.8</v>
      </c>
      <c r="M229" s="13">
        <v>19.5</v>
      </c>
      <c r="N229" s="13">
        <v>1.4</v>
      </c>
      <c r="O22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89.7</v>
      </c>
      <c r="AB229" s="13">
        <v>44.68</v>
      </c>
      <c r="AC229" s="13">
        <v>2.4500000000000002</v>
      </c>
      <c r="AD229" s="13">
        <f>100-Table26[[#This Row],[C%]]-Table26[[#This Row],[H%]]-Table26[[#This Row],[N%]]-Table26[[#This Row],[S%]]</f>
        <v>52.809999999999995</v>
      </c>
      <c r="AE229" s="13">
        <v>0.06</v>
      </c>
      <c r="AI229" s="13">
        <v>1.0999999999999999E-2</v>
      </c>
      <c r="AK229" s="13">
        <f t="shared" si="1"/>
        <v>3.8499999999999996</v>
      </c>
      <c r="AL229" s="13">
        <v>30</v>
      </c>
      <c r="AM229" s="13">
        <v>125</v>
      </c>
      <c r="AP229" s="13">
        <v>1.44</v>
      </c>
      <c r="AT229" s="13">
        <f>LN(25/Table26[[#This Row],[Temperature (C)]]/(1-SQRT((Table26[[#This Row],[Temperature (C)]]-5)/Table26[[#This Row],[Temperature (C)]])))/Table26[[#This Row],[b]]</f>
        <v>1.5965238739477425</v>
      </c>
      <c r="AU229" s="13">
        <f>IF(Table26[[#This Row],[b]]&lt;&gt;"",Table26[[#This Row],[T-5]], 0)</f>
        <v>1.5965238739477425</v>
      </c>
      <c r="AV229" s="13">
        <v>20</v>
      </c>
      <c r="AW229" s="13">
        <v>350</v>
      </c>
      <c r="AY229" t="s">
        <v>503</v>
      </c>
      <c r="AZ229" s="13">
        <v>31.721470019342402</v>
      </c>
      <c r="BA229" s="13">
        <v>17.021276595744698</v>
      </c>
      <c r="BB229" s="13">
        <v>33.849129593810297</v>
      </c>
      <c r="BC229" s="13">
        <v>18.568665377176</v>
      </c>
      <c r="BE229" s="13">
        <v>11.057692307692406</v>
      </c>
      <c r="BQ229" s="13">
        <v>12.369006033661481</v>
      </c>
      <c r="CV229" s="13">
        <v>0</v>
      </c>
    </row>
    <row r="230" spans="1:100" x14ac:dyDescent="0.25">
      <c r="A230" t="s">
        <v>314</v>
      </c>
      <c r="B230" t="s">
        <v>317</v>
      </c>
      <c r="C230">
        <v>2022</v>
      </c>
      <c r="D230" t="s">
        <v>316</v>
      </c>
      <c r="E230">
        <v>1</v>
      </c>
      <c r="F230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66.900000000000006</v>
      </c>
      <c r="G230" s="13">
        <v>66.900000000000006</v>
      </c>
      <c r="K230" s="13">
        <v>0.5</v>
      </c>
      <c r="L230" s="13">
        <v>2.8</v>
      </c>
      <c r="M230" s="13">
        <v>19.5</v>
      </c>
      <c r="N230" s="13">
        <v>1.4</v>
      </c>
      <c r="O23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89.7</v>
      </c>
      <c r="AB230" s="13">
        <v>44.68</v>
      </c>
      <c r="AC230" s="13">
        <v>2.4500000000000002</v>
      </c>
      <c r="AD230" s="13">
        <f>100-Table26[[#This Row],[C%]]-Table26[[#This Row],[H%]]-Table26[[#This Row],[N%]]-Table26[[#This Row],[S%]]</f>
        <v>52.809999999999995</v>
      </c>
      <c r="AE230" s="13">
        <v>0.06</v>
      </c>
      <c r="AI230" s="13">
        <v>1.0999999999999999E-2</v>
      </c>
      <c r="AK230" s="13">
        <f t="shared" si="1"/>
        <v>3.8499999999999996</v>
      </c>
      <c r="AL230" s="13">
        <v>30</v>
      </c>
      <c r="AM230" s="13">
        <v>125</v>
      </c>
      <c r="AP230" s="13">
        <v>1.44</v>
      </c>
      <c r="AT230" s="13">
        <f>LN(25/Table26[[#This Row],[Temperature (C)]]/(1-SQRT((Table26[[#This Row],[Temperature (C)]]-5)/Table26[[#This Row],[Temperature (C)]])))/Table26[[#This Row],[b]]</f>
        <v>1.5965238739477425</v>
      </c>
      <c r="AU230" s="13">
        <f>IF(Table26[[#This Row],[b]]&lt;&gt;"",Table26[[#This Row],[T-5]], 0)</f>
        <v>1.5965238739477425</v>
      </c>
      <c r="AV230" s="13">
        <v>30</v>
      </c>
      <c r="AW230" s="13">
        <v>350</v>
      </c>
      <c r="AY230" t="s">
        <v>503</v>
      </c>
      <c r="AZ230" s="13">
        <v>33.462282398452601</v>
      </c>
      <c r="BA230" s="13">
        <v>7.7369439071566504</v>
      </c>
      <c r="BB230" s="13">
        <v>35.7833655705995</v>
      </c>
      <c r="BC230" s="13">
        <v>23.210831721470001</v>
      </c>
      <c r="BE230" s="13">
        <v>12.980769230769198</v>
      </c>
      <c r="BQ230" s="13">
        <v>14.466363176530095</v>
      </c>
      <c r="CV230" s="13">
        <v>0</v>
      </c>
    </row>
    <row r="231" spans="1:100" x14ac:dyDescent="0.25">
      <c r="A231" t="s">
        <v>314</v>
      </c>
      <c r="B231" t="s">
        <v>317</v>
      </c>
      <c r="C231">
        <v>2022</v>
      </c>
      <c r="D231" t="s">
        <v>316</v>
      </c>
      <c r="E231">
        <v>1</v>
      </c>
      <c r="F231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66.900000000000006</v>
      </c>
      <c r="G231" s="13">
        <v>66.900000000000006</v>
      </c>
      <c r="K231" s="13">
        <v>0.5</v>
      </c>
      <c r="L231" s="13">
        <v>2.8</v>
      </c>
      <c r="M231" s="13">
        <v>19.5</v>
      </c>
      <c r="N231" s="13">
        <v>1.4</v>
      </c>
      <c r="O23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89.7</v>
      </c>
      <c r="AB231" s="13">
        <v>44.68</v>
      </c>
      <c r="AC231" s="13">
        <v>2.4500000000000002</v>
      </c>
      <c r="AD231" s="13">
        <f>100-Table26[[#This Row],[C%]]-Table26[[#This Row],[H%]]-Table26[[#This Row],[N%]]-Table26[[#This Row],[S%]]</f>
        <v>52.809999999999995</v>
      </c>
      <c r="AE231" s="13">
        <v>0.06</v>
      </c>
      <c r="AI231" s="13">
        <v>1.0999999999999999E-2</v>
      </c>
      <c r="AK231" s="13">
        <f t="shared" si="1"/>
        <v>3.8499999999999996</v>
      </c>
      <c r="AL231" s="13">
        <v>30</v>
      </c>
      <c r="AM231" s="13">
        <v>125</v>
      </c>
      <c r="AP231" s="13">
        <v>1.44</v>
      </c>
      <c r="AT231" s="13">
        <f>LN(25/Table26[[#This Row],[Temperature (C)]]/(1-SQRT((Table26[[#This Row],[Temperature (C)]]-5)/Table26[[#This Row],[Temperature (C)]])))/Table26[[#This Row],[b]]</f>
        <v>1.5965238739477425</v>
      </c>
      <c r="AU231" s="13">
        <f>IF(Table26[[#This Row],[b]]&lt;&gt;"",Table26[[#This Row],[T-5]], 0)</f>
        <v>1.5965238739477425</v>
      </c>
      <c r="AV231" s="13">
        <v>60</v>
      </c>
      <c r="AW231" s="13">
        <v>350</v>
      </c>
      <c r="AY231" t="s">
        <v>503</v>
      </c>
      <c r="AZ231" s="13">
        <v>42.746615087040503</v>
      </c>
      <c r="BA231" s="13">
        <v>11.025145067698199</v>
      </c>
      <c r="BB231" s="13">
        <v>35.396518375241797</v>
      </c>
      <c r="BC231" s="13">
        <v>11.025145067698199</v>
      </c>
      <c r="BE231" s="13">
        <v>12.962962962963005</v>
      </c>
      <c r="BQ231" s="13">
        <v>13.49470020566366</v>
      </c>
      <c r="CV231" s="13">
        <v>0</v>
      </c>
    </row>
    <row r="232" spans="1:100" x14ac:dyDescent="0.25">
      <c r="A232" t="s">
        <v>319</v>
      </c>
      <c r="B232" t="s">
        <v>306</v>
      </c>
      <c r="C232">
        <v>2021</v>
      </c>
      <c r="D232" t="s">
        <v>36</v>
      </c>
      <c r="E232">
        <v>1</v>
      </c>
      <c r="F232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232" s="13">
        <v>35.75</v>
      </c>
      <c r="O232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S232" s="13">
        <v>12.2</v>
      </c>
      <c r="T232" s="13">
        <v>52.05</v>
      </c>
      <c r="W232" s="13">
        <v>63.79</v>
      </c>
      <c r="AB232" s="13">
        <v>33.54</v>
      </c>
      <c r="AC232" s="13">
        <v>4.99</v>
      </c>
      <c r="AD232" s="13">
        <v>57.74</v>
      </c>
      <c r="AE232" s="13">
        <v>37.729999999999997</v>
      </c>
      <c r="AF232" s="13">
        <v>0</v>
      </c>
      <c r="AH232" s="13">
        <v>12.15</v>
      </c>
      <c r="AL232" s="13">
        <v>20</v>
      </c>
      <c r="AS232" s="13">
        <v>30</v>
      </c>
      <c r="AT232" s="13" t="e">
        <f>LN(25/Table26[[#This Row],[Temperature (C)]]/(1-SQRT((Table26[[#This Row],[Temperature (C)]]-5)/Table26[[#This Row],[Temperature (C)]])))/Table26[[#This Row],[b]]</f>
        <v>#DIV/0!</v>
      </c>
      <c r="AU232" s="13">
        <f>IF(Table26[[#This Row],[b]]&lt;&gt;"",Table26[[#This Row],[T-5]], 0)</f>
        <v>0</v>
      </c>
      <c r="AV232" s="13">
        <f>Table26[[#This Row],[Holding Time (min)]]+Table26[[#This Row],[Heating time]]</f>
        <v>30</v>
      </c>
      <c r="AW232" s="13">
        <v>330</v>
      </c>
      <c r="AY232" t="s">
        <v>503</v>
      </c>
      <c r="AZ232" s="13">
        <v>6.1116965226554196</v>
      </c>
      <c r="BA232" s="13">
        <v>33.298208640674382</v>
      </c>
      <c r="BB232" s="13">
        <v>20.126448893572196</v>
      </c>
      <c r="BC232" s="13">
        <v>40.463645943098001</v>
      </c>
      <c r="BE232" s="13">
        <v>8.3333333333333997</v>
      </c>
      <c r="BQ232" s="13">
        <v>14.844153607714825</v>
      </c>
      <c r="CV232" s="13">
        <v>0</v>
      </c>
    </row>
    <row r="233" spans="1:100" x14ac:dyDescent="0.25">
      <c r="A233" t="s">
        <v>319</v>
      </c>
      <c r="B233" t="s">
        <v>306</v>
      </c>
      <c r="C233">
        <v>2021</v>
      </c>
      <c r="D233" t="s">
        <v>320</v>
      </c>
      <c r="E233">
        <v>1</v>
      </c>
      <c r="F233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233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AB233" s="13">
        <f>0.8*Algae!Z478+0.2*Biomass!AB232</f>
        <v>47.94</v>
      </c>
      <c r="AC233" s="13">
        <f>0.8*Algae!AA478+0.2*Biomass!AC232</f>
        <v>5.766</v>
      </c>
      <c r="AD233" s="13">
        <f>0.8*Algae!AB478+0.2*Biomass!AD232</f>
        <v>39.948000000000008</v>
      </c>
      <c r="AE233" s="13">
        <f>0.8*Algae!AC478+0.2*Biomass!AE232</f>
        <v>12.25</v>
      </c>
      <c r="AF233" s="13">
        <f>0.8*Algae!AD478+0.2*Biomass!AF232</f>
        <v>0.88800000000000012</v>
      </c>
      <c r="AH233" s="13">
        <f>0.8*Algae!AF478+0.2*Biomass!AH232</f>
        <v>18.214000000000002</v>
      </c>
      <c r="AL233" s="13">
        <v>20</v>
      </c>
      <c r="AS233" s="13">
        <v>30</v>
      </c>
      <c r="AT233" s="13" t="e">
        <f>LN(25/Table26[[#This Row],[Temperature (C)]]/(1-SQRT((Table26[[#This Row],[Temperature (C)]]-5)/Table26[[#This Row],[Temperature (C)]])))/Table26[[#This Row],[b]]</f>
        <v>#DIV/0!</v>
      </c>
      <c r="AU233" s="13">
        <f>IF(Table26[[#This Row],[b]]&lt;&gt;"",Table26[[#This Row],[T-5]], 0)</f>
        <v>0</v>
      </c>
      <c r="AV233" s="13">
        <f>Table26[[#This Row],[Holding Time (min)]]+Table26[[#This Row],[Heating time]]</f>
        <v>30</v>
      </c>
      <c r="AW233" s="13">
        <v>330</v>
      </c>
      <c r="AY233" t="s">
        <v>503</v>
      </c>
      <c r="AZ233" s="13">
        <v>29.399367755532101</v>
      </c>
      <c r="BA233" s="13">
        <v>10.958904109588996</v>
      </c>
      <c r="BB233" s="13">
        <v>6.2170706006323044</v>
      </c>
      <c r="BC233" s="13">
        <v>53.424657534246599</v>
      </c>
      <c r="BE233" s="13">
        <v>9.259259259259295</v>
      </c>
      <c r="BQ233" s="13">
        <v>12.355769230769232</v>
      </c>
      <c r="CV233" s="13">
        <v>0</v>
      </c>
    </row>
    <row r="234" spans="1:100" x14ac:dyDescent="0.25">
      <c r="A234" t="s">
        <v>319</v>
      </c>
      <c r="B234" t="s">
        <v>306</v>
      </c>
      <c r="C234">
        <v>2021</v>
      </c>
      <c r="D234" t="s">
        <v>321</v>
      </c>
      <c r="E234">
        <v>1</v>
      </c>
      <c r="F234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234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AB234" s="13">
        <f>0.5*Algae!Z478+0.5*Biomass!AB232</f>
        <v>42.54</v>
      </c>
      <c r="AC234" s="13">
        <f>0.5*Algae!AA478+0.5*Biomass!AC232</f>
        <v>5.4749999999999996</v>
      </c>
      <c r="AD234" s="13">
        <f>0.5*Algae!AB478+0.5*Biomass!AD232</f>
        <v>46.620000000000005</v>
      </c>
      <c r="AE234" s="13">
        <f>0.5*Algae!AC478+0.5*Biomass!AE232</f>
        <v>21.805</v>
      </c>
      <c r="AF234" s="13">
        <f>0.5*Algae!AD478+0.5*Biomass!AF232</f>
        <v>0.55500000000000005</v>
      </c>
      <c r="AH234" s="13">
        <f>0.5*Algae!AF478+0.5*Biomass!AH232</f>
        <v>15.940000000000001</v>
      </c>
      <c r="AL234" s="13">
        <v>20</v>
      </c>
      <c r="AS234" s="13">
        <v>30</v>
      </c>
      <c r="AT234" s="13" t="e">
        <f>LN(25/Table26[[#This Row],[Temperature (C)]]/(1-SQRT((Table26[[#This Row],[Temperature (C)]]-5)/Table26[[#This Row],[Temperature (C)]])))/Table26[[#This Row],[b]]</f>
        <v>#DIV/0!</v>
      </c>
      <c r="AU234" s="13">
        <f>IF(Table26[[#This Row],[b]]&lt;&gt;"",Table26[[#This Row],[T-5]], 0)</f>
        <v>0</v>
      </c>
      <c r="AV234" s="13">
        <f>Table26[[#This Row],[Holding Time (min)]]+Table26[[#This Row],[Heating time]]</f>
        <v>30</v>
      </c>
      <c r="AW234" s="13">
        <v>330</v>
      </c>
      <c r="AY234" t="s">
        <v>503</v>
      </c>
      <c r="AZ234" s="13">
        <v>23.287671232876601</v>
      </c>
      <c r="BA234" s="13">
        <v>18.545837723919998</v>
      </c>
      <c r="BB234" s="13">
        <v>11.064278187565797</v>
      </c>
      <c r="BC234" s="13">
        <v>47.102212855637603</v>
      </c>
      <c r="BE234" s="13">
        <v>9.3023255813952943</v>
      </c>
      <c r="BQ234" s="13">
        <v>13.677094796415656</v>
      </c>
      <c r="CV234" s="13">
        <v>0</v>
      </c>
    </row>
    <row r="235" spans="1:100" x14ac:dyDescent="0.25">
      <c r="A235" t="s">
        <v>319</v>
      </c>
      <c r="B235" t="s">
        <v>306</v>
      </c>
      <c r="C235">
        <v>2021</v>
      </c>
      <c r="D235" t="s">
        <v>322</v>
      </c>
      <c r="E235">
        <v>1</v>
      </c>
      <c r="F235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235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AB235" s="13">
        <f>0.2*Algae!Z478+0.8*Biomass!AB232</f>
        <v>37.14</v>
      </c>
      <c r="AC235" s="13">
        <f>0.2*Algae!AA478+0.8*Biomass!AC232</f>
        <v>5.1840000000000002</v>
      </c>
      <c r="AD235" s="13">
        <f>0.2*Algae!AB478+0.8*Biomass!AD232</f>
        <v>53.292000000000009</v>
      </c>
      <c r="AE235" s="13">
        <f>0.2*Algae!AC478+0.8*Biomass!AE232</f>
        <v>31.359999999999996</v>
      </c>
      <c r="AF235" s="13">
        <f>0.2*Algae!AD478+0.8*Biomass!AF232</f>
        <v>0.22200000000000003</v>
      </c>
      <c r="AH235" s="13">
        <f>0.2*Algae!AF478+0.8*Biomass!AH232</f>
        <v>13.666</v>
      </c>
      <c r="AL235" s="13">
        <v>20</v>
      </c>
      <c r="AS235" s="13">
        <v>30</v>
      </c>
      <c r="AT235" s="13" t="e">
        <f>LN(25/Table26[[#This Row],[Temperature (C)]]/(1-SQRT((Table26[[#This Row],[Temperature (C)]]-5)/Table26[[#This Row],[Temperature (C)]])))/Table26[[#This Row],[b]]</f>
        <v>#DIV/0!</v>
      </c>
      <c r="AU235" s="13">
        <f>IF(Table26[[#This Row],[b]]&lt;&gt;"",Table26[[#This Row],[T-5]], 0)</f>
        <v>0</v>
      </c>
      <c r="AV235" s="13">
        <f>Table26[[#This Row],[Holding Time (min)]]+Table26[[#This Row],[Heating time]]</f>
        <v>30</v>
      </c>
      <c r="AW235" s="13">
        <v>330</v>
      </c>
      <c r="AY235" t="s">
        <v>503</v>
      </c>
      <c r="AZ235" s="13">
        <v>16.859852476290801</v>
      </c>
      <c r="BA235" s="13">
        <v>27.081138040042102</v>
      </c>
      <c r="BB235" s="13">
        <v>8.9567966280294939</v>
      </c>
      <c r="BC235" s="13">
        <v>47.102212855637603</v>
      </c>
      <c r="BE235" s="13">
        <v>8.3720930232558999</v>
      </c>
      <c r="BQ235" s="13">
        <v>15.364238410596027</v>
      </c>
      <c r="CV235" s="13">
        <v>0</v>
      </c>
    </row>
    <row r="236" spans="1:100" x14ac:dyDescent="0.25">
      <c r="A236" t="s">
        <v>497</v>
      </c>
      <c r="B236" t="s">
        <v>323</v>
      </c>
      <c r="C236">
        <v>2021</v>
      </c>
      <c r="D236" t="s">
        <v>324</v>
      </c>
      <c r="E236">
        <v>1</v>
      </c>
      <c r="F236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17.899999999999999</v>
      </c>
      <c r="I236" s="13">
        <v>11.4</v>
      </c>
      <c r="J236" s="13">
        <v>6.5</v>
      </c>
      <c r="K236" s="13">
        <v>38.270000000000003</v>
      </c>
      <c r="L236" s="13">
        <v>0.19</v>
      </c>
      <c r="M236" s="13">
        <v>29.9</v>
      </c>
      <c r="N236" s="13">
        <v>25.7</v>
      </c>
      <c r="O23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86.259999999999991</v>
      </c>
      <c r="AB236" s="13">
        <v>40.04</v>
      </c>
      <c r="AC236" s="13">
        <v>4.62</v>
      </c>
      <c r="AD236" s="13">
        <v>24.02</v>
      </c>
      <c r="AE236" s="13">
        <v>5.63</v>
      </c>
      <c r="AH236" s="13">
        <v>15.84</v>
      </c>
      <c r="AI236" s="13">
        <v>0.1</v>
      </c>
      <c r="AJ236" s="13">
        <v>30</v>
      </c>
      <c r="AK236" s="13">
        <v>100</v>
      </c>
      <c r="AL236" s="13">
        <v>25</v>
      </c>
      <c r="AP236" s="13">
        <v>1</v>
      </c>
      <c r="AS236" s="13">
        <v>0</v>
      </c>
      <c r="AT236" s="13">
        <f>LN(25/Table26[[#This Row],[Temperature (C)]]/(1-SQRT((Table26[[#This Row],[Temperature (C)]]-5)/Table26[[#This Row],[Temperature (C)]])))/Table26[[#This Row],[b]]</f>
        <v>2.2977423546728097</v>
      </c>
      <c r="AU236" s="13">
        <f>IF(Table26[[#This Row],[b]]&lt;&gt;"",Table26[[#This Row],[T-5]], 0)</f>
        <v>2.2977423546728097</v>
      </c>
      <c r="AV236" s="13">
        <f>Table26[[#This Row],[Holding Time (min)]]+Table26[[#This Row],[Heating time]]</f>
        <v>2.2977423546728097</v>
      </c>
      <c r="AW236" s="13">
        <v>260</v>
      </c>
      <c r="AY236" t="s">
        <v>503</v>
      </c>
      <c r="AZ236" s="13">
        <v>69.946332737030403</v>
      </c>
      <c r="BA236" s="13">
        <v>5.3667262969588503</v>
      </c>
      <c r="BB236" s="13">
        <v>23.2558139534883</v>
      </c>
      <c r="BC236" s="13">
        <v>1.07334525939179</v>
      </c>
      <c r="BE236" s="13">
        <v>8.3720930232558999</v>
      </c>
      <c r="BQ236" s="13">
        <v>13.522163546167384</v>
      </c>
      <c r="CV236" s="13">
        <v>0</v>
      </c>
    </row>
    <row r="237" spans="1:100" x14ac:dyDescent="0.25">
      <c r="A237" t="s">
        <v>497</v>
      </c>
      <c r="B237" t="s">
        <v>323</v>
      </c>
      <c r="C237">
        <v>2021</v>
      </c>
      <c r="D237" t="s">
        <v>324</v>
      </c>
      <c r="E237">
        <v>1</v>
      </c>
      <c r="F23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17.899999999999999</v>
      </c>
      <c r="I237" s="13">
        <v>11.4</v>
      </c>
      <c r="J237" s="13">
        <v>6.5</v>
      </c>
      <c r="K237" s="13">
        <v>38.270000000000003</v>
      </c>
      <c r="L237" s="13">
        <v>0.19</v>
      </c>
      <c r="M237" s="13">
        <v>29.9</v>
      </c>
      <c r="N237" s="13">
        <v>25.7</v>
      </c>
      <c r="O23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86.259999999999991</v>
      </c>
      <c r="AB237" s="13">
        <v>40.04</v>
      </c>
      <c r="AC237" s="13">
        <v>4.62</v>
      </c>
      <c r="AD237" s="13">
        <v>24.02</v>
      </c>
      <c r="AE237" s="13">
        <v>5.63</v>
      </c>
      <c r="AH237" s="13">
        <v>15.84</v>
      </c>
      <c r="AI237" s="13">
        <v>0.1</v>
      </c>
      <c r="AJ237" s="13">
        <v>30</v>
      </c>
      <c r="AK237" s="13">
        <v>100</v>
      </c>
      <c r="AL237" s="13">
        <v>25</v>
      </c>
      <c r="AP237" s="13">
        <v>1</v>
      </c>
      <c r="AS237" s="13">
        <v>0</v>
      </c>
      <c r="AT237" s="13">
        <f>LN(25/Table26[[#This Row],[Temperature (C)]]/(1-SQRT((Table26[[#This Row],[Temperature (C)]]-5)/Table26[[#This Row],[Temperature (C)]])))/Table26[[#This Row],[b]]</f>
        <v>2.2980906124134579</v>
      </c>
      <c r="AU237" s="13">
        <f>IF(Table26[[#This Row],[b]]&lt;&gt;"",Table26[[#This Row],[T-5]], 0)</f>
        <v>2.2980906124134579</v>
      </c>
      <c r="AV237" s="13">
        <f>Table26[[#This Row],[Holding Time (min)]]+Table26[[#This Row],[Heating time]]</f>
        <v>2.2980906124134579</v>
      </c>
      <c r="AW237" s="13">
        <v>280</v>
      </c>
      <c r="AY237" t="s">
        <v>503</v>
      </c>
      <c r="AZ237" s="13">
        <v>66.010733452593897</v>
      </c>
      <c r="BA237" s="13">
        <v>7.8711985688729804</v>
      </c>
      <c r="BB237" s="13">
        <v>24.3291592128801</v>
      </c>
      <c r="BC237" s="13">
        <v>1.61001788908765</v>
      </c>
      <c r="BE237" s="13" t="s">
        <v>506</v>
      </c>
      <c r="BQ237" s="13">
        <v>1.171303074670571</v>
      </c>
      <c r="CV237" s="13">
        <v>0</v>
      </c>
    </row>
    <row r="238" spans="1:100" x14ac:dyDescent="0.25">
      <c r="A238" t="s">
        <v>497</v>
      </c>
      <c r="B238" t="s">
        <v>323</v>
      </c>
      <c r="C238">
        <v>2021</v>
      </c>
      <c r="D238" t="s">
        <v>324</v>
      </c>
      <c r="E238">
        <v>1</v>
      </c>
      <c r="F238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17.899999999999999</v>
      </c>
      <c r="I238" s="13">
        <v>11.4</v>
      </c>
      <c r="J238" s="13">
        <v>6.5</v>
      </c>
      <c r="K238" s="13">
        <v>38.270000000000003</v>
      </c>
      <c r="L238" s="13">
        <v>0.19</v>
      </c>
      <c r="M238" s="13">
        <v>29.9</v>
      </c>
      <c r="N238" s="13">
        <v>25.7</v>
      </c>
      <c r="O23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86.259999999999991</v>
      </c>
      <c r="AB238" s="13">
        <v>40.04</v>
      </c>
      <c r="AC238" s="13">
        <v>4.62</v>
      </c>
      <c r="AD238" s="13">
        <v>24.02</v>
      </c>
      <c r="AE238" s="13">
        <v>5.63</v>
      </c>
      <c r="AH238" s="13">
        <v>15.84</v>
      </c>
      <c r="AI238" s="13">
        <v>0.1</v>
      </c>
      <c r="AJ238" s="13">
        <v>30</v>
      </c>
      <c r="AK238" s="13">
        <v>100</v>
      </c>
      <c r="AL238" s="13">
        <v>25</v>
      </c>
      <c r="AP238" s="13">
        <v>1</v>
      </c>
      <c r="AS238" s="13">
        <v>0</v>
      </c>
      <c r="AT238" s="13">
        <f>LN(25/Table26[[#This Row],[Temperature (C)]]/(1-SQRT((Table26[[#This Row],[Temperature (C)]]-5)/Table26[[#This Row],[Temperature (C)]])))/Table26[[#This Row],[b]]</f>
        <v>2.2983921408647818</v>
      </c>
      <c r="AU238" s="13">
        <f>IF(Table26[[#This Row],[b]]&lt;&gt;"",Table26[[#This Row],[T-5]], 0)</f>
        <v>2.2983921408647818</v>
      </c>
      <c r="AV238" s="13">
        <f>Table26[[#This Row],[Holding Time (min)]]+Table26[[#This Row],[Heating time]]</f>
        <v>2.2983921408647818</v>
      </c>
      <c r="AW238" s="13">
        <v>300</v>
      </c>
      <c r="AY238" t="s">
        <v>503</v>
      </c>
      <c r="AZ238" s="13">
        <v>60.8228980322003</v>
      </c>
      <c r="BA238" s="13">
        <v>12.8801431127012</v>
      </c>
      <c r="BB238" s="13">
        <v>23.613595706618899</v>
      </c>
      <c r="BC238" s="13">
        <v>2.6833631484794198</v>
      </c>
      <c r="BE238" s="13" t="s">
        <v>506</v>
      </c>
      <c r="BQ238" s="13">
        <v>2.6239067055393592</v>
      </c>
      <c r="CV238" s="13">
        <v>0</v>
      </c>
    </row>
    <row r="239" spans="1:100" x14ac:dyDescent="0.25">
      <c r="A239" t="s">
        <v>497</v>
      </c>
      <c r="B239" t="s">
        <v>323</v>
      </c>
      <c r="C239">
        <v>2021</v>
      </c>
      <c r="D239" t="s">
        <v>324</v>
      </c>
      <c r="E239">
        <v>1</v>
      </c>
      <c r="F239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17.899999999999999</v>
      </c>
      <c r="I239" s="13">
        <v>11.4</v>
      </c>
      <c r="J239" s="13">
        <v>6.5</v>
      </c>
      <c r="K239" s="13">
        <v>38.270000000000003</v>
      </c>
      <c r="L239" s="13">
        <v>0.19</v>
      </c>
      <c r="M239" s="13">
        <v>29.9</v>
      </c>
      <c r="N239" s="13">
        <v>25.7</v>
      </c>
      <c r="O23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86.259999999999991</v>
      </c>
      <c r="AB239" s="13">
        <v>40.04</v>
      </c>
      <c r="AC239" s="13">
        <v>4.62</v>
      </c>
      <c r="AD239" s="13">
        <v>24.02</v>
      </c>
      <c r="AE239" s="13">
        <v>5.63</v>
      </c>
      <c r="AH239" s="13">
        <v>15.84</v>
      </c>
      <c r="AI239" s="13">
        <v>0.1</v>
      </c>
      <c r="AJ239" s="13">
        <v>30</v>
      </c>
      <c r="AK239" s="13">
        <v>100</v>
      </c>
      <c r="AL239" s="13">
        <v>25</v>
      </c>
      <c r="AP239" s="13">
        <v>1</v>
      </c>
      <c r="AS239" s="13">
        <v>0</v>
      </c>
      <c r="AT239" s="13">
        <f>LN(25/Table26[[#This Row],[Temperature (C)]]/(1-SQRT((Table26[[#This Row],[Temperature (C)]]-5)/Table26[[#This Row],[Temperature (C)]])))/Table26[[#This Row],[b]]</f>
        <v>2.2986557540678443</v>
      </c>
      <c r="AU239" s="13">
        <f>IF(Table26[[#This Row],[b]]&lt;&gt;"",Table26[[#This Row],[T-5]], 0)</f>
        <v>2.2986557540678443</v>
      </c>
      <c r="AV239" s="13">
        <f>Table26[[#This Row],[Holding Time (min)]]+Table26[[#This Row],[Heating time]]</f>
        <v>2.2986557540678443</v>
      </c>
      <c r="AW239" s="13">
        <v>320</v>
      </c>
      <c r="AY239" t="s">
        <v>503</v>
      </c>
      <c r="AZ239" s="13">
        <v>65.652951699463301</v>
      </c>
      <c r="BA239" s="13">
        <v>10.3756708407871</v>
      </c>
      <c r="BB239" s="13">
        <v>21.645796064400699</v>
      </c>
      <c r="BC239" s="13">
        <v>2.32558139534882</v>
      </c>
      <c r="BE239" s="13" t="s">
        <v>506</v>
      </c>
      <c r="BQ239" s="13">
        <v>3.3639143730886847</v>
      </c>
      <c r="CV239" s="13">
        <v>0</v>
      </c>
    </row>
    <row r="240" spans="1:100" x14ac:dyDescent="0.25">
      <c r="A240" t="s">
        <v>497</v>
      </c>
      <c r="B240" t="s">
        <v>323</v>
      </c>
      <c r="C240">
        <v>2021</v>
      </c>
      <c r="D240" t="s">
        <v>324</v>
      </c>
      <c r="E240">
        <v>1</v>
      </c>
      <c r="F240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17.899999999999999</v>
      </c>
      <c r="I240" s="13">
        <v>11.4</v>
      </c>
      <c r="J240" s="13">
        <v>6.5</v>
      </c>
      <c r="K240" s="13">
        <v>38.270000000000003</v>
      </c>
      <c r="L240" s="13">
        <v>0.19</v>
      </c>
      <c r="M240" s="13">
        <v>29.9</v>
      </c>
      <c r="N240" s="13">
        <v>25.7</v>
      </c>
      <c r="O24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86.259999999999991</v>
      </c>
      <c r="AB240" s="13">
        <v>40.04</v>
      </c>
      <c r="AC240" s="13">
        <v>4.62</v>
      </c>
      <c r="AD240" s="13">
        <v>24.02</v>
      </c>
      <c r="AE240" s="13">
        <v>5.63</v>
      </c>
      <c r="AH240" s="13">
        <v>15.84</v>
      </c>
      <c r="AI240" s="13">
        <v>0.1</v>
      </c>
      <c r="AJ240" s="13">
        <v>30</v>
      </c>
      <c r="AK240" s="13">
        <v>100</v>
      </c>
      <c r="AL240" s="13">
        <v>25</v>
      </c>
      <c r="AS240" s="13">
        <v>30</v>
      </c>
      <c r="AT240" s="13" t="e">
        <f>LN(25/Table26[[#This Row],[Temperature (C)]]/(1-SQRT((Table26[[#This Row],[Temperature (C)]]-5)/Table26[[#This Row],[Temperature (C)]])))/Table26[[#This Row],[b]]</f>
        <v>#DIV/0!</v>
      </c>
      <c r="AU240" s="13">
        <f>IF(Table26[[#This Row],[b]]&lt;&gt;"",Table26[[#This Row],[T-5]], 0)</f>
        <v>0</v>
      </c>
      <c r="AV240" s="13">
        <f>Table26[[#This Row],[Holding Time (min)]]+Table26[[#This Row],[Heating time]]</f>
        <v>30</v>
      </c>
      <c r="AW240" s="13">
        <v>260</v>
      </c>
      <c r="AY240" t="s">
        <v>503</v>
      </c>
      <c r="AZ240" s="13">
        <v>26.8336314847942</v>
      </c>
      <c r="BA240" s="13">
        <v>22.003577817531301</v>
      </c>
      <c r="BB240" s="13">
        <v>43.649373881932</v>
      </c>
      <c r="BC240" s="13">
        <v>7.5134168157424002</v>
      </c>
      <c r="BE240" s="13" t="s">
        <v>506</v>
      </c>
      <c r="BI240" s="13">
        <v>71.91</v>
      </c>
      <c r="BJ240" s="13">
        <v>9.1</v>
      </c>
      <c r="BK240" s="13">
        <v>11.65</v>
      </c>
      <c r="BL240" s="13">
        <v>6.67</v>
      </c>
      <c r="BM240" s="13">
        <v>0.67</v>
      </c>
      <c r="BN240" s="13">
        <v>35.200000000000003</v>
      </c>
      <c r="BP240" s="13">
        <v>36.29</v>
      </c>
      <c r="BQ240" s="13">
        <v>4.3338683788121992</v>
      </c>
      <c r="CV240" s="13">
        <v>0</v>
      </c>
    </row>
    <row r="241" spans="1:100" x14ac:dyDescent="0.25">
      <c r="A241" t="s">
        <v>497</v>
      </c>
      <c r="B241" t="s">
        <v>323</v>
      </c>
      <c r="C241">
        <v>2021</v>
      </c>
      <c r="D241" t="s">
        <v>324</v>
      </c>
      <c r="E241">
        <v>1</v>
      </c>
      <c r="F241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17.899999999999999</v>
      </c>
      <c r="I241" s="13">
        <v>11.4</v>
      </c>
      <c r="J241" s="13">
        <v>6.5</v>
      </c>
      <c r="K241" s="13">
        <v>38.270000000000003</v>
      </c>
      <c r="L241" s="13">
        <v>0.19</v>
      </c>
      <c r="M241" s="13">
        <v>29.9</v>
      </c>
      <c r="N241" s="13">
        <v>25.7</v>
      </c>
      <c r="O24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86.259999999999991</v>
      </c>
      <c r="AB241" s="13">
        <v>40.04</v>
      </c>
      <c r="AC241" s="13">
        <v>4.62</v>
      </c>
      <c r="AD241" s="13">
        <v>24.02</v>
      </c>
      <c r="AE241" s="13">
        <v>5.63</v>
      </c>
      <c r="AH241" s="13">
        <v>15.84</v>
      </c>
      <c r="AI241" s="13">
        <v>0.1</v>
      </c>
      <c r="AJ241" s="13">
        <v>30</v>
      </c>
      <c r="AK241" s="13">
        <v>100</v>
      </c>
      <c r="AL241" s="13">
        <v>25</v>
      </c>
      <c r="AS241" s="13">
        <v>30</v>
      </c>
      <c r="AT241" s="13" t="e">
        <f>LN(25/Table26[[#This Row],[Temperature (C)]]/(1-SQRT((Table26[[#This Row],[Temperature (C)]]-5)/Table26[[#This Row],[Temperature (C)]])))/Table26[[#This Row],[b]]</f>
        <v>#DIV/0!</v>
      </c>
      <c r="AU241" s="13">
        <f>IF(Table26[[#This Row],[b]]&lt;&gt;"",Table26[[#This Row],[T-5]], 0)</f>
        <v>0</v>
      </c>
      <c r="AV241" s="13">
        <f>Table26[[#This Row],[Holding Time (min)]]+Table26[[#This Row],[Heating time]]</f>
        <v>30</v>
      </c>
      <c r="AW241" s="13">
        <v>280</v>
      </c>
      <c r="AY241" t="s">
        <v>503</v>
      </c>
      <c r="AZ241" s="13">
        <v>23.076923076922998</v>
      </c>
      <c r="BA241" s="13">
        <v>23.971377459749501</v>
      </c>
      <c r="BB241" s="13">
        <v>44.901610017888999</v>
      </c>
      <c r="BC241" s="13">
        <v>8.2289803220035704</v>
      </c>
      <c r="BE241" s="13" t="s">
        <v>506</v>
      </c>
      <c r="BI241" s="13">
        <v>72.650000000000006</v>
      </c>
      <c r="BJ241" s="13">
        <v>9.27</v>
      </c>
      <c r="BK241" s="13">
        <v>9.84</v>
      </c>
      <c r="BL241" s="13">
        <v>6.77</v>
      </c>
      <c r="BM241" s="13">
        <v>1.47</v>
      </c>
      <c r="BN241" s="13">
        <v>36.01</v>
      </c>
      <c r="BP241" s="13">
        <v>40.340000000000003</v>
      </c>
      <c r="BQ241" s="13">
        <v>4.7761194029850751</v>
      </c>
      <c r="CV241" s="13">
        <v>0</v>
      </c>
    </row>
    <row r="242" spans="1:100" x14ac:dyDescent="0.25">
      <c r="A242" t="s">
        <v>497</v>
      </c>
      <c r="B242" t="s">
        <v>323</v>
      </c>
      <c r="C242">
        <v>2021</v>
      </c>
      <c r="D242" t="s">
        <v>324</v>
      </c>
      <c r="E242">
        <v>1</v>
      </c>
      <c r="F242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17.899999999999999</v>
      </c>
      <c r="I242" s="13">
        <v>11.4</v>
      </c>
      <c r="J242" s="13">
        <v>6.5</v>
      </c>
      <c r="K242" s="13">
        <v>38.270000000000003</v>
      </c>
      <c r="L242" s="13">
        <v>0.19</v>
      </c>
      <c r="M242" s="13">
        <v>29.9</v>
      </c>
      <c r="N242" s="13">
        <v>25.7</v>
      </c>
      <c r="O24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86.259999999999991</v>
      </c>
      <c r="AB242" s="13">
        <v>40.04</v>
      </c>
      <c r="AC242" s="13">
        <v>4.62</v>
      </c>
      <c r="AD242" s="13">
        <v>24.02</v>
      </c>
      <c r="AE242" s="13">
        <v>5.63</v>
      </c>
      <c r="AH242" s="13">
        <v>15.84</v>
      </c>
      <c r="AI242" s="13">
        <v>0.1</v>
      </c>
      <c r="AJ242" s="13">
        <v>30</v>
      </c>
      <c r="AK242" s="13">
        <v>100</v>
      </c>
      <c r="AL242" s="13">
        <v>25</v>
      </c>
      <c r="AS242" s="13">
        <v>30</v>
      </c>
      <c r="AT242" s="13" t="e">
        <f>LN(25/Table26[[#This Row],[Temperature (C)]]/(1-SQRT((Table26[[#This Row],[Temperature (C)]]-5)/Table26[[#This Row],[Temperature (C)]])))/Table26[[#This Row],[b]]</f>
        <v>#DIV/0!</v>
      </c>
      <c r="AU242" s="13">
        <f>IF(Table26[[#This Row],[b]]&lt;&gt;"",Table26[[#This Row],[T-5]], 0)</f>
        <v>0</v>
      </c>
      <c r="AV242" s="13">
        <f>Table26[[#This Row],[Holding Time (min)]]+Table26[[#This Row],[Heating time]]</f>
        <v>30</v>
      </c>
      <c r="AW242" s="13">
        <v>300</v>
      </c>
      <c r="AY242" t="s">
        <v>503</v>
      </c>
      <c r="AZ242" s="13">
        <v>21.645796064400699</v>
      </c>
      <c r="BA242" s="13">
        <v>24.686940966010699</v>
      </c>
      <c r="BB242" s="13">
        <v>45.974955277280799</v>
      </c>
      <c r="BC242" s="13">
        <v>7.5134168157423797</v>
      </c>
      <c r="BE242" s="13" t="s">
        <v>506</v>
      </c>
      <c r="BI242" s="13">
        <v>73.37</v>
      </c>
      <c r="BJ242" s="13">
        <v>8.8800000000000008</v>
      </c>
      <c r="BK242" s="13">
        <v>8.18</v>
      </c>
      <c r="BL242" s="13">
        <v>6.45</v>
      </c>
      <c r="BM242" s="13">
        <v>3.13</v>
      </c>
      <c r="BN242" s="13">
        <v>35.99</v>
      </c>
      <c r="BP242" s="13">
        <v>41.62</v>
      </c>
      <c r="BQ242" s="13">
        <v>1.2693935119887165</v>
      </c>
      <c r="CV242" s="13">
        <v>0</v>
      </c>
    </row>
    <row r="243" spans="1:100" x14ac:dyDescent="0.25">
      <c r="A243" t="s">
        <v>497</v>
      </c>
      <c r="B243" t="s">
        <v>323</v>
      </c>
      <c r="C243">
        <v>2021</v>
      </c>
      <c r="D243" t="s">
        <v>324</v>
      </c>
      <c r="E243">
        <v>1</v>
      </c>
      <c r="F243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17.899999999999999</v>
      </c>
      <c r="I243" s="13">
        <v>11.4</v>
      </c>
      <c r="J243" s="13">
        <v>6.5</v>
      </c>
      <c r="K243" s="13">
        <v>38.270000000000003</v>
      </c>
      <c r="L243" s="13">
        <v>0.19</v>
      </c>
      <c r="M243" s="13">
        <v>29.9</v>
      </c>
      <c r="N243" s="13">
        <v>25.7</v>
      </c>
      <c r="O24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86.259999999999991</v>
      </c>
      <c r="AB243" s="13">
        <v>40.04</v>
      </c>
      <c r="AC243" s="13">
        <v>4.62</v>
      </c>
      <c r="AD243" s="13">
        <v>24.02</v>
      </c>
      <c r="AE243" s="13">
        <v>5.63</v>
      </c>
      <c r="AH243" s="13">
        <v>15.84</v>
      </c>
      <c r="AI243" s="13">
        <v>0.1</v>
      </c>
      <c r="AJ243" s="13">
        <v>30</v>
      </c>
      <c r="AK243" s="13">
        <v>100</v>
      </c>
      <c r="AL243" s="13">
        <v>25</v>
      </c>
      <c r="AS243" s="13">
        <v>30</v>
      </c>
      <c r="AT243" s="13" t="e">
        <f>LN(25/Table26[[#This Row],[Temperature (C)]]/(1-SQRT((Table26[[#This Row],[Temperature (C)]]-5)/Table26[[#This Row],[Temperature (C)]])))/Table26[[#This Row],[b]]</f>
        <v>#DIV/0!</v>
      </c>
      <c r="AU243" s="13">
        <f>IF(Table26[[#This Row],[b]]&lt;&gt;"",Table26[[#This Row],[T-5]], 0)</f>
        <v>0</v>
      </c>
      <c r="AV243" s="13">
        <f>Table26[[#This Row],[Holding Time (min)]]+Table26[[#This Row],[Heating time]]</f>
        <v>30</v>
      </c>
      <c r="AW243" s="13">
        <v>320</v>
      </c>
      <c r="AY243" t="s">
        <v>503</v>
      </c>
      <c r="AZ243" s="13">
        <v>19.499105545617098</v>
      </c>
      <c r="BA243" s="13">
        <v>26.2969588550983</v>
      </c>
      <c r="BB243" s="13">
        <v>46.511627906976699</v>
      </c>
      <c r="BC243" s="13">
        <v>7.8711985688729804</v>
      </c>
      <c r="BE243" s="13" t="s">
        <v>506</v>
      </c>
      <c r="BI243" s="13">
        <v>74.989999999999995</v>
      </c>
      <c r="BJ243" s="13">
        <v>9</v>
      </c>
      <c r="BK243" s="13">
        <v>8.74</v>
      </c>
      <c r="BL243" s="13">
        <v>6.16</v>
      </c>
      <c r="BM243" s="13">
        <v>1.1100000000000001</v>
      </c>
      <c r="BN243" s="13">
        <v>36.61</v>
      </c>
      <c r="BP243" s="13">
        <v>45.22</v>
      </c>
      <c r="BQ243" s="13">
        <v>2.5604551920341398</v>
      </c>
      <c r="CV243" s="13">
        <v>0</v>
      </c>
    </row>
    <row r="244" spans="1:100" x14ac:dyDescent="0.25">
      <c r="A244" t="s">
        <v>497</v>
      </c>
      <c r="B244" t="s">
        <v>323</v>
      </c>
      <c r="C244">
        <v>2021</v>
      </c>
      <c r="D244" t="s">
        <v>324</v>
      </c>
      <c r="E244">
        <v>1</v>
      </c>
      <c r="F244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17.899999999999999</v>
      </c>
      <c r="I244" s="13">
        <v>11.4</v>
      </c>
      <c r="J244" s="13">
        <v>6.5</v>
      </c>
      <c r="K244" s="13">
        <v>38.270000000000003</v>
      </c>
      <c r="L244" s="13">
        <v>0.19</v>
      </c>
      <c r="M244" s="13">
        <v>29.9</v>
      </c>
      <c r="N244" s="13">
        <v>25.7</v>
      </c>
      <c r="O24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86.259999999999991</v>
      </c>
      <c r="AB244" s="13">
        <v>40.04</v>
      </c>
      <c r="AC244" s="13">
        <v>4.62</v>
      </c>
      <c r="AD244" s="13">
        <v>24.02</v>
      </c>
      <c r="AE244" s="13">
        <v>5.63</v>
      </c>
      <c r="AH244" s="13">
        <v>15.84</v>
      </c>
      <c r="AI244" s="13">
        <v>0.1</v>
      </c>
      <c r="AJ244" s="13">
        <v>30</v>
      </c>
      <c r="AK244" s="13">
        <v>100</v>
      </c>
      <c r="AL244" s="13">
        <v>25</v>
      </c>
      <c r="AS244" s="13">
        <v>60</v>
      </c>
      <c r="AT244" s="13" t="e">
        <f>LN(25/Table26[[#This Row],[Temperature (C)]]/(1-SQRT((Table26[[#This Row],[Temperature (C)]]-5)/Table26[[#This Row],[Temperature (C)]])))/Table26[[#This Row],[b]]</f>
        <v>#DIV/0!</v>
      </c>
      <c r="AU244" s="13">
        <f>IF(Table26[[#This Row],[b]]&lt;&gt;"",Table26[[#This Row],[T-5]], 0)</f>
        <v>0</v>
      </c>
      <c r="AV244" s="13">
        <f>Table26[[#This Row],[Holding Time (min)]]+Table26[[#This Row],[Heating time]]</f>
        <v>60</v>
      </c>
      <c r="AW244" s="13">
        <v>260</v>
      </c>
      <c r="AY244" t="s">
        <v>503</v>
      </c>
      <c r="AZ244" s="13">
        <v>26.086956521739101</v>
      </c>
      <c r="BA244" s="13">
        <v>19.826086956521699</v>
      </c>
      <c r="BB244" s="13">
        <v>46.956521739130402</v>
      </c>
      <c r="BC244" s="13">
        <v>7.8260869565216904</v>
      </c>
      <c r="BE244" s="13" t="s">
        <v>506</v>
      </c>
      <c r="BI244" s="13">
        <v>72.44</v>
      </c>
      <c r="BJ244" s="13">
        <v>8.9600000000000009</v>
      </c>
      <c r="BK244" s="13">
        <v>11.17</v>
      </c>
      <c r="BL244" s="13">
        <v>6.63</v>
      </c>
      <c r="BM244" s="13">
        <v>0.81</v>
      </c>
      <c r="BN244" s="13">
        <v>35.26</v>
      </c>
      <c r="BP244" s="13">
        <v>32.479999999999997</v>
      </c>
      <c r="BQ244" s="13">
        <v>3.5168195718654429</v>
      </c>
      <c r="CV244" s="13">
        <v>0</v>
      </c>
    </row>
    <row r="245" spans="1:100" x14ac:dyDescent="0.25">
      <c r="A245" t="s">
        <v>497</v>
      </c>
      <c r="B245" t="s">
        <v>323</v>
      </c>
      <c r="C245">
        <v>2021</v>
      </c>
      <c r="D245" t="s">
        <v>324</v>
      </c>
      <c r="E245">
        <v>1</v>
      </c>
      <c r="F245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17.899999999999999</v>
      </c>
      <c r="I245" s="13">
        <v>11.4</v>
      </c>
      <c r="J245" s="13">
        <v>6.5</v>
      </c>
      <c r="K245" s="13">
        <v>38.270000000000003</v>
      </c>
      <c r="L245" s="13">
        <v>0.19</v>
      </c>
      <c r="M245" s="13">
        <v>29.9</v>
      </c>
      <c r="N245" s="13">
        <v>25.7</v>
      </c>
      <c r="O24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86.259999999999991</v>
      </c>
      <c r="AB245" s="13">
        <v>40.04</v>
      </c>
      <c r="AC245" s="13">
        <v>4.62</v>
      </c>
      <c r="AD245" s="13">
        <v>24.02</v>
      </c>
      <c r="AE245" s="13">
        <v>5.63</v>
      </c>
      <c r="AH245" s="13">
        <v>15.84</v>
      </c>
      <c r="AI245" s="13">
        <v>0.1</v>
      </c>
      <c r="AJ245" s="13">
        <v>30</v>
      </c>
      <c r="AK245" s="13">
        <v>100</v>
      </c>
      <c r="AL245" s="13">
        <v>25</v>
      </c>
      <c r="AS245" s="13">
        <v>60</v>
      </c>
      <c r="AT245" s="13" t="e">
        <f>LN(25/Table26[[#This Row],[Temperature (C)]]/(1-SQRT((Table26[[#This Row],[Temperature (C)]]-5)/Table26[[#This Row],[Temperature (C)]])))/Table26[[#This Row],[b]]</f>
        <v>#DIV/0!</v>
      </c>
      <c r="AU245" s="13">
        <f>IF(Table26[[#This Row],[b]]&lt;&gt;"",Table26[[#This Row],[T-5]], 0)</f>
        <v>0</v>
      </c>
      <c r="AV245" s="13">
        <f>Table26[[#This Row],[Holding Time (min)]]+Table26[[#This Row],[Heating time]]</f>
        <v>60</v>
      </c>
      <c r="AW245" s="13">
        <v>280</v>
      </c>
      <c r="AY245" t="s">
        <v>503</v>
      </c>
      <c r="AZ245" s="13">
        <v>22.260869565217298</v>
      </c>
      <c r="BA245" s="13">
        <v>26.086956521739001</v>
      </c>
      <c r="BB245" s="13">
        <v>43.826086956521699</v>
      </c>
      <c r="BC245" s="13">
        <v>8.6956521739130093</v>
      </c>
      <c r="BE245" s="13" t="s">
        <v>506</v>
      </c>
      <c r="BI245" s="13">
        <v>73.72</v>
      </c>
      <c r="BJ245" s="13">
        <v>8.84</v>
      </c>
      <c r="BK245" s="13">
        <v>10.57</v>
      </c>
      <c r="BL245" s="13">
        <v>6.43</v>
      </c>
      <c r="BM245" s="13">
        <v>0.45</v>
      </c>
      <c r="BN245" s="13">
        <v>35.630000000000003</v>
      </c>
      <c r="BP245" s="13">
        <v>43.05</v>
      </c>
      <c r="BQ245" s="13">
        <v>4.166666666666667</v>
      </c>
      <c r="CV245" s="13">
        <v>0</v>
      </c>
    </row>
    <row r="246" spans="1:100" x14ac:dyDescent="0.25">
      <c r="A246" t="s">
        <v>497</v>
      </c>
      <c r="B246" t="s">
        <v>323</v>
      </c>
      <c r="C246">
        <v>2021</v>
      </c>
      <c r="D246" t="s">
        <v>324</v>
      </c>
      <c r="E246">
        <v>1</v>
      </c>
      <c r="F246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17.899999999999999</v>
      </c>
      <c r="I246" s="13">
        <v>11.4</v>
      </c>
      <c r="J246" s="13">
        <v>6.5</v>
      </c>
      <c r="K246" s="13">
        <v>38.270000000000003</v>
      </c>
      <c r="L246" s="13">
        <v>0.19</v>
      </c>
      <c r="M246" s="13">
        <v>29.9</v>
      </c>
      <c r="N246" s="13">
        <v>25.7</v>
      </c>
      <c r="O24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86.259999999999991</v>
      </c>
      <c r="AB246" s="13">
        <v>40.04</v>
      </c>
      <c r="AC246" s="13">
        <v>4.62</v>
      </c>
      <c r="AD246" s="13">
        <v>24.02</v>
      </c>
      <c r="AE246" s="13">
        <v>5.63</v>
      </c>
      <c r="AH246" s="13">
        <v>15.84</v>
      </c>
      <c r="AI246" s="13">
        <v>0.1</v>
      </c>
      <c r="AJ246" s="13">
        <v>30</v>
      </c>
      <c r="AK246" s="13">
        <v>100</v>
      </c>
      <c r="AL246" s="13">
        <v>25</v>
      </c>
      <c r="AS246" s="13">
        <v>60</v>
      </c>
      <c r="AT246" s="13" t="e">
        <f>LN(25/Table26[[#This Row],[Temperature (C)]]/(1-SQRT((Table26[[#This Row],[Temperature (C)]]-5)/Table26[[#This Row],[Temperature (C)]])))/Table26[[#This Row],[b]]</f>
        <v>#DIV/0!</v>
      </c>
      <c r="AU246" s="13">
        <f>IF(Table26[[#This Row],[b]]&lt;&gt;"",Table26[[#This Row],[T-5]], 0)</f>
        <v>0</v>
      </c>
      <c r="AV246" s="13">
        <f>Table26[[#This Row],[Holding Time (min)]]+Table26[[#This Row],[Heating time]]</f>
        <v>60</v>
      </c>
      <c r="AW246" s="13">
        <v>300</v>
      </c>
      <c r="AY246" t="s">
        <v>503</v>
      </c>
      <c r="AZ246" s="13">
        <v>20.5217391304347</v>
      </c>
      <c r="BA246" s="13">
        <v>25.565217391304301</v>
      </c>
      <c r="BB246" s="13">
        <v>45.913043478260803</v>
      </c>
      <c r="BC246" s="13">
        <v>9.0434782608695201</v>
      </c>
      <c r="BE246" s="13" t="s">
        <v>506</v>
      </c>
      <c r="BI246" s="13">
        <v>74.400000000000006</v>
      </c>
      <c r="BJ246" s="13">
        <v>8.6300000000000008</v>
      </c>
      <c r="BK246" s="13">
        <v>7.57</v>
      </c>
      <c r="BL246" s="13">
        <v>6.37</v>
      </c>
      <c r="BM246" s="13">
        <v>3.03</v>
      </c>
      <c r="BN246" s="13">
        <v>36.090000000000003</v>
      </c>
      <c r="BP246" s="13">
        <v>42.88</v>
      </c>
      <c r="BQ246" s="13">
        <v>4.573170731707318</v>
      </c>
      <c r="CV246" s="13">
        <v>0</v>
      </c>
    </row>
    <row r="247" spans="1:100" x14ac:dyDescent="0.25">
      <c r="A247" t="s">
        <v>497</v>
      </c>
      <c r="B247" t="s">
        <v>323</v>
      </c>
      <c r="C247">
        <v>2021</v>
      </c>
      <c r="D247" t="s">
        <v>324</v>
      </c>
      <c r="E247">
        <v>1</v>
      </c>
      <c r="F24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17.899999999999999</v>
      </c>
      <c r="I247" s="13">
        <v>11.4</v>
      </c>
      <c r="J247" s="13">
        <v>6.5</v>
      </c>
      <c r="K247" s="13">
        <v>38.270000000000003</v>
      </c>
      <c r="L247" s="13">
        <v>0.19</v>
      </c>
      <c r="M247" s="13">
        <v>29.9</v>
      </c>
      <c r="N247" s="13">
        <v>25.7</v>
      </c>
      <c r="O24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86.259999999999991</v>
      </c>
      <c r="AB247" s="13">
        <v>40.04</v>
      </c>
      <c r="AC247" s="13">
        <v>4.62</v>
      </c>
      <c r="AD247" s="13">
        <v>24.02</v>
      </c>
      <c r="AE247" s="13">
        <v>5.63</v>
      </c>
      <c r="AH247" s="13">
        <v>15.84</v>
      </c>
      <c r="AI247" s="13">
        <v>0.1</v>
      </c>
      <c r="AJ247" s="13">
        <v>30</v>
      </c>
      <c r="AK247" s="13">
        <v>100</v>
      </c>
      <c r="AL247" s="13">
        <v>25</v>
      </c>
      <c r="AS247" s="13">
        <v>60</v>
      </c>
      <c r="AT247" s="13" t="e">
        <f>LN(25/Table26[[#This Row],[Temperature (C)]]/(1-SQRT((Table26[[#This Row],[Temperature (C)]]-5)/Table26[[#This Row],[Temperature (C)]])))/Table26[[#This Row],[b]]</f>
        <v>#DIV/0!</v>
      </c>
      <c r="AU247" s="13">
        <f>IF(Table26[[#This Row],[b]]&lt;&gt;"",Table26[[#This Row],[T-5]], 0)</f>
        <v>0</v>
      </c>
      <c r="AV247" s="13">
        <f>Table26[[#This Row],[Holding Time (min)]]+Table26[[#This Row],[Heating time]]</f>
        <v>60</v>
      </c>
      <c r="AW247" s="13">
        <v>320</v>
      </c>
      <c r="AY247" t="s">
        <v>503</v>
      </c>
      <c r="AZ247" s="13">
        <v>21.739130434782499</v>
      </c>
      <c r="BA247" s="13">
        <v>26.260869565217298</v>
      </c>
      <c r="BB247" s="13">
        <v>43.999999999999901</v>
      </c>
      <c r="BC247" s="13">
        <v>9.0434782608695503</v>
      </c>
      <c r="BE247" s="13" t="s">
        <v>506</v>
      </c>
      <c r="BI247" s="13">
        <v>75.569999999999993</v>
      </c>
      <c r="BJ247" s="13">
        <v>8.85</v>
      </c>
      <c r="BK247" s="13">
        <v>8.58</v>
      </c>
      <c r="BL247" s="13">
        <v>5.94</v>
      </c>
      <c r="BM247" s="13">
        <v>1.07</v>
      </c>
      <c r="BN247" s="13">
        <v>36.619999999999997</v>
      </c>
      <c r="BP247" s="13">
        <v>44.98</v>
      </c>
      <c r="BQ247" s="13">
        <v>1.5151515151515154</v>
      </c>
      <c r="CV247" s="13">
        <v>0</v>
      </c>
    </row>
    <row r="248" spans="1:100" x14ac:dyDescent="0.25">
      <c r="A248" t="s">
        <v>497</v>
      </c>
      <c r="B248" t="s">
        <v>323</v>
      </c>
      <c r="C248">
        <v>2021</v>
      </c>
      <c r="D248" t="s">
        <v>324</v>
      </c>
      <c r="E248">
        <v>1</v>
      </c>
      <c r="F248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17.899999999999999</v>
      </c>
      <c r="I248" s="13">
        <v>11.4</v>
      </c>
      <c r="J248" s="13">
        <v>6.5</v>
      </c>
      <c r="K248" s="13">
        <v>38.270000000000003</v>
      </c>
      <c r="L248" s="13">
        <v>0.19</v>
      </c>
      <c r="M248" s="13">
        <v>29.9</v>
      </c>
      <c r="N248" s="13">
        <v>25.7</v>
      </c>
      <c r="O24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86.259999999999991</v>
      </c>
      <c r="AB248" s="13">
        <v>40.04</v>
      </c>
      <c r="AC248" s="13">
        <v>4.62</v>
      </c>
      <c r="AD248" s="13">
        <v>24.02</v>
      </c>
      <c r="AE248" s="13">
        <v>5.63</v>
      </c>
      <c r="AH248" s="13">
        <v>15.84</v>
      </c>
      <c r="AI248" s="13">
        <v>0.1</v>
      </c>
      <c r="AJ248" s="13">
        <v>30</v>
      </c>
      <c r="AK248" s="13">
        <v>100</v>
      </c>
      <c r="AL248" s="13">
        <v>25</v>
      </c>
      <c r="AS248" s="13">
        <v>90</v>
      </c>
      <c r="AT248" s="13" t="e">
        <f>LN(25/Table26[[#This Row],[Temperature (C)]]/(1-SQRT((Table26[[#This Row],[Temperature (C)]]-5)/Table26[[#This Row],[Temperature (C)]])))/Table26[[#This Row],[b]]</f>
        <v>#DIV/0!</v>
      </c>
      <c r="AU248" s="13">
        <f>IF(Table26[[#This Row],[b]]&lt;&gt;"",Table26[[#This Row],[T-5]], 0)</f>
        <v>0</v>
      </c>
      <c r="AV248" s="13">
        <f>Table26[[#This Row],[Holding Time (min)]]+Table26[[#This Row],[Heating time]]</f>
        <v>90</v>
      </c>
      <c r="AW248" s="13">
        <v>260</v>
      </c>
      <c r="AY248" t="s">
        <v>503</v>
      </c>
      <c r="AZ248" s="13">
        <v>23.9510489510489</v>
      </c>
      <c r="BA248" s="13">
        <v>21.5034965034964</v>
      </c>
      <c r="BB248" s="13">
        <v>46.328671328671298</v>
      </c>
      <c r="BC248" s="13">
        <v>7.8671328671328702</v>
      </c>
      <c r="BE248" s="13" t="s">
        <v>506</v>
      </c>
      <c r="BI248" s="13">
        <v>72.959999999999994</v>
      </c>
      <c r="BJ248" s="13">
        <v>9.16</v>
      </c>
      <c r="BK248" s="13">
        <v>10.49</v>
      </c>
      <c r="BL248" s="13">
        <v>6.5</v>
      </c>
      <c r="BM248" s="13">
        <v>0.9</v>
      </c>
      <c r="BN248" s="13">
        <v>35.840000000000003</v>
      </c>
      <c r="BP248" s="13">
        <v>36.5</v>
      </c>
      <c r="BQ248" s="13">
        <v>2.5936599423631121</v>
      </c>
      <c r="CV248" s="13">
        <v>0</v>
      </c>
    </row>
    <row r="249" spans="1:100" x14ac:dyDescent="0.25">
      <c r="A249" t="s">
        <v>497</v>
      </c>
      <c r="B249" t="s">
        <v>323</v>
      </c>
      <c r="C249">
        <v>2021</v>
      </c>
      <c r="D249" t="s">
        <v>324</v>
      </c>
      <c r="E249">
        <v>1</v>
      </c>
      <c r="F249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17.899999999999999</v>
      </c>
      <c r="I249" s="13">
        <v>11.4</v>
      </c>
      <c r="J249" s="13">
        <v>6.5</v>
      </c>
      <c r="K249" s="13">
        <v>38.270000000000003</v>
      </c>
      <c r="L249" s="13">
        <v>0.19</v>
      </c>
      <c r="M249" s="13">
        <v>29.9</v>
      </c>
      <c r="N249" s="13">
        <v>25.7</v>
      </c>
      <c r="O24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86.259999999999991</v>
      </c>
      <c r="AB249" s="13">
        <v>40.04</v>
      </c>
      <c r="AC249" s="13">
        <v>4.62</v>
      </c>
      <c r="AD249" s="13">
        <v>24.02</v>
      </c>
      <c r="AE249" s="13">
        <v>5.63</v>
      </c>
      <c r="AH249" s="13">
        <v>15.84</v>
      </c>
      <c r="AI249" s="13">
        <v>0.1</v>
      </c>
      <c r="AJ249" s="13">
        <v>30</v>
      </c>
      <c r="AK249" s="13">
        <v>100</v>
      </c>
      <c r="AL249" s="13">
        <v>25</v>
      </c>
      <c r="AS249" s="13">
        <v>90</v>
      </c>
      <c r="AT249" s="13" t="e">
        <f>LN(25/Table26[[#This Row],[Temperature (C)]]/(1-SQRT((Table26[[#This Row],[Temperature (C)]]-5)/Table26[[#This Row],[Temperature (C)]])))/Table26[[#This Row],[b]]</f>
        <v>#DIV/0!</v>
      </c>
      <c r="AU249" s="13">
        <f>IF(Table26[[#This Row],[b]]&lt;&gt;"",Table26[[#This Row],[T-5]], 0)</f>
        <v>0</v>
      </c>
      <c r="AV249" s="13">
        <f>Table26[[#This Row],[Holding Time (min)]]+Table26[[#This Row],[Heating time]]</f>
        <v>90</v>
      </c>
      <c r="AW249" s="13">
        <v>280</v>
      </c>
      <c r="AY249" t="s">
        <v>503</v>
      </c>
      <c r="AZ249" s="13">
        <v>21.8531468531468</v>
      </c>
      <c r="BA249" s="13">
        <v>23.9510489510489</v>
      </c>
      <c r="BB249" s="13">
        <v>46.153846153846096</v>
      </c>
      <c r="BC249" s="13">
        <v>7.6923076923076996</v>
      </c>
      <c r="BE249" s="13" t="s">
        <v>506</v>
      </c>
      <c r="BI249" s="13">
        <v>73.510000000000005</v>
      </c>
      <c r="BJ249" s="13">
        <v>8.94</v>
      </c>
      <c r="BK249" s="13">
        <v>10.55</v>
      </c>
      <c r="BL249" s="13">
        <v>6.58</v>
      </c>
      <c r="BM249" s="13">
        <v>0.42</v>
      </c>
      <c r="BN249" s="13">
        <v>35.71</v>
      </c>
      <c r="BP249" s="13">
        <v>40.35</v>
      </c>
      <c r="BQ249" s="13">
        <v>3.7735849056603774</v>
      </c>
      <c r="CV249" s="13">
        <v>0</v>
      </c>
    </row>
    <row r="250" spans="1:100" x14ac:dyDescent="0.25">
      <c r="A250" t="s">
        <v>497</v>
      </c>
      <c r="B250" t="s">
        <v>323</v>
      </c>
      <c r="C250">
        <v>2021</v>
      </c>
      <c r="D250" t="s">
        <v>324</v>
      </c>
      <c r="E250">
        <v>1</v>
      </c>
      <c r="F250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17.899999999999999</v>
      </c>
      <c r="I250" s="13">
        <v>11.4</v>
      </c>
      <c r="J250" s="13">
        <v>6.5</v>
      </c>
      <c r="K250" s="13">
        <v>38.270000000000003</v>
      </c>
      <c r="L250" s="13">
        <v>0.19</v>
      </c>
      <c r="M250" s="13">
        <v>29.9</v>
      </c>
      <c r="N250" s="13">
        <v>25.7</v>
      </c>
      <c r="O25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86.259999999999991</v>
      </c>
      <c r="AB250" s="13">
        <v>40.04</v>
      </c>
      <c r="AC250" s="13">
        <v>4.62</v>
      </c>
      <c r="AD250" s="13">
        <v>24.02</v>
      </c>
      <c r="AE250" s="13">
        <v>5.63</v>
      </c>
      <c r="AH250" s="13">
        <v>15.84</v>
      </c>
      <c r="AI250" s="13">
        <v>0.1</v>
      </c>
      <c r="AJ250" s="13">
        <v>30</v>
      </c>
      <c r="AK250" s="13">
        <v>100</v>
      </c>
      <c r="AL250" s="13">
        <v>25</v>
      </c>
      <c r="AS250" s="13">
        <v>90</v>
      </c>
      <c r="AT250" s="13" t="e">
        <f>LN(25/Table26[[#This Row],[Temperature (C)]]/(1-SQRT((Table26[[#This Row],[Temperature (C)]]-5)/Table26[[#This Row],[Temperature (C)]])))/Table26[[#This Row],[b]]</f>
        <v>#DIV/0!</v>
      </c>
      <c r="AU250" s="13">
        <f>IF(Table26[[#This Row],[b]]&lt;&gt;"",Table26[[#This Row],[T-5]], 0)</f>
        <v>0</v>
      </c>
      <c r="AV250" s="13">
        <f>Table26[[#This Row],[Holding Time (min)]]+Table26[[#This Row],[Heating time]]</f>
        <v>90</v>
      </c>
      <c r="AW250" s="13">
        <v>300</v>
      </c>
      <c r="AY250" t="s">
        <v>503</v>
      </c>
      <c r="AZ250" s="13">
        <v>22.027972027972002</v>
      </c>
      <c r="BA250" s="13">
        <v>24.825174825174798</v>
      </c>
      <c r="BB250" s="13">
        <v>43.881118881118802</v>
      </c>
      <c r="BC250" s="13">
        <v>9.2657342657342507</v>
      </c>
      <c r="BE250" s="13" t="s">
        <v>506</v>
      </c>
      <c r="BI250" s="13">
        <v>74.819999999999993</v>
      </c>
      <c r="BJ250" s="13">
        <v>9.17</v>
      </c>
      <c r="BK250" s="13">
        <v>9.69</v>
      </c>
      <c r="BL250" s="13">
        <v>6.02</v>
      </c>
      <c r="BM250" s="13">
        <v>0.31</v>
      </c>
      <c r="BN250" s="13">
        <v>36.619999999999997</v>
      </c>
      <c r="BP250" s="13">
        <v>42.95</v>
      </c>
      <c r="BQ250" s="13">
        <v>4.4140030441400304</v>
      </c>
      <c r="CV250" s="13">
        <v>0</v>
      </c>
    </row>
    <row r="251" spans="1:100" x14ac:dyDescent="0.25">
      <c r="A251" t="s">
        <v>497</v>
      </c>
      <c r="B251" t="s">
        <v>323</v>
      </c>
      <c r="C251">
        <v>2021</v>
      </c>
      <c r="D251" t="s">
        <v>324</v>
      </c>
      <c r="E251">
        <v>1</v>
      </c>
      <c r="F251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17.899999999999999</v>
      </c>
      <c r="I251" s="13">
        <v>11.4</v>
      </c>
      <c r="J251" s="13">
        <v>6.5</v>
      </c>
      <c r="K251" s="13">
        <v>38.270000000000003</v>
      </c>
      <c r="L251" s="13">
        <v>0.19</v>
      </c>
      <c r="M251" s="13">
        <v>29.9</v>
      </c>
      <c r="N251" s="13">
        <v>25.7</v>
      </c>
      <c r="O25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86.259999999999991</v>
      </c>
      <c r="AB251" s="13">
        <v>40.04</v>
      </c>
      <c r="AC251" s="13">
        <v>4.62</v>
      </c>
      <c r="AD251" s="13">
        <v>24.02</v>
      </c>
      <c r="AE251" s="13">
        <v>5.63</v>
      </c>
      <c r="AH251" s="13">
        <v>15.84</v>
      </c>
      <c r="AI251" s="13">
        <v>0.1</v>
      </c>
      <c r="AJ251" s="13">
        <v>30</v>
      </c>
      <c r="AK251" s="13">
        <v>100</v>
      </c>
      <c r="AL251" s="13">
        <v>25</v>
      </c>
      <c r="AS251" s="13">
        <v>90</v>
      </c>
      <c r="AT251" s="13" t="e">
        <f>LN(25/Table26[[#This Row],[Temperature (C)]]/(1-SQRT((Table26[[#This Row],[Temperature (C)]]-5)/Table26[[#This Row],[Temperature (C)]])))/Table26[[#This Row],[b]]</f>
        <v>#DIV/0!</v>
      </c>
      <c r="AU251" s="13">
        <f>IF(Table26[[#This Row],[b]]&lt;&gt;"",Table26[[#This Row],[T-5]], 0)</f>
        <v>0</v>
      </c>
      <c r="AV251" s="13">
        <f>Table26[[#This Row],[Holding Time (min)]]+Table26[[#This Row],[Heating time]]</f>
        <v>90</v>
      </c>
      <c r="AW251" s="13">
        <v>320</v>
      </c>
      <c r="AY251" t="s">
        <v>503</v>
      </c>
      <c r="AZ251" s="13">
        <v>20.1048951048951</v>
      </c>
      <c r="BA251" s="13">
        <v>24.3006993006993</v>
      </c>
      <c r="BB251" s="13">
        <v>47.2027972027972</v>
      </c>
      <c r="BC251" s="13">
        <v>8.0419580419580203</v>
      </c>
      <c r="BE251" s="13" t="s">
        <v>506</v>
      </c>
      <c r="BI251" s="13">
        <v>75.45</v>
      </c>
      <c r="BJ251" s="13">
        <v>9.06</v>
      </c>
      <c r="BK251" s="13">
        <v>9.2100000000000009</v>
      </c>
      <c r="BL251" s="13">
        <v>5.75</v>
      </c>
      <c r="BM251" s="13">
        <v>0.54</v>
      </c>
      <c r="BN251" s="13">
        <v>36.76</v>
      </c>
      <c r="BP251" s="13">
        <v>41.91</v>
      </c>
      <c r="BQ251" s="13">
        <v>4.5261669024045261</v>
      </c>
      <c r="CV251" s="13">
        <v>0</v>
      </c>
    </row>
    <row r="252" spans="1:100" x14ac:dyDescent="0.25">
      <c r="A252" t="s">
        <v>326</v>
      </c>
      <c r="B252" t="s">
        <v>252</v>
      </c>
      <c r="C252">
        <v>2021</v>
      </c>
      <c r="D252" t="s">
        <v>325</v>
      </c>
      <c r="E252">
        <v>1</v>
      </c>
      <c r="F252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252" s="13">
        <v>3.17</v>
      </c>
      <c r="O252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252" s="13">
        <v>3.12</v>
      </c>
      <c r="S252" s="13">
        <v>13.28</v>
      </c>
      <c r="T252" s="13">
        <v>80.44</v>
      </c>
      <c r="AB252" s="13">
        <v>45.69</v>
      </c>
      <c r="AC252" s="13">
        <v>5.31</v>
      </c>
      <c r="AD252" s="13">
        <v>47.96</v>
      </c>
      <c r="AE252" s="13">
        <v>0.49</v>
      </c>
      <c r="AF252" s="13">
        <v>0.55000000000000004</v>
      </c>
      <c r="AH252" s="13">
        <v>17.34</v>
      </c>
      <c r="AI252" s="13">
        <v>0.01</v>
      </c>
      <c r="AJ252" s="13">
        <v>0.6</v>
      </c>
      <c r="AK252" s="13">
        <v>6</v>
      </c>
      <c r="AL252" s="13">
        <f>Table26[[#This Row],[Solids (g)]]/(Table26[[#This Row],[Solids (g)]]+Table26[[#This Row],[Water mL]])*100</f>
        <v>9.0909090909090917</v>
      </c>
      <c r="AS252" s="13">
        <v>16</v>
      </c>
      <c r="AT252" s="13" t="e">
        <f>LN(25/Table26[[#This Row],[Temperature (C)]]/(1-SQRT((Table26[[#This Row],[Temperature (C)]]-5)/Table26[[#This Row],[Temperature (C)]])))/Table26[[#This Row],[b]]</f>
        <v>#DIV/0!</v>
      </c>
      <c r="AU252" s="13">
        <f>IF(Table26[[#This Row],[b]]&lt;&gt;"",Table26[[#This Row],[T-5]], 0)</f>
        <v>0</v>
      </c>
      <c r="AV252" s="13">
        <f>Table26[[#This Row],[Holding Time (min)]]+Table26[[#This Row],[Heating time]]</f>
        <v>16</v>
      </c>
      <c r="AW252" s="13">
        <v>400</v>
      </c>
      <c r="AY252" t="s">
        <v>503</v>
      </c>
      <c r="AZ252" s="13">
        <v>11.862745098039101</v>
      </c>
      <c r="BA252" s="13">
        <v>21.568627450980301</v>
      </c>
      <c r="BB252" s="13">
        <v>16.764705882352899</v>
      </c>
      <c r="BC252" s="13">
        <v>50.0980392156862</v>
      </c>
      <c r="BE252" s="13" t="s">
        <v>506</v>
      </c>
      <c r="BQ252" s="13">
        <v>1.272984441301273</v>
      </c>
      <c r="CV252" s="13">
        <v>0</v>
      </c>
    </row>
    <row r="253" spans="1:100" x14ac:dyDescent="0.25">
      <c r="A253" t="s">
        <v>326</v>
      </c>
      <c r="B253" t="s">
        <v>252</v>
      </c>
      <c r="C253">
        <v>2021</v>
      </c>
      <c r="D253" t="s">
        <v>329</v>
      </c>
      <c r="E253">
        <v>1</v>
      </c>
      <c r="F253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253" s="13">
        <f>2/3*N252+1/3*N256</f>
        <v>5.4599999999999991</v>
      </c>
      <c r="O253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253" s="13">
        <f>2/3*R252+1/3*R256</f>
        <v>2.62</v>
      </c>
      <c r="S253" s="13">
        <f>2/3*S252+1/3*S256</f>
        <v>14.213333333333331</v>
      </c>
      <c r="T253" s="13">
        <f>2/3*T252+1/3*T256</f>
        <v>77.713333333333338</v>
      </c>
      <c r="AB253" s="13">
        <f>2/3*AB252+1/3*AB256</f>
        <v>45.11333333333333</v>
      </c>
      <c r="AC253" s="13">
        <f>2/3*AC252+1/3*AC256</f>
        <v>5.1333333333333329</v>
      </c>
      <c r="AD253" s="13">
        <f>2/3*AD252+1/3*AD256</f>
        <v>48.29</v>
      </c>
      <c r="AE253" s="13">
        <f>2/3*AE252+1/3*AE256</f>
        <v>0.75</v>
      </c>
      <c r="AF253" s="13">
        <f>2/3*AF252+1/3*AF256</f>
        <v>0.71333333333333337</v>
      </c>
      <c r="AH253" s="13">
        <f>2/3*AH252+1/3*AH256</f>
        <v>16.813333333333333</v>
      </c>
      <c r="AI253" s="13">
        <v>0.01</v>
      </c>
      <c r="AJ253" s="13">
        <v>0.6</v>
      </c>
      <c r="AK253" s="13">
        <v>6</v>
      </c>
      <c r="AL253" s="13">
        <f>Table26[[#This Row],[Solids (g)]]/(Table26[[#This Row],[Solids (g)]]+Table26[[#This Row],[Water mL]])*100</f>
        <v>9.0909090909090917</v>
      </c>
      <c r="AS253" s="13">
        <v>16</v>
      </c>
      <c r="AT253" s="13" t="e">
        <f>LN(25/Table26[[#This Row],[Temperature (C)]]/(1-SQRT((Table26[[#This Row],[Temperature (C)]]-5)/Table26[[#This Row],[Temperature (C)]])))/Table26[[#This Row],[b]]</f>
        <v>#DIV/0!</v>
      </c>
      <c r="AU253" s="13">
        <f>IF(Table26[[#This Row],[b]]&lt;&gt;"",Table26[[#This Row],[T-5]], 0)</f>
        <v>0</v>
      </c>
      <c r="AV253" s="13">
        <f>Table26[[#This Row],[Holding Time (min)]]+Table26[[#This Row],[Heating time]]</f>
        <v>16</v>
      </c>
      <c r="AW253" s="13">
        <v>400</v>
      </c>
      <c r="AY253" t="s">
        <v>503</v>
      </c>
      <c r="AZ253" s="13">
        <v>12.843137254901899</v>
      </c>
      <c r="BA253" s="13">
        <v>24.117647058823501</v>
      </c>
      <c r="BB253" s="13">
        <v>18.235294117647001</v>
      </c>
      <c r="BC253" s="13">
        <v>45.196078431372499</v>
      </c>
      <c r="BE253" s="13" t="s">
        <v>506</v>
      </c>
      <c r="BQ253" s="13">
        <v>2.1398002853067051</v>
      </c>
      <c r="CV253" s="13">
        <v>0</v>
      </c>
    </row>
    <row r="254" spans="1:100" x14ac:dyDescent="0.25">
      <c r="A254" t="s">
        <v>326</v>
      </c>
      <c r="B254" t="s">
        <v>252</v>
      </c>
      <c r="C254">
        <v>2021</v>
      </c>
      <c r="D254" t="s">
        <v>328</v>
      </c>
      <c r="E254">
        <v>1</v>
      </c>
      <c r="F254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254" s="13">
        <f>1/2*N252+1/2*N256</f>
        <v>6.6049999999999995</v>
      </c>
      <c r="O254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254" s="13">
        <f>1/2*R252+1/2*R256</f>
        <v>2.37</v>
      </c>
      <c r="S254" s="13">
        <f>1/2*S252+1/2*S256</f>
        <v>14.68</v>
      </c>
      <c r="T254" s="13">
        <f>1/2*T252+1/2*T256</f>
        <v>76.349999999999994</v>
      </c>
      <c r="AB254" s="13">
        <f>1/2*AB252+1/2*AB256</f>
        <v>44.825000000000003</v>
      </c>
      <c r="AC254" s="13">
        <f>1/2*AC252+1/2*AC256</f>
        <v>5.0449999999999999</v>
      </c>
      <c r="AD254" s="13">
        <f>1/2*AD252+1/2*AD256</f>
        <v>48.454999999999998</v>
      </c>
      <c r="AE254" s="13">
        <f>1/2*AE252+1/2*AE256</f>
        <v>0.88</v>
      </c>
      <c r="AF254" s="13">
        <f>1/2*AF252+1/2*AF256</f>
        <v>0.79500000000000004</v>
      </c>
      <c r="AH254" s="13">
        <f>1/2*AH252+1/2*AH256</f>
        <v>16.55</v>
      </c>
      <c r="AI254" s="13">
        <v>0.01</v>
      </c>
      <c r="AJ254" s="13">
        <v>0.6</v>
      </c>
      <c r="AK254" s="13">
        <v>6</v>
      </c>
      <c r="AL254" s="13">
        <f>Table26[[#This Row],[Solids (g)]]/(Table26[[#This Row],[Solids (g)]]+Table26[[#This Row],[Water mL]])*100</f>
        <v>9.0909090909090917</v>
      </c>
      <c r="AS254" s="13">
        <v>16</v>
      </c>
      <c r="AT254" s="13" t="e">
        <f>LN(25/Table26[[#This Row],[Temperature (C)]]/(1-SQRT((Table26[[#This Row],[Temperature (C)]]-5)/Table26[[#This Row],[Temperature (C)]])))/Table26[[#This Row],[b]]</f>
        <v>#DIV/0!</v>
      </c>
      <c r="AU254" s="13">
        <f>IF(Table26[[#This Row],[b]]&lt;&gt;"",Table26[[#This Row],[T-5]], 0)</f>
        <v>0</v>
      </c>
      <c r="AV254" s="13">
        <f>Table26[[#This Row],[Holding Time (min)]]+Table26[[#This Row],[Heating time]]</f>
        <v>16</v>
      </c>
      <c r="AW254" s="13">
        <v>400</v>
      </c>
      <c r="AY254" t="s">
        <v>503</v>
      </c>
      <c r="AZ254" s="13">
        <v>11.862745098039101</v>
      </c>
      <c r="BA254" s="13">
        <v>24.705882352941099</v>
      </c>
      <c r="BB254" s="13">
        <v>16.372549019607799</v>
      </c>
      <c r="BC254" s="13">
        <v>47.254901960784302</v>
      </c>
      <c r="BE254" s="13" t="s">
        <v>506</v>
      </c>
      <c r="BQ254" s="13">
        <v>3.1518624641833819</v>
      </c>
      <c r="CV254" s="13">
        <v>0</v>
      </c>
    </row>
    <row r="255" spans="1:100" x14ac:dyDescent="0.25">
      <c r="A255" t="s">
        <v>326</v>
      </c>
      <c r="B255" t="s">
        <v>252</v>
      </c>
      <c r="C255">
        <v>2021</v>
      </c>
      <c r="D255" t="s">
        <v>330</v>
      </c>
      <c r="E255">
        <v>1</v>
      </c>
      <c r="F255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255" s="13">
        <f>1/3*N252+2/3*N256</f>
        <v>7.7499999999999991</v>
      </c>
      <c r="O255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255" s="13">
        <f>1/3*R252+2/3*R256</f>
        <v>2.12</v>
      </c>
      <c r="S255" s="13">
        <f>1/3*S252+2/3*S256</f>
        <v>15.146666666666665</v>
      </c>
      <c r="T255" s="13">
        <f>1/3*T252+2/3*T256</f>
        <v>74.986666666666665</v>
      </c>
      <c r="AB255" s="13">
        <f>1/3*AB252+2/3*AB256</f>
        <v>44.536666666666662</v>
      </c>
      <c r="AC255" s="13">
        <f>1/3*AC252+2/3*AC256</f>
        <v>4.9566666666666661</v>
      </c>
      <c r="AD255" s="13">
        <f>1/3*AD252+2/3*AD256</f>
        <v>48.62</v>
      </c>
      <c r="AE255" s="13">
        <f>1/3*AE252+2/3*AE256</f>
        <v>1.01</v>
      </c>
      <c r="AF255" s="13">
        <f>1/3*AF252+2/3*AF256</f>
        <v>0.87666666666666671</v>
      </c>
      <c r="AH255" s="13">
        <f>1/3*AH252+2/3*AH256</f>
        <v>16.286666666666665</v>
      </c>
      <c r="AI255" s="13">
        <v>0.01</v>
      </c>
      <c r="AJ255" s="13">
        <v>0.6</v>
      </c>
      <c r="AK255" s="13">
        <v>6</v>
      </c>
      <c r="AL255" s="13">
        <f>Table26[[#This Row],[Solids (g)]]/(Table26[[#This Row],[Solids (g)]]+Table26[[#This Row],[Water mL]])*100</f>
        <v>9.0909090909090917</v>
      </c>
      <c r="AS255" s="13">
        <v>16</v>
      </c>
      <c r="AT255" s="13" t="e">
        <f>LN(25/Table26[[#This Row],[Temperature (C)]]/(1-SQRT((Table26[[#This Row],[Temperature (C)]]-5)/Table26[[#This Row],[Temperature (C)]])))/Table26[[#This Row],[b]]</f>
        <v>#DIV/0!</v>
      </c>
      <c r="AU255" s="13">
        <f>IF(Table26[[#This Row],[b]]&lt;&gt;"",Table26[[#This Row],[T-5]], 0)</f>
        <v>0</v>
      </c>
      <c r="AV255" s="13">
        <f>Table26[[#This Row],[Holding Time (min)]]+Table26[[#This Row],[Heating time]]</f>
        <v>16</v>
      </c>
      <c r="AW255" s="13">
        <v>400</v>
      </c>
      <c r="AY255" t="s">
        <v>503</v>
      </c>
      <c r="AZ255" s="13">
        <v>15.4901960784313</v>
      </c>
      <c r="BA255" s="13">
        <v>21.960784313725402</v>
      </c>
      <c r="BB255" s="13">
        <v>19.411764705882302</v>
      </c>
      <c r="BC255" s="13">
        <v>43.431372549019599</v>
      </c>
      <c r="BE255" s="13" t="s">
        <v>506</v>
      </c>
      <c r="BQ255" s="13">
        <v>3.7292817679558015</v>
      </c>
      <c r="CV255" s="13">
        <v>0</v>
      </c>
    </row>
    <row r="256" spans="1:100" x14ac:dyDescent="0.25">
      <c r="A256" s="1" t="s">
        <v>326</v>
      </c>
      <c r="B256" t="s">
        <v>252</v>
      </c>
      <c r="C256">
        <v>2021</v>
      </c>
      <c r="D256" t="s">
        <v>327</v>
      </c>
      <c r="E256">
        <v>1</v>
      </c>
      <c r="F256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256" s="13">
        <v>10.039999999999999</v>
      </c>
      <c r="O256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256" s="13">
        <v>1.62</v>
      </c>
      <c r="S256" s="13">
        <v>16.079999999999998</v>
      </c>
      <c r="T256" s="13">
        <v>72.260000000000005</v>
      </c>
      <c r="AB256" s="13">
        <v>43.96</v>
      </c>
      <c r="AC256" s="13">
        <v>4.78</v>
      </c>
      <c r="AD256" s="13">
        <v>48.95</v>
      </c>
      <c r="AE256" s="13">
        <v>1.27</v>
      </c>
      <c r="AF256" s="13">
        <v>1.04</v>
      </c>
      <c r="AH256" s="13">
        <v>15.76</v>
      </c>
      <c r="AI256" s="13">
        <v>0.01</v>
      </c>
      <c r="AJ256" s="13">
        <v>0.6</v>
      </c>
      <c r="AK256" s="13">
        <v>6</v>
      </c>
      <c r="AL256" s="13">
        <f>Table26[[#This Row],[Solids (g)]]/(Table26[[#This Row],[Solids (g)]]+Table26[[#This Row],[Water mL]])*100</f>
        <v>9.0909090909090917</v>
      </c>
      <c r="AS256" s="13">
        <v>16</v>
      </c>
      <c r="AT256" s="13" t="e">
        <f>LN(25/Table26[[#This Row],[Temperature (C)]]/(1-SQRT((Table26[[#This Row],[Temperature (C)]]-5)/Table26[[#This Row],[Temperature (C)]])))/Table26[[#This Row],[b]]</f>
        <v>#DIV/0!</v>
      </c>
      <c r="AU256" s="13">
        <f>IF(Table26[[#This Row],[b]]&lt;&gt;"",Table26[[#This Row],[T-5]], 0)</f>
        <v>0</v>
      </c>
      <c r="AV256" s="13">
        <f>Table26[[#This Row],[Holding Time (min)]]+Table26[[#This Row],[Heating time]]</f>
        <v>16</v>
      </c>
      <c r="AW256" s="13">
        <v>400</v>
      </c>
      <c r="AY256" t="s">
        <v>503</v>
      </c>
      <c r="AZ256" s="13">
        <v>19.313725490195999</v>
      </c>
      <c r="BA256" s="13">
        <v>21.372549019607799</v>
      </c>
      <c r="BB256" s="13">
        <v>20.8823529411764</v>
      </c>
      <c r="BC256" s="13">
        <v>38.627450980392098</v>
      </c>
      <c r="BE256" s="13" t="s">
        <v>506</v>
      </c>
      <c r="BQ256" s="13">
        <v>3.9617486338797812</v>
      </c>
      <c r="CV256" s="13">
        <v>0</v>
      </c>
    </row>
    <row r="257" spans="1:100" x14ac:dyDescent="0.25">
      <c r="A257" t="s">
        <v>326</v>
      </c>
      <c r="B257" t="s">
        <v>252</v>
      </c>
      <c r="C257">
        <v>2021</v>
      </c>
      <c r="D257" t="s">
        <v>328</v>
      </c>
      <c r="E257">
        <v>1</v>
      </c>
      <c r="F257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257" s="13">
        <v>6.6049999999999995</v>
      </c>
      <c r="O257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257" s="13">
        <v>2.37</v>
      </c>
      <c r="S257" s="13">
        <v>14.68</v>
      </c>
      <c r="T257" s="13">
        <v>76.349999999999994</v>
      </c>
      <c r="AB257" s="13">
        <v>44.825000000000003</v>
      </c>
      <c r="AC257" s="13">
        <v>5.0449999999999999</v>
      </c>
      <c r="AD257" s="13">
        <v>48.454999999999998</v>
      </c>
      <c r="AE257" s="13">
        <v>0.88</v>
      </c>
      <c r="AF257" s="13">
        <v>0.79500000000000004</v>
      </c>
      <c r="AH257" s="13">
        <v>16.55</v>
      </c>
      <c r="AI257" s="13">
        <v>0.01</v>
      </c>
      <c r="AJ257" s="13">
        <v>0.6</v>
      </c>
      <c r="AK257" s="13">
        <v>6</v>
      </c>
      <c r="AL257" s="13">
        <f>Table26[[#This Row],[Solids (g)]]/(Table26[[#This Row],[Solids (g)]]+Table26[[#This Row],[Water mL]])*100</f>
        <v>9.0909090909090917</v>
      </c>
      <c r="AS257" s="13">
        <v>12</v>
      </c>
      <c r="AT257" s="13" t="e">
        <f>LN(25/Table26[[#This Row],[Temperature (C)]]/(1-SQRT((Table26[[#This Row],[Temperature (C)]]-5)/Table26[[#This Row],[Temperature (C)]])))/Table26[[#This Row],[b]]</f>
        <v>#DIV/0!</v>
      </c>
      <c r="AU257" s="13">
        <f>IF(Table26[[#This Row],[b]]&lt;&gt;"",Table26[[#This Row],[T-5]], 0)</f>
        <v>0</v>
      </c>
      <c r="AV257" s="13">
        <f>Table26[[#This Row],[Holding Time (min)]]+Table26[[#This Row],[Heating time]]</f>
        <v>12</v>
      </c>
      <c r="AW257" s="13">
        <v>400</v>
      </c>
      <c r="AY257" t="s">
        <v>503</v>
      </c>
      <c r="AZ257" s="13">
        <v>38.940397350993301</v>
      </c>
      <c r="BA257" s="13">
        <v>7.6490066225165503</v>
      </c>
      <c r="BB257" s="13">
        <v>21.854304635761501</v>
      </c>
      <c r="BC257" s="13">
        <v>31.192052980132399</v>
      </c>
      <c r="BE257" s="13" t="s">
        <v>506</v>
      </c>
      <c r="BQ257" s="13">
        <v>13.972602739726028</v>
      </c>
      <c r="CV257" s="13">
        <v>0</v>
      </c>
    </row>
    <row r="258" spans="1:100" x14ac:dyDescent="0.25">
      <c r="A258" t="s">
        <v>326</v>
      </c>
      <c r="B258" t="s">
        <v>252</v>
      </c>
      <c r="C258">
        <v>2021</v>
      </c>
      <c r="D258" t="s">
        <v>328</v>
      </c>
      <c r="E258">
        <v>1</v>
      </c>
      <c r="F258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258" s="13">
        <v>6.6049999999999995</v>
      </c>
      <c r="O258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258" s="13">
        <v>2.37</v>
      </c>
      <c r="S258" s="13">
        <v>14.68</v>
      </c>
      <c r="T258" s="13">
        <v>76.349999999999994</v>
      </c>
      <c r="AB258" s="13">
        <v>44.825000000000003</v>
      </c>
      <c r="AC258" s="13">
        <v>5.0449999999999999</v>
      </c>
      <c r="AD258" s="13">
        <v>48.454999999999998</v>
      </c>
      <c r="AE258" s="13">
        <v>0.88</v>
      </c>
      <c r="AF258" s="13">
        <v>0.79500000000000004</v>
      </c>
      <c r="AH258" s="13">
        <v>16.55</v>
      </c>
      <c r="AI258" s="13">
        <v>0.01</v>
      </c>
      <c r="AJ258" s="13">
        <v>0.6</v>
      </c>
      <c r="AK258" s="13">
        <v>6</v>
      </c>
      <c r="AL258" s="13">
        <f>Table26[[#This Row],[Solids (g)]]/(Table26[[#This Row],[Solids (g)]]+Table26[[#This Row],[Water mL]])*100</f>
        <v>9.0909090909090917</v>
      </c>
      <c r="AS258" s="13">
        <v>14</v>
      </c>
      <c r="AT258" s="13" t="e">
        <f>LN(25/Table26[[#This Row],[Temperature (C)]]/(1-SQRT((Table26[[#This Row],[Temperature (C)]]-5)/Table26[[#This Row],[Temperature (C)]])))/Table26[[#This Row],[b]]</f>
        <v>#DIV/0!</v>
      </c>
      <c r="AU258" s="13">
        <f>IF(Table26[[#This Row],[b]]&lt;&gt;"",Table26[[#This Row],[T-5]], 0)</f>
        <v>0</v>
      </c>
      <c r="AV258" s="13">
        <f>Table26[[#This Row],[Holding Time (min)]]+Table26[[#This Row],[Heating time]]</f>
        <v>14</v>
      </c>
      <c r="AW258" s="13">
        <v>400</v>
      </c>
      <c r="AY258" t="s">
        <v>503</v>
      </c>
      <c r="AZ258" s="13">
        <v>24.933774834436999</v>
      </c>
      <c r="BA258" s="13">
        <v>12.218543046357601</v>
      </c>
      <c r="BB258" s="13">
        <v>21.953642384105901</v>
      </c>
      <c r="BC258" s="13">
        <v>40.728476821191997</v>
      </c>
      <c r="BE258" s="13" t="s">
        <v>506</v>
      </c>
      <c r="BQ258" s="13">
        <v>12.731836563938087</v>
      </c>
      <c r="CV258" s="13">
        <v>0</v>
      </c>
    </row>
    <row r="259" spans="1:100" x14ac:dyDescent="0.25">
      <c r="A259" t="s">
        <v>326</v>
      </c>
      <c r="B259" t="s">
        <v>252</v>
      </c>
      <c r="C259">
        <v>2021</v>
      </c>
      <c r="D259" t="s">
        <v>328</v>
      </c>
      <c r="E259">
        <v>1</v>
      </c>
      <c r="F259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259" s="13">
        <v>6.6049999999999995</v>
      </c>
      <c r="O259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259" s="13">
        <v>2.37</v>
      </c>
      <c r="S259" s="13">
        <v>14.68</v>
      </c>
      <c r="T259" s="13">
        <v>76.349999999999994</v>
      </c>
      <c r="AB259" s="13">
        <v>44.825000000000003</v>
      </c>
      <c r="AC259" s="13">
        <v>5.0449999999999999</v>
      </c>
      <c r="AD259" s="13">
        <v>48.454999999999998</v>
      </c>
      <c r="AE259" s="13">
        <v>0.88</v>
      </c>
      <c r="AF259" s="13">
        <v>0.79500000000000004</v>
      </c>
      <c r="AH259" s="13">
        <v>16.55</v>
      </c>
      <c r="AI259" s="13">
        <v>0.01</v>
      </c>
      <c r="AJ259" s="13">
        <v>0.6</v>
      </c>
      <c r="AK259" s="13">
        <v>6</v>
      </c>
      <c r="AL259" s="13">
        <f>Table26[[#This Row],[Solids (g)]]/(Table26[[#This Row],[Solids (g)]]+Table26[[#This Row],[Water mL]])*100</f>
        <v>9.0909090909090917</v>
      </c>
      <c r="AS259" s="13">
        <v>18</v>
      </c>
      <c r="AT259" s="13" t="e">
        <f>LN(25/Table26[[#This Row],[Temperature (C)]]/(1-SQRT((Table26[[#This Row],[Temperature (C)]]-5)/Table26[[#This Row],[Temperature (C)]])))/Table26[[#This Row],[b]]</f>
        <v>#DIV/0!</v>
      </c>
      <c r="AU259" s="13">
        <f>IF(Table26[[#This Row],[b]]&lt;&gt;"",Table26[[#This Row],[T-5]], 0)</f>
        <v>0</v>
      </c>
      <c r="AV259" s="13">
        <f>Table26[[#This Row],[Holding Time (min)]]+Table26[[#This Row],[Heating time]]</f>
        <v>18</v>
      </c>
      <c r="AW259" s="13">
        <v>400</v>
      </c>
      <c r="AY259" t="s">
        <v>503</v>
      </c>
      <c r="AZ259" s="13">
        <v>13.112582781456901</v>
      </c>
      <c r="BA259" s="13">
        <v>22.450331125827802</v>
      </c>
      <c r="BB259" s="13">
        <v>17.781456953642301</v>
      </c>
      <c r="BC259" s="13">
        <v>46.192052980132402</v>
      </c>
      <c r="BE259" s="13">
        <v>15.223274695534585</v>
      </c>
      <c r="BQ259" s="13">
        <v>12.298305084745763</v>
      </c>
      <c r="CV259" s="13">
        <v>0</v>
      </c>
    </row>
    <row r="260" spans="1:100" x14ac:dyDescent="0.25">
      <c r="A260" t="s">
        <v>326</v>
      </c>
      <c r="B260" t="s">
        <v>252</v>
      </c>
      <c r="C260">
        <v>2021</v>
      </c>
      <c r="D260" t="s">
        <v>328</v>
      </c>
      <c r="E260">
        <v>1</v>
      </c>
      <c r="F260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260" s="13">
        <v>6.6049999999999995</v>
      </c>
      <c r="O260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260" s="13">
        <v>2.37</v>
      </c>
      <c r="S260" s="13">
        <v>14.68</v>
      </c>
      <c r="T260" s="13">
        <v>76.349999999999994</v>
      </c>
      <c r="AB260" s="13">
        <v>44.825000000000003</v>
      </c>
      <c r="AC260" s="13">
        <v>5.0449999999999999</v>
      </c>
      <c r="AD260" s="13">
        <v>48.454999999999998</v>
      </c>
      <c r="AE260" s="13">
        <v>0.88</v>
      </c>
      <c r="AF260" s="13">
        <v>0.79500000000000004</v>
      </c>
      <c r="AH260" s="13">
        <v>16.55</v>
      </c>
      <c r="AI260" s="13">
        <v>0.01</v>
      </c>
      <c r="AJ260" s="13">
        <v>0.6</v>
      </c>
      <c r="AK260" s="13">
        <v>6</v>
      </c>
      <c r="AL260" s="13">
        <f>Table26[[#This Row],[Solids (g)]]/(Table26[[#This Row],[Solids (g)]]+Table26[[#This Row],[Water mL]])*100</f>
        <v>9.0909090909090917</v>
      </c>
      <c r="AS260" s="13">
        <v>20</v>
      </c>
      <c r="AT260" s="13" t="e">
        <f>LN(25/Table26[[#This Row],[Temperature (C)]]/(1-SQRT((Table26[[#This Row],[Temperature (C)]]-5)/Table26[[#This Row],[Temperature (C)]])))/Table26[[#This Row],[b]]</f>
        <v>#DIV/0!</v>
      </c>
      <c r="AU260" s="13">
        <f>IF(Table26[[#This Row],[b]]&lt;&gt;"",Table26[[#This Row],[T-5]], 0)</f>
        <v>0</v>
      </c>
      <c r="AV260" s="13">
        <f>Table26[[#This Row],[Holding Time (min)]]+Table26[[#This Row],[Heating time]]</f>
        <v>20</v>
      </c>
      <c r="AW260" s="13">
        <v>400</v>
      </c>
      <c r="AY260" t="s">
        <v>503</v>
      </c>
      <c r="AZ260" s="13">
        <v>13.013245033112501</v>
      </c>
      <c r="BA260" s="13">
        <v>23.940397350993301</v>
      </c>
      <c r="BB260" s="13">
        <v>14.9006622516556</v>
      </c>
      <c r="BC260" s="13">
        <v>47.781456953642298</v>
      </c>
      <c r="BE260" s="13">
        <v>15.128552097429093</v>
      </c>
      <c r="BQ260" s="13">
        <v>12.421853764609949</v>
      </c>
      <c r="CV260" s="13">
        <v>0</v>
      </c>
    </row>
    <row r="261" spans="1:100" x14ac:dyDescent="0.25">
      <c r="A261" t="s">
        <v>326</v>
      </c>
      <c r="B261" t="s">
        <v>252</v>
      </c>
      <c r="C261">
        <v>2021</v>
      </c>
      <c r="D261" t="s">
        <v>328</v>
      </c>
      <c r="E261">
        <v>1</v>
      </c>
      <c r="F261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261" s="13">
        <v>6.6049999999999995</v>
      </c>
      <c r="O261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261" s="13">
        <v>2.37</v>
      </c>
      <c r="S261" s="13">
        <v>14.68</v>
      </c>
      <c r="T261" s="13">
        <v>76.349999999999994</v>
      </c>
      <c r="AB261" s="13">
        <v>44.825000000000003</v>
      </c>
      <c r="AC261" s="13">
        <v>5.0449999999999999</v>
      </c>
      <c r="AD261" s="13">
        <v>48.454999999999998</v>
      </c>
      <c r="AE261" s="13">
        <v>0.88</v>
      </c>
      <c r="AF261" s="13">
        <v>0.79500000000000004</v>
      </c>
      <c r="AH261" s="13">
        <v>16.55</v>
      </c>
      <c r="AI261" s="13">
        <v>0.01</v>
      </c>
      <c r="AJ261" s="13">
        <v>0.6</v>
      </c>
      <c r="AK261" s="13">
        <v>6</v>
      </c>
      <c r="AL261" s="13">
        <f>Table26[[#This Row],[Solids (g)]]/(Table26[[#This Row],[Solids (g)]]+Table26[[#This Row],[Water mL]])*100</f>
        <v>9.0909090909090917</v>
      </c>
      <c r="AS261" s="13">
        <v>30</v>
      </c>
      <c r="AT261" s="13" t="e">
        <f>LN(25/Table26[[#This Row],[Temperature (C)]]/(1-SQRT((Table26[[#This Row],[Temperature (C)]]-5)/Table26[[#This Row],[Temperature (C)]])))/Table26[[#This Row],[b]]</f>
        <v>#DIV/0!</v>
      </c>
      <c r="AU261" s="13">
        <f>IF(Table26[[#This Row],[b]]&lt;&gt;"",Table26[[#This Row],[T-5]], 0)</f>
        <v>0</v>
      </c>
      <c r="AV261" s="13">
        <f>Table26[[#This Row],[Holding Time (min)]]+Table26[[#This Row],[Heating time]]</f>
        <v>30</v>
      </c>
      <c r="AW261" s="13">
        <v>400</v>
      </c>
      <c r="AY261" t="s">
        <v>503</v>
      </c>
      <c r="AZ261" s="13">
        <v>11.225165562913901</v>
      </c>
      <c r="BA261" s="13">
        <v>21.655629139072801</v>
      </c>
      <c r="BB261" s="13">
        <v>10.3311258278145</v>
      </c>
      <c r="BC261" s="13">
        <v>56.721854304635698</v>
      </c>
      <c r="BE261" s="13">
        <v>16.928281461434423</v>
      </c>
      <c r="BN261" s="13">
        <v>28.677419354838701</v>
      </c>
      <c r="BQ261" s="13">
        <v>12.178177360032691</v>
      </c>
      <c r="CV261" s="13">
        <v>0</v>
      </c>
    </row>
    <row r="262" spans="1:100" x14ac:dyDescent="0.25">
      <c r="A262" t="s">
        <v>326</v>
      </c>
      <c r="B262" t="s">
        <v>252</v>
      </c>
      <c r="C262">
        <v>2021</v>
      </c>
      <c r="D262" t="s">
        <v>328</v>
      </c>
      <c r="E262">
        <v>1</v>
      </c>
      <c r="F262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262" s="13">
        <v>6.6049999999999995</v>
      </c>
      <c r="O262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262" s="13">
        <v>2.37</v>
      </c>
      <c r="S262" s="13">
        <v>14.68</v>
      </c>
      <c r="T262" s="13">
        <v>76.349999999999994</v>
      </c>
      <c r="AB262" s="13">
        <v>44.825000000000003</v>
      </c>
      <c r="AC262" s="13">
        <v>5.0449999999999999</v>
      </c>
      <c r="AD262" s="13">
        <v>48.454999999999998</v>
      </c>
      <c r="AE262" s="13">
        <v>0.88</v>
      </c>
      <c r="AF262" s="13">
        <v>0.79500000000000004</v>
      </c>
      <c r="AH262" s="13">
        <v>16.55</v>
      </c>
      <c r="AI262" s="13">
        <v>0.01</v>
      </c>
      <c r="AJ262" s="13">
        <v>0.6</v>
      </c>
      <c r="AK262" s="13">
        <v>6</v>
      </c>
      <c r="AL262" s="13">
        <f>Table26[[#This Row],[Solids (g)]]/(Table26[[#This Row],[Solids (g)]]+Table26[[#This Row],[Water mL]])*100</f>
        <v>9.0909090909090917</v>
      </c>
      <c r="AS262" s="13">
        <v>16</v>
      </c>
      <c r="AT262" s="13" t="e">
        <f>LN(25/Table26[[#This Row],[Temperature (C)]]/(1-SQRT((Table26[[#This Row],[Temperature (C)]]-5)/Table26[[#This Row],[Temperature (C)]])))/Table26[[#This Row],[b]]</f>
        <v>#DIV/0!</v>
      </c>
      <c r="AU262" s="13">
        <f>IF(Table26[[#This Row],[b]]&lt;&gt;"",Table26[[#This Row],[T-5]], 0)</f>
        <v>0</v>
      </c>
      <c r="AV262" s="13">
        <f>Table26[[#This Row],[Holding Time (min)]]+Table26[[#This Row],[Heating time]]</f>
        <v>16</v>
      </c>
      <c r="AW262" s="13">
        <v>375</v>
      </c>
      <c r="AY262" t="s">
        <v>503</v>
      </c>
      <c r="AZ262" s="13">
        <v>26.5589660743133</v>
      </c>
      <c r="BA262" s="13">
        <v>12.310177705977299</v>
      </c>
      <c r="BB262" s="13">
        <v>21.421647819063001</v>
      </c>
      <c r="BC262" s="13">
        <v>40.1292407108239</v>
      </c>
      <c r="BE262" s="13" t="s">
        <v>506</v>
      </c>
      <c r="BN262" s="13">
        <v>29.787634408602099</v>
      </c>
      <c r="BQ262" s="13" t="s">
        <v>506</v>
      </c>
      <c r="CV262" s="13">
        <v>0</v>
      </c>
    </row>
    <row r="263" spans="1:100" x14ac:dyDescent="0.25">
      <c r="A263" t="s">
        <v>326</v>
      </c>
      <c r="B263" t="s">
        <v>252</v>
      </c>
      <c r="C263">
        <v>2021</v>
      </c>
      <c r="D263" t="s">
        <v>328</v>
      </c>
      <c r="E263">
        <v>1</v>
      </c>
      <c r="F263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263" s="13">
        <v>6.6049999999999995</v>
      </c>
      <c r="O263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263" s="13">
        <v>2.37</v>
      </c>
      <c r="S263" s="13">
        <v>14.68</v>
      </c>
      <c r="T263" s="13">
        <v>76.349999999999994</v>
      </c>
      <c r="AB263" s="13">
        <v>44.825000000000003</v>
      </c>
      <c r="AC263" s="13">
        <v>5.0449999999999999</v>
      </c>
      <c r="AD263" s="13">
        <v>48.454999999999998</v>
      </c>
      <c r="AE263" s="13">
        <v>0.88</v>
      </c>
      <c r="AF263" s="13">
        <v>0.79500000000000004</v>
      </c>
      <c r="AH263" s="13">
        <v>16.55</v>
      </c>
      <c r="AI263" s="13">
        <v>0.01</v>
      </c>
      <c r="AJ263" s="13">
        <v>0.6</v>
      </c>
      <c r="AK263" s="13">
        <v>6</v>
      </c>
      <c r="AL263" s="13">
        <f>Table26[[#This Row],[Solids (g)]]/(Table26[[#This Row],[Solids (g)]]+Table26[[#This Row],[Water mL]])*100</f>
        <v>9.0909090909090917</v>
      </c>
      <c r="AS263" s="13">
        <v>16</v>
      </c>
      <c r="AT263" s="13" t="e">
        <f>LN(25/Table26[[#This Row],[Temperature (C)]]/(1-SQRT((Table26[[#This Row],[Temperature (C)]]-5)/Table26[[#This Row],[Temperature (C)]])))/Table26[[#This Row],[b]]</f>
        <v>#DIV/0!</v>
      </c>
      <c r="AU263" s="13">
        <f>IF(Table26[[#This Row],[b]]&lt;&gt;"",Table26[[#This Row],[T-5]], 0)</f>
        <v>0</v>
      </c>
      <c r="AV263" s="13">
        <f>Table26[[#This Row],[Holding Time (min)]]+Table26[[#This Row],[Heating time]]</f>
        <v>16</v>
      </c>
      <c r="AW263" s="13">
        <v>425</v>
      </c>
      <c r="AY263" t="s">
        <v>503</v>
      </c>
      <c r="AZ263" s="13">
        <v>12.310177705977299</v>
      </c>
      <c r="BA263" s="13">
        <v>24.426494345718901</v>
      </c>
      <c r="BB263" s="13">
        <v>15.896607431340801</v>
      </c>
      <c r="BC263" s="13">
        <v>47.883683360258402</v>
      </c>
      <c r="BE263" s="13" t="s">
        <v>506</v>
      </c>
      <c r="BN263" s="13">
        <v>32.064516129032199</v>
      </c>
      <c r="BQ263" s="13" t="s">
        <v>506</v>
      </c>
      <c r="CV263" s="13">
        <v>0</v>
      </c>
    </row>
    <row r="264" spans="1:100" x14ac:dyDescent="0.25">
      <c r="A264" t="s">
        <v>326</v>
      </c>
      <c r="B264" t="s">
        <v>252</v>
      </c>
      <c r="C264">
        <v>2021</v>
      </c>
      <c r="D264" t="s">
        <v>328</v>
      </c>
      <c r="E264">
        <v>1</v>
      </c>
      <c r="F264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264" s="13">
        <v>6.6049999999999995</v>
      </c>
      <c r="O264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264" s="13">
        <v>2.37</v>
      </c>
      <c r="S264" s="13">
        <v>14.68</v>
      </c>
      <c r="T264" s="13">
        <v>76.349999999999994</v>
      </c>
      <c r="AB264" s="13">
        <v>44.825000000000003</v>
      </c>
      <c r="AC264" s="13">
        <v>5.0449999999999999</v>
      </c>
      <c r="AD264" s="13">
        <v>48.454999999999998</v>
      </c>
      <c r="AE264" s="13">
        <v>0.88</v>
      </c>
      <c r="AF264" s="13">
        <v>0.79500000000000004</v>
      </c>
      <c r="AH264" s="13">
        <v>16.55</v>
      </c>
      <c r="AI264" s="13">
        <v>0.01</v>
      </c>
      <c r="AJ264" s="13">
        <v>0.6</v>
      </c>
      <c r="AK264" s="13">
        <v>6</v>
      </c>
      <c r="AL264" s="13">
        <f>Table26[[#This Row],[Solids (g)]]/(Table26[[#This Row],[Solids (g)]]+Table26[[#This Row],[Water mL]])*100</f>
        <v>9.0909090909090917</v>
      </c>
      <c r="AS264" s="13">
        <v>16</v>
      </c>
      <c r="AT264" s="13" t="e">
        <f>LN(25/Table26[[#This Row],[Temperature (C)]]/(1-SQRT((Table26[[#This Row],[Temperature (C)]]-5)/Table26[[#This Row],[Temperature (C)]])))/Table26[[#This Row],[b]]</f>
        <v>#DIV/0!</v>
      </c>
      <c r="AU264" s="13">
        <f>IF(Table26[[#This Row],[b]]&lt;&gt;"",Table26[[#This Row],[T-5]], 0)</f>
        <v>0</v>
      </c>
      <c r="AV264" s="13">
        <f>Table26[[#This Row],[Holding Time (min)]]+Table26[[#This Row],[Heating time]]</f>
        <v>16</v>
      </c>
      <c r="AW264" s="13">
        <v>450</v>
      </c>
      <c r="AY264" t="s">
        <v>503</v>
      </c>
      <c r="AZ264" s="13">
        <v>11.147011308562201</v>
      </c>
      <c r="BA264" s="13">
        <v>22.5848142164782</v>
      </c>
      <c r="BB264" s="13">
        <v>14.3457189014539</v>
      </c>
      <c r="BC264" s="13">
        <v>52.1486268174475</v>
      </c>
      <c r="BE264" s="13" t="s">
        <v>506</v>
      </c>
      <c r="BN264" s="13">
        <v>32.591397849462297</v>
      </c>
      <c r="BQ264" s="13" t="s">
        <v>506</v>
      </c>
      <c r="CV264" s="13">
        <v>0</v>
      </c>
    </row>
    <row r="265" spans="1:100" x14ac:dyDescent="0.25">
      <c r="A265" t="s">
        <v>331</v>
      </c>
      <c r="B265" t="s">
        <v>334</v>
      </c>
      <c r="C265">
        <v>2021</v>
      </c>
      <c r="D265" t="s">
        <v>332</v>
      </c>
      <c r="E265">
        <v>0</v>
      </c>
      <c r="F265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80.87</v>
      </c>
      <c r="I265" s="13">
        <v>35.200000000000003</v>
      </c>
      <c r="J265" s="13">
        <v>45.67</v>
      </c>
      <c r="M265" s="13">
        <v>6.84</v>
      </c>
      <c r="N265" s="13">
        <v>4.25</v>
      </c>
      <c r="O26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87.710000000000008</v>
      </c>
      <c r="R265" s="13">
        <v>3.04</v>
      </c>
      <c r="S265" s="13">
        <v>14.39</v>
      </c>
      <c r="T265" s="13">
        <v>78.319999999999993</v>
      </c>
      <c r="AB265" s="13">
        <v>44.11</v>
      </c>
      <c r="AC265" s="13">
        <v>7.98</v>
      </c>
      <c r="AD265" s="13">
        <v>46.75</v>
      </c>
      <c r="AE265" s="13">
        <v>0.7</v>
      </c>
      <c r="AF265" s="13">
        <v>0.46</v>
      </c>
      <c r="AH265" s="13">
        <v>17.219000000000001</v>
      </c>
      <c r="AI265" s="13">
        <v>0.1</v>
      </c>
      <c r="AJ265" s="13">
        <v>9</v>
      </c>
      <c r="AK265" s="13">
        <v>51</v>
      </c>
      <c r="AL265" s="13">
        <f>Table26[[#This Row],[Solids (g)]]/(Table26[[#This Row],[Solids (g)]]+Table26[[#This Row],[Water mL]])*100</f>
        <v>15</v>
      </c>
      <c r="AS265" s="13">
        <v>30</v>
      </c>
      <c r="AT265" s="13" t="e">
        <f>LN(25/Table26[[#This Row],[Temperature (C)]]/(1-SQRT((Table26[[#This Row],[Temperature (C)]]-5)/Table26[[#This Row],[Temperature (C)]])))/Table26[[#This Row],[b]]</f>
        <v>#DIV/0!</v>
      </c>
      <c r="AU265" s="13">
        <f>IF(Table26[[#This Row],[b]]&lt;&gt;"",Table26[[#This Row],[T-5]], 0)</f>
        <v>0</v>
      </c>
      <c r="AV265" s="13">
        <f>Table26[[#This Row],[Holding Time (min)]]+Table26[[#This Row],[Heating time]]</f>
        <v>30</v>
      </c>
      <c r="AW265" s="13">
        <v>300</v>
      </c>
      <c r="AY265" t="s">
        <v>503</v>
      </c>
      <c r="AZ265" s="13">
        <v>32.362768496420003</v>
      </c>
      <c r="BA265" s="13">
        <v>22.3389021479713</v>
      </c>
      <c r="BB265" s="13">
        <v>10.8830548926014</v>
      </c>
      <c r="BC265" s="13">
        <v>35.799522673030999</v>
      </c>
      <c r="BE265" s="13" t="s">
        <v>506</v>
      </c>
      <c r="BI265" s="13">
        <v>69.069999999999993</v>
      </c>
      <c r="BJ265" s="13">
        <v>6.62</v>
      </c>
      <c r="BK265" s="13">
        <v>23.32</v>
      </c>
      <c r="BL265" s="13">
        <v>0.89</v>
      </c>
      <c r="BM265" s="13">
        <v>0.1</v>
      </c>
      <c r="BN265" s="13">
        <v>32.132075471698101</v>
      </c>
      <c r="BP265" s="13">
        <v>36.776504297994201</v>
      </c>
      <c r="BQ265" s="13" t="s">
        <v>506</v>
      </c>
      <c r="CV265" s="13">
        <v>0</v>
      </c>
    </row>
    <row r="266" spans="1:100" x14ac:dyDescent="0.25">
      <c r="A266" t="s">
        <v>331</v>
      </c>
      <c r="B266" t="s">
        <v>334</v>
      </c>
      <c r="C266">
        <v>2021</v>
      </c>
      <c r="D266" t="s">
        <v>332</v>
      </c>
      <c r="E266">
        <v>0</v>
      </c>
      <c r="F266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80.87</v>
      </c>
      <c r="I266" s="13">
        <v>35.200000000000003</v>
      </c>
      <c r="J266" s="13">
        <v>45.67</v>
      </c>
      <c r="M266" s="13">
        <v>6.84</v>
      </c>
      <c r="N266" s="13">
        <v>4.25</v>
      </c>
      <c r="O26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87.710000000000008</v>
      </c>
      <c r="R266" s="13">
        <v>3.04</v>
      </c>
      <c r="S266" s="13">
        <v>14.39</v>
      </c>
      <c r="T266" s="13">
        <v>78.319999999999993</v>
      </c>
      <c r="AB266" s="13">
        <v>44.11</v>
      </c>
      <c r="AC266" s="13">
        <v>7.98</v>
      </c>
      <c r="AD266" s="13">
        <v>46.75</v>
      </c>
      <c r="AE266" s="13">
        <v>0.7</v>
      </c>
      <c r="AF266" s="13">
        <v>0.46</v>
      </c>
      <c r="AH266" s="13">
        <v>17.219000000000001</v>
      </c>
      <c r="AI266" s="13">
        <v>0.1</v>
      </c>
      <c r="AJ266" s="13">
        <v>9</v>
      </c>
      <c r="AK266" s="13">
        <v>51</v>
      </c>
      <c r="AL266" s="13">
        <f>Table26[[#This Row],[Solids (g)]]/(Table26[[#This Row],[Solids (g)]]+Table26[[#This Row],[Water mL]])*100</f>
        <v>15</v>
      </c>
      <c r="AS266" s="13">
        <v>30</v>
      </c>
      <c r="AT266" s="13" t="e">
        <f>LN(25/Table26[[#This Row],[Temperature (C)]]/(1-SQRT((Table26[[#This Row],[Temperature (C)]]-5)/Table26[[#This Row],[Temperature (C)]])))/Table26[[#This Row],[b]]</f>
        <v>#DIV/0!</v>
      </c>
      <c r="AU266" s="13">
        <f>IF(Table26[[#This Row],[b]]&lt;&gt;"",Table26[[#This Row],[T-5]], 0)</f>
        <v>0</v>
      </c>
      <c r="AV266" s="13">
        <f>Table26[[#This Row],[Holding Time (min)]]+Table26[[#This Row],[Heating time]]</f>
        <v>30</v>
      </c>
      <c r="AW266" s="13">
        <v>320</v>
      </c>
      <c r="AY266" t="s">
        <v>503</v>
      </c>
      <c r="AZ266" s="13">
        <v>24.916467780429599</v>
      </c>
      <c r="BA266" s="13">
        <v>20.190930787589501</v>
      </c>
      <c r="BB266" s="13">
        <v>9.4510739856801997</v>
      </c>
      <c r="BC266" s="13">
        <v>46.252983293555999</v>
      </c>
      <c r="BE266" s="13" t="s">
        <v>506</v>
      </c>
      <c r="BI266" s="13">
        <v>70.58</v>
      </c>
      <c r="BJ266" s="13">
        <v>6.82</v>
      </c>
      <c r="BK266" s="13">
        <v>21.59</v>
      </c>
      <c r="BL266" s="13">
        <v>0.92</v>
      </c>
      <c r="BM266" s="13">
        <v>0.09</v>
      </c>
      <c r="BN266" s="13">
        <v>33.849056603773498</v>
      </c>
      <c r="BP266" s="13">
        <v>34.5415472779369</v>
      </c>
      <c r="BQ266" s="13" t="s">
        <v>506</v>
      </c>
      <c r="CV266" s="13">
        <v>0</v>
      </c>
    </row>
    <row r="267" spans="1:100" x14ac:dyDescent="0.25">
      <c r="A267" t="s">
        <v>331</v>
      </c>
      <c r="B267" t="s">
        <v>334</v>
      </c>
      <c r="C267">
        <v>2021</v>
      </c>
      <c r="D267" t="s">
        <v>332</v>
      </c>
      <c r="E267">
        <v>0</v>
      </c>
      <c r="F26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80.87</v>
      </c>
      <c r="I267" s="13">
        <v>35.200000000000003</v>
      </c>
      <c r="J267" s="13">
        <v>45.67</v>
      </c>
      <c r="M267" s="13">
        <v>6.84</v>
      </c>
      <c r="N267" s="13">
        <v>4.25</v>
      </c>
      <c r="O26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87.710000000000008</v>
      </c>
      <c r="R267" s="13">
        <v>3.04</v>
      </c>
      <c r="S267" s="13">
        <v>14.39</v>
      </c>
      <c r="T267" s="13">
        <v>78.319999999999993</v>
      </c>
      <c r="AB267" s="13">
        <v>44.11</v>
      </c>
      <c r="AC267" s="13">
        <v>7.98</v>
      </c>
      <c r="AD267" s="13">
        <v>46.75</v>
      </c>
      <c r="AE267" s="13">
        <v>0.7</v>
      </c>
      <c r="AF267" s="13">
        <v>0.46</v>
      </c>
      <c r="AH267" s="13">
        <v>17.219000000000001</v>
      </c>
      <c r="AI267" s="13">
        <v>0.1</v>
      </c>
      <c r="AJ267" s="13">
        <v>9</v>
      </c>
      <c r="AK267" s="13">
        <v>51</v>
      </c>
      <c r="AL267" s="13">
        <f>Table26[[#This Row],[Solids (g)]]/(Table26[[#This Row],[Solids (g)]]+Table26[[#This Row],[Water mL]])*100</f>
        <v>15</v>
      </c>
      <c r="AS267" s="13">
        <v>30</v>
      </c>
      <c r="AT267" s="13" t="e">
        <f>LN(25/Table26[[#This Row],[Temperature (C)]]/(1-SQRT((Table26[[#This Row],[Temperature (C)]]-5)/Table26[[#This Row],[Temperature (C)]])))/Table26[[#This Row],[b]]</f>
        <v>#DIV/0!</v>
      </c>
      <c r="AU267" s="13">
        <f>IF(Table26[[#This Row],[b]]&lt;&gt;"",Table26[[#This Row],[T-5]], 0)</f>
        <v>0</v>
      </c>
      <c r="AV267" s="13">
        <f>Table26[[#This Row],[Holding Time (min)]]+Table26[[#This Row],[Heating time]]</f>
        <v>30</v>
      </c>
      <c r="AW267" s="13">
        <v>340</v>
      </c>
      <c r="AY267" t="s">
        <v>503</v>
      </c>
      <c r="AZ267" s="13">
        <v>21.050119331742199</v>
      </c>
      <c r="BA267" s="13">
        <v>19.618138424820899</v>
      </c>
      <c r="BB267" s="13">
        <v>6.5871121718377097</v>
      </c>
      <c r="BC267" s="13">
        <v>53.269689737470102</v>
      </c>
      <c r="BE267" s="13" t="s">
        <v>506</v>
      </c>
      <c r="BI267" s="13">
        <v>73.63</v>
      </c>
      <c r="BJ267" s="13">
        <v>7.25</v>
      </c>
      <c r="BK267" s="13">
        <v>18.059999999999999</v>
      </c>
      <c r="BL267" s="13">
        <v>0.99</v>
      </c>
      <c r="BM267" s="13">
        <v>0.08</v>
      </c>
      <c r="BN267" s="13">
        <v>35.509433962264097</v>
      </c>
      <c r="BP267" s="13">
        <v>36.203438395415397</v>
      </c>
      <c r="BQ267" s="13" t="s">
        <v>506</v>
      </c>
      <c r="CV267" s="13">
        <v>0</v>
      </c>
    </row>
    <row r="268" spans="1:100" x14ac:dyDescent="0.25">
      <c r="A268" t="s">
        <v>331</v>
      </c>
      <c r="B268" t="s">
        <v>334</v>
      </c>
      <c r="C268">
        <v>2021</v>
      </c>
      <c r="D268" t="s">
        <v>332</v>
      </c>
      <c r="E268">
        <v>0</v>
      </c>
      <c r="F268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80.87</v>
      </c>
      <c r="I268" s="13">
        <v>35.200000000000003</v>
      </c>
      <c r="J268" s="13">
        <v>45.67</v>
      </c>
      <c r="M268" s="13">
        <v>6.84</v>
      </c>
      <c r="N268" s="13">
        <v>4.25</v>
      </c>
      <c r="O26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87.710000000000008</v>
      </c>
      <c r="R268" s="13">
        <v>3.04</v>
      </c>
      <c r="S268" s="13">
        <v>14.39</v>
      </c>
      <c r="T268" s="13">
        <v>78.319999999999993</v>
      </c>
      <c r="AB268" s="13">
        <v>44.11</v>
      </c>
      <c r="AC268" s="13">
        <v>7.98</v>
      </c>
      <c r="AD268" s="13">
        <v>46.75</v>
      </c>
      <c r="AE268" s="13">
        <v>0.7</v>
      </c>
      <c r="AF268" s="13">
        <v>0.46</v>
      </c>
      <c r="AH268" s="13">
        <v>17.219000000000001</v>
      </c>
      <c r="AI268" s="13">
        <v>0.1</v>
      </c>
      <c r="AJ268" s="13">
        <v>9</v>
      </c>
      <c r="AK268" s="13">
        <v>51</v>
      </c>
      <c r="AL268" s="13">
        <f>Table26[[#This Row],[Solids (g)]]/(Table26[[#This Row],[Solids (g)]]+Table26[[#This Row],[Water mL]])*100</f>
        <v>15</v>
      </c>
      <c r="AS268" s="13">
        <v>30</v>
      </c>
      <c r="AT268" s="13" t="e">
        <f>LN(25/Table26[[#This Row],[Temperature (C)]]/(1-SQRT((Table26[[#This Row],[Temperature (C)]]-5)/Table26[[#This Row],[Temperature (C)]])))/Table26[[#This Row],[b]]</f>
        <v>#DIV/0!</v>
      </c>
      <c r="AU268" s="13">
        <f>IF(Table26[[#This Row],[b]]&lt;&gt;"",Table26[[#This Row],[T-5]], 0)</f>
        <v>0</v>
      </c>
      <c r="AV268" s="13">
        <f>Table26[[#This Row],[Holding Time (min)]]+Table26[[#This Row],[Heating time]]</f>
        <v>30</v>
      </c>
      <c r="AW268" s="13">
        <v>360</v>
      </c>
      <c r="AY268" t="s">
        <v>503</v>
      </c>
      <c r="AZ268" s="13">
        <v>19.618138424820899</v>
      </c>
      <c r="BA268" s="13">
        <v>19.045346062052499</v>
      </c>
      <c r="BB268" s="13">
        <v>5.7279236276849499</v>
      </c>
      <c r="BC268" s="13">
        <v>56.133651551312603</v>
      </c>
      <c r="BE268" s="13" t="s">
        <v>506</v>
      </c>
      <c r="BI268" s="13">
        <v>74.64</v>
      </c>
      <c r="BJ268" s="13">
        <v>7.26</v>
      </c>
      <c r="BK268" s="13">
        <v>16.91</v>
      </c>
      <c r="BL268" s="13">
        <v>1.0900000000000001</v>
      </c>
      <c r="BM268" s="13">
        <v>0.1</v>
      </c>
      <c r="BN268" s="13">
        <v>34.301886792452798</v>
      </c>
      <c r="BP268" s="13">
        <v>35.687679083094501</v>
      </c>
      <c r="BQ268" s="13" t="s">
        <v>506</v>
      </c>
      <c r="CV268" s="13">
        <v>0</v>
      </c>
    </row>
    <row r="269" spans="1:100" x14ac:dyDescent="0.25">
      <c r="A269" t="s">
        <v>331</v>
      </c>
      <c r="B269" t="s">
        <v>334</v>
      </c>
      <c r="C269">
        <v>2021</v>
      </c>
      <c r="D269" t="s">
        <v>333</v>
      </c>
      <c r="E269">
        <v>1</v>
      </c>
      <c r="F269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12.879999999999999</v>
      </c>
      <c r="I269" s="13">
        <v>12.84</v>
      </c>
      <c r="J269" s="13">
        <v>0.04</v>
      </c>
      <c r="K269" s="13">
        <v>16.78</v>
      </c>
      <c r="L269" s="13">
        <v>0.8</v>
      </c>
      <c r="M269" s="13">
        <v>18.28</v>
      </c>
      <c r="N269" s="13">
        <v>34.880000000000003</v>
      </c>
      <c r="O26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48.74</v>
      </c>
      <c r="R269" s="13">
        <v>6.75</v>
      </c>
      <c r="S269" s="13">
        <v>5.41</v>
      </c>
      <c r="T269" s="13">
        <v>52.96</v>
      </c>
      <c r="AB269" s="13">
        <v>30.96</v>
      </c>
      <c r="AC269" s="13">
        <v>2.34</v>
      </c>
      <c r="AD269" s="13">
        <v>63.62</v>
      </c>
      <c r="AE269" s="13">
        <v>2.67</v>
      </c>
      <c r="AF269" s="13">
        <v>0.41</v>
      </c>
      <c r="AH269" s="13">
        <v>12.007999999999999</v>
      </c>
      <c r="AI269" s="13">
        <v>0.1</v>
      </c>
      <c r="AJ269" s="13">
        <v>9</v>
      </c>
      <c r="AK269" s="13">
        <v>51</v>
      </c>
      <c r="AL269" s="13">
        <f>Table26[[#This Row],[Solids (g)]]/(Table26[[#This Row],[Solids (g)]]+Table26[[#This Row],[Water mL]])*100</f>
        <v>15</v>
      </c>
      <c r="AS269" s="13">
        <v>30</v>
      </c>
      <c r="AT269" s="13" t="e">
        <f>LN(25/Table26[[#This Row],[Temperature (C)]]/(1-SQRT((Table26[[#This Row],[Temperature (C)]]-5)/Table26[[#This Row],[Temperature (C)]])))/Table26[[#This Row],[b]]</f>
        <v>#DIV/0!</v>
      </c>
      <c r="AU269" s="13">
        <f>IF(Table26[[#This Row],[b]]&lt;&gt;"",Table26[[#This Row],[T-5]], 0)</f>
        <v>0</v>
      </c>
      <c r="AV269" s="13">
        <f>Table26[[#This Row],[Holding Time (min)]]+Table26[[#This Row],[Heating time]]</f>
        <v>30</v>
      </c>
      <c r="AW269" s="13">
        <v>300</v>
      </c>
      <c r="AY269" t="s">
        <v>503</v>
      </c>
      <c r="AZ269" s="13">
        <v>46.428571428571402</v>
      </c>
      <c r="BA269" s="13">
        <v>17.714285714285701</v>
      </c>
      <c r="BB269" s="13">
        <v>13.714285714285699</v>
      </c>
      <c r="BC269" s="13">
        <v>22.285714285714199</v>
      </c>
      <c r="BE269" s="13" t="s">
        <v>506</v>
      </c>
      <c r="BI269" s="13">
        <v>70.59</v>
      </c>
      <c r="BJ269" s="13">
        <v>7.84</v>
      </c>
      <c r="BK269" s="13">
        <v>17.260000000000002</v>
      </c>
      <c r="BL269" s="13">
        <v>3.9</v>
      </c>
      <c r="BM269" s="13">
        <v>0.41</v>
      </c>
      <c r="BN269" s="13">
        <v>32.256756756756701</v>
      </c>
      <c r="BP269" s="13">
        <v>47.914285714285597</v>
      </c>
      <c r="BQ269" s="13" t="s">
        <v>506</v>
      </c>
      <c r="CV269" s="13">
        <v>0</v>
      </c>
    </row>
    <row r="270" spans="1:100" x14ac:dyDescent="0.25">
      <c r="A270" t="s">
        <v>331</v>
      </c>
      <c r="B270" t="s">
        <v>334</v>
      </c>
      <c r="C270">
        <v>2021</v>
      </c>
      <c r="D270" t="s">
        <v>333</v>
      </c>
      <c r="E270">
        <v>1</v>
      </c>
      <c r="F270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12.879999999999999</v>
      </c>
      <c r="I270" s="13">
        <v>12.84</v>
      </c>
      <c r="J270" s="13">
        <v>0.04</v>
      </c>
      <c r="K270" s="13">
        <v>16.78</v>
      </c>
      <c r="L270" s="13">
        <v>0.8</v>
      </c>
      <c r="M270" s="13">
        <v>18.28</v>
      </c>
      <c r="N270" s="13">
        <v>34.880000000000003</v>
      </c>
      <c r="O27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48.74</v>
      </c>
      <c r="R270" s="13">
        <v>6.75</v>
      </c>
      <c r="S270" s="13">
        <v>5.41</v>
      </c>
      <c r="T270" s="13">
        <v>52.96</v>
      </c>
      <c r="AB270" s="13">
        <v>30.96</v>
      </c>
      <c r="AC270" s="13">
        <v>2.34</v>
      </c>
      <c r="AD270" s="13">
        <v>63.62</v>
      </c>
      <c r="AE270" s="13">
        <v>2.67</v>
      </c>
      <c r="AF270" s="13">
        <v>0.41</v>
      </c>
      <c r="AH270" s="13">
        <v>12.007999999999999</v>
      </c>
      <c r="AI270" s="13">
        <v>0.1</v>
      </c>
      <c r="AJ270" s="13">
        <v>9</v>
      </c>
      <c r="AK270" s="13">
        <v>51</v>
      </c>
      <c r="AL270" s="13">
        <f>Table26[[#This Row],[Solids (g)]]/(Table26[[#This Row],[Solids (g)]]+Table26[[#This Row],[Water mL]])*100</f>
        <v>15</v>
      </c>
      <c r="AS270" s="13">
        <v>30</v>
      </c>
      <c r="AT270" s="13" t="e">
        <f>LN(25/Table26[[#This Row],[Temperature (C)]]/(1-SQRT((Table26[[#This Row],[Temperature (C)]]-5)/Table26[[#This Row],[Temperature (C)]])))/Table26[[#This Row],[b]]</f>
        <v>#DIV/0!</v>
      </c>
      <c r="AU270" s="13">
        <f>IF(Table26[[#This Row],[b]]&lt;&gt;"",Table26[[#This Row],[T-5]], 0)</f>
        <v>0</v>
      </c>
      <c r="AV270" s="13">
        <f>Table26[[#This Row],[Holding Time (min)]]+Table26[[#This Row],[Heating time]]</f>
        <v>30</v>
      </c>
      <c r="AW270" s="13">
        <v>320</v>
      </c>
      <c r="AY270" t="s">
        <v>503</v>
      </c>
      <c r="AZ270" s="13">
        <v>43.714285714285701</v>
      </c>
      <c r="BA270" s="13">
        <v>18.571428571428498</v>
      </c>
      <c r="BB270" s="13">
        <v>12.285714285714199</v>
      </c>
      <c r="BC270" s="13">
        <v>25.857142857142801</v>
      </c>
      <c r="BE270" s="13" t="s">
        <v>506</v>
      </c>
      <c r="BI270" s="13">
        <v>73.319999999999993</v>
      </c>
      <c r="BJ270" s="13">
        <v>8.09</v>
      </c>
      <c r="BK270" s="13">
        <v>14.18</v>
      </c>
      <c r="BL270" s="13">
        <v>4.0599999999999996</v>
      </c>
      <c r="BM270" s="13">
        <v>0.35</v>
      </c>
      <c r="BN270" s="13">
        <v>32.748648648648597</v>
      </c>
      <c r="BP270" s="13">
        <v>51.914285714285597</v>
      </c>
      <c r="BQ270" s="13" t="s">
        <v>506</v>
      </c>
      <c r="CV270" s="13">
        <v>0</v>
      </c>
    </row>
    <row r="271" spans="1:100" x14ac:dyDescent="0.25">
      <c r="A271" t="s">
        <v>331</v>
      </c>
      <c r="B271" t="s">
        <v>334</v>
      </c>
      <c r="C271">
        <v>2021</v>
      </c>
      <c r="D271" t="s">
        <v>333</v>
      </c>
      <c r="E271">
        <v>1</v>
      </c>
      <c r="F271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12.879999999999999</v>
      </c>
      <c r="I271" s="13">
        <v>12.84</v>
      </c>
      <c r="J271" s="13">
        <v>0.04</v>
      </c>
      <c r="K271" s="13">
        <v>16.78</v>
      </c>
      <c r="L271" s="13">
        <v>0.8</v>
      </c>
      <c r="M271" s="13">
        <v>18.28</v>
      </c>
      <c r="N271" s="13">
        <v>34.880000000000003</v>
      </c>
      <c r="O27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48.74</v>
      </c>
      <c r="R271" s="13">
        <v>6.75</v>
      </c>
      <c r="S271" s="13">
        <v>5.41</v>
      </c>
      <c r="T271" s="13">
        <v>52.96</v>
      </c>
      <c r="AB271" s="13">
        <v>30.96</v>
      </c>
      <c r="AC271" s="13">
        <v>2.34</v>
      </c>
      <c r="AD271" s="13">
        <v>63.62</v>
      </c>
      <c r="AE271" s="13">
        <v>2.67</v>
      </c>
      <c r="AF271" s="13">
        <v>0.41</v>
      </c>
      <c r="AH271" s="13">
        <v>12.007999999999999</v>
      </c>
      <c r="AI271" s="13">
        <v>0.1</v>
      </c>
      <c r="AJ271" s="13">
        <v>9</v>
      </c>
      <c r="AK271" s="13">
        <v>51</v>
      </c>
      <c r="AL271" s="13">
        <f>Table26[[#This Row],[Solids (g)]]/(Table26[[#This Row],[Solids (g)]]+Table26[[#This Row],[Water mL]])*100</f>
        <v>15</v>
      </c>
      <c r="AS271" s="13">
        <v>30</v>
      </c>
      <c r="AT271" s="13" t="e">
        <f>LN(25/Table26[[#This Row],[Temperature (C)]]/(1-SQRT((Table26[[#This Row],[Temperature (C)]]-5)/Table26[[#This Row],[Temperature (C)]])))/Table26[[#This Row],[b]]</f>
        <v>#DIV/0!</v>
      </c>
      <c r="AU271" s="13">
        <f>IF(Table26[[#This Row],[b]]&lt;&gt;"",Table26[[#This Row],[T-5]], 0)</f>
        <v>0</v>
      </c>
      <c r="AV271" s="13">
        <f>Table26[[#This Row],[Holding Time (min)]]+Table26[[#This Row],[Heating time]]</f>
        <v>30</v>
      </c>
      <c r="AW271" s="13">
        <v>340</v>
      </c>
      <c r="AY271" t="s">
        <v>503</v>
      </c>
      <c r="AZ271" s="13">
        <v>41.285714285714199</v>
      </c>
      <c r="BA271" s="13">
        <v>18.571428571428498</v>
      </c>
      <c r="BB271" s="13">
        <v>9.7142857142856993</v>
      </c>
      <c r="BC271" s="13">
        <v>30.571428571428498</v>
      </c>
      <c r="BE271" s="13" t="s">
        <v>506</v>
      </c>
      <c r="BI271" s="13">
        <v>75.7</v>
      </c>
      <c r="BJ271" s="13">
        <v>8.3699999999999992</v>
      </c>
      <c r="BK271" s="13">
        <v>11.6</v>
      </c>
      <c r="BL271" s="13">
        <v>4.05</v>
      </c>
      <c r="BM271" s="13">
        <v>0.28000000000000003</v>
      </c>
      <c r="BN271" s="13">
        <v>33.6</v>
      </c>
      <c r="BP271" s="13">
        <v>54.885714285714201</v>
      </c>
      <c r="BQ271" s="13" t="s">
        <v>506</v>
      </c>
      <c r="CV271" s="13">
        <v>0</v>
      </c>
    </row>
    <row r="272" spans="1:100" x14ac:dyDescent="0.25">
      <c r="A272" t="s">
        <v>331</v>
      </c>
      <c r="B272" t="s">
        <v>334</v>
      </c>
      <c r="C272">
        <v>2021</v>
      </c>
      <c r="D272" t="s">
        <v>333</v>
      </c>
      <c r="E272">
        <v>1</v>
      </c>
      <c r="F272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12.879999999999999</v>
      </c>
      <c r="I272" s="13">
        <v>12.84</v>
      </c>
      <c r="J272" s="13">
        <v>0.04</v>
      </c>
      <c r="K272" s="13">
        <v>16.78</v>
      </c>
      <c r="L272" s="13">
        <v>0.8</v>
      </c>
      <c r="M272" s="13">
        <v>18.28</v>
      </c>
      <c r="N272" s="13">
        <v>34.880000000000003</v>
      </c>
      <c r="O27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48.74</v>
      </c>
      <c r="R272" s="13">
        <v>6.75</v>
      </c>
      <c r="S272" s="13">
        <v>5.41</v>
      </c>
      <c r="T272" s="13">
        <v>52.96</v>
      </c>
      <c r="AB272" s="13">
        <v>30.96</v>
      </c>
      <c r="AC272" s="13">
        <v>2.34</v>
      </c>
      <c r="AD272" s="13">
        <v>63.62</v>
      </c>
      <c r="AE272" s="13">
        <v>2.67</v>
      </c>
      <c r="AF272" s="13">
        <v>0.41</v>
      </c>
      <c r="AH272" s="13">
        <v>12.007999999999999</v>
      </c>
      <c r="AI272" s="13">
        <v>0.1</v>
      </c>
      <c r="AJ272" s="13">
        <v>9</v>
      </c>
      <c r="AK272" s="13">
        <v>51</v>
      </c>
      <c r="AL272" s="13">
        <f>Table26[[#This Row],[Solids (g)]]/(Table26[[#This Row],[Solids (g)]]+Table26[[#This Row],[Water mL]])*100</f>
        <v>15</v>
      </c>
      <c r="AS272" s="13">
        <v>30</v>
      </c>
      <c r="AT272" s="13" t="e">
        <f>LN(25/Table26[[#This Row],[Temperature (C)]]/(1-SQRT((Table26[[#This Row],[Temperature (C)]]-5)/Table26[[#This Row],[Temperature (C)]])))/Table26[[#This Row],[b]]</f>
        <v>#DIV/0!</v>
      </c>
      <c r="AU272" s="13">
        <f>IF(Table26[[#This Row],[b]]&lt;&gt;"",Table26[[#This Row],[T-5]], 0)</f>
        <v>0</v>
      </c>
      <c r="AV272" s="13">
        <f>Table26[[#This Row],[Holding Time (min)]]+Table26[[#This Row],[Heating time]]</f>
        <v>30</v>
      </c>
      <c r="AW272" s="13">
        <v>360</v>
      </c>
      <c r="AY272" t="s">
        <v>503</v>
      </c>
      <c r="AZ272" s="13">
        <v>39.714285714285701</v>
      </c>
      <c r="BA272" s="13">
        <v>19.285714285714199</v>
      </c>
      <c r="BB272" s="13">
        <v>8.5714285714285605</v>
      </c>
      <c r="BC272" s="13">
        <v>32.285714285714199</v>
      </c>
      <c r="BE272" s="13" t="s">
        <v>506</v>
      </c>
      <c r="BI272" s="13">
        <v>73.86</v>
      </c>
      <c r="BJ272" s="13">
        <v>8.32</v>
      </c>
      <c r="BK272" s="13">
        <v>14.44</v>
      </c>
      <c r="BL272" s="13">
        <v>3.12</v>
      </c>
      <c r="BM272" s="13">
        <v>0.26</v>
      </c>
      <c r="BN272" s="13">
        <v>33.827027027027</v>
      </c>
      <c r="BP272" s="13">
        <v>55.1142857142856</v>
      </c>
      <c r="BQ272" s="13" t="s">
        <v>506</v>
      </c>
      <c r="CV272" s="13">
        <v>0</v>
      </c>
    </row>
    <row r="273" spans="1:100" x14ac:dyDescent="0.25">
      <c r="A273" t="s">
        <v>331</v>
      </c>
      <c r="B273" t="s">
        <v>334</v>
      </c>
      <c r="C273">
        <v>2021</v>
      </c>
      <c r="D273" t="s">
        <v>335</v>
      </c>
      <c r="E273">
        <v>1</v>
      </c>
      <c r="F273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46.875</v>
      </c>
      <c r="I273" s="13">
        <f t="shared" ref="I273:N276" si="2">0.5*I269+0.5*I265</f>
        <v>24.020000000000003</v>
      </c>
      <c r="J273" s="13">
        <f t="shared" si="2"/>
        <v>22.855</v>
      </c>
      <c r="K273" s="13">
        <f t="shared" si="2"/>
        <v>8.39</v>
      </c>
      <c r="L273" s="13">
        <f t="shared" si="2"/>
        <v>0.4</v>
      </c>
      <c r="M273" s="13">
        <f t="shared" si="2"/>
        <v>12.56</v>
      </c>
      <c r="N273" s="13">
        <f t="shared" si="2"/>
        <v>19.565000000000001</v>
      </c>
      <c r="O27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68.224999999999994</v>
      </c>
      <c r="R273" s="13">
        <f t="shared" ref="R273:T276" si="3">0.5*R269+0.5*R265</f>
        <v>4.8949999999999996</v>
      </c>
      <c r="S273" s="13">
        <f t="shared" si="3"/>
        <v>9.9</v>
      </c>
      <c r="T273" s="13">
        <f t="shared" si="3"/>
        <v>65.64</v>
      </c>
      <c r="AB273" s="13">
        <f t="shared" ref="AB273:AF276" si="4">0.5*AB269+0.5*AB265</f>
        <v>37.534999999999997</v>
      </c>
      <c r="AC273" s="13">
        <f t="shared" si="4"/>
        <v>5.16</v>
      </c>
      <c r="AD273" s="13">
        <f t="shared" si="4"/>
        <v>55.185000000000002</v>
      </c>
      <c r="AE273" s="13">
        <f t="shared" si="4"/>
        <v>1.6850000000000001</v>
      </c>
      <c r="AF273" s="13">
        <f t="shared" si="4"/>
        <v>0.435</v>
      </c>
      <c r="AH273" s="13">
        <f>0.5*AH269+0.5*AH265</f>
        <v>14.6135</v>
      </c>
      <c r="AI273" s="13">
        <v>0.1</v>
      </c>
      <c r="AJ273" s="13">
        <v>9</v>
      </c>
      <c r="AK273" s="13">
        <v>51</v>
      </c>
      <c r="AL273" s="13">
        <f>Table26[[#This Row],[Solids (g)]]/(Table26[[#This Row],[Solids (g)]]+Table26[[#This Row],[Water mL]])*100</f>
        <v>15</v>
      </c>
      <c r="AS273" s="13">
        <v>30</v>
      </c>
      <c r="AT273" s="13" t="e">
        <f>LN(25/Table26[[#This Row],[Temperature (C)]]/(1-SQRT((Table26[[#This Row],[Temperature (C)]]-5)/Table26[[#This Row],[Temperature (C)]])))/Table26[[#This Row],[b]]</f>
        <v>#DIV/0!</v>
      </c>
      <c r="AU273" s="13">
        <f>IF(Table26[[#This Row],[b]]&lt;&gt;"",Table26[[#This Row],[T-5]], 0)</f>
        <v>0</v>
      </c>
      <c r="AV273" s="13">
        <f>Table26[[#This Row],[Holding Time (min)]]+Table26[[#This Row],[Heating time]]</f>
        <v>30</v>
      </c>
      <c r="AW273" s="13">
        <v>300</v>
      </c>
      <c r="AY273" t="s">
        <v>503</v>
      </c>
      <c r="AZ273" s="13">
        <v>32.521489971346703</v>
      </c>
      <c r="BA273" s="13">
        <v>20.057306590257902</v>
      </c>
      <c r="BB273" s="13">
        <v>15.7593123209169</v>
      </c>
      <c r="BC273" s="13">
        <v>32.234957020057301</v>
      </c>
      <c r="BE273" s="13" t="s">
        <v>506</v>
      </c>
      <c r="BI273" s="13">
        <v>71.11</v>
      </c>
      <c r="BJ273" s="13">
        <v>7.68</v>
      </c>
      <c r="BK273" s="13">
        <v>19.079999999999998</v>
      </c>
      <c r="BL273" s="13">
        <v>1.76</v>
      </c>
      <c r="BM273" s="13">
        <v>0.37</v>
      </c>
      <c r="BN273" s="13">
        <v>31.935135135135098</v>
      </c>
      <c r="BP273" s="13">
        <v>43.857142857142797</v>
      </c>
      <c r="BQ273" s="13" t="s">
        <v>506</v>
      </c>
      <c r="CV273" s="13">
        <v>0</v>
      </c>
    </row>
    <row r="274" spans="1:100" x14ac:dyDescent="0.25">
      <c r="A274" t="s">
        <v>331</v>
      </c>
      <c r="B274" t="s">
        <v>334</v>
      </c>
      <c r="C274">
        <v>2021</v>
      </c>
      <c r="D274" t="s">
        <v>335</v>
      </c>
      <c r="E274">
        <v>1</v>
      </c>
      <c r="F274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46.875</v>
      </c>
      <c r="I274" s="13">
        <f t="shared" si="2"/>
        <v>24.020000000000003</v>
      </c>
      <c r="J274" s="13">
        <f t="shared" si="2"/>
        <v>22.855</v>
      </c>
      <c r="K274" s="13">
        <f t="shared" si="2"/>
        <v>8.39</v>
      </c>
      <c r="L274" s="13">
        <f t="shared" si="2"/>
        <v>0.4</v>
      </c>
      <c r="M274" s="13">
        <f t="shared" si="2"/>
        <v>12.56</v>
      </c>
      <c r="N274" s="13">
        <f t="shared" si="2"/>
        <v>19.565000000000001</v>
      </c>
      <c r="O27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68.224999999999994</v>
      </c>
      <c r="R274" s="13">
        <f t="shared" si="3"/>
        <v>4.8949999999999996</v>
      </c>
      <c r="S274" s="13">
        <f t="shared" si="3"/>
        <v>9.9</v>
      </c>
      <c r="T274" s="13">
        <f t="shared" si="3"/>
        <v>65.64</v>
      </c>
      <c r="AB274" s="13">
        <f t="shared" si="4"/>
        <v>37.534999999999997</v>
      </c>
      <c r="AC274" s="13">
        <f t="shared" si="4"/>
        <v>5.16</v>
      </c>
      <c r="AD274" s="13">
        <f t="shared" si="4"/>
        <v>55.185000000000002</v>
      </c>
      <c r="AE274" s="13">
        <f t="shared" si="4"/>
        <v>1.6850000000000001</v>
      </c>
      <c r="AF274" s="13">
        <f t="shared" si="4"/>
        <v>0.435</v>
      </c>
      <c r="AH274" s="13">
        <f>0.5*AH270+0.5*AH266</f>
        <v>14.6135</v>
      </c>
      <c r="AI274" s="13">
        <v>0.1</v>
      </c>
      <c r="AJ274" s="13">
        <v>9</v>
      </c>
      <c r="AK274" s="13">
        <v>51</v>
      </c>
      <c r="AL274" s="13">
        <f>Table26[[#This Row],[Solids (g)]]/(Table26[[#This Row],[Solids (g)]]+Table26[[#This Row],[Water mL]])*100</f>
        <v>15</v>
      </c>
      <c r="AS274" s="13">
        <v>30</v>
      </c>
      <c r="AT274" s="13" t="e">
        <f>LN(25/Table26[[#This Row],[Temperature (C)]]/(1-SQRT((Table26[[#This Row],[Temperature (C)]]-5)/Table26[[#This Row],[Temperature (C)]])))/Table26[[#This Row],[b]]</f>
        <v>#DIV/0!</v>
      </c>
      <c r="AU274" s="13">
        <f>IF(Table26[[#This Row],[b]]&lt;&gt;"",Table26[[#This Row],[T-5]], 0)</f>
        <v>0</v>
      </c>
      <c r="AV274" s="13">
        <f>Table26[[#This Row],[Holding Time (min)]]+Table26[[#This Row],[Heating time]]</f>
        <v>30</v>
      </c>
      <c r="AW274" s="13">
        <v>320</v>
      </c>
      <c r="AY274" t="s">
        <v>503</v>
      </c>
      <c r="AZ274" s="13">
        <v>28.653295128939799</v>
      </c>
      <c r="BA274" s="13">
        <v>19.627507163323699</v>
      </c>
      <c r="BB274" s="13">
        <v>15.3295128939828</v>
      </c>
      <c r="BC274" s="13">
        <v>35.959885386819401</v>
      </c>
      <c r="BE274" s="13" t="s">
        <v>506</v>
      </c>
      <c r="BI274" s="13">
        <v>72.709999999999994</v>
      </c>
      <c r="BJ274" s="13">
        <v>8</v>
      </c>
      <c r="BK274" s="13">
        <v>16.47</v>
      </c>
      <c r="BL274" s="13">
        <v>2.38</v>
      </c>
      <c r="BM274" s="13">
        <v>0.44</v>
      </c>
      <c r="BN274" s="13">
        <v>33.4675675675675</v>
      </c>
      <c r="BP274" s="13">
        <v>45.399999999999899</v>
      </c>
      <c r="BQ274" s="13" t="s">
        <v>506</v>
      </c>
      <c r="CV274" s="13">
        <v>0</v>
      </c>
    </row>
    <row r="275" spans="1:100" x14ac:dyDescent="0.25">
      <c r="A275" t="s">
        <v>331</v>
      </c>
      <c r="B275" t="s">
        <v>334</v>
      </c>
      <c r="C275">
        <v>2021</v>
      </c>
      <c r="D275" t="s">
        <v>335</v>
      </c>
      <c r="E275">
        <v>1</v>
      </c>
      <c r="F275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46.875</v>
      </c>
      <c r="I275" s="13">
        <f t="shared" si="2"/>
        <v>24.020000000000003</v>
      </c>
      <c r="J275" s="13">
        <f t="shared" si="2"/>
        <v>22.855</v>
      </c>
      <c r="K275" s="13">
        <f t="shared" si="2"/>
        <v>8.39</v>
      </c>
      <c r="L275" s="13">
        <f t="shared" si="2"/>
        <v>0.4</v>
      </c>
      <c r="M275" s="13">
        <f t="shared" si="2"/>
        <v>12.56</v>
      </c>
      <c r="N275" s="13">
        <f t="shared" si="2"/>
        <v>19.565000000000001</v>
      </c>
      <c r="O27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68.224999999999994</v>
      </c>
      <c r="R275" s="13">
        <f t="shared" si="3"/>
        <v>4.8949999999999996</v>
      </c>
      <c r="S275" s="13">
        <f t="shared" si="3"/>
        <v>9.9</v>
      </c>
      <c r="T275" s="13">
        <f t="shared" si="3"/>
        <v>65.64</v>
      </c>
      <c r="AB275" s="13">
        <f t="shared" si="4"/>
        <v>37.534999999999997</v>
      </c>
      <c r="AC275" s="13">
        <f t="shared" si="4"/>
        <v>5.16</v>
      </c>
      <c r="AD275" s="13">
        <f t="shared" si="4"/>
        <v>55.185000000000002</v>
      </c>
      <c r="AE275" s="13">
        <f t="shared" si="4"/>
        <v>1.6850000000000001</v>
      </c>
      <c r="AF275" s="13">
        <f t="shared" si="4"/>
        <v>0.435</v>
      </c>
      <c r="AH275" s="13">
        <f>0.5*AH271+0.5*AH267</f>
        <v>14.6135</v>
      </c>
      <c r="AI275" s="13">
        <v>0.1</v>
      </c>
      <c r="AJ275" s="13">
        <v>9</v>
      </c>
      <c r="AK275" s="13">
        <v>51</v>
      </c>
      <c r="AL275" s="13">
        <f>Table26[[#This Row],[Solids (g)]]/(Table26[[#This Row],[Solids (g)]]+Table26[[#This Row],[Water mL]])*100</f>
        <v>15</v>
      </c>
      <c r="AS275" s="13">
        <v>30</v>
      </c>
      <c r="AT275" s="13" t="e">
        <f>LN(25/Table26[[#This Row],[Temperature (C)]]/(1-SQRT((Table26[[#This Row],[Temperature (C)]]-5)/Table26[[#This Row],[Temperature (C)]])))/Table26[[#This Row],[b]]</f>
        <v>#DIV/0!</v>
      </c>
      <c r="AU275" s="13">
        <f>IF(Table26[[#This Row],[b]]&lt;&gt;"",Table26[[#This Row],[T-5]], 0)</f>
        <v>0</v>
      </c>
      <c r="AV275" s="13">
        <f>Table26[[#This Row],[Holding Time (min)]]+Table26[[#This Row],[Heating time]]</f>
        <v>30</v>
      </c>
      <c r="AW275" s="13">
        <v>340</v>
      </c>
      <c r="AY275" t="s">
        <v>503</v>
      </c>
      <c r="AZ275" s="13">
        <v>26.217765042979899</v>
      </c>
      <c r="BA275" s="13">
        <v>19.914040114613201</v>
      </c>
      <c r="BB275" s="13">
        <v>11.7478510028653</v>
      </c>
      <c r="BC275" s="13">
        <v>42.4068767908309</v>
      </c>
      <c r="BE275" s="13" t="s">
        <v>506</v>
      </c>
      <c r="BI275" s="13">
        <v>74.11</v>
      </c>
      <c r="BJ275" s="13">
        <v>8.0299999999999994</v>
      </c>
      <c r="BK275" s="13">
        <v>15.03</v>
      </c>
      <c r="BL275" s="13">
        <v>2.4500000000000002</v>
      </c>
      <c r="BM275" s="13">
        <v>0.38</v>
      </c>
      <c r="BN275" s="13">
        <v>34.205405405405401</v>
      </c>
      <c r="BP275" s="13">
        <v>46.485714285714202</v>
      </c>
      <c r="BQ275" s="13" t="s">
        <v>506</v>
      </c>
      <c r="CV275" s="13">
        <v>0</v>
      </c>
    </row>
    <row r="276" spans="1:100" x14ac:dyDescent="0.25">
      <c r="A276" t="s">
        <v>331</v>
      </c>
      <c r="B276" t="s">
        <v>334</v>
      </c>
      <c r="C276">
        <v>2021</v>
      </c>
      <c r="D276" t="s">
        <v>335</v>
      </c>
      <c r="E276">
        <v>1</v>
      </c>
      <c r="F276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46.875</v>
      </c>
      <c r="I276" s="13">
        <f t="shared" si="2"/>
        <v>24.020000000000003</v>
      </c>
      <c r="J276" s="13">
        <f t="shared" si="2"/>
        <v>22.855</v>
      </c>
      <c r="K276" s="13">
        <f t="shared" si="2"/>
        <v>8.39</v>
      </c>
      <c r="L276" s="13">
        <f t="shared" si="2"/>
        <v>0.4</v>
      </c>
      <c r="M276" s="13">
        <f t="shared" si="2"/>
        <v>12.56</v>
      </c>
      <c r="N276" s="13">
        <f t="shared" si="2"/>
        <v>19.565000000000001</v>
      </c>
      <c r="O27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68.224999999999994</v>
      </c>
      <c r="R276" s="13">
        <f t="shared" si="3"/>
        <v>4.8949999999999996</v>
      </c>
      <c r="S276" s="13">
        <f t="shared" si="3"/>
        <v>9.9</v>
      </c>
      <c r="T276" s="13">
        <f t="shared" si="3"/>
        <v>65.64</v>
      </c>
      <c r="AB276" s="13">
        <f t="shared" si="4"/>
        <v>37.534999999999997</v>
      </c>
      <c r="AC276" s="13">
        <f t="shared" si="4"/>
        <v>5.16</v>
      </c>
      <c r="AD276" s="13">
        <f t="shared" si="4"/>
        <v>55.185000000000002</v>
      </c>
      <c r="AE276" s="13">
        <f t="shared" si="4"/>
        <v>1.6850000000000001</v>
      </c>
      <c r="AF276" s="13">
        <f t="shared" si="4"/>
        <v>0.435</v>
      </c>
      <c r="AH276" s="13">
        <f>0.5*AH272+0.5*AH268</f>
        <v>14.6135</v>
      </c>
      <c r="AI276" s="13">
        <v>0.1</v>
      </c>
      <c r="AJ276" s="13">
        <v>9</v>
      </c>
      <c r="AK276" s="13">
        <v>51</v>
      </c>
      <c r="AL276" s="13">
        <f>Table26[[#This Row],[Solids (g)]]/(Table26[[#This Row],[Solids (g)]]+Table26[[#This Row],[Water mL]])*100</f>
        <v>15</v>
      </c>
      <c r="AS276" s="13">
        <v>30</v>
      </c>
      <c r="AT276" s="13" t="e">
        <f>LN(25/Table26[[#This Row],[Temperature (C)]]/(1-SQRT((Table26[[#This Row],[Temperature (C)]]-5)/Table26[[#This Row],[Temperature (C)]])))/Table26[[#This Row],[b]]</f>
        <v>#DIV/0!</v>
      </c>
      <c r="AU276" s="13">
        <f>IF(Table26[[#This Row],[b]]&lt;&gt;"",Table26[[#This Row],[T-5]], 0)</f>
        <v>0</v>
      </c>
      <c r="AV276" s="13">
        <f>Table26[[#This Row],[Holding Time (min)]]+Table26[[#This Row],[Heating time]]</f>
        <v>30</v>
      </c>
      <c r="AW276" s="13">
        <v>360</v>
      </c>
      <c r="AY276" t="s">
        <v>503</v>
      </c>
      <c r="AZ276" s="13">
        <v>24.9283667621776</v>
      </c>
      <c r="BA276" s="13">
        <v>20.3438395415473</v>
      </c>
      <c r="BB276" s="13">
        <v>10.458452722063001</v>
      </c>
      <c r="BC276" s="13">
        <v>44.126074498567299</v>
      </c>
      <c r="BE276" s="13" t="s">
        <v>506</v>
      </c>
      <c r="BI276" s="13">
        <v>74.19</v>
      </c>
      <c r="BJ276" s="13">
        <v>8.0500000000000007</v>
      </c>
      <c r="BK276" s="13">
        <v>15.23</v>
      </c>
      <c r="BL276" s="13">
        <v>2.21</v>
      </c>
      <c r="BM276" s="13">
        <v>0.32</v>
      </c>
      <c r="BN276" s="13">
        <v>34.243243243243199</v>
      </c>
      <c r="BP276" s="13">
        <v>47.457142857142799</v>
      </c>
      <c r="BQ276" s="13" t="s">
        <v>506</v>
      </c>
      <c r="CV276" s="13">
        <v>0</v>
      </c>
    </row>
    <row r="277" spans="1:100" x14ac:dyDescent="0.25">
      <c r="A277" s="1" t="s">
        <v>339</v>
      </c>
      <c r="B277" t="s">
        <v>338</v>
      </c>
      <c r="C277">
        <v>2022</v>
      </c>
      <c r="D277" t="s">
        <v>337</v>
      </c>
      <c r="E277">
        <v>1</v>
      </c>
      <c r="F27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54.47</v>
      </c>
      <c r="G277" s="13">
        <v>54.47</v>
      </c>
      <c r="K277" s="13">
        <v>12.85</v>
      </c>
      <c r="L277" s="13">
        <v>5.22</v>
      </c>
      <c r="N277" s="13">
        <v>1.83</v>
      </c>
      <c r="O27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72.539999999999992</v>
      </c>
      <c r="R277" s="13">
        <v>91.93</v>
      </c>
      <c r="S277" s="13">
        <v>1.85</v>
      </c>
      <c r="T277" s="13">
        <v>4.37</v>
      </c>
      <c r="AB277" s="13">
        <v>35.630000000000003</v>
      </c>
      <c r="AC277" s="13">
        <v>5.21</v>
      </c>
      <c r="AD277" s="13">
        <v>33.53</v>
      </c>
      <c r="AE277" s="13">
        <v>2.0499999999999998</v>
      </c>
      <c r="AH277" s="13">
        <v>14.23</v>
      </c>
      <c r="AI277" s="13">
        <v>0.01</v>
      </c>
      <c r="AL277" s="13">
        <v>8</v>
      </c>
      <c r="AS277" s="13">
        <v>60</v>
      </c>
      <c r="AT277" s="13" t="e">
        <f>LN(25/Table26[[#This Row],[Temperature (C)]]/(1-SQRT((Table26[[#This Row],[Temperature (C)]]-5)/Table26[[#This Row],[Temperature (C)]])))/Table26[[#This Row],[b]]</f>
        <v>#DIV/0!</v>
      </c>
      <c r="AU277" s="13">
        <f>IF(Table26[[#This Row],[b]]&lt;&gt;"",Table26[[#This Row],[T-5]], 0)</f>
        <v>0</v>
      </c>
      <c r="AV277" s="13">
        <f>Table26[[#This Row],[Holding Time (min)]]+Table26[[#This Row],[Heating time]]</f>
        <v>60</v>
      </c>
      <c r="AW277" s="13">
        <v>300</v>
      </c>
      <c r="AY277" t="s">
        <v>503</v>
      </c>
      <c r="AZ277" s="13">
        <v>66.334440753045399</v>
      </c>
      <c r="BA277" s="13">
        <v>30.121816168327701</v>
      </c>
      <c r="BD277" s="13">
        <v>88.925802879291197</v>
      </c>
      <c r="BE277" s="13" t="s">
        <v>506</v>
      </c>
      <c r="BI277" s="13">
        <v>59.59</v>
      </c>
      <c r="BJ277" s="13">
        <v>9.01</v>
      </c>
      <c r="BK277" s="13">
        <v>30.78</v>
      </c>
      <c r="BL277" s="13">
        <v>0.62</v>
      </c>
      <c r="BN277" s="13">
        <v>27.5</v>
      </c>
      <c r="BQ277" s="13" t="s">
        <v>506</v>
      </c>
      <c r="CV277" s="13">
        <v>0</v>
      </c>
    </row>
    <row r="278" spans="1:100" x14ac:dyDescent="0.25">
      <c r="A278" t="s">
        <v>339</v>
      </c>
      <c r="B278" t="s">
        <v>338</v>
      </c>
      <c r="C278">
        <v>2022</v>
      </c>
      <c r="D278" t="s">
        <v>340</v>
      </c>
      <c r="E278">
        <v>1</v>
      </c>
      <c r="F278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43.964999999999996</v>
      </c>
      <c r="G278" s="13">
        <f>0.75*G277+0.25*G281</f>
        <v>43.964999999999996</v>
      </c>
      <c r="K278" s="13">
        <f>0.75*K277+0.25*K281</f>
        <v>14.524999999999999</v>
      </c>
      <c r="L278" s="13">
        <f>0.75*L277+0.25*L281</f>
        <v>8.2424999999999997</v>
      </c>
      <c r="N278" s="13">
        <f>0.75*N277+0.25*N281</f>
        <v>2.5550000000000002</v>
      </c>
      <c r="O27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66.732499999999987</v>
      </c>
      <c r="R278" s="13">
        <f>0.75*R277+0.25*R281</f>
        <v>90.98</v>
      </c>
      <c r="S278" s="13">
        <f>0.75*S277+0.25*S281</f>
        <v>1.5225000000000002</v>
      </c>
      <c r="T278" s="13">
        <f>0.75*T277+0.25*T281</f>
        <v>4.9249999999999998</v>
      </c>
      <c r="AB278" s="13">
        <f>0.75*AB277+0.25*AB281</f>
        <v>33.610000000000007</v>
      </c>
      <c r="AC278" s="13">
        <f>0.75*AC277+0.25*AC281</f>
        <v>4.9049999999999994</v>
      </c>
      <c r="AD278" s="13">
        <f>0.75*AD277+0.25*AD281</f>
        <v>32.035000000000004</v>
      </c>
      <c r="AE278" s="13">
        <f>0.75*AE277+0.25*AE281</f>
        <v>1.8449999999999998</v>
      </c>
      <c r="AH278" s="13">
        <f>0.75*AH277+0.25*AH281</f>
        <v>13.285</v>
      </c>
      <c r="AI278" s="13">
        <v>0.01</v>
      </c>
      <c r="AL278" s="13">
        <v>10</v>
      </c>
      <c r="AS278" s="13">
        <v>60</v>
      </c>
      <c r="AT278" s="13" t="e">
        <f>LN(25/Table26[[#This Row],[Temperature (C)]]/(1-SQRT((Table26[[#This Row],[Temperature (C)]]-5)/Table26[[#This Row],[Temperature (C)]])))/Table26[[#This Row],[b]]</f>
        <v>#DIV/0!</v>
      </c>
      <c r="AU278" s="13">
        <f>IF(Table26[[#This Row],[b]]&lt;&gt;"",Table26[[#This Row],[T-5]], 0)</f>
        <v>0</v>
      </c>
      <c r="AV278" s="13">
        <f>Table26[[#This Row],[Holding Time (min)]]+Table26[[#This Row],[Heating time]]</f>
        <v>60</v>
      </c>
      <c r="AW278" s="13">
        <v>300</v>
      </c>
      <c r="AY278" t="s">
        <v>503</v>
      </c>
      <c r="AZ278" s="13">
        <v>52.8239202657807</v>
      </c>
      <c r="BA278" s="13">
        <v>31.561461794019898</v>
      </c>
      <c r="BD278" s="13">
        <v>63.233665559246901</v>
      </c>
      <c r="BE278" s="13" t="s">
        <v>506</v>
      </c>
      <c r="BI278" s="13">
        <v>70.489999999999995</v>
      </c>
      <c r="BJ278" s="13">
        <v>10.43</v>
      </c>
      <c r="BK278" s="13">
        <v>17.8</v>
      </c>
      <c r="BL278" s="13">
        <v>1.28</v>
      </c>
      <c r="BN278" s="13">
        <v>35.51</v>
      </c>
      <c r="BQ278" s="13" t="s">
        <v>506</v>
      </c>
      <c r="CV278" s="13">
        <v>0</v>
      </c>
    </row>
    <row r="279" spans="1:100" x14ac:dyDescent="0.25">
      <c r="A279" t="s">
        <v>339</v>
      </c>
      <c r="B279" t="s">
        <v>338</v>
      </c>
      <c r="C279">
        <v>2022</v>
      </c>
      <c r="D279" t="s">
        <v>341</v>
      </c>
      <c r="E279">
        <v>1</v>
      </c>
      <c r="F279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33.46</v>
      </c>
      <c r="G279" s="13">
        <f>0.5*G277+0.5*G281</f>
        <v>33.46</v>
      </c>
      <c r="K279" s="13">
        <f>0.5*K277+0.5*K281</f>
        <v>16.2</v>
      </c>
      <c r="L279" s="13">
        <f>0.5*L277+0.5*L281</f>
        <v>11.264999999999999</v>
      </c>
      <c r="N279" s="13">
        <f>0.5*N277+0.5*N281</f>
        <v>3.2800000000000002</v>
      </c>
      <c r="O27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60.924999999999997</v>
      </c>
      <c r="R279" s="13">
        <f>0.5*R277+0.5*R281</f>
        <v>90.03</v>
      </c>
      <c r="S279" s="13">
        <f>0.5*S277+0.5*S281</f>
        <v>1.1950000000000001</v>
      </c>
      <c r="T279" s="13">
        <f>0.5*T277+0.5*T281</f>
        <v>5.48</v>
      </c>
      <c r="AB279" s="13">
        <f>0.5*AB277+0.5*AB281</f>
        <v>31.590000000000003</v>
      </c>
      <c r="AC279" s="13">
        <f>0.5*AC277+0.5*AC281</f>
        <v>4.5999999999999996</v>
      </c>
      <c r="AD279" s="13">
        <f>0.5*AD277+0.5*AD281</f>
        <v>30.54</v>
      </c>
      <c r="AE279" s="13">
        <f>0.5*AE277+0.5*AE281</f>
        <v>1.64</v>
      </c>
      <c r="AH279" s="13">
        <f>0.5*AH277+0.5*AH281</f>
        <v>12.34</v>
      </c>
      <c r="AI279" s="13">
        <v>0.01</v>
      </c>
      <c r="AL279" s="13">
        <v>10</v>
      </c>
      <c r="AS279" s="13">
        <v>60</v>
      </c>
      <c r="AT279" s="13" t="e">
        <f>LN(25/Table26[[#This Row],[Temperature (C)]]/(1-SQRT((Table26[[#This Row],[Temperature (C)]]-5)/Table26[[#This Row],[Temperature (C)]])))/Table26[[#This Row],[b]]</f>
        <v>#DIV/0!</v>
      </c>
      <c r="AU279" s="13">
        <f>IF(Table26[[#This Row],[b]]&lt;&gt;"",Table26[[#This Row],[T-5]], 0)</f>
        <v>0</v>
      </c>
      <c r="AV279" s="13">
        <f>Table26[[#This Row],[Holding Time (min)]]+Table26[[#This Row],[Heating time]]</f>
        <v>60</v>
      </c>
      <c r="AW279" s="13">
        <v>300</v>
      </c>
      <c r="AY279" t="s">
        <v>503</v>
      </c>
      <c r="AZ279" s="13">
        <v>45.293466223698701</v>
      </c>
      <c r="BA279" s="13">
        <v>44.739756367663297</v>
      </c>
      <c r="BD279" s="13">
        <v>58.582502768549197</v>
      </c>
      <c r="BE279" s="13">
        <v>16.5</v>
      </c>
      <c r="BI279" s="13">
        <v>70.010000000000005</v>
      </c>
      <c r="BJ279" s="13">
        <v>10.039999999999999</v>
      </c>
      <c r="BK279" s="13">
        <v>19.28</v>
      </c>
      <c r="BL279" s="13">
        <v>0.67</v>
      </c>
      <c r="BN279" s="13">
        <v>34.53</v>
      </c>
      <c r="BQ279" s="13">
        <v>10.782824796355101</v>
      </c>
      <c r="CV279" s="13">
        <v>0</v>
      </c>
    </row>
    <row r="280" spans="1:100" x14ac:dyDescent="0.25">
      <c r="A280" t="s">
        <v>339</v>
      </c>
      <c r="B280" t="s">
        <v>338</v>
      </c>
      <c r="C280">
        <v>2022</v>
      </c>
      <c r="D280" t="s">
        <v>342</v>
      </c>
      <c r="E280">
        <v>1</v>
      </c>
      <c r="F280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22.954999999999998</v>
      </c>
      <c r="G280" s="13">
        <f>0.25*G277+0.75*G281</f>
        <v>22.954999999999998</v>
      </c>
      <c r="K280" s="13">
        <f>0.25*K277+0.75*K281</f>
        <v>17.875</v>
      </c>
      <c r="L280" s="13">
        <f>0.25*L277+0.75*L281</f>
        <v>14.287499999999998</v>
      </c>
      <c r="N280" s="13">
        <f>0.25*N277+0.75*N281</f>
        <v>4.0050000000000008</v>
      </c>
      <c r="O28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55.117499999999993</v>
      </c>
      <c r="R280" s="13">
        <f>0.25*R277+0.75*R281</f>
        <v>89.08</v>
      </c>
      <c r="S280" s="13">
        <f>0.25*S277+0.75*S281</f>
        <v>0.86750000000000005</v>
      </c>
      <c r="T280" s="13">
        <f>0.25*T277+0.75*T281</f>
        <v>6.0350000000000001</v>
      </c>
      <c r="AB280" s="13">
        <f>0.25*AB277+0.75*AB281</f>
        <v>29.57</v>
      </c>
      <c r="AC280" s="13">
        <f>0.25*AC277+0.75*AC281</f>
        <v>4.2949999999999999</v>
      </c>
      <c r="AD280" s="13">
        <f>0.25*AD277+0.75*AD281</f>
        <v>29.045000000000002</v>
      </c>
      <c r="AE280" s="13">
        <f>0.25*AE277+0.75*AE281</f>
        <v>1.4350000000000001</v>
      </c>
      <c r="AH280" s="13">
        <f>0.25*AH277+0.75*AH281</f>
        <v>11.395</v>
      </c>
      <c r="AI280" s="13">
        <v>0.01</v>
      </c>
      <c r="AL280" s="13">
        <v>10</v>
      </c>
      <c r="AS280" s="13">
        <v>60</v>
      </c>
      <c r="AT280" s="13" t="e">
        <f>LN(25/Table26[[#This Row],[Temperature (C)]]/(1-SQRT((Table26[[#This Row],[Temperature (C)]]-5)/Table26[[#This Row],[Temperature (C)]])))/Table26[[#This Row],[b]]</f>
        <v>#DIV/0!</v>
      </c>
      <c r="AU280" s="13">
        <f>IF(Table26[[#This Row],[b]]&lt;&gt;"",Table26[[#This Row],[T-5]], 0)</f>
        <v>0</v>
      </c>
      <c r="AV280" s="13">
        <f>Table26[[#This Row],[Holding Time (min)]]+Table26[[#This Row],[Heating time]]</f>
        <v>60</v>
      </c>
      <c r="AW280" s="13">
        <v>300</v>
      </c>
      <c r="AY280" t="s">
        <v>503</v>
      </c>
      <c r="AZ280" s="13">
        <v>39.867109634551497</v>
      </c>
      <c r="BA280" s="13">
        <v>38.870431893687702</v>
      </c>
      <c r="BD280" s="13">
        <v>70.542635658914705</v>
      </c>
      <c r="BE280" s="13">
        <v>19.899999999999999</v>
      </c>
      <c r="BI280" s="13">
        <v>65.28</v>
      </c>
      <c r="BJ280" s="13">
        <v>9.4499999999999993</v>
      </c>
      <c r="BK280" s="13">
        <v>24.17</v>
      </c>
      <c r="BL280" s="13">
        <v>1.1000000000000001</v>
      </c>
      <c r="BN280" s="13">
        <v>31.22</v>
      </c>
      <c r="BQ280" s="13">
        <v>10.087479496992893</v>
      </c>
      <c r="CV280" s="13">
        <v>0</v>
      </c>
    </row>
    <row r="281" spans="1:100" x14ac:dyDescent="0.25">
      <c r="A281" t="s">
        <v>339</v>
      </c>
      <c r="B281" t="s">
        <v>338</v>
      </c>
      <c r="C281">
        <v>2022</v>
      </c>
      <c r="D281" t="s">
        <v>336</v>
      </c>
      <c r="E281">
        <v>1</v>
      </c>
      <c r="F281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12.45</v>
      </c>
      <c r="G281" s="13">
        <v>12.45</v>
      </c>
      <c r="K281" s="13">
        <v>19.55</v>
      </c>
      <c r="L281" s="13">
        <v>17.309999999999999</v>
      </c>
      <c r="N281" s="13">
        <v>4.7300000000000004</v>
      </c>
      <c r="O28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49.31</v>
      </c>
      <c r="R281" s="13">
        <v>88.13</v>
      </c>
      <c r="S281" s="13">
        <v>0.54</v>
      </c>
      <c r="T281" s="13">
        <v>6.59</v>
      </c>
      <c r="AB281" s="13">
        <v>27.55</v>
      </c>
      <c r="AC281" s="13">
        <v>3.99</v>
      </c>
      <c r="AD281" s="13">
        <v>27.55</v>
      </c>
      <c r="AE281" s="13">
        <v>1.23</v>
      </c>
      <c r="AH281" s="13">
        <v>10.45</v>
      </c>
      <c r="AI281" s="13">
        <v>0.01</v>
      </c>
      <c r="AL281" s="13">
        <v>10</v>
      </c>
      <c r="AS281" s="13">
        <v>60</v>
      </c>
      <c r="AT281" s="13" t="e">
        <f>LN(25/Table26[[#This Row],[Temperature (C)]]/(1-SQRT((Table26[[#This Row],[Temperature (C)]]-5)/Table26[[#This Row],[Temperature (C)]])))/Table26[[#This Row],[b]]</f>
        <v>#DIV/0!</v>
      </c>
      <c r="AU281" s="13">
        <f>IF(Table26[[#This Row],[b]]&lt;&gt;"",Table26[[#This Row],[T-5]], 0)</f>
        <v>0</v>
      </c>
      <c r="AV281" s="13">
        <f>Table26[[#This Row],[Holding Time (min)]]+Table26[[#This Row],[Heating time]]</f>
        <v>60</v>
      </c>
      <c r="AW281" s="13">
        <v>300</v>
      </c>
      <c r="AY281" t="s">
        <v>503</v>
      </c>
      <c r="AZ281" s="13">
        <v>38.427464008859303</v>
      </c>
      <c r="BA281" s="13">
        <v>33.665559246954601</v>
      </c>
      <c r="BD281" s="13">
        <v>88.3720930232558</v>
      </c>
      <c r="BE281" s="13">
        <v>19.7</v>
      </c>
      <c r="BI281" s="13">
        <v>59.89</v>
      </c>
      <c r="BJ281" s="13">
        <v>8.41</v>
      </c>
      <c r="BK281" s="13">
        <v>31.32</v>
      </c>
      <c r="BL281" s="13">
        <v>0.38</v>
      </c>
      <c r="BN281" s="13">
        <v>26.65</v>
      </c>
      <c r="BQ281" s="13">
        <v>10.952118877270225</v>
      </c>
      <c r="CV281" s="13">
        <v>0</v>
      </c>
    </row>
    <row r="282" spans="1:100" x14ac:dyDescent="0.25">
      <c r="A282" s="1" t="s">
        <v>343</v>
      </c>
      <c r="B282" t="s">
        <v>345</v>
      </c>
      <c r="C282">
        <v>2020</v>
      </c>
      <c r="D282" t="s">
        <v>344</v>
      </c>
      <c r="E282">
        <v>1</v>
      </c>
      <c r="F282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282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282" s="13">
        <v>97.8</v>
      </c>
      <c r="W282" s="13">
        <v>80.099999999999994</v>
      </c>
      <c r="X282" s="13">
        <v>3.8</v>
      </c>
      <c r="Y282" s="13">
        <v>15.4</v>
      </c>
      <c r="AB282" s="13">
        <v>46.5</v>
      </c>
      <c r="AC282" s="13">
        <v>6.99</v>
      </c>
      <c r="AD282" s="13">
        <v>33.299999999999997</v>
      </c>
      <c r="AE282" s="13">
        <v>2.14</v>
      </c>
      <c r="AF282" s="13">
        <v>0.85</v>
      </c>
      <c r="AH282" s="13">
        <v>19.2</v>
      </c>
      <c r="AI282" s="13">
        <v>4.1000000000000003E-3</v>
      </c>
      <c r="AT282" s="13" t="e">
        <f>LN(25/Table26[[#This Row],[Temperature (C)]]/(1-SQRT((Table26[[#This Row],[Temperature (C)]]-5)/Table26[[#This Row],[Temperature (C)]])))/Table26[[#This Row],[b]]</f>
        <v>#DIV/0!</v>
      </c>
      <c r="AU282" s="13">
        <f>IF(Table26[[#This Row],[b]]&lt;&gt;"",Table26[[#This Row],[T-5]], 0)</f>
        <v>0</v>
      </c>
      <c r="AV282" s="13">
        <v>1</v>
      </c>
      <c r="AW282" s="13">
        <v>199.3</v>
      </c>
      <c r="AY282" t="s">
        <v>503</v>
      </c>
      <c r="AZ282" s="13">
        <v>74.400000000000006</v>
      </c>
      <c r="BA282" s="13">
        <v>7.5</v>
      </c>
      <c r="BB282" s="13">
        <v>16.2</v>
      </c>
      <c r="BC282" s="13">
        <v>1.6</v>
      </c>
      <c r="BD282" s="13">
        <f>100-SUM(Table26[[#This Row],[Solids wt%]:[Gas wt%]])</f>
        <v>0.29999999999999716</v>
      </c>
      <c r="BE282" s="13">
        <v>22.9</v>
      </c>
      <c r="BQ282" s="13">
        <v>11.192584394023243</v>
      </c>
      <c r="CV282" s="13">
        <v>0</v>
      </c>
    </row>
    <row r="283" spans="1:100" x14ac:dyDescent="0.25">
      <c r="A283" t="s">
        <v>343</v>
      </c>
      <c r="B283" t="s">
        <v>345</v>
      </c>
      <c r="C283">
        <v>2020</v>
      </c>
      <c r="D283" t="s">
        <v>344</v>
      </c>
      <c r="E283">
        <v>1</v>
      </c>
      <c r="F283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283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283" s="13">
        <v>97.8</v>
      </c>
      <c r="W283" s="13">
        <v>80.099999999999994</v>
      </c>
      <c r="X283" s="13">
        <v>3.8</v>
      </c>
      <c r="Y283" s="13">
        <v>15.4</v>
      </c>
      <c r="AB283" s="13">
        <v>46.5</v>
      </c>
      <c r="AC283" s="13">
        <v>6.99</v>
      </c>
      <c r="AD283" s="13">
        <v>33.299999999999997</v>
      </c>
      <c r="AE283" s="13">
        <v>2.14</v>
      </c>
      <c r="AF283" s="13">
        <v>0.85</v>
      </c>
      <c r="AH283" s="13">
        <v>19.2</v>
      </c>
      <c r="AI283" s="13">
        <v>4.1000000000000003E-3</v>
      </c>
      <c r="AT283" s="13" t="e">
        <f>LN(25/Table26[[#This Row],[Temperature (C)]]/(1-SQRT((Table26[[#This Row],[Temperature (C)]]-5)/Table26[[#This Row],[Temperature (C)]])))/Table26[[#This Row],[b]]</f>
        <v>#DIV/0!</v>
      </c>
      <c r="AU283" s="13">
        <f>IF(Table26[[#This Row],[b]]&lt;&gt;"",Table26[[#This Row],[T-5]], 0)</f>
        <v>0</v>
      </c>
      <c r="AV283" s="13">
        <v>2</v>
      </c>
      <c r="AW283" s="13">
        <v>263.10000000000002</v>
      </c>
      <c r="AY283" t="s">
        <v>503</v>
      </c>
      <c r="AZ283" s="13">
        <v>65.8</v>
      </c>
      <c r="BA283" s="13">
        <v>9.4</v>
      </c>
      <c r="BB283" s="13">
        <v>18.8</v>
      </c>
      <c r="BC283" s="13">
        <v>2.9</v>
      </c>
      <c r="BD283" s="13">
        <f>100-SUM(Table26[[#This Row],[Solids wt%]:[Gas wt%]])</f>
        <v>3.0999999999999943</v>
      </c>
      <c r="BE283" s="13" t="s">
        <v>506</v>
      </c>
      <c r="BQ283" s="13" t="s">
        <v>506</v>
      </c>
      <c r="CV283" s="13">
        <v>0</v>
      </c>
    </row>
    <row r="284" spans="1:100" x14ac:dyDescent="0.25">
      <c r="A284" t="s">
        <v>343</v>
      </c>
      <c r="B284" t="s">
        <v>345</v>
      </c>
      <c r="C284">
        <v>2020</v>
      </c>
      <c r="D284" t="s">
        <v>344</v>
      </c>
      <c r="E284">
        <v>1</v>
      </c>
      <c r="F284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284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284" s="13">
        <v>97.8</v>
      </c>
      <c r="W284" s="13">
        <v>80.099999999999994</v>
      </c>
      <c r="X284" s="13">
        <v>3.8</v>
      </c>
      <c r="Y284" s="13">
        <v>15.4</v>
      </c>
      <c r="AB284" s="13">
        <v>46.5</v>
      </c>
      <c r="AC284" s="13">
        <v>6.99</v>
      </c>
      <c r="AD284" s="13">
        <v>33.299999999999997</v>
      </c>
      <c r="AE284" s="13">
        <v>2.14</v>
      </c>
      <c r="AF284" s="13">
        <v>0.85</v>
      </c>
      <c r="AH284" s="13">
        <v>19.2</v>
      </c>
      <c r="AI284" s="13">
        <v>4.1000000000000003E-3</v>
      </c>
      <c r="AT284" s="13" t="e">
        <f>LN(25/Table26[[#This Row],[Temperature (C)]]/(1-SQRT((Table26[[#This Row],[Temperature (C)]]-5)/Table26[[#This Row],[Temperature (C)]])))/Table26[[#This Row],[b]]</f>
        <v>#DIV/0!</v>
      </c>
      <c r="AU284" s="13">
        <f>IF(Table26[[#This Row],[b]]&lt;&gt;"",Table26[[#This Row],[T-5]], 0)</f>
        <v>0</v>
      </c>
      <c r="AV284" s="13">
        <v>3</v>
      </c>
      <c r="AW284" s="13">
        <v>285.7</v>
      </c>
      <c r="AY284" t="s">
        <v>503</v>
      </c>
      <c r="AZ284" s="13">
        <v>55.7</v>
      </c>
      <c r="BA284" s="13">
        <v>12.6</v>
      </c>
      <c r="BB284" s="13">
        <v>21.8</v>
      </c>
      <c r="BC284" s="13">
        <v>5.4</v>
      </c>
      <c r="BD284" s="13">
        <f>100-SUM(Table26[[#This Row],[Solids wt%]:[Gas wt%]])</f>
        <v>4.5</v>
      </c>
      <c r="BE284" s="13" t="s">
        <v>506</v>
      </c>
      <c r="BQ284" s="13" t="s">
        <v>506</v>
      </c>
      <c r="CV284" s="13">
        <v>0</v>
      </c>
    </row>
    <row r="285" spans="1:100" x14ac:dyDescent="0.25">
      <c r="A285" t="s">
        <v>343</v>
      </c>
      <c r="B285" t="s">
        <v>345</v>
      </c>
      <c r="C285">
        <v>2020</v>
      </c>
      <c r="D285" t="s">
        <v>344</v>
      </c>
      <c r="E285">
        <v>1</v>
      </c>
      <c r="F285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285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285" s="13">
        <v>97.8</v>
      </c>
      <c r="W285" s="13">
        <v>80.099999999999994</v>
      </c>
      <c r="X285" s="13">
        <v>3.8</v>
      </c>
      <c r="Y285" s="13">
        <v>15.4</v>
      </c>
      <c r="AB285" s="13">
        <v>46.5</v>
      </c>
      <c r="AC285" s="13">
        <v>6.99</v>
      </c>
      <c r="AD285" s="13">
        <v>33.299999999999997</v>
      </c>
      <c r="AE285" s="13">
        <v>2.14</v>
      </c>
      <c r="AF285" s="13">
        <v>0.85</v>
      </c>
      <c r="AH285" s="13">
        <v>19.2</v>
      </c>
      <c r="AI285" s="13">
        <v>4.1000000000000003E-3</v>
      </c>
      <c r="AT285" s="13" t="e">
        <f>LN(25/Table26[[#This Row],[Temperature (C)]]/(1-SQRT((Table26[[#This Row],[Temperature (C)]]-5)/Table26[[#This Row],[Temperature (C)]])))/Table26[[#This Row],[b]]</f>
        <v>#DIV/0!</v>
      </c>
      <c r="AU285" s="13">
        <f>IF(Table26[[#This Row],[b]]&lt;&gt;"",Table26[[#This Row],[T-5]], 0)</f>
        <v>0</v>
      </c>
      <c r="AV285" s="13">
        <v>4</v>
      </c>
      <c r="AW285" s="13">
        <v>293.5</v>
      </c>
      <c r="AY285" t="s">
        <v>503</v>
      </c>
      <c r="AZ285" s="13">
        <v>38.799999999999997</v>
      </c>
      <c r="BA285" s="13">
        <v>21.5</v>
      </c>
      <c r="BB285" s="13">
        <v>27.1</v>
      </c>
      <c r="BC285" s="13">
        <v>6.7</v>
      </c>
      <c r="BD285" s="13">
        <f>100-SUM(Table26[[#This Row],[Solids wt%]:[Gas wt%]])</f>
        <v>5.8999999999999915</v>
      </c>
      <c r="BE285" s="13" t="s">
        <v>506</v>
      </c>
      <c r="BQ285" s="13" t="s">
        <v>506</v>
      </c>
      <c r="CV285" s="13">
        <v>0</v>
      </c>
    </row>
    <row r="286" spans="1:100" x14ac:dyDescent="0.25">
      <c r="A286" t="s">
        <v>343</v>
      </c>
      <c r="B286" t="s">
        <v>345</v>
      </c>
      <c r="C286">
        <v>2020</v>
      </c>
      <c r="D286" t="s">
        <v>344</v>
      </c>
      <c r="E286">
        <v>1</v>
      </c>
      <c r="F286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286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286" s="13">
        <v>97.8</v>
      </c>
      <c r="W286" s="13">
        <v>80.099999999999994</v>
      </c>
      <c r="X286" s="13">
        <v>3.8</v>
      </c>
      <c r="Y286" s="13">
        <v>15.4</v>
      </c>
      <c r="AB286" s="13">
        <v>46.5</v>
      </c>
      <c r="AC286" s="13">
        <v>6.99</v>
      </c>
      <c r="AD286" s="13">
        <v>33.299999999999997</v>
      </c>
      <c r="AE286" s="13">
        <v>2.14</v>
      </c>
      <c r="AF286" s="13">
        <v>0.85</v>
      </c>
      <c r="AH286" s="13">
        <v>19.2</v>
      </c>
      <c r="AI286" s="13">
        <v>4.1000000000000003E-3</v>
      </c>
      <c r="AT286" s="13" t="e">
        <f>LN(25/Table26[[#This Row],[Temperature (C)]]/(1-SQRT((Table26[[#This Row],[Temperature (C)]]-5)/Table26[[#This Row],[Temperature (C)]])))/Table26[[#This Row],[b]]</f>
        <v>#DIV/0!</v>
      </c>
      <c r="AU286" s="13">
        <f>IF(Table26[[#This Row],[b]]&lt;&gt;"",Table26[[#This Row],[T-5]], 0)</f>
        <v>0</v>
      </c>
      <c r="AV286" s="13">
        <v>5</v>
      </c>
      <c r="AW286" s="13">
        <v>300</v>
      </c>
      <c r="AY286" t="s">
        <v>503</v>
      </c>
      <c r="AZ286" s="13">
        <v>31.8</v>
      </c>
      <c r="BA286" s="13">
        <v>24.5</v>
      </c>
      <c r="BB286" s="13">
        <v>29.3</v>
      </c>
      <c r="BC286" s="13">
        <v>7.5</v>
      </c>
      <c r="BD286" s="13">
        <f>100-SUM(Table26[[#This Row],[Solids wt%]:[Gas wt%]])</f>
        <v>6.9000000000000057</v>
      </c>
      <c r="BE286" s="13" t="s">
        <v>506</v>
      </c>
      <c r="BQ286" s="13" t="s">
        <v>506</v>
      </c>
      <c r="CV286" s="13">
        <v>0</v>
      </c>
    </row>
    <row r="287" spans="1:100" x14ac:dyDescent="0.25">
      <c r="A287" t="s">
        <v>343</v>
      </c>
      <c r="B287" t="s">
        <v>345</v>
      </c>
      <c r="C287">
        <v>2020</v>
      </c>
      <c r="D287" t="s">
        <v>344</v>
      </c>
      <c r="E287">
        <v>1</v>
      </c>
      <c r="F287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287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287" s="13">
        <v>97.8</v>
      </c>
      <c r="W287" s="13">
        <v>80.099999999999994</v>
      </c>
      <c r="X287" s="13">
        <v>3.8</v>
      </c>
      <c r="Y287" s="13">
        <v>15.4</v>
      </c>
      <c r="AB287" s="13">
        <v>46.5</v>
      </c>
      <c r="AC287" s="13">
        <v>6.99</v>
      </c>
      <c r="AD287" s="13">
        <v>33.299999999999997</v>
      </c>
      <c r="AE287" s="13">
        <v>2.14</v>
      </c>
      <c r="AF287" s="13">
        <v>0.85</v>
      </c>
      <c r="AH287" s="13">
        <v>19.2</v>
      </c>
      <c r="AI287" s="13">
        <v>4.1000000000000003E-3</v>
      </c>
      <c r="AT287" s="13" t="e">
        <f>LN(25/Table26[[#This Row],[Temperature (C)]]/(1-SQRT((Table26[[#This Row],[Temperature (C)]]-5)/Table26[[#This Row],[Temperature (C)]])))/Table26[[#This Row],[b]]</f>
        <v>#DIV/0!</v>
      </c>
      <c r="AU287" s="13">
        <f>IF(Table26[[#This Row],[b]]&lt;&gt;"",Table26[[#This Row],[T-5]], 0)</f>
        <v>0</v>
      </c>
      <c r="AV287" s="13">
        <v>10</v>
      </c>
      <c r="AW287" s="13">
        <v>300</v>
      </c>
      <c r="AY287" t="s">
        <v>503</v>
      </c>
      <c r="AZ287" s="13">
        <v>18.399999999999999</v>
      </c>
      <c r="BA287" s="13">
        <v>28.4</v>
      </c>
      <c r="BB287" s="13">
        <v>31.4</v>
      </c>
      <c r="BC287" s="13">
        <v>12.2</v>
      </c>
      <c r="BD287" s="13">
        <f>100-SUM(Table26[[#This Row],[Solids wt%]:[Gas wt%]])</f>
        <v>9.6000000000000085</v>
      </c>
      <c r="BE287" s="13" t="s">
        <v>506</v>
      </c>
      <c r="BQ287" s="13" t="s">
        <v>506</v>
      </c>
      <c r="CV287" s="13">
        <v>0</v>
      </c>
    </row>
    <row r="288" spans="1:100" x14ac:dyDescent="0.25">
      <c r="A288" t="s">
        <v>343</v>
      </c>
      <c r="B288" t="s">
        <v>345</v>
      </c>
      <c r="C288">
        <v>2020</v>
      </c>
      <c r="D288" t="s">
        <v>344</v>
      </c>
      <c r="E288">
        <v>1</v>
      </c>
      <c r="F288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288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288" s="13">
        <v>97.8</v>
      </c>
      <c r="W288" s="13">
        <v>80.099999999999994</v>
      </c>
      <c r="X288" s="13">
        <v>3.8</v>
      </c>
      <c r="Y288" s="13">
        <v>15.4</v>
      </c>
      <c r="AB288" s="13">
        <v>46.5</v>
      </c>
      <c r="AC288" s="13">
        <v>6.99</v>
      </c>
      <c r="AD288" s="13">
        <v>33.299999999999997</v>
      </c>
      <c r="AE288" s="13">
        <v>2.14</v>
      </c>
      <c r="AF288" s="13">
        <v>0.85</v>
      </c>
      <c r="AH288" s="13">
        <v>19.2</v>
      </c>
      <c r="AI288" s="13">
        <v>4.1000000000000003E-3</v>
      </c>
      <c r="AT288" s="13" t="e">
        <f>LN(25/Table26[[#This Row],[Temperature (C)]]/(1-SQRT((Table26[[#This Row],[Temperature (C)]]-5)/Table26[[#This Row],[Temperature (C)]])))/Table26[[#This Row],[b]]</f>
        <v>#DIV/0!</v>
      </c>
      <c r="AU288" s="13">
        <f>IF(Table26[[#This Row],[b]]&lt;&gt;"",Table26[[#This Row],[T-5]], 0)</f>
        <v>0</v>
      </c>
      <c r="AV288" s="13">
        <v>20</v>
      </c>
      <c r="AW288" s="13">
        <v>300</v>
      </c>
      <c r="AY288" t="s">
        <v>503</v>
      </c>
      <c r="AZ288" s="13">
        <v>15.7</v>
      </c>
      <c r="BA288" s="13">
        <v>28.8</v>
      </c>
      <c r="BB288" s="13">
        <v>24.4</v>
      </c>
      <c r="BC288" s="13">
        <v>16.2</v>
      </c>
      <c r="BD288" s="13">
        <f>100-SUM(Table26[[#This Row],[Solids wt%]:[Gas wt%]])</f>
        <v>14.899999999999991</v>
      </c>
      <c r="BE288" s="13">
        <v>54.817275747508297</v>
      </c>
      <c r="BQ288" s="13">
        <v>13.443830570902396</v>
      </c>
      <c r="CV288" s="13">
        <v>0</v>
      </c>
    </row>
    <row r="289" spans="1:100" x14ac:dyDescent="0.25">
      <c r="A289" t="s">
        <v>343</v>
      </c>
      <c r="B289" t="s">
        <v>345</v>
      </c>
      <c r="C289">
        <v>2020</v>
      </c>
      <c r="D289" t="s">
        <v>344</v>
      </c>
      <c r="E289">
        <v>1</v>
      </c>
      <c r="F289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289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289" s="13">
        <v>97.8</v>
      </c>
      <c r="W289" s="13">
        <v>80.099999999999994</v>
      </c>
      <c r="X289" s="13">
        <v>3.8</v>
      </c>
      <c r="Y289" s="13">
        <v>15.4</v>
      </c>
      <c r="AB289" s="13">
        <v>46.5</v>
      </c>
      <c r="AC289" s="13">
        <v>6.99</v>
      </c>
      <c r="AD289" s="13">
        <v>33.299999999999997</v>
      </c>
      <c r="AE289" s="13">
        <v>2.14</v>
      </c>
      <c r="AF289" s="13">
        <v>0.85</v>
      </c>
      <c r="AH289" s="13">
        <v>19.2</v>
      </c>
      <c r="AI289" s="13">
        <v>4.1000000000000003E-3</v>
      </c>
      <c r="AT289" s="13" t="e">
        <f>LN(25/Table26[[#This Row],[Temperature (C)]]/(1-SQRT((Table26[[#This Row],[Temperature (C)]]-5)/Table26[[#This Row],[Temperature (C)]])))/Table26[[#This Row],[b]]</f>
        <v>#DIV/0!</v>
      </c>
      <c r="AU289" s="13">
        <f>IF(Table26[[#This Row],[b]]&lt;&gt;"",Table26[[#This Row],[T-5]], 0)</f>
        <v>0</v>
      </c>
      <c r="AV289" s="13">
        <v>40</v>
      </c>
      <c r="AW289" s="13">
        <v>300</v>
      </c>
      <c r="AY289" t="s">
        <v>503</v>
      </c>
      <c r="AZ289" s="13">
        <v>15.6</v>
      </c>
      <c r="BA289" s="13">
        <v>29.6</v>
      </c>
      <c r="BB289" s="13">
        <v>18.600000000000001</v>
      </c>
      <c r="BC289" s="13">
        <v>16.2</v>
      </c>
      <c r="BD289" s="13">
        <f>100-SUM(Table26[[#This Row],[Solids wt%]:[Gas wt%]])</f>
        <v>20</v>
      </c>
      <c r="BE289" s="13">
        <v>57.475083056478397</v>
      </c>
      <c r="BQ289" s="13">
        <v>11.89710610932476</v>
      </c>
      <c r="CV289" s="13">
        <v>0</v>
      </c>
    </row>
    <row r="290" spans="1:100" x14ac:dyDescent="0.25">
      <c r="A290" t="s">
        <v>343</v>
      </c>
      <c r="B290" t="s">
        <v>345</v>
      </c>
      <c r="C290">
        <v>2020</v>
      </c>
      <c r="D290" t="s">
        <v>344</v>
      </c>
      <c r="E290">
        <v>1</v>
      </c>
      <c r="F290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290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290" s="13">
        <v>97.8</v>
      </c>
      <c r="W290" s="13">
        <v>80.099999999999994</v>
      </c>
      <c r="X290" s="13">
        <v>3.8</v>
      </c>
      <c r="Y290" s="13">
        <v>15.4</v>
      </c>
      <c r="AB290" s="13">
        <v>46.5</v>
      </c>
      <c r="AC290" s="13">
        <v>6.99</v>
      </c>
      <c r="AD290" s="13">
        <v>33.299999999999997</v>
      </c>
      <c r="AE290" s="13">
        <v>2.14</v>
      </c>
      <c r="AF290" s="13">
        <v>0.85</v>
      </c>
      <c r="AH290" s="13">
        <v>19.2</v>
      </c>
      <c r="AI290" s="13">
        <v>4.1000000000000003E-3</v>
      </c>
      <c r="AT290" s="13" t="e">
        <f>LN(25/Table26[[#This Row],[Temperature (C)]]/(1-SQRT((Table26[[#This Row],[Temperature (C)]]-5)/Table26[[#This Row],[Temperature (C)]])))/Table26[[#This Row],[b]]</f>
        <v>#DIV/0!</v>
      </c>
      <c r="AU290" s="13">
        <f>IF(Table26[[#This Row],[b]]&lt;&gt;"",Table26[[#This Row],[T-5]], 0)</f>
        <v>0</v>
      </c>
      <c r="AV290" s="13">
        <v>60</v>
      </c>
      <c r="AW290" s="13">
        <v>300</v>
      </c>
      <c r="AY290" t="s">
        <v>503</v>
      </c>
      <c r="AZ290" s="13">
        <v>14.7</v>
      </c>
      <c r="BA290" s="13">
        <v>29.7</v>
      </c>
      <c r="BB290" s="13">
        <v>17.899999999999999</v>
      </c>
      <c r="BC290" s="13">
        <v>17.8</v>
      </c>
      <c r="BD290" s="13">
        <f>100-SUM(Table26[[#This Row],[Solids wt%]:[Gas wt%]])</f>
        <v>19.900000000000006</v>
      </c>
      <c r="BE290" s="13">
        <v>64.784053156146101</v>
      </c>
      <c r="BQ290" s="13">
        <v>12.063492063492061</v>
      </c>
      <c r="CV290" s="13">
        <v>0</v>
      </c>
    </row>
    <row r="291" spans="1:100" x14ac:dyDescent="0.25">
      <c r="A291" t="s">
        <v>343</v>
      </c>
      <c r="B291" t="s">
        <v>345</v>
      </c>
      <c r="C291">
        <v>2020</v>
      </c>
      <c r="D291" t="s">
        <v>344</v>
      </c>
      <c r="E291">
        <v>1</v>
      </c>
      <c r="F291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291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291" s="13">
        <v>97.8</v>
      </c>
      <c r="W291" s="13">
        <v>80.099999999999994</v>
      </c>
      <c r="X291" s="13">
        <v>3.8</v>
      </c>
      <c r="Y291" s="13">
        <v>15.4</v>
      </c>
      <c r="AB291" s="13">
        <v>46.5</v>
      </c>
      <c r="AC291" s="13">
        <v>6.99</v>
      </c>
      <c r="AD291" s="13">
        <v>33.299999999999997</v>
      </c>
      <c r="AE291" s="13">
        <v>2.14</v>
      </c>
      <c r="AF291" s="13">
        <v>0.85</v>
      </c>
      <c r="AH291" s="13">
        <v>19.2</v>
      </c>
      <c r="AI291" s="13">
        <v>4.1000000000000003E-3</v>
      </c>
      <c r="AT291" s="13" t="e">
        <f>LN(25/Table26[[#This Row],[Temperature (C)]]/(1-SQRT((Table26[[#This Row],[Temperature (C)]]-5)/Table26[[#This Row],[Temperature (C)]])))/Table26[[#This Row],[b]]</f>
        <v>#DIV/0!</v>
      </c>
      <c r="AU291" s="13">
        <f>IF(Table26[[#This Row],[b]]&lt;&gt;"",Table26[[#This Row],[T-5]], 0)</f>
        <v>0</v>
      </c>
      <c r="AV291" s="13">
        <v>1</v>
      </c>
      <c r="AW291" s="13">
        <v>274.3</v>
      </c>
      <c r="AY291" t="s">
        <v>503</v>
      </c>
      <c r="AZ291" s="13">
        <v>62.5</v>
      </c>
      <c r="BA291" s="13">
        <v>8.3000000000000007</v>
      </c>
      <c r="BB291" s="13">
        <v>21.8</v>
      </c>
      <c r="BC291" s="13">
        <v>3.9</v>
      </c>
      <c r="BD291" s="13">
        <f>100-SUM(Table26[[#This Row],[Solids wt%]:[Gas wt%]])</f>
        <v>3.5</v>
      </c>
      <c r="BE291" s="13">
        <v>70.099667774086299</v>
      </c>
      <c r="BQ291" s="13">
        <v>12.326656394453003</v>
      </c>
      <c r="CV291" s="13">
        <v>0</v>
      </c>
    </row>
    <row r="292" spans="1:100" x14ac:dyDescent="0.25">
      <c r="A292" t="s">
        <v>343</v>
      </c>
      <c r="B292" t="s">
        <v>345</v>
      </c>
      <c r="C292">
        <v>2020</v>
      </c>
      <c r="D292" t="s">
        <v>344</v>
      </c>
      <c r="E292">
        <v>1</v>
      </c>
      <c r="F292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292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292" s="13">
        <v>97.8</v>
      </c>
      <c r="W292" s="13">
        <v>80.099999999999994</v>
      </c>
      <c r="X292" s="13">
        <v>3.8</v>
      </c>
      <c r="Y292" s="13">
        <v>15.4</v>
      </c>
      <c r="AB292" s="13">
        <v>46.5</v>
      </c>
      <c r="AC292" s="13">
        <v>6.99</v>
      </c>
      <c r="AD292" s="13">
        <v>33.299999999999997</v>
      </c>
      <c r="AE292" s="13">
        <v>2.14</v>
      </c>
      <c r="AF292" s="13">
        <v>0.85</v>
      </c>
      <c r="AH292" s="13">
        <v>19.2</v>
      </c>
      <c r="AI292" s="13">
        <v>4.1000000000000003E-3</v>
      </c>
      <c r="AT292" s="13" t="e">
        <f>LN(25/Table26[[#This Row],[Temperature (C)]]/(1-SQRT((Table26[[#This Row],[Temperature (C)]]-5)/Table26[[#This Row],[Temperature (C)]])))/Table26[[#This Row],[b]]</f>
        <v>#DIV/0!</v>
      </c>
      <c r="AU292" s="13">
        <f>IF(Table26[[#This Row],[b]]&lt;&gt;"",Table26[[#This Row],[T-5]], 0)</f>
        <v>0</v>
      </c>
      <c r="AV292" s="13">
        <v>2</v>
      </c>
      <c r="AW292" s="13">
        <v>329.9</v>
      </c>
      <c r="AY292" t="s">
        <v>503</v>
      </c>
      <c r="AZ292" s="13">
        <v>36.200000000000003</v>
      </c>
      <c r="BA292" s="13">
        <v>17.8</v>
      </c>
      <c r="BB292" s="13">
        <v>31.7</v>
      </c>
      <c r="BC292" s="13">
        <v>9</v>
      </c>
      <c r="BD292" s="13">
        <f>100-SUM(Table26[[#This Row],[Solids wt%]:[Gas wt%]])</f>
        <v>5.2999999999999972</v>
      </c>
      <c r="BE292" s="13">
        <v>39.922472624344849</v>
      </c>
      <c r="BQ292" s="13" t="s">
        <v>506</v>
      </c>
      <c r="CV292" s="13">
        <v>0</v>
      </c>
    </row>
    <row r="293" spans="1:100" x14ac:dyDescent="0.25">
      <c r="A293" t="s">
        <v>343</v>
      </c>
      <c r="B293" t="s">
        <v>345</v>
      </c>
      <c r="C293">
        <v>2020</v>
      </c>
      <c r="D293" t="s">
        <v>344</v>
      </c>
      <c r="E293">
        <v>1</v>
      </c>
      <c r="F293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293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293" s="13">
        <v>97.8</v>
      </c>
      <c r="W293" s="13">
        <v>80.099999999999994</v>
      </c>
      <c r="X293" s="13">
        <v>3.8</v>
      </c>
      <c r="Y293" s="13">
        <v>15.4</v>
      </c>
      <c r="AB293" s="13">
        <v>46.5</v>
      </c>
      <c r="AC293" s="13">
        <v>6.99</v>
      </c>
      <c r="AD293" s="13">
        <v>33.299999999999997</v>
      </c>
      <c r="AE293" s="13">
        <v>2.14</v>
      </c>
      <c r="AF293" s="13">
        <v>0.85</v>
      </c>
      <c r="AH293" s="13">
        <v>19.2</v>
      </c>
      <c r="AI293" s="13">
        <v>4.1000000000000003E-3</v>
      </c>
      <c r="AT293" s="13" t="e">
        <f>LN(25/Table26[[#This Row],[Temperature (C)]]/(1-SQRT((Table26[[#This Row],[Temperature (C)]]-5)/Table26[[#This Row],[Temperature (C)]])))/Table26[[#This Row],[b]]</f>
        <v>#DIV/0!</v>
      </c>
      <c r="AU293" s="13">
        <f>IF(Table26[[#This Row],[b]]&lt;&gt;"",Table26[[#This Row],[T-5]], 0)</f>
        <v>0</v>
      </c>
      <c r="AV293" s="13">
        <v>3</v>
      </c>
      <c r="AW293" s="13">
        <v>344.8</v>
      </c>
      <c r="AY293" t="s">
        <v>503</v>
      </c>
      <c r="AZ293" s="13">
        <v>23.9</v>
      </c>
      <c r="BA293" s="13">
        <v>24.9</v>
      </c>
      <c r="BB293" s="13">
        <v>26.2</v>
      </c>
      <c r="BC293" s="13">
        <v>15.7</v>
      </c>
      <c r="BD293" s="13">
        <f>100-SUM(Table26[[#This Row],[Solids wt%]:[Gas wt%]])</f>
        <v>9.2999999999999972</v>
      </c>
      <c r="BE293" s="13">
        <v>61.479248873590407</v>
      </c>
      <c r="BQ293" s="13" t="s">
        <v>506</v>
      </c>
      <c r="CV293" s="13">
        <v>0</v>
      </c>
    </row>
    <row r="294" spans="1:100" x14ac:dyDescent="0.25">
      <c r="A294" t="s">
        <v>343</v>
      </c>
      <c r="B294" t="s">
        <v>345</v>
      </c>
      <c r="C294">
        <v>2020</v>
      </c>
      <c r="D294" t="s">
        <v>344</v>
      </c>
      <c r="E294">
        <v>1</v>
      </c>
      <c r="F294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294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294" s="13">
        <v>97.8</v>
      </c>
      <c r="W294" s="13">
        <v>80.099999999999994</v>
      </c>
      <c r="X294" s="13">
        <v>3.8</v>
      </c>
      <c r="Y294" s="13">
        <v>15.4</v>
      </c>
      <c r="AB294" s="13">
        <v>46.5</v>
      </c>
      <c r="AC294" s="13">
        <v>6.99</v>
      </c>
      <c r="AD294" s="13">
        <v>33.299999999999997</v>
      </c>
      <c r="AE294" s="13">
        <v>2.14</v>
      </c>
      <c r="AF294" s="13">
        <v>0.85</v>
      </c>
      <c r="AH294" s="13">
        <v>19.2</v>
      </c>
      <c r="AI294" s="13">
        <v>4.1000000000000003E-3</v>
      </c>
      <c r="AT294" s="13" t="e">
        <f>LN(25/Table26[[#This Row],[Temperature (C)]]/(1-SQRT((Table26[[#This Row],[Temperature (C)]]-5)/Table26[[#This Row],[Temperature (C)]])))/Table26[[#This Row],[b]]</f>
        <v>#DIV/0!</v>
      </c>
      <c r="AU294" s="13">
        <f>IF(Table26[[#This Row],[b]]&lt;&gt;"",Table26[[#This Row],[T-5]], 0)</f>
        <v>0</v>
      </c>
      <c r="AV294" s="13">
        <v>4</v>
      </c>
      <c r="AW294" s="13">
        <v>350</v>
      </c>
      <c r="AY294" t="s">
        <v>503</v>
      </c>
      <c r="AZ294" s="13">
        <v>19.7</v>
      </c>
      <c r="BA294" s="13">
        <v>30.9</v>
      </c>
      <c r="BB294" s="13">
        <v>22.6</v>
      </c>
      <c r="BC294" s="13">
        <v>16.2</v>
      </c>
      <c r="BD294" s="13">
        <f>100-SUM(Table26[[#This Row],[Solids wt%]:[Gas wt%]])</f>
        <v>10.600000000000009</v>
      </c>
      <c r="BE294" s="13">
        <v>55.49529646465259</v>
      </c>
      <c r="BQ294" s="13" t="s">
        <v>506</v>
      </c>
      <c r="CV294" s="13">
        <v>0</v>
      </c>
    </row>
    <row r="295" spans="1:100" x14ac:dyDescent="0.25">
      <c r="A295" t="s">
        <v>343</v>
      </c>
      <c r="B295" t="s">
        <v>345</v>
      </c>
      <c r="C295">
        <v>2020</v>
      </c>
      <c r="D295" t="s">
        <v>344</v>
      </c>
      <c r="E295">
        <v>1</v>
      </c>
      <c r="F295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295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295" s="13">
        <v>97.8</v>
      </c>
      <c r="W295" s="13">
        <v>80.099999999999994</v>
      </c>
      <c r="X295" s="13">
        <v>3.8</v>
      </c>
      <c r="Y295" s="13">
        <v>15.4</v>
      </c>
      <c r="AB295" s="13">
        <v>46.5</v>
      </c>
      <c r="AC295" s="13">
        <v>6.99</v>
      </c>
      <c r="AD295" s="13">
        <v>33.299999999999997</v>
      </c>
      <c r="AE295" s="13">
        <v>2.14</v>
      </c>
      <c r="AF295" s="13">
        <v>0.85</v>
      </c>
      <c r="AH295" s="13">
        <v>19.2</v>
      </c>
      <c r="AI295" s="13">
        <v>4.1000000000000003E-3</v>
      </c>
      <c r="AT295" s="13" t="e">
        <f>LN(25/Table26[[#This Row],[Temperature (C)]]/(1-SQRT((Table26[[#This Row],[Temperature (C)]]-5)/Table26[[#This Row],[Temperature (C)]])))/Table26[[#This Row],[b]]</f>
        <v>#DIV/0!</v>
      </c>
      <c r="AU295" s="13">
        <f>IF(Table26[[#This Row],[b]]&lt;&gt;"",Table26[[#This Row],[T-5]], 0)</f>
        <v>0</v>
      </c>
      <c r="AV295" s="13">
        <v>5</v>
      </c>
      <c r="AW295" s="13">
        <v>350</v>
      </c>
      <c r="AY295" t="s">
        <v>503</v>
      </c>
      <c r="AZ295" s="13">
        <v>17.399999999999999</v>
      </c>
      <c r="BA295" s="13">
        <v>29</v>
      </c>
      <c r="BB295" s="13">
        <v>21.5</v>
      </c>
      <c r="BC295" s="13">
        <v>18.100000000000001</v>
      </c>
      <c r="BD295" s="13">
        <f>100-SUM(Table26[[#This Row],[Solids wt%]:[Gas wt%]])</f>
        <v>14</v>
      </c>
      <c r="BE295" s="13">
        <v>75.650910922676559</v>
      </c>
      <c r="BQ295" s="13" t="s">
        <v>506</v>
      </c>
      <c r="CV295" s="13">
        <v>0</v>
      </c>
    </row>
    <row r="296" spans="1:100" x14ac:dyDescent="0.25">
      <c r="A296" t="s">
        <v>343</v>
      </c>
      <c r="B296" t="s">
        <v>345</v>
      </c>
      <c r="C296">
        <v>2020</v>
      </c>
      <c r="D296" t="s">
        <v>344</v>
      </c>
      <c r="E296">
        <v>1</v>
      </c>
      <c r="F296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296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296" s="13">
        <v>97.8</v>
      </c>
      <c r="W296" s="13">
        <v>80.099999999999994</v>
      </c>
      <c r="X296" s="13">
        <v>3.8</v>
      </c>
      <c r="Y296" s="13">
        <v>15.4</v>
      </c>
      <c r="AB296" s="13">
        <v>46.5</v>
      </c>
      <c r="AC296" s="13">
        <v>6.99</v>
      </c>
      <c r="AD296" s="13">
        <v>33.299999999999997</v>
      </c>
      <c r="AE296" s="13">
        <v>2.14</v>
      </c>
      <c r="AF296" s="13">
        <v>0.85</v>
      </c>
      <c r="AH296" s="13">
        <v>19.2</v>
      </c>
      <c r="AI296" s="13">
        <v>4.1000000000000003E-3</v>
      </c>
      <c r="AT296" s="13" t="e">
        <f>LN(25/Table26[[#This Row],[Temperature (C)]]/(1-SQRT((Table26[[#This Row],[Temperature (C)]]-5)/Table26[[#This Row],[Temperature (C)]])))/Table26[[#This Row],[b]]</f>
        <v>#DIV/0!</v>
      </c>
      <c r="AU296" s="13">
        <f>IF(Table26[[#This Row],[b]]&lt;&gt;"",Table26[[#This Row],[T-5]], 0)</f>
        <v>0</v>
      </c>
      <c r="AV296" s="13">
        <v>10</v>
      </c>
      <c r="AW296" s="13">
        <v>350</v>
      </c>
      <c r="AY296" t="s">
        <v>503</v>
      </c>
      <c r="AZ296" s="13">
        <v>15.4</v>
      </c>
      <c r="BA296" s="13">
        <v>28.2</v>
      </c>
      <c r="BB296" s="13">
        <v>15.5</v>
      </c>
      <c r="BC296" s="13">
        <v>21.4</v>
      </c>
      <c r="BD296" s="13">
        <f>100-SUM(Table26[[#This Row],[Solids wt%]:[Gas wt%]])</f>
        <v>19.5</v>
      </c>
      <c r="BE296" s="13">
        <v>60.471616872758759</v>
      </c>
      <c r="BQ296" s="13">
        <v>13.216560509554142</v>
      </c>
      <c r="CV296" s="13">
        <v>0</v>
      </c>
    </row>
    <row r="297" spans="1:100" x14ac:dyDescent="0.25">
      <c r="A297" t="s">
        <v>343</v>
      </c>
      <c r="B297" t="s">
        <v>345</v>
      </c>
      <c r="C297">
        <v>2020</v>
      </c>
      <c r="D297" t="s">
        <v>344</v>
      </c>
      <c r="E297">
        <v>1</v>
      </c>
      <c r="F297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297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297" s="13">
        <v>97.8</v>
      </c>
      <c r="W297" s="13">
        <v>80.099999999999994</v>
      </c>
      <c r="X297" s="13">
        <v>3.8</v>
      </c>
      <c r="Y297" s="13">
        <v>15.4</v>
      </c>
      <c r="AB297" s="13">
        <v>46.5</v>
      </c>
      <c r="AC297" s="13">
        <v>6.99</v>
      </c>
      <c r="AD297" s="13">
        <v>33.299999999999997</v>
      </c>
      <c r="AE297" s="13">
        <v>2.14</v>
      </c>
      <c r="AF297" s="13">
        <v>0.85</v>
      </c>
      <c r="AH297" s="13">
        <v>19.2</v>
      </c>
      <c r="AI297" s="13">
        <v>4.1000000000000003E-3</v>
      </c>
      <c r="AT297" s="13" t="e">
        <f>LN(25/Table26[[#This Row],[Temperature (C)]]/(1-SQRT((Table26[[#This Row],[Temperature (C)]]-5)/Table26[[#This Row],[Temperature (C)]])))/Table26[[#This Row],[b]]</f>
        <v>#DIV/0!</v>
      </c>
      <c r="AU297" s="13">
        <f>IF(Table26[[#This Row],[b]]&lt;&gt;"",Table26[[#This Row],[T-5]], 0)</f>
        <v>0</v>
      </c>
      <c r="AV297" s="13">
        <v>20</v>
      </c>
      <c r="AW297" s="13">
        <v>350</v>
      </c>
      <c r="AY297" t="s">
        <v>503</v>
      </c>
      <c r="AZ297" s="13">
        <v>14.3</v>
      </c>
      <c r="BA297" s="13">
        <v>27.9</v>
      </c>
      <c r="BB297" s="13">
        <v>9.8000000000000007</v>
      </c>
      <c r="BC297" s="13">
        <v>23.1</v>
      </c>
      <c r="BD297" s="13">
        <f>100-SUM(Table26[[#This Row],[Solids wt%]:[Gas wt%]])</f>
        <v>24.900000000000006</v>
      </c>
      <c r="BE297" s="13">
        <v>64.119601328903599</v>
      </c>
      <c r="BQ297" s="13">
        <v>11.577181208053691</v>
      </c>
      <c r="CV297" s="13">
        <v>0</v>
      </c>
    </row>
    <row r="298" spans="1:100" x14ac:dyDescent="0.25">
      <c r="A298" t="s">
        <v>343</v>
      </c>
      <c r="B298" t="s">
        <v>345</v>
      </c>
      <c r="C298">
        <v>2020</v>
      </c>
      <c r="D298" t="s">
        <v>344</v>
      </c>
      <c r="E298">
        <v>1</v>
      </c>
      <c r="F298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298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298" s="13">
        <v>97.8</v>
      </c>
      <c r="W298" s="13">
        <v>80.099999999999994</v>
      </c>
      <c r="X298" s="13">
        <v>3.8</v>
      </c>
      <c r="Y298" s="13">
        <v>15.4</v>
      </c>
      <c r="AB298" s="13">
        <v>46.5</v>
      </c>
      <c r="AC298" s="13">
        <v>6.99</v>
      </c>
      <c r="AD298" s="13">
        <v>33.299999999999997</v>
      </c>
      <c r="AE298" s="13">
        <v>2.14</v>
      </c>
      <c r="AF298" s="13">
        <v>0.85</v>
      </c>
      <c r="AH298" s="13">
        <v>19.2</v>
      </c>
      <c r="AI298" s="13">
        <v>4.1000000000000003E-3</v>
      </c>
      <c r="AT298" s="13" t="e">
        <f>LN(25/Table26[[#This Row],[Temperature (C)]]/(1-SQRT((Table26[[#This Row],[Temperature (C)]]-5)/Table26[[#This Row],[Temperature (C)]])))/Table26[[#This Row],[b]]</f>
        <v>#DIV/0!</v>
      </c>
      <c r="AU298" s="13">
        <f>IF(Table26[[#This Row],[b]]&lt;&gt;"",Table26[[#This Row],[T-5]], 0)</f>
        <v>0</v>
      </c>
      <c r="AV298" s="13">
        <v>40</v>
      </c>
      <c r="AW298" s="13">
        <v>350</v>
      </c>
      <c r="AY298" t="s">
        <v>503</v>
      </c>
      <c r="AZ298" s="13">
        <v>13.2</v>
      </c>
      <c r="BA298" s="13">
        <v>28.2</v>
      </c>
      <c r="BB298" s="13">
        <v>8.1</v>
      </c>
      <c r="BC298" s="13">
        <v>25</v>
      </c>
      <c r="BD298" s="13">
        <f>100-SUM(Table26[[#This Row],[Solids wt%]:[Gas wt%]])</f>
        <v>25.5</v>
      </c>
      <c r="BE298" s="13">
        <v>57.807308970099598</v>
      </c>
      <c r="BQ298" s="13">
        <v>10.967741935483872</v>
      </c>
      <c r="CV298" s="13">
        <v>0</v>
      </c>
    </row>
    <row r="299" spans="1:100" x14ac:dyDescent="0.25">
      <c r="A299" t="s">
        <v>343</v>
      </c>
      <c r="B299" t="s">
        <v>345</v>
      </c>
      <c r="C299">
        <v>2020</v>
      </c>
      <c r="D299" t="s">
        <v>344</v>
      </c>
      <c r="E299">
        <v>1</v>
      </c>
      <c r="F299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299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299" s="13">
        <v>97.8</v>
      </c>
      <c r="W299" s="13">
        <v>80.099999999999994</v>
      </c>
      <c r="X299" s="13">
        <v>3.8</v>
      </c>
      <c r="Y299" s="13">
        <v>15.4</v>
      </c>
      <c r="AB299" s="13">
        <v>46.5</v>
      </c>
      <c r="AC299" s="13">
        <v>6.99</v>
      </c>
      <c r="AD299" s="13">
        <v>33.299999999999997</v>
      </c>
      <c r="AE299" s="13">
        <v>2.14</v>
      </c>
      <c r="AF299" s="13">
        <v>0.85</v>
      </c>
      <c r="AH299" s="13">
        <v>19.2</v>
      </c>
      <c r="AI299" s="13">
        <v>4.1000000000000003E-3</v>
      </c>
      <c r="AT299" s="13" t="e">
        <f>LN(25/Table26[[#This Row],[Temperature (C)]]/(1-SQRT((Table26[[#This Row],[Temperature (C)]]-5)/Table26[[#This Row],[Temperature (C)]])))/Table26[[#This Row],[b]]</f>
        <v>#DIV/0!</v>
      </c>
      <c r="AU299" s="13">
        <f>IF(Table26[[#This Row],[b]]&lt;&gt;"",Table26[[#This Row],[T-5]], 0)</f>
        <v>0</v>
      </c>
      <c r="AV299" s="13">
        <v>60</v>
      </c>
      <c r="AW299" s="13">
        <v>350</v>
      </c>
      <c r="AY299" t="s">
        <v>503</v>
      </c>
      <c r="AZ299" s="13">
        <v>12.8</v>
      </c>
      <c r="BA299" s="13">
        <v>27.4</v>
      </c>
      <c r="BB299" s="13">
        <v>7.7</v>
      </c>
      <c r="BC299" s="13">
        <v>26.1</v>
      </c>
      <c r="BD299" s="13">
        <f>100-SUM(Table26[[#This Row],[Solids wt%]:[Gas wt%]])</f>
        <v>26</v>
      </c>
      <c r="BE299" s="13">
        <v>58.139534883720899</v>
      </c>
      <c r="BQ299" s="13">
        <v>9.9706744868035191</v>
      </c>
      <c r="CV299" s="13">
        <v>0</v>
      </c>
    </row>
    <row r="300" spans="1:100" x14ac:dyDescent="0.25">
      <c r="A300" t="s">
        <v>343</v>
      </c>
      <c r="B300" t="s">
        <v>345</v>
      </c>
      <c r="C300">
        <v>2020</v>
      </c>
      <c r="D300" t="s">
        <v>344</v>
      </c>
      <c r="E300">
        <v>1</v>
      </c>
      <c r="F300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300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300" s="13">
        <v>97.8</v>
      </c>
      <c r="W300" s="13">
        <v>80.099999999999994</v>
      </c>
      <c r="X300" s="13">
        <v>3.8</v>
      </c>
      <c r="Y300" s="13">
        <v>15.4</v>
      </c>
      <c r="AB300" s="13">
        <v>46.5</v>
      </c>
      <c r="AC300" s="13">
        <v>6.99</v>
      </c>
      <c r="AD300" s="13">
        <v>33.299999999999997</v>
      </c>
      <c r="AE300" s="13">
        <v>2.14</v>
      </c>
      <c r="AF300" s="13">
        <v>0.85</v>
      </c>
      <c r="AH300" s="13">
        <v>19.2</v>
      </c>
      <c r="AI300" s="13">
        <v>4.1000000000000003E-3</v>
      </c>
      <c r="AT300" s="13" t="e">
        <f>LN(25/Table26[[#This Row],[Temperature (C)]]/(1-SQRT((Table26[[#This Row],[Temperature (C)]]-5)/Table26[[#This Row],[Temperature (C)]])))/Table26[[#This Row],[b]]</f>
        <v>#DIV/0!</v>
      </c>
      <c r="AU300" s="13">
        <f>IF(Table26[[#This Row],[b]]&lt;&gt;"",Table26[[#This Row],[T-5]], 0)</f>
        <v>0</v>
      </c>
      <c r="AV300" s="13">
        <v>1</v>
      </c>
      <c r="AW300" s="13">
        <v>309.89999999999998</v>
      </c>
      <c r="AY300" t="s">
        <v>503</v>
      </c>
      <c r="AZ300" s="13">
        <v>50.2</v>
      </c>
      <c r="BA300" s="13">
        <v>13.9</v>
      </c>
      <c r="BB300" s="13">
        <v>23.5</v>
      </c>
      <c r="BC300" s="13">
        <v>6.9</v>
      </c>
      <c r="BD300" s="13">
        <f>100-SUM(Table26[[#This Row],[Solids wt%]:[Gas wt%]])</f>
        <v>5.4999999999999858</v>
      </c>
      <c r="BE300" s="13">
        <v>66.112956810631204</v>
      </c>
      <c r="BQ300" s="13">
        <v>12.320916905444127</v>
      </c>
      <c r="CV300" s="13">
        <v>0</v>
      </c>
    </row>
    <row r="301" spans="1:100" x14ac:dyDescent="0.25">
      <c r="A301" t="s">
        <v>343</v>
      </c>
      <c r="B301" t="s">
        <v>345</v>
      </c>
      <c r="C301">
        <v>2020</v>
      </c>
      <c r="D301" t="s">
        <v>344</v>
      </c>
      <c r="E301">
        <v>1</v>
      </c>
      <c r="F301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301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301" s="13">
        <v>97.8</v>
      </c>
      <c r="W301" s="13">
        <v>80.099999999999994</v>
      </c>
      <c r="X301" s="13">
        <v>3.8</v>
      </c>
      <c r="Y301" s="13">
        <v>15.4</v>
      </c>
      <c r="AB301" s="13">
        <v>46.5</v>
      </c>
      <c r="AC301" s="13">
        <v>6.99</v>
      </c>
      <c r="AD301" s="13">
        <v>33.299999999999997</v>
      </c>
      <c r="AE301" s="13">
        <v>2.14</v>
      </c>
      <c r="AF301" s="13">
        <v>0.85</v>
      </c>
      <c r="AH301" s="13">
        <v>19.2</v>
      </c>
      <c r="AI301" s="13">
        <v>4.1000000000000003E-3</v>
      </c>
      <c r="AT301" s="13" t="e">
        <f>LN(25/Table26[[#This Row],[Temperature (C)]]/(1-SQRT((Table26[[#This Row],[Temperature (C)]]-5)/Table26[[#This Row],[Temperature (C)]])))/Table26[[#This Row],[b]]</f>
        <v>#DIV/0!</v>
      </c>
      <c r="AU301" s="13">
        <f>IF(Table26[[#This Row],[b]]&lt;&gt;"",Table26[[#This Row],[T-5]], 0)</f>
        <v>0</v>
      </c>
      <c r="AV301" s="13">
        <v>2</v>
      </c>
      <c r="AW301" s="13">
        <v>373.1</v>
      </c>
      <c r="AY301" t="s">
        <v>503</v>
      </c>
      <c r="AZ301" s="13">
        <v>20.2</v>
      </c>
      <c r="BA301" s="13">
        <v>23.2</v>
      </c>
      <c r="BB301" s="13">
        <v>29</v>
      </c>
      <c r="BC301" s="13">
        <v>13.2</v>
      </c>
      <c r="BD301" s="13">
        <f>100-SUM(Table26[[#This Row],[Solids wt%]:[Gas wt%]])</f>
        <v>14.399999999999991</v>
      </c>
      <c r="BE301" s="13">
        <v>28.446198192147364</v>
      </c>
      <c r="BQ301" s="13" t="s">
        <v>506</v>
      </c>
      <c r="CV301" s="13">
        <v>0</v>
      </c>
    </row>
    <row r="302" spans="1:100" x14ac:dyDescent="0.25">
      <c r="A302" t="s">
        <v>343</v>
      </c>
      <c r="B302" t="s">
        <v>345</v>
      </c>
      <c r="C302">
        <v>2020</v>
      </c>
      <c r="D302" t="s">
        <v>344</v>
      </c>
      <c r="E302">
        <v>1</v>
      </c>
      <c r="F302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302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302" s="13">
        <v>97.8</v>
      </c>
      <c r="W302" s="13">
        <v>80.099999999999994</v>
      </c>
      <c r="X302" s="13">
        <v>3.8</v>
      </c>
      <c r="Y302" s="13">
        <v>15.4</v>
      </c>
      <c r="AB302" s="13">
        <v>46.5</v>
      </c>
      <c r="AC302" s="13">
        <v>6.99</v>
      </c>
      <c r="AD302" s="13">
        <v>33.299999999999997</v>
      </c>
      <c r="AE302" s="13">
        <v>2.14</v>
      </c>
      <c r="AF302" s="13">
        <v>0.85</v>
      </c>
      <c r="AH302" s="13">
        <v>19.2</v>
      </c>
      <c r="AI302" s="13">
        <v>4.1000000000000003E-3</v>
      </c>
      <c r="AT302" s="13" t="e">
        <f>LN(25/Table26[[#This Row],[Temperature (C)]]/(1-SQRT((Table26[[#This Row],[Temperature (C)]]-5)/Table26[[#This Row],[Temperature (C)]])))/Table26[[#This Row],[b]]</f>
        <v>#DIV/0!</v>
      </c>
      <c r="AU302" s="13">
        <f>IF(Table26[[#This Row],[b]]&lt;&gt;"",Table26[[#This Row],[T-5]], 0)</f>
        <v>0</v>
      </c>
      <c r="AV302" s="13">
        <v>3</v>
      </c>
      <c r="AW302" s="13">
        <v>392.1</v>
      </c>
      <c r="AY302" t="s">
        <v>503</v>
      </c>
      <c r="AZ302" s="13">
        <v>17</v>
      </c>
      <c r="BA302" s="13">
        <v>27.9</v>
      </c>
      <c r="BB302" s="13">
        <v>20</v>
      </c>
      <c r="BC302" s="13">
        <v>16.3</v>
      </c>
      <c r="BD302" s="13">
        <f>100-SUM(Table26[[#This Row],[Solids wt%]:[Gas wt%]])</f>
        <v>18.799999999999997</v>
      </c>
      <c r="BE302" s="13">
        <v>56.53152148274318</v>
      </c>
      <c r="BQ302" s="13" t="s">
        <v>506</v>
      </c>
      <c r="CV302" s="13">
        <v>0</v>
      </c>
    </row>
    <row r="303" spans="1:100" x14ac:dyDescent="0.25">
      <c r="A303" t="s">
        <v>343</v>
      </c>
      <c r="B303" t="s">
        <v>345</v>
      </c>
      <c r="C303">
        <v>2020</v>
      </c>
      <c r="D303" t="s">
        <v>344</v>
      </c>
      <c r="E303">
        <v>1</v>
      </c>
      <c r="F303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303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303" s="13">
        <v>97.8</v>
      </c>
      <c r="W303" s="13">
        <v>80.099999999999994</v>
      </c>
      <c r="X303" s="13">
        <v>3.8</v>
      </c>
      <c r="Y303" s="13">
        <v>15.4</v>
      </c>
      <c r="AB303" s="13">
        <v>46.5</v>
      </c>
      <c r="AC303" s="13">
        <v>6.99</v>
      </c>
      <c r="AD303" s="13">
        <v>33.299999999999997</v>
      </c>
      <c r="AE303" s="13">
        <v>2.14</v>
      </c>
      <c r="AF303" s="13">
        <v>0.85</v>
      </c>
      <c r="AH303" s="13">
        <v>19.2</v>
      </c>
      <c r="AI303" s="13">
        <v>4.1000000000000003E-3</v>
      </c>
      <c r="AT303" s="13" t="e">
        <f>LN(25/Table26[[#This Row],[Temperature (C)]]/(1-SQRT((Table26[[#This Row],[Temperature (C)]]-5)/Table26[[#This Row],[Temperature (C)]])))/Table26[[#This Row],[b]]</f>
        <v>#DIV/0!</v>
      </c>
      <c r="AU303" s="13">
        <f>IF(Table26[[#This Row],[b]]&lt;&gt;"",Table26[[#This Row],[T-5]], 0)</f>
        <v>0</v>
      </c>
      <c r="AV303" s="13">
        <v>4</v>
      </c>
      <c r="AW303" s="13">
        <v>400</v>
      </c>
      <c r="AY303" t="s">
        <v>503</v>
      </c>
      <c r="AZ303" s="13">
        <v>16.5</v>
      </c>
      <c r="BA303" s="13">
        <v>26.9</v>
      </c>
      <c r="BB303" s="13">
        <v>17.899999999999999</v>
      </c>
      <c r="BC303" s="13">
        <v>18.899999999999999</v>
      </c>
      <c r="BD303" s="13">
        <f>100-SUM(Table26[[#This Row],[Solids wt%]:[Gas wt%]])</f>
        <v>19.800000000000011</v>
      </c>
      <c r="BE303" s="13">
        <v>46.028577025638619</v>
      </c>
      <c r="BQ303" s="13" t="s">
        <v>506</v>
      </c>
      <c r="CV303" s="13">
        <v>0</v>
      </c>
    </row>
    <row r="304" spans="1:100" x14ac:dyDescent="0.25">
      <c r="A304" t="s">
        <v>343</v>
      </c>
      <c r="B304" t="s">
        <v>345</v>
      </c>
      <c r="C304">
        <v>2020</v>
      </c>
      <c r="D304" t="s">
        <v>344</v>
      </c>
      <c r="E304">
        <v>1</v>
      </c>
      <c r="F304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304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304" s="13">
        <v>97.8</v>
      </c>
      <c r="W304" s="13">
        <v>80.099999999999994</v>
      </c>
      <c r="X304" s="13">
        <v>3.8</v>
      </c>
      <c r="Y304" s="13">
        <v>15.4</v>
      </c>
      <c r="AB304" s="13">
        <v>46.5</v>
      </c>
      <c r="AC304" s="13">
        <v>6.99</v>
      </c>
      <c r="AD304" s="13">
        <v>33.299999999999997</v>
      </c>
      <c r="AE304" s="13">
        <v>2.14</v>
      </c>
      <c r="AF304" s="13">
        <v>0.85</v>
      </c>
      <c r="AH304" s="13">
        <v>19.2</v>
      </c>
      <c r="AI304" s="13">
        <v>4.1000000000000003E-3</v>
      </c>
      <c r="AT304" s="13" t="e">
        <f>LN(25/Table26[[#This Row],[Temperature (C)]]/(1-SQRT((Table26[[#This Row],[Temperature (C)]]-5)/Table26[[#This Row],[Temperature (C)]])))/Table26[[#This Row],[b]]</f>
        <v>#DIV/0!</v>
      </c>
      <c r="AU304" s="13">
        <f>IF(Table26[[#This Row],[b]]&lt;&gt;"",Table26[[#This Row],[T-5]], 0)</f>
        <v>0</v>
      </c>
      <c r="AV304" s="13">
        <v>5</v>
      </c>
      <c r="AW304" s="13">
        <v>400</v>
      </c>
      <c r="AY304" t="s">
        <v>503</v>
      </c>
      <c r="AZ304" s="13">
        <v>14.8</v>
      </c>
      <c r="BA304" s="13">
        <v>25.6</v>
      </c>
      <c r="BB304" s="13">
        <v>15.4</v>
      </c>
      <c r="BC304" s="13">
        <v>22.9</v>
      </c>
      <c r="BD304" s="13">
        <f>100-SUM(Table26[[#This Row],[Solids wt%]:[Gas wt%]])</f>
        <v>21.299999999999997</v>
      </c>
      <c r="BE304" s="13">
        <v>72.299387121148584</v>
      </c>
      <c r="BQ304" s="13" t="s">
        <v>506</v>
      </c>
      <c r="CV304" s="13">
        <v>0</v>
      </c>
    </row>
    <row r="305" spans="1:100" x14ac:dyDescent="0.25">
      <c r="A305" t="s">
        <v>343</v>
      </c>
      <c r="B305" t="s">
        <v>345</v>
      </c>
      <c r="C305">
        <v>2020</v>
      </c>
      <c r="D305" t="s">
        <v>344</v>
      </c>
      <c r="E305">
        <v>1</v>
      </c>
      <c r="F305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305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305" s="13">
        <v>97.8</v>
      </c>
      <c r="W305" s="13">
        <v>80.099999999999994</v>
      </c>
      <c r="X305" s="13">
        <v>3.8</v>
      </c>
      <c r="Y305" s="13">
        <v>15.4</v>
      </c>
      <c r="AB305" s="13">
        <v>46.5</v>
      </c>
      <c r="AC305" s="13">
        <v>6.99</v>
      </c>
      <c r="AD305" s="13">
        <v>33.299999999999997</v>
      </c>
      <c r="AE305" s="13">
        <v>2.14</v>
      </c>
      <c r="AF305" s="13">
        <v>0.85</v>
      </c>
      <c r="AH305" s="13">
        <v>19.2</v>
      </c>
      <c r="AI305" s="13">
        <v>4.1000000000000003E-3</v>
      </c>
      <c r="AT305" s="13" t="e">
        <f>LN(25/Table26[[#This Row],[Temperature (C)]]/(1-SQRT((Table26[[#This Row],[Temperature (C)]]-5)/Table26[[#This Row],[Temperature (C)]])))/Table26[[#This Row],[b]]</f>
        <v>#DIV/0!</v>
      </c>
      <c r="AU305" s="13">
        <f>IF(Table26[[#This Row],[b]]&lt;&gt;"",Table26[[#This Row],[T-5]], 0)</f>
        <v>0</v>
      </c>
      <c r="AV305" s="13">
        <v>10</v>
      </c>
      <c r="AW305" s="13">
        <v>400</v>
      </c>
      <c r="AY305" t="s">
        <v>503</v>
      </c>
      <c r="AZ305" s="13">
        <v>14</v>
      </c>
      <c r="BA305" s="13">
        <v>24.2</v>
      </c>
      <c r="BB305" s="13">
        <v>11.8</v>
      </c>
      <c r="BC305" s="13">
        <v>25</v>
      </c>
      <c r="BD305" s="13">
        <f>100-SUM(Table26[[#This Row],[Solids wt%]:[Gas wt%]])</f>
        <v>25</v>
      </c>
      <c r="BE305" s="13">
        <v>52.227960548672641</v>
      </c>
      <c r="BQ305" s="13">
        <v>12.440191387559809</v>
      </c>
      <c r="CV305" s="13">
        <v>0</v>
      </c>
    </row>
    <row r="306" spans="1:100" x14ac:dyDescent="0.25">
      <c r="A306" t="s">
        <v>343</v>
      </c>
      <c r="B306" t="s">
        <v>345</v>
      </c>
      <c r="C306">
        <v>2020</v>
      </c>
      <c r="D306" t="s">
        <v>344</v>
      </c>
      <c r="E306">
        <v>1</v>
      </c>
      <c r="F306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306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306" s="13">
        <v>97.8</v>
      </c>
      <c r="W306" s="13">
        <v>80.099999999999994</v>
      </c>
      <c r="X306" s="13">
        <v>3.8</v>
      </c>
      <c r="Y306" s="13">
        <v>15.4</v>
      </c>
      <c r="AB306" s="13">
        <v>46.5</v>
      </c>
      <c r="AC306" s="13">
        <v>6.99</v>
      </c>
      <c r="AD306" s="13">
        <v>33.299999999999997</v>
      </c>
      <c r="AE306" s="13">
        <v>2.14</v>
      </c>
      <c r="AF306" s="13">
        <v>0.85</v>
      </c>
      <c r="AH306" s="13">
        <v>19.2</v>
      </c>
      <c r="AI306" s="13">
        <v>4.1000000000000003E-3</v>
      </c>
      <c r="AT306" s="13" t="e">
        <f>LN(25/Table26[[#This Row],[Temperature (C)]]/(1-SQRT((Table26[[#This Row],[Temperature (C)]]-5)/Table26[[#This Row],[Temperature (C)]])))/Table26[[#This Row],[b]]</f>
        <v>#DIV/0!</v>
      </c>
      <c r="AU306" s="13">
        <f>IF(Table26[[#This Row],[b]]&lt;&gt;"",Table26[[#This Row],[T-5]], 0)</f>
        <v>0</v>
      </c>
      <c r="AV306" s="13">
        <v>20</v>
      </c>
      <c r="AW306" s="13">
        <v>400</v>
      </c>
      <c r="AY306" t="s">
        <v>503</v>
      </c>
      <c r="AZ306" s="13">
        <v>13.4</v>
      </c>
      <c r="BA306" s="13">
        <v>23.8</v>
      </c>
      <c r="BB306" s="13">
        <v>8.3000000000000007</v>
      </c>
      <c r="BC306" s="13">
        <v>24.3</v>
      </c>
      <c r="BD306" s="13">
        <f>100-SUM(Table26[[#This Row],[Solids wt%]:[Gas wt%]])</f>
        <v>30.200000000000003</v>
      </c>
      <c r="BE306" s="13">
        <v>58.139534883720899</v>
      </c>
      <c r="BQ306" s="13">
        <v>11.86161449752883</v>
      </c>
      <c r="CV306" s="13">
        <v>0</v>
      </c>
    </row>
    <row r="307" spans="1:100" x14ac:dyDescent="0.25">
      <c r="A307" t="s">
        <v>343</v>
      </c>
      <c r="B307" t="s">
        <v>345</v>
      </c>
      <c r="C307">
        <v>2020</v>
      </c>
      <c r="D307" t="s">
        <v>344</v>
      </c>
      <c r="E307">
        <v>1</v>
      </c>
      <c r="F307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307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307" s="13">
        <v>97.8</v>
      </c>
      <c r="W307" s="13">
        <v>80.099999999999994</v>
      </c>
      <c r="X307" s="13">
        <v>3.8</v>
      </c>
      <c r="Y307" s="13">
        <v>15.4</v>
      </c>
      <c r="AB307" s="13">
        <v>46.5</v>
      </c>
      <c r="AC307" s="13">
        <v>6.99</v>
      </c>
      <c r="AD307" s="13">
        <v>33.299999999999997</v>
      </c>
      <c r="AE307" s="13">
        <v>2.14</v>
      </c>
      <c r="AF307" s="13">
        <v>0.85</v>
      </c>
      <c r="AH307" s="13">
        <v>19.2</v>
      </c>
      <c r="AI307" s="13">
        <v>4.1000000000000003E-3</v>
      </c>
      <c r="AT307" s="13" t="e">
        <f>LN(25/Table26[[#This Row],[Temperature (C)]]/(1-SQRT((Table26[[#This Row],[Temperature (C)]]-5)/Table26[[#This Row],[Temperature (C)]])))/Table26[[#This Row],[b]]</f>
        <v>#DIV/0!</v>
      </c>
      <c r="AU307" s="13">
        <f>IF(Table26[[#This Row],[b]]&lt;&gt;"",Table26[[#This Row],[T-5]], 0)</f>
        <v>0</v>
      </c>
      <c r="AV307" s="13">
        <v>40</v>
      </c>
      <c r="AW307" s="13">
        <v>400</v>
      </c>
      <c r="AY307" t="s">
        <v>503</v>
      </c>
      <c r="AZ307" s="13">
        <v>13.6</v>
      </c>
      <c r="BA307" s="13">
        <v>22.9</v>
      </c>
      <c r="BB307" s="13">
        <v>7.3</v>
      </c>
      <c r="BC307" s="13">
        <v>25.4</v>
      </c>
      <c r="BD307" s="13">
        <f>100-SUM(Table26[[#This Row],[Solids wt%]:[Gas wt%]])</f>
        <v>30.800000000000011</v>
      </c>
      <c r="BE307" s="13">
        <v>65.780730897009903</v>
      </c>
      <c r="BQ307" s="13">
        <v>11.341853035143769</v>
      </c>
      <c r="CV307" s="13">
        <v>0</v>
      </c>
    </row>
    <row r="308" spans="1:100" x14ac:dyDescent="0.25">
      <c r="A308" t="s">
        <v>343</v>
      </c>
      <c r="B308" t="s">
        <v>345</v>
      </c>
      <c r="C308">
        <v>2020</v>
      </c>
      <c r="D308" t="s">
        <v>344</v>
      </c>
      <c r="E308">
        <v>1</v>
      </c>
      <c r="F308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308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308" s="13">
        <v>97.8</v>
      </c>
      <c r="W308" s="13">
        <v>80.099999999999994</v>
      </c>
      <c r="X308" s="13">
        <v>3.8</v>
      </c>
      <c r="Y308" s="13">
        <v>15.4</v>
      </c>
      <c r="AB308" s="13">
        <v>46.5</v>
      </c>
      <c r="AC308" s="13">
        <v>6.99</v>
      </c>
      <c r="AD308" s="13">
        <v>33.299999999999997</v>
      </c>
      <c r="AE308" s="13">
        <v>2.14</v>
      </c>
      <c r="AF308" s="13">
        <v>0.85</v>
      </c>
      <c r="AH308" s="13">
        <v>19.2</v>
      </c>
      <c r="AI308" s="13">
        <v>4.1000000000000003E-3</v>
      </c>
      <c r="AT308" s="13" t="e">
        <f>LN(25/Table26[[#This Row],[Temperature (C)]]/(1-SQRT((Table26[[#This Row],[Temperature (C)]]-5)/Table26[[#This Row],[Temperature (C)]])))/Table26[[#This Row],[b]]</f>
        <v>#DIV/0!</v>
      </c>
      <c r="AU308" s="13">
        <f>IF(Table26[[#This Row],[b]]&lt;&gt;"",Table26[[#This Row],[T-5]], 0)</f>
        <v>0</v>
      </c>
      <c r="AV308" s="13">
        <v>60</v>
      </c>
      <c r="AW308" s="13">
        <v>400</v>
      </c>
      <c r="AY308" t="s">
        <v>503</v>
      </c>
      <c r="AZ308" s="13">
        <v>11</v>
      </c>
      <c r="BA308" s="13">
        <v>23</v>
      </c>
      <c r="BB308" s="13">
        <v>7</v>
      </c>
      <c r="BC308" s="13">
        <v>26.6</v>
      </c>
      <c r="BD308" s="13">
        <f>100-SUM(Table26[[#This Row],[Solids wt%]:[Gas wt%]])</f>
        <v>32.400000000000006</v>
      </c>
      <c r="BE308" s="13">
        <v>64.119601328903599</v>
      </c>
      <c r="BQ308" s="13">
        <v>10.263929618768328</v>
      </c>
      <c r="CV308" s="13">
        <v>0</v>
      </c>
    </row>
    <row r="309" spans="1:100" x14ac:dyDescent="0.25">
      <c r="A309" t="s">
        <v>343</v>
      </c>
      <c r="B309" t="s">
        <v>345</v>
      </c>
      <c r="C309">
        <v>2020</v>
      </c>
      <c r="D309" t="s">
        <v>344</v>
      </c>
      <c r="E309">
        <v>1</v>
      </c>
      <c r="F309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309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309" s="13">
        <v>97.8</v>
      </c>
      <c r="W309" s="13">
        <v>80.099999999999994</v>
      </c>
      <c r="X309" s="13">
        <v>3.8</v>
      </c>
      <c r="Y309" s="13">
        <v>15.4</v>
      </c>
      <c r="AB309" s="13">
        <v>46.5</v>
      </c>
      <c r="AC309" s="13">
        <v>6.99</v>
      </c>
      <c r="AD309" s="13">
        <v>33.299999999999997</v>
      </c>
      <c r="AE309" s="13">
        <v>2.14</v>
      </c>
      <c r="AF309" s="13">
        <v>0.85</v>
      </c>
      <c r="AH309" s="13">
        <v>19.2</v>
      </c>
      <c r="AI309" s="13">
        <v>4.1000000000000003E-3</v>
      </c>
      <c r="AT309" s="13" t="e">
        <f>LN(25/Table26[[#This Row],[Temperature (C)]]/(1-SQRT((Table26[[#This Row],[Temperature (C)]]-5)/Table26[[#This Row],[Temperature (C)]])))/Table26[[#This Row],[b]]</f>
        <v>#DIV/0!</v>
      </c>
      <c r="AU309" s="13">
        <f>IF(Table26[[#This Row],[b]]&lt;&gt;"",Table26[[#This Row],[T-5]], 0)</f>
        <v>0</v>
      </c>
      <c r="AV309" s="13">
        <v>1</v>
      </c>
      <c r="AW309" s="13">
        <v>420.4</v>
      </c>
      <c r="AY309" t="s">
        <v>503</v>
      </c>
      <c r="AZ309" s="13">
        <v>13.3</v>
      </c>
      <c r="BA309" s="13">
        <v>25.7</v>
      </c>
      <c r="BB309" s="13">
        <v>20.2</v>
      </c>
      <c r="BC309" s="13">
        <v>24.4</v>
      </c>
      <c r="BD309" s="13">
        <f>100-SUM(Table26[[#This Row],[Solids wt%]:[Gas wt%]])</f>
        <v>16.400000000000006</v>
      </c>
      <c r="BE309" s="13">
        <v>64.451827242524899</v>
      </c>
      <c r="BQ309" s="13">
        <v>10.56338028169014</v>
      </c>
      <c r="CV309" s="13">
        <v>0</v>
      </c>
    </row>
    <row r="310" spans="1:100" x14ac:dyDescent="0.25">
      <c r="A310" t="s">
        <v>343</v>
      </c>
      <c r="B310" t="s">
        <v>345</v>
      </c>
      <c r="C310">
        <v>2020</v>
      </c>
      <c r="D310" t="s">
        <v>344</v>
      </c>
      <c r="E310">
        <v>1</v>
      </c>
      <c r="F310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310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310" s="13">
        <v>97.8</v>
      </c>
      <c r="W310" s="13">
        <v>80.099999999999994</v>
      </c>
      <c r="X310" s="13">
        <v>3.8</v>
      </c>
      <c r="Y310" s="13">
        <v>15.4</v>
      </c>
      <c r="AB310" s="13">
        <v>46.5</v>
      </c>
      <c r="AC310" s="13">
        <v>6.99</v>
      </c>
      <c r="AD310" s="13">
        <v>33.299999999999997</v>
      </c>
      <c r="AE310" s="13">
        <v>2.14</v>
      </c>
      <c r="AF310" s="13">
        <v>0.85</v>
      </c>
      <c r="AH310" s="13">
        <v>19.2</v>
      </c>
      <c r="AI310" s="13">
        <v>4.1000000000000003E-3</v>
      </c>
      <c r="AT310" s="13" t="e">
        <f>LN(25/Table26[[#This Row],[Temperature (C)]]/(1-SQRT((Table26[[#This Row],[Temperature (C)]]-5)/Table26[[#This Row],[Temperature (C)]])))/Table26[[#This Row],[b]]</f>
        <v>#DIV/0!</v>
      </c>
      <c r="AU310" s="13">
        <f>IF(Table26[[#This Row],[b]]&lt;&gt;"",Table26[[#This Row],[T-5]], 0)</f>
        <v>0</v>
      </c>
      <c r="AV310" s="13">
        <v>2</v>
      </c>
      <c r="AW310" s="13">
        <v>482.2</v>
      </c>
      <c r="AY310" t="s">
        <v>503</v>
      </c>
      <c r="AZ310" s="13">
        <v>12.8</v>
      </c>
      <c r="BA310" s="13">
        <v>21</v>
      </c>
      <c r="BB310" s="13">
        <v>5.9</v>
      </c>
      <c r="BC310" s="13">
        <v>32.299999999999997</v>
      </c>
      <c r="BD310" s="13">
        <f>100-SUM(Table26[[#This Row],[Solids wt%]:[Gas wt%]])</f>
        <v>28</v>
      </c>
      <c r="BE310" s="13">
        <v>16.599693760469506</v>
      </c>
      <c r="BQ310" s="13" t="s">
        <v>506</v>
      </c>
      <c r="CV310" s="13">
        <v>0</v>
      </c>
    </row>
    <row r="311" spans="1:100" x14ac:dyDescent="0.25">
      <c r="A311" t="s">
        <v>343</v>
      </c>
      <c r="B311" t="s">
        <v>345</v>
      </c>
      <c r="C311">
        <v>2020</v>
      </c>
      <c r="D311" t="s">
        <v>344</v>
      </c>
      <c r="E311">
        <v>1</v>
      </c>
      <c r="F311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311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311" s="13">
        <v>97.8</v>
      </c>
      <c r="W311" s="13">
        <v>80.099999999999994</v>
      </c>
      <c r="X311" s="13">
        <v>3.8</v>
      </c>
      <c r="Y311" s="13">
        <v>15.4</v>
      </c>
      <c r="AB311" s="13">
        <v>46.5</v>
      </c>
      <c r="AC311" s="13">
        <v>6.99</v>
      </c>
      <c r="AD311" s="13">
        <v>33.299999999999997</v>
      </c>
      <c r="AE311" s="13">
        <v>2.14</v>
      </c>
      <c r="AF311" s="13">
        <v>0.85</v>
      </c>
      <c r="AH311" s="13">
        <v>19.2</v>
      </c>
      <c r="AI311" s="13">
        <v>4.1000000000000003E-3</v>
      </c>
      <c r="AT311" s="13" t="e">
        <f>LN(25/Table26[[#This Row],[Temperature (C)]]/(1-SQRT((Table26[[#This Row],[Temperature (C)]]-5)/Table26[[#This Row],[Temperature (C)]])))/Table26[[#This Row],[b]]</f>
        <v>#DIV/0!</v>
      </c>
      <c r="AU311" s="13">
        <f>IF(Table26[[#This Row],[b]]&lt;&gt;"",Table26[[#This Row],[T-5]], 0)</f>
        <v>0</v>
      </c>
      <c r="AV311" s="13">
        <v>3</v>
      </c>
      <c r="AW311" s="13">
        <v>492.9</v>
      </c>
      <c r="AY311" t="s">
        <v>503</v>
      </c>
      <c r="AZ311" s="13">
        <v>11.9</v>
      </c>
      <c r="BA311" s="13">
        <v>18.3</v>
      </c>
      <c r="BB311" s="13">
        <v>4.4000000000000004</v>
      </c>
      <c r="BC311" s="13">
        <v>34.5</v>
      </c>
      <c r="BD311" s="13">
        <f>100-SUM(Table26[[#This Row],[Solids wt%]:[Gas wt%]])</f>
        <v>30.900000000000006</v>
      </c>
      <c r="BE311" s="13">
        <v>58.796854448269201</v>
      </c>
      <c r="BQ311" s="13" t="s">
        <v>506</v>
      </c>
      <c r="CV311" s="13">
        <v>0</v>
      </c>
    </row>
    <row r="312" spans="1:100" x14ac:dyDescent="0.25">
      <c r="A312" t="s">
        <v>343</v>
      </c>
      <c r="B312" t="s">
        <v>345</v>
      </c>
      <c r="C312">
        <v>2020</v>
      </c>
      <c r="D312" t="s">
        <v>344</v>
      </c>
      <c r="E312">
        <v>1</v>
      </c>
      <c r="F312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312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312" s="13">
        <v>97.8</v>
      </c>
      <c r="W312" s="13">
        <v>80.099999999999994</v>
      </c>
      <c r="X312" s="13">
        <v>3.8</v>
      </c>
      <c r="Y312" s="13">
        <v>15.4</v>
      </c>
      <c r="AB312" s="13">
        <v>46.5</v>
      </c>
      <c r="AC312" s="13">
        <v>6.99</v>
      </c>
      <c r="AD312" s="13">
        <v>33.299999999999997</v>
      </c>
      <c r="AE312" s="13">
        <v>2.14</v>
      </c>
      <c r="AF312" s="13">
        <v>0.85</v>
      </c>
      <c r="AH312" s="13">
        <v>19.2</v>
      </c>
      <c r="AI312" s="13">
        <v>4.1000000000000003E-3</v>
      </c>
      <c r="AT312" s="13" t="e">
        <f>LN(25/Table26[[#This Row],[Temperature (C)]]/(1-SQRT((Table26[[#This Row],[Temperature (C)]]-5)/Table26[[#This Row],[Temperature (C)]])))/Table26[[#This Row],[b]]</f>
        <v>#DIV/0!</v>
      </c>
      <c r="AU312" s="13">
        <f>IF(Table26[[#This Row],[b]]&lt;&gt;"",Table26[[#This Row],[T-5]], 0)</f>
        <v>0</v>
      </c>
      <c r="AV312" s="13">
        <v>4</v>
      </c>
      <c r="AW312" s="13">
        <v>500</v>
      </c>
      <c r="AY312" t="s">
        <v>503</v>
      </c>
      <c r="AZ312" s="13">
        <v>11.3</v>
      </c>
      <c r="BA312" s="13">
        <v>16.100000000000001</v>
      </c>
      <c r="BB312" s="13">
        <v>4.0999999999999996</v>
      </c>
      <c r="BC312" s="13">
        <v>36.6</v>
      </c>
      <c r="BD312" s="13">
        <f>100-SUM(Table26[[#This Row],[Solids wt%]:[Gas wt%]])</f>
        <v>31.900000000000006</v>
      </c>
      <c r="BE312" s="13">
        <v>56.485681502892575</v>
      </c>
      <c r="BQ312" s="13" t="s">
        <v>506</v>
      </c>
      <c r="CV312" s="13">
        <v>0</v>
      </c>
    </row>
    <row r="313" spans="1:100" x14ac:dyDescent="0.25">
      <c r="A313" t="s">
        <v>343</v>
      </c>
      <c r="B313" t="s">
        <v>345</v>
      </c>
      <c r="C313">
        <v>2020</v>
      </c>
      <c r="D313" t="s">
        <v>344</v>
      </c>
      <c r="E313">
        <v>1</v>
      </c>
      <c r="F313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313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313" s="13">
        <v>97.8</v>
      </c>
      <c r="W313" s="13">
        <v>80.099999999999994</v>
      </c>
      <c r="X313" s="13">
        <v>3.8</v>
      </c>
      <c r="Y313" s="13">
        <v>15.4</v>
      </c>
      <c r="AB313" s="13">
        <v>46.5</v>
      </c>
      <c r="AC313" s="13">
        <v>6.99</v>
      </c>
      <c r="AD313" s="13">
        <v>33.299999999999997</v>
      </c>
      <c r="AE313" s="13">
        <v>2.14</v>
      </c>
      <c r="AF313" s="13">
        <v>0.85</v>
      </c>
      <c r="AH313" s="13">
        <v>19.2</v>
      </c>
      <c r="AI313" s="13">
        <v>4.1000000000000003E-3</v>
      </c>
      <c r="AT313" s="13" t="e">
        <f>LN(25/Table26[[#This Row],[Temperature (C)]]/(1-SQRT((Table26[[#This Row],[Temperature (C)]]-5)/Table26[[#This Row],[Temperature (C)]])))/Table26[[#This Row],[b]]</f>
        <v>#DIV/0!</v>
      </c>
      <c r="AU313" s="13">
        <f>IF(Table26[[#This Row],[b]]&lt;&gt;"",Table26[[#This Row],[T-5]], 0)</f>
        <v>0</v>
      </c>
      <c r="AV313" s="13">
        <v>5</v>
      </c>
      <c r="AW313" s="13">
        <v>500</v>
      </c>
      <c r="AY313" t="s">
        <v>503</v>
      </c>
      <c r="AZ313" s="13">
        <v>11.2</v>
      </c>
      <c r="BA313" s="13">
        <v>15</v>
      </c>
      <c r="BB313" s="13">
        <v>1.9</v>
      </c>
      <c r="BC313" s="13">
        <v>38.4</v>
      </c>
      <c r="BD313" s="13">
        <f>100-SUM(Table26[[#This Row],[Solids wt%]:[Gas wt%]])</f>
        <v>33.5</v>
      </c>
      <c r="BE313" s="13">
        <v>78.093159184587336</v>
      </c>
      <c r="BQ313" s="13" t="s">
        <v>506</v>
      </c>
      <c r="CV313" s="13">
        <v>0</v>
      </c>
    </row>
    <row r="314" spans="1:100" x14ac:dyDescent="0.25">
      <c r="A314" t="s">
        <v>343</v>
      </c>
      <c r="B314" t="s">
        <v>345</v>
      </c>
      <c r="C314">
        <v>2020</v>
      </c>
      <c r="D314" t="s">
        <v>344</v>
      </c>
      <c r="E314">
        <v>1</v>
      </c>
      <c r="F314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314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314" s="13">
        <v>97.8</v>
      </c>
      <c r="W314" s="13">
        <v>80.099999999999994</v>
      </c>
      <c r="X314" s="13">
        <v>3.8</v>
      </c>
      <c r="Y314" s="13">
        <v>15.4</v>
      </c>
      <c r="AB314" s="13">
        <v>46.5</v>
      </c>
      <c r="AC314" s="13">
        <v>6.99</v>
      </c>
      <c r="AD314" s="13">
        <v>33.299999999999997</v>
      </c>
      <c r="AE314" s="13">
        <v>2.14</v>
      </c>
      <c r="AF314" s="13">
        <v>0.85</v>
      </c>
      <c r="AH314" s="13">
        <v>19.2</v>
      </c>
      <c r="AI314" s="13">
        <v>4.1000000000000003E-3</v>
      </c>
      <c r="AT314" s="13" t="e">
        <f>LN(25/Table26[[#This Row],[Temperature (C)]]/(1-SQRT((Table26[[#This Row],[Temperature (C)]]-5)/Table26[[#This Row],[Temperature (C)]])))/Table26[[#This Row],[b]]</f>
        <v>#DIV/0!</v>
      </c>
      <c r="AU314" s="13">
        <f>IF(Table26[[#This Row],[b]]&lt;&gt;"",Table26[[#This Row],[T-5]], 0)</f>
        <v>0</v>
      </c>
      <c r="AV314" s="13">
        <v>10</v>
      </c>
      <c r="AW314" s="13">
        <v>500</v>
      </c>
      <c r="AY314" t="s">
        <v>503</v>
      </c>
      <c r="AZ314" s="13">
        <v>11</v>
      </c>
      <c r="BA314" s="13">
        <v>10.1</v>
      </c>
      <c r="BB314" s="13">
        <v>1.8</v>
      </c>
      <c r="BC314" s="13">
        <v>41.1</v>
      </c>
      <c r="BD314" s="13">
        <f>100-SUM(Table26[[#This Row],[Solids wt%]:[Gas wt%]])</f>
        <v>36</v>
      </c>
      <c r="BE314" s="13">
        <v>54.097956670704562</v>
      </c>
      <c r="BQ314" s="13">
        <v>12.5</v>
      </c>
      <c r="CV314" s="13">
        <v>0</v>
      </c>
    </row>
    <row r="315" spans="1:100" x14ac:dyDescent="0.25">
      <c r="A315" t="s">
        <v>343</v>
      </c>
      <c r="B315" t="s">
        <v>345</v>
      </c>
      <c r="C315">
        <v>2020</v>
      </c>
      <c r="D315" t="s">
        <v>344</v>
      </c>
      <c r="E315">
        <v>1</v>
      </c>
      <c r="F315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315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315" s="13">
        <v>97.8</v>
      </c>
      <c r="W315" s="13">
        <v>80.099999999999994</v>
      </c>
      <c r="X315" s="13">
        <v>3.8</v>
      </c>
      <c r="Y315" s="13">
        <v>15.4</v>
      </c>
      <c r="AB315" s="13">
        <v>46.5</v>
      </c>
      <c r="AC315" s="13">
        <v>6.99</v>
      </c>
      <c r="AD315" s="13">
        <v>33.299999999999997</v>
      </c>
      <c r="AE315" s="13">
        <v>2.14</v>
      </c>
      <c r="AF315" s="13">
        <v>0.85</v>
      </c>
      <c r="AH315" s="13">
        <v>19.2</v>
      </c>
      <c r="AI315" s="13">
        <v>4.1000000000000003E-3</v>
      </c>
      <c r="AT315" s="13" t="e">
        <f>LN(25/Table26[[#This Row],[Temperature (C)]]/(1-SQRT((Table26[[#This Row],[Temperature (C)]]-5)/Table26[[#This Row],[Temperature (C)]])))/Table26[[#This Row],[b]]</f>
        <v>#DIV/0!</v>
      </c>
      <c r="AU315" s="13">
        <f>IF(Table26[[#This Row],[b]]&lt;&gt;"",Table26[[#This Row],[T-5]], 0)</f>
        <v>0</v>
      </c>
      <c r="AV315" s="13">
        <v>20</v>
      </c>
      <c r="AW315" s="13">
        <v>500</v>
      </c>
      <c r="AY315" t="s">
        <v>503</v>
      </c>
      <c r="AZ315" s="13">
        <v>11</v>
      </c>
      <c r="BA315" s="13">
        <v>4.9000000000000004</v>
      </c>
      <c r="BB315" s="13">
        <v>1.8</v>
      </c>
      <c r="BC315" s="13">
        <v>45.3</v>
      </c>
      <c r="BD315" s="13">
        <f>100-SUM(Table26[[#This Row],[Solids wt%]:[Gas wt%]])</f>
        <v>37</v>
      </c>
      <c r="BE315" s="13">
        <v>55.813953488372</v>
      </c>
      <c r="BQ315" s="13">
        <v>10.70840197693575</v>
      </c>
      <c r="CV315" s="13">
        <v>0</v>
      </c>
    </row>
    <row r="316" spans="1:100" x14ac:dyDescent="0.25">
      <c r="A316" t="s">
        <v>343</v>
      </c>
      <c r="B316" t="s">
        <v>345</v>
      </c>
      <c r="C316">
        <v>2020</v>
      </c>
      <c r="D316" t="s">
        <v>344</v>
      </c>
      <c r="E316">
        <v>1</v>
      </c>
      <c r="F316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316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316" s="13">
        <v>97.8</v>
      </c>
      <c r="W316" s="13">
        <v>80.099999999999994</v>
      </c>
      <c r="X316" s="13">
        <v>3.8</v>
      </c>
      <c r="Y316" s="13">
        <v>15.4</v>
      </c>
      <c r="AB316" s="13">
        <v>46.5</v>
      </c>
      <c r="AC316" s="13">
        <v>6.99</v>
      </c>
      <c r="AD316" s="13">
        <v>33.299999999999997</v>
      </c>
      <c r="AE316" s="13">
        <v>2.14</v>
      </c>
      <c r="AF316" s="13">
        <v>0.85</v>
      </c>
      <c r="AH316" s="13">
        <v>19.2</v>
      </c>
      <c r="AI316" s="13">
        <v>4.1000000000000003E-3</v>
      </c>
      <c r="AT316" s="13" t="e">
        <f>LN(25/Table26[[#This Row],[Temperature (C)]]/(1-SQRT((Table26[[#This Row],[Temperature (C)]]-5)/Table26[[#This Row],[Temperature (C)]])))/Table26[[#This Row],[b]]</f>
        <v>#DIV/0!</v>
      </c>
      <c r="AU316" s="13">
        <f>IF(Table26[[#This Row],[b]]&lt;&gt;"",Table26[[#This Row],[T-5]], 0)</f>
        <v>0</v>
      </c>
      <c r="AV316" s="13">
        <v>40</v>
      </c>
      <c r="AW316" s="13">
        <v>500</v>
      </c>
      <c r="AY316" t="s">
        <v>503</v>
      </c>
      <c r="AZ316" s="13">
        <v>10.8</v>
      </c>
      <c r="BA316" s="13">
        <v>2.5</v>
      </c>
      <c r="BB316" s="13">
        <v>1.6</v>
      </c>
      <c r="BC316" s="13">
        <v>47.4</v>
      </c>
      <c r="BD316" s="13">
        <f>100-SUM(Table26[[#This Row],[Solids wt%]:[Gas wt%]])</f>
        <v>37.700000000000003</v>
      </c>
      <c r="BE316" s="13">
        <v>59.136212624584701</v>
      </c>
      <c r="BQ316" s="13">
        <v>13.309352517985612</v>
      </c>
      <c r="CV316" s="13">
        <v>0</v>
      </c>
    </row>
    <row r="317" spans="1:100" x14ac:dyDescent="0.25">
      <c r="A317" t="s">
        <v>343</v>
      </c>
      <c r="B317" t="s">
        <v>345</v>
      </c>
      <c r="C317">
        <v>2020</v>
      </c>
      <c r="D317" t="s">
        <v>344</v>
      </c>
      <c r="E317">
        <v>1</v>
      </c>
      <c r="F317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317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317" s="13">
        <v>97.8</v>
      </c>
      <c r="W317" s="13">
        <v>80.099999999999994</v>
      </c>
      <c r="X317" s="13">
        <v>3.8</v>
      </c>
      <c r="Y317" s="13">
        <v>15.4</v>
      </c>
      <c r="AB317" s="13">
        <v>46.5</v>
      </c>
      <c r="AC317" s="13">
        <v>6.99</v>
      </c>
      <c r="AD317" s="13">
        <v>33.299999999999997</v>
      </c>
      <c r="AE317" s="13">
        <v>2.14</v>
      </c>
      <c r="AF317" s="13">
        <v>0.85</v>
      </c>
      <c r="AH317" s="13">
        <v>19.2</v>
      </c>
      <c r="AI317" s="13">
        <v>4.1000000000000003E-3</v>
      </c>
      <c r="AT317" s="13" t="e">
        <f>LN(25/Table26[[#This Row],[Temperature (C)]]/(1-SQRT((Table26[[#This Row],[Temperature (C)]]-5)/Table26[[#This Row],[Temperature (C)]])))/Table26[[#This Row],[b]]</f>
        <v>#DIV/0!</v>
      </c>
      <c r="AU317" s="13">
        <f>IF(Table26[[#This Row],[b]]&lt;&gt;"",Table26[[#This Row],[T-5]], 0)</f>
        <v>0</v>
      </c>
      <c r="AV317" s="13">
        <v>60</v>
      </c>
      <c r="AW317" s="13">
        <v>500</v>
      </c>
      <c r="AY317" t="s">
        <v>503</v>
      </c>
      <c r="AZ317" s="13">
        <v>10.9</v>
      </c>
      <c r="BA317" s="13">
        <v>2.4</v>
      </c>
      <c r="BB317" s="13">
        <v>1.8</v>
      </c>
      <c r="BC317" s="13">
        <v>46.1</v>
      </c>
      <c r="BD317" s="13">
        <f>100-SUM(Table26[[#This Row],[Solids wt%]:[Gas wt%]])</f>
        <v>38.799999999999997</v>
      </c>
      <c r="BE317" s="13">
        <v>62.126245847176101</v>
      </c>
      <c r="BQ317" s="13">
        <v>12.931034482758621</v>
      </c>
      <c r="CV317" s="13">
        <v>0</v>
      </c>
    </row>
    <row r="318" spans="1:100" x14ac:dyDescent="0.25">
      <c r="A318" t="s">
        <v>343</v>
      </c>
      <c r="B318" t="s">
        <v>345</v>
      </c>
      <c r="C318">
        <v>2020</v>
      </c>
      <c r="D318" t="s">
        <v>344</v>
      </c>
      <c r="E318">
        <v>1</v>
      </c>
      <c r="F318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318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318" s="13">
        <v>97.8</v>
      </c>
      <c r="W318" s="13">
        <v>80.099999999999994</v>
      </c>
      <c r="X318" s="13">
        <v>3.8</v>
      </c>
      <c r="Y318" s="13">
        <v>15.4</v>
      </c>
      <c r="AB318" s="13">
        <v>46.5</v>
      </c>
      <c r="AC318" s="13">
        <v>6.99</v>
      </c>
      <c r="AD318" s="13">
        <v>33.299999999999997</v>
      </c>
      <c r="AE318" s="13">
        <v>2.14</v>
      </c>
      <c r="AF318" s="13">
        <v>0.85</v>
      </c>
      <c r="AH318" s="13">
        <v>19.2</v>
      </c>
      <c r="AI318" s="13">
        <v>4.1000000000000003E-3</v>
      </c>
      <c r="AT318" s="13" t="e">
        <f>LN(25/Table26[[#This Row],[Temperature (C)]]/(1-SQRT((Table26[[#This Row],[Temperature (C)]]-5)/Table26[[#This Row],[Temperature (C)]])))/Table26[[#This Row],[b]]</f>
        <v>#DIV/0!</v>
      </c>
      <c r="AU318" s="13">
        <f>IF(Table26[[#This Row],[b]]&lt;&gt;"",Table26[[#This Row],[T-5]], 0)</f>
        <v>0</v>
      </c>
      <c r="AV318" s="13">
        <v>1</v>
      </c>
      <c r="AW318" s="13">
        <v>469.4</v>
      </c>
      <c r="AY318" t="s">
        <v>503</v>
      </c>
      <c r="AZ318" s="13">
        <v>12.7</v>
      </c>
      <c r="BA318" s="13">
        <v>20.100000000000001</v>
      </c>
      <c r="BB318" s="13">
        <v>16.7</v>
      </c>
      <c r="BC318" s="13">
        <v>32.700000000000003</v>
      </c>
      <c r="BD318" s="13">
        <f>100-SUM(Table26[[#This Row],[Solids wt%]:[Gas wt%]])</f>
        <v>17.799999999999997</v>
      </c>
      <c r="BE318" s="13">
        <v>64.4518272425248</v>
      </c>
      <c r="BQ318" s="13">
        <v>11.001410437235542</v>
      </c>
      <c r="CV318" s="13">
        <v>0</v>
      </c>
    </row>
    <row r="319" spans="1:100" x14ac:dyDescent="0.25">
      <c r="A319" t="s">
        <v>343</v>
      </c>
      <c r="B319" t="s">
        <v>345</v>
      </c>
      <c r="C319">
        <v>2020</v>
      </c>
      <c r="D319" t="s">
        <v>344</v>
      </c>
      <c r="E319">
        <v>1</v>
      </c>
      <c r="F319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319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319" s="13">
        <v>97.8</v>
      </c>
      <c r="W319" s="13">
        <v>80.099999999999994</v>
      </c>
      <c r="X319" s="13">
        <v>3.8</v>
      </c>
      <c r="Y319" s="13">
        <v>15.4</v>
      </c>
      <c r="AB319" s="13">
        <v>46.5</v>
      </c>
      <c r="AC319" s="13">
        <v>6.99</v>
      </c>
      <c r="AD319" s="13">
        <v>33.299999999999997</v>
      </c>
      <c r="AE319" s="13">
        <v>2.14</v>
      </c>
      <c r="AF319" s="13">
        <v>0.85</v>
      </c>
      <c r="AH319" s="13">
        <v>19.2</v>
      </c>
      <c r="AI319" s="13">
        <v>4.1000000000000003E-3</v>
      </c>
      <c r="AT319" s="13" t="e">
        <f>LN(25/Table26[[#This Row],[Temperature (C)]]/(1-SQRT((Table26[[#This Row],[Temperature (C)]]-5)/Table26[[#This Row],[Temperature (C)]])))/Table26[[#This Row],[b]]</f>
        <v>#DIV/0!</v>
      </c>
      <c r="AU319" s="13">
        <f>IF(Table26[[#This Row],[b]]&lt;&gt;"",Table26[[#This Row],[T-5]], 0)</f>
        <v>0</v>
      </c>
      <c r="AV319" s="13">
        <v>2</v>
      </c>
      <c r="AW319" s="13">
        <v>566</v>
      </c>
      <c r="AY319" t="s">
        <v>503</v>
      </c>
      <c r="AZ319" s="13">
        <v>12</v>
      </c>
      <c r="BA319" s="13">
        <v>11</v>
      </c>
      <c r="BB319" s="13">
        <v>4.8</v>
      </c>
      <c r="BC319" s="13">
        <v>41.3</v>
      </c>
      <c r="BD319" s="13">
        <f>100-SUM(Table26[[#This Row],[Solids wt%]:[Gas wt%]])</f>
        <v>30.900000000000006</v>
      </c>
      <c r="BE319" s="13">
        <v>45.186650195297737</v>
      </c>
      <c r="BQ319" s="13" t="s">
        <v>506</v>
      </c>
      <c r="CV319" s="13">
        <v>0</v>
      </c>
    </row>
    <row r="320" spans="1:100" x14ac:dyDescent="0.25">
      <c r="A320" t="s">
        <v>343</v>
      </c>
      <c r="B320" t="s">
        <v>345</v>
      </c>
      <c r="C320">
        <v>2020</v>
      </c>
      <c r="D320" t="s">
        <v>344</v>
      </c>
      <c r="E320">
        <v>1</v>
      </c>
      <c r="F320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320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320" s="13">
        <v>97.8</v>
      </c>
      <c r="W320" s="13">
        <v>80.099999999999994</v>
      </c>
      <c r="X320" s="13">
        <v>3.8</v>
      </c>
      <c r="Y320" s="13">
        <v>15.4</v>
      </c>
      <c r="AB320" s="13">
        <v>46.5</v>
      </c>
      <c r="AC320" s="13">
        <v>6.99</v>
      </c>
      <c r="AD320" s="13">
        <v>33.299999999999997</v>
      </c>
      <c r="AE320" s="13">
        <v>2.14</v>
      </c>
      <c r="AF320" s="13">
        <v>0.85</v>
      </c>
      <c r="AH320" s="13">
        <v>19.2</v>
      </c>
      <c r="AI320" s="13">
        <v>4.1000000000000003E-3</v>
      </c>
      <c r="AT320" s="13" t="e">
        <f>LN(25/Table26[[#This Row],[Temperature (C)]]/(1-SQRT((Table26[[#This Row],[Temperature (C)]]-5)/Table26[[#This Row],[Temperature (C)]])))/Table26[[#This Row],[b]]</f>
        <v>#DIV/0!</v>
      </c>
      <c r="AU320" s="13">
        <f>IF(Table26[[#This Row],[b]]&lt;&gt;"",Table26[[#This Row],[T-5]], 0)</f>
        <v>0</v>
      </c>
      <c r="AV320" s="13">
        <v>3</v>
      </c>
      <c r="AW320" s="13">
        <v>589.29999999999995</v>
      </c>
      <c r="AY320" t="s">
        <v>503</v>
      </c>
      <c r="AZ320" s="13">
        <v>12.2</v>
      </c>
      <c r="BA320" s="13">
        <v>7.5</v>
      </c>
      <c r="BB320" s="13">
        <v>3.7</v>
      </c>
      <c r="BC320" s="13">
        <v>44.2</v>
      </c>
      <c r="BD320" s="13">
        <f>100-SUM(Table26[[#This Row],[Solids wt%]:[Gas wt%]])</f>
        <v>32.400000000000006</v>
      </c>
      <c r="BE320" s="13">
        <v>59.805230059448974</v>
      </c>
      <c r="BQ320" s="13" t="s">
        <v>506</v>
      </c>
      <c r="CV320" s="13">
        <v>0</v>
      </c>
    </row>
    <row r="321" spans="1:100" x14ac:dyDescent="0.25">
      <c r="A321" t="s">
        <v>343</v>
      </c>
      <c r="B321" t="s">
        <v>345</v>
      </c>
      <c r="C321">
        <v>2020</v>
      </c>
      <c r="D321" t="s">
        <v>344</v>
      </c>
      <c r="E321">
        <v>1</v>
      </c>
      <c r="F321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321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321" s="13">
        <v>97.8</v>
      </c>
      <c r="W321" s="13">
        <v>80.099999999999994</v>
      </c>
      <c r="X321" s="13">
        <v>3.8</v>
      </c>
      <c r="Y321" s="13">
        <v>15.4</v>
      </c>
      <c r="AB321" s="13">
        <v>46.5</v>
      </c>
      <c r="AC321" s="13">
        <v>6.99</v>
      </c>
      <c r="AD321" s="13">
        <v>33.299999999999997</v>
      </c>
      <c r="AE321" s="13">
        <v>2.14</v>
      </c>
      <c r="AF321" s="13">
        <v>0.85</v>
      </c>
      <c r="AH321" s="13">
        <v>19.2</v>
      </c>
      <c r="AI321" s="13">
        <v>4.1000000000000003E-3</v>
      </c>
      <c r="AT321" s="13" t="e">
        <f>LN(25/Table26[[#This Row],[Temperature (C)]]/(1-SQRT((Table26[[#This Row],[Temperature (C)]]-5)/Table26[[#This Row],[Temperature (C)]])))/Table26[[#This Row],[b]]</f>
        <v>#DIV/0!</v>
      </c>
      <c r="AU321" s="13">
        <f>IF(Table26[[#This Row],[b]]&lt;&gt;"",Table26[[#This Row],[T-5]], 0)</f>
        <v>0</v>
      </c>
      <c r="AV321" s="13">
        <v>4</v>
      </c>
      <c r="AW321" s="13">
        <v>600</v>
      </c>
      <c r="AY321" t="s">
        <v>503</v>
      </c>
      <c r="AZ321" s="13">
        <v>11.1</v>
      </c>
      <c r="BA321" s="13">
        <v>4</v>
      </c>
      <c r="BB321" s="13">
        <v>2.8</v>
      </c>
      <c r="BC321" s="13">
        <v>49.2</v>
      </c>
      <c r="BD321" s="13">
        <f>100-SUM(Table26[[#This Row],[Solids wt%]:[Gas wt%]])</f>
        <v>32.900000000000006</v>
      </c>
      <c r="BE321" s="13">
        <v>53.241141641779748</v>
      </c>
      <c r="BQ321" s="13" t="s">
        <v>506</v>
      </c>
      <c r="CV321" s="13">
        <v>0</v>
      </c>
    </row>
    <row r="322" spans="1:100" x14ac:dyDescent="0.25">
      <c r="A322" t="s">
        <v>343</v>
      </c>
      <c r="B322" t="s">
        <v>345</v>
      </c>
      <c r="C322">
        <v>2020</v>
      </c>
      <c r="D322" t="s">
        <v>344</v>
      </c>
      <c r="E322">
        <v>1</v>
      </c>
      <c r="F322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322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322" s="13">
        <v>97.8</v>
      </c>
      <c r="W322" s="13">
        <v>80.099999999999994</v>
      </c>
      <c r="X322" s="13">
        <v>3.8</v>
      </c>
      <c r="Y322" s="13">
        <v>15.4</v>
      </c>
      <c r="AB322" s="13">
        <v>46.5</v>
      </c>
      <c r="AC322" s="13">
        <v>6.99</v>
      </c>
      <c r="AD322" s="13">
        <v>33.299999999999997</v>
      </c>
      <c r="AE322" s="13">
        <v>2.14</v>
      </c>
      <c r="AF322" s="13">
        <v>0.85</v>
      </c>
      <c r="AH322" s="13">
        <v>19.2</v>
      </c>
      <c r="AI322" s="13">
        <v>4.1000000000000003E-3</v>
      </c>
      <c r="AT322" s="13" t="e">
        <f>LN(25/Table26[[#This Row],[Temperature (C)]]/(1-SQRT((Table26[[#This Row],[Temperature (C)]]-5)/Table26[[#This Row],[Temperature (C)]])))/Table26[[#This Row],[b]]</f>
        <v>#DIV/0!</v>
      </c>
      <c r="AU322" s="13">
        <f>IF(Table26[[#This Row],[b]]&lt;&gt;"",Table26[[#This Row],[T-5]], 0)</f>
        <v>0</v>
      </c>
      <c r="AV322" s="13">
        <v>5</v>
      </c>
      <c r="AW322" s="13">
        <v>600</v>
      </c>
      <c r="AY322" t="s">
        <v>503</v>
      </c>
      <c r="AZ322" s="13">
        <v>11</v>
      </c>
      <c r="BA322" s="13">
        <v>3.2</v>
      </c>
      <c r="BB322" s="13">
        <v>1.7</v>
      </c>
      <c r="BC322" s="13">
        <v>50.6</v>
      </c>
      <c r="BD322" s="13">
        <f>100-SUM(Table26[[#This Row],[Solids wt%]:[Gas wt%]])</f>
        <v>33.5</v>
      </c>
      <c r="BE322" s="13">
        <v>72.67832455793166</v>
      </c>
      <c r="BQ322" s="13" t="s">
        <v>506</v>
      </c>
      <c r="CV322" s="13">
        <v>0</v>
      </c>
    </row>
    <row r="323" spans="1:100" x14ac:dyDescent="0.25">
      <c r="A323" t="s">
        <v>343</v>
      </c>
      <c r="B323" t="s">
        <v>345</v>
      </c>
      <c r="C323">
        <v>2020</v>
      </c>
      <c r="D323" t="s">
        <v>344</v>
      </c>
      <c r="E323">
        <v>1</v>
      </c>
      <c r="F323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323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323" s="13">
        <v>97.8</v>
      </c>
      <c r="W323" s="13">
        <v>80.099999999999994</v>
      </c>
      <c r="X323" s="13">
        <v>3.8</v>
      </c>
      <c r="Y323" s="13">
        <v>15.4</v>
      </c>
      <c r="AB323" s="13">
        <v>46.5</v>
      </c>
      <c r="AC323" s="13">
        <v>6.99</v>
      </c>
      <c r="AD323" s="13">
        <v>33.299999999999997</v>
      </c>
      <c r="AE323" s="13">
        <v>2.14</v>
      </c>
      <c r="AF323" s="13">
        <v>0.85</v>
      </c>
      <c r="AH323" s="13">
        <v>19.2</v>
      </c>
      <c r="AI323" s="13">
        <v>4.1000000000000003E-3</v>
      </c>
      <c r="AT323" s="13" t="e">
        <f>LN(25/Table26[[#This Row],[Temperature (C)]]/(1-SQRT((Table26[[#This Row],[Temperature (C)]]-5)/Table26[[#This Row],[Temperature (C)]])))/Table26[[#This Row],[b]]</f>
        <v>#DIV/0!</v>
      </c>
      <c r="AU323" s="13">
        <f>IF(Table26[[#This Row],[b]]&lt;&gt;"",Table26[[#This Row],[T-5]], 0)</f>
        <v>0</v>
      </c>
      <c r="AV323" s="13">
        <v>10</v>
      </c>
      <c r="AW323" s="13">
        <v>600</v>
      </c>
      <c r="AY323" t="s">
        <v>503</v>
      </c>
      <c r="AZ323" s="13">
        <v>11</v>
      </c>
      <c r="BA323" s="13">
        <v>3.2</v>
      </c>
      <c r="BB323" s="13">
        <v>1.6</v>
      </c>
      <c r="BC323" s="13">
        <v>51.2</v>
      </c>
      <c r="BD323" s="13">
        <f>100-SUM(Table26[[#This Row],[Solids wt%]:[Gas wt%]])</f>
        <v>33</v>
      </c>
      <c r="BE323" s="13">
        <v>57.814657119669434</v>
      </c>
      <c r="BQ323" s="13">
        <v>10.973724884080371</v>
      </c>
      <c r="CV323" s="13">
        <v>0</v>
      </c>
    </row>
    <row r="324" spans="1:100" x14ac:dyDescent="0.25">
      <c r="A324" t="s">
        <v>343</v>
      </c>
      <c r="B324" t="s">
        <v>345</v>
      </c>
      <c r="C324">
        <v>2020</v>
      </c>
      <c r="D324" t="s">
        <v>344</v>
      </c>
      <c r="E324">
        <v>1</v>
      </c>
      <c r="F324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324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324" s="13">
        <v>97.8</v>
      </c>
      <c r="W324" s="13">
        <v>80.099999999999994</v>
      </c>
      <c r="X324" s="13">
        <v>3.8</v>
      </c>
      <c r="Y324" s="13">
        <v>15.4</v>
      </c>
      <c r="AB324" s="13">
        <v>46.5</v>
      </c>
      <c r="AC324" s="13">
        <v>6.99</v>
      </c>
      <c r="AD324" s="13">
        <v>33.299999999999997</v>
      </c>
      <c r="AE324" s="13">
        <v>2.14</v>
      </c>
      <c r="AF324" s="13">
        <v>0.85</v>
      </c>
      <c r="AH324" s="13">
        <v>19.2</v>
      </c>
      <c r="AI324" s="13">
        <v>4.1000000000000003E-3</v>
      </c>
      <c r="AT324" s="13" t="e">
        <f>LN(25/Table26[[#This Row],[Temperature (C)]]/(1-SQRT((Table26[[#This Row],[Temperature (C)]]-5)/Table26[[#This Row],[Temperature (C)]])))/Table26[[#This Row],[b]]</f>
        <v>#DIV/0!</v>
      </c>
      <c r="AU324" s="13">
        <f>IF(Table26[[#This Row],[b]]&lt;&gt;"",Table26[[#This Row],[T-5]], 0)</f>
        <v>0</v>
      </c>
      <c r="AV324" s="13">
        <v>20</v>
      </c>
      <c r="AW324" s="13">
        <v>600</v>
      </c>
      <c r="AY324" t="s">
        <v>503</v>
      </c>
      <c r="AZ324" s="13">
        <v>10.9</v>
      </c>
      <c r="BA324" s="13">
        <v>2.2000000000000002</v>
      </c>
      <c r="BB324" s="13">
        <v>1.8</v>
      </c>
      <c r="BC324" s="13">
        <v>52</v>
      </c>
      <c r="BD324" s="13">
        <f>100-SUM(Table26[[#This Row],[Solids wt%]:[Gas wt%]])</f>
        <v>33.099999999999994</v>
      </c>
      <c r="BE324" s="13">
        <v>67.109634551494906</v>
      </c>
      <c r="BQ324" s="13">
        <v>12.038523274478331</v>
      </c>
      <c r="CV324" s="13">
        <v>0</v>
      </c>
    </row>
    <row r="325" spans="1:100" x14ac:dyDescent="0.25">
      <c r="A325" t="s">
        <v>343</v>
      </c>
      <c r="B325" t="s">
        <v>345</v>
      </c>
      <c r="C325">
        <v>2020</v>
      </c>
      <c r="D325" t="s">
        <v>344</v>
      </c>
      <c r="E325">
        <v>1</v>
      </c>
      <c r="F325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325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325" s="13">
        <v>97.8</v>
      </c>
      <c r="W325" s="13">
        <v>80.099999999999994</v>
      </c>
      <c r="X325" s="13">
        <v>3.8</v>
      </c>
      <c r="Y325" s="13">
        <v>15.4</v>
      </c>
      <c r="AB325" s="13">
        <v>46.5</v>
      </c>
      <c r="AC325" s="13">
        <v>6.99</v>
      </c>
      <c r="AD325" s="13">
        <v>33.299999999999997</v>
      </c>
      <c r="AE325" s="13">
        <v>2.14</v>
      </c>
      <c r="AF325" s="13">
        <v>0.85</v>
      </c>
      <c r="AH325" s="13">
        <v>19.2</v>
      </c>
      <c r="AI325" s="13">
        <v>4.1000000000000003E-3</v>
      </c>
      <c r="AT325" s="13" t="e">
        <f>LN(25/Table26[[#This Row],[Temperature (C)]]/(1-SQRT((Table26[[#This Row],[Temperature (C)]]-5)/Table26[[#This Row],[Temperature (C)]])))/Table26[[#This Row],[b]]</f>
        <v>#DIV/0!</v>
      </c>
      <c r="AU325" s="13">
        <f>IF(Table26[[#This Row],[b]]&lt;&gt;"",Table26[[#This Row],[T-5]], 0)</f>
        <v>0</v>
      </c>
      <c r="AV325" s="13">
        <v>40</v>
      </c>
      <c r="AW325" s="13">
        <v>600</v>
      </c>
      <c r="AY325" t="s">
        <v>503</v>
      </c>
      <c r="AZ325" s="13">
        <v>10.8</v>
      </c>
      <c r="BA325" s="13">
        <v>1.7</v>
      </c>
      <c r="BB325" s="13">
        <v>2</v>
      </c>
      <c r="BC325" s="13">
        <v>51.8</v>
      </c>
      <c r="BD325" s="13">
        <f>100-SUM(Table26[[#This Row],[Solids wt%]:[Gas wt%]])</f>
        <v>33.700000000000003</v>
      </c>
      <c r="BE325" s="13">
        <v>68.438538205979995</v>
      </c>
      <c r="BQ325" s="13">
        <v>12.183544303797468</v>
      </c>
      <c r="CV325" s="13">
        <v>0</v>
      </c>
    </row>
    <row r="326" spans="1:100" x14ac:dyDescent="0.25">
      <c r="A326" t="s">
        <v>343</v>
      </c>
      <c r="B326" t="s">
        <v>345</v>
      </c>
      <c r="C326">
        <v>2020</v>
      </c>
      <c r="D326" t="s">
        <v>344</v>
      </c>
      <c r="E326">
        <v>1</v>
      </c>
      <c r="F326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326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326" s="13">
        <v>97.8</v>
      </c>
      <c r="W326" s="13">
        <v>80.099999999999994</v>
      </c>
      <c r="X326" s="13">
        <v>3.8</v>
      </c>
      <c r="Y326" s="13">
        <v>15.4</v>
      </c>
      <c r="AB326" s="13">
        <v>46.5</v>
      </c>
      <c r="AC326" s="13">
        <v>6.99</v>
      </c>
      <c r="AD326" s="13">
        <v>33.299999999999997</v>
      </c>
      <c r="AE326" s="13">
        <v>2.14</v>
      </c>
      <c r="AF326" s="13">
        <v>0.85</v>
      </c>
      <c r="AH326" s="13">
        <v>19.2</v>
      </c>
      <c r="AI326" s="13">
        <v>4.1000000000000003E-3</v>
      </c>
      <c r="AT326" s="13" t="e">
        <f>LN(25/Table26[[#This Row],[Temperature (C)]]/(1-SQRT((Table26[[#This Row],[Temperature (C)]]-5)/Table26[[#This Row],[Temperature (C)]])))/Table26[[#This Row],[b]]</f>
        <v>#DIV/0!</v>
      </c>
      <c r="AU326" s="13">
        <f>IF(Table26[[#This Row],[b]]&lt;&gt;"",Table26[[#This Row],[T-5]], 0)</f>
        <v>0</v>
      </c>
      <c r="AV326" s="13">
        <v>60</v>
      </c>
      <c r="AW326" s="13">
        <v>600</v>
      </c>
      <c r="AY326" t="s">
        <v>503</v>
      </c>
      <c r="AZ326" s="13">
        <v>10.9</v>
      </c>
      <c r="BA326" s="13">
        <v>2.7</v>
      </c>
      <c r="BB326" s="13">
        <v>1.8</v>
      </c>
      <c r="BC326" s="13">
        <v>52.3</v>
      </c>
      <c r="BD326" s="13">
        <f>100-SUM(Table26[[#This Row],[Solids wt%]:[Gas wt%]])</f>
        <v>32.299999999999997</v>
      </c>
      <c r="BE326" s="13">
        <v>81.063122923587997</v>
      </c>
      <c r="BQ326" s="13">
        <v>12.713178294573643</v>
      </c>
      <c r="CV326" s="13">
        <v>0</v>
      </c>
    </row>
    <row r="327" spans="1:100" x14ac:dyDescent="0.25">
      <c r="A327" t="s">
        <v>346</v>
      </c>
      <c r="B327" t="s">
        <v>241</v>
      </c>
      <c r="C327">
        <v>2019</v>
      </c>
      <c r="D327" t="s">
        <v>347</v>
      </c>
      <c r="E327">
        <v>0</v>
      </c>
      <c r="F327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327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327" s="13">
        <v>60</v>
      </c>
      <c r="AB327" s="13">
        <v>41.2</v>
      </c>
      <c r="AC327" s="13">
        <v>6.6</v>
      </c>
      <c r="AD327" s="13">
        <v>51.7</v>
      </c>
      <c r="AE327" s="13">
        <v>0.5</v>
      </c>
      <c r="AI327" s="13">
        <v>0.05</v>
      </c>
      <c r="AL327" s="13">
        <v>13</v>
      </c>
      <c r="AT327" s="13" t="e">
        <f>LN(25/Table26[[#This Row],[Temperature (C)]]/(1-SQRT((Table26[[#This Row],[Temperature (C)]]-5)/Table26[[#This Row],[Temperature (C)]])))/Table26[[#This Row],[b]]</f>
        <v>#DIV/0!</v>
      </c>
      <c r="AU327" s="13">
        <f>IF(Table26[[#This Row],[b]]&lt;&gt;"",Table26[[#This Row],[T-5]], 0)</f>
        <v>0</v>
      </c>
      <c r="AV327" s="13">
        <v>35</v>
      </c>
      <c r="AW327" s="13">
        <v>280</v>
      </c>
      <c r="AY327" t="s">
        <v>503</v>
      </c>
      <c r="AZ327" s="13">
        <v>28.55</v>
      </c>
      <c r="BA327" s="13">
        <v>9.1</v>
      </c>
      <c r="BE327" s="13">
        <v>72.757475083056406</v>
      </c>
      <c r="BQ327" s="13">
        <v>12.874251497005988</v>
      </c>
      <c r="CV327" s="13">
        <v>0</v>
      </c>
    </row>
    <row r="328" spans="1:100" x14ac:dyDescent="0.25">
      <c r="A328" t="s">
        <v>346</v>
      </c>
      <c r="B328" t="s">
        <v>241</v>
      </c>
      <c r="C328">
        <v>2019</v>
      </c>
      <c r="D328" t="s">
        <v>347</v>
      </c>
      <c r="E328">
        <v>0</v>
      </c>
      <c r="F328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328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328" s="13">
        <v>60</v>
      </c>
      <c r="AB328" s="13">
        <v>41.2</v>
      </c>
      <c r="AC328" s="13">
        <v>6.6</v>
      </c>
      <c r="AD328" s="13">
        <v>51.7</v>
      </c>
      <c r="AE328" s="13">
        <v>0.5</v>
      </c>
      <c r="AI328" s="13">
        <v>0.05</v>
      </c>
      <c r="AL328" s="13">
        <v>10</v>
      </c>
      <c r="AT328" s="13" t="e">
        <f>LN(25/Table26[[#This Row],[Temperature (C)]]/(1-SQRT((Table26[[#This Row],[Temperature (C)]]-5)/Table26[[#This Row],[Temperature (C)]])))/Table26[[#This Row],[b]]</f>
        <v>#DIV/0!</v>
      </c>
      <c r="AU328" s="13">
        <f>IF(Table26[[#This Row],[b]]&lt;&gt;"",Table26[[#This Row],[T-5]], 0)</f>
        <v>0</v>
      </c>
      <c r="AV328" s="13">
        <v>20</v>
      </c>
      <c r="AW328" s="13">
        <v>294</v>
      </c>
      <c r="AY328" t="s">
        <v>503</v>
      </c>
      <c r="AZ328" s="13">
        <v>27.6</v>
      </c>
      <c r="BA328" s="13">
        <v>9.15</v>
      </c>
      <c r="BE328" s="13">
        <v>13.610684001583252</v>
      </c>
      <c r="BQ328" s="13" t="s">
        <v>506</v>
      </c>
      <c r="CV328" s="13">
        <v>0</v>
      </c>
    </row>
    <row r="329" spans="1:100" x14ac:dyDescent="0.25">
      <c r="A329" t="s">
        <v>346</v>
      </c>
      <c r="B329" t="s">
        <v>241</v>
      </c>
      <c r="C329">
        <v>2019</v>
      </c>
      <c r="D329" t="s">
        <v>347</v>
      </c>
      <c r="E329">
        <v>0</v>
      </c>
      <c r="F329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329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329" s="13">
        <v>60</v>
      </c>
      <c r="AB329" s="13">
        <v>41.2</v>
      </c>
      <c r="AC329" s="13">
        <v>6.6</v>
      </c>
      <c r="AD329" s="13">
        <v>51.7</v>
      </c>
      <c r="AE329" s="13">
        <v>0.5</v>
      </c>
      <c r="AI329" s="13">
        <v>0.05</v>
      </c>
      <c r="AL329" s="13">
        <v>17</v>
      </c>
      <c r="AT329" s="13" t="e">
        <f>LN(25/Table26[[#This Row],[Temperature (C)]]/(1-SQRT((Table26[[#This Row],[Temperature (C)]]-5)/Table26[[#This Row],[Temperature (C)]])))/Table26[[#This Row],[b]]</f>
        <v>#DIV/0!</v>
      </c>
      <c r="AU329" s="13">
        <f>IF(Table26[[#This Row],[b]]&lt;&gt;"",Table26[[#This Row],[T-5]], 0)</f>
        <v>0</v>
      </c>
      <c r="AV329" s="13">
        <v>20</v>
      </c>
      <c r="AW329" s="13">
        <v>294</v>
      </c>
      <c r="AY329" t="s">
        <v>503</v>
      </c>
      <c r="AZ329" s="13">
        <v>32.25</v>
      </c>
      <c r="BA329" s="13">
        <v>6.35</v>
      </c>
      <c r="BE329" s="13">
        <v>62.654185206951695</v>
      </c>
      <c r="BQ329" s="13" t="s">
        <v>506</v>
      </c>
      <c r="CV329" s="13">
        <v>0</v>
      </c>
    </row>
    <row r="330" spans="1:100" x14ac:dyDescent="0.25">
      <c r="A330" t="s">
        <v>346</v>
      </c>
      <c r="B330" t="s">
        <v>241</v>
      </c>
      <c r="C330">
        <v>2019</v>
      </c>
      <c r="D330" t="s">
        <v>347</v>
      </c>
      <c r="E330">
        <v>0</v>
      </c>
      <c r="F330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330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330" s="13">
        <v>60</v>
      </c>
      <c r="AB330" s="13">
        <v>41.2</v>
      </c>
      <c r="AC330" s="13">
        <v>6.6</v>
      </c>
      <c r="AD330" s="13">
        <v>51.7</v>
      </c>
      <c r="AE330" s="13">
        <v>0.5</v>
      </c>
      <c r="AI330" s="13">
        <v>0.05</v>
      </c>
      <c r="AL330" s="13">
        <v>10</v>
      </c>
      <c r="AT330" s="13" t="e">
        <f>LN(25/Table26[[#This Row],[Temperature (C)]]/(1-SQRT((Table26[[#This Row],[Temperature (C)]]-5)/Table26[[#This Row],[Temperature (C)]])))/Table26[[#This Row],[b]]</f>
        <v>#DIV/0!</v>
      </c>
      <c r="AU330" s="13">
        <f>IF(Table26[[#This Row],[b]]&lt;&gt;"",Table26[[#This Row],[T-5]], 0)</f>
        <v>0</v>
      </c>
      <c r="AV330" s="13">
        <v>50</v>
      </c>
      <c r="AW330" s="13">
        <v>294</v>
      </c>
      <c r="AY330" t="s">
        <v>503</v>
      </c>
      <c r="AZ330" s="13">
        <v>45.55</v>
      </c>
      <c r="BA330" s="13">
        <v>12.15</v>
      </c>
      <c r="BE330" s="13">
        <v>66.305511911758273</v>
      </c>
      <c r="BQ330" s="13" t="s">
        <v>506</v>
      </c>
      <c r="CV330" s="13">
        <v>0</v>
      </c>
    </row>
    <row r="331" spans="1:100" x14ac:dyDescent="0.25">
      <c r="A331" t="s">
        <v>346</v>
      </c>
      <c r="B331" t="s">
        <v>241</v>
      </c>
      <c r="C331">
        <v>2019</v>
      </c>
      <c r="D331" t="s">
        <v>347</v>
      </c>
      <c r="E331">
        <v>0</v>
      </c>
      <c r="F331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331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331" s="13">
        <v>60</v>
      </c>
      <c r="AB331" s="13">
        <v>41.2</v>
      </c>
      <c r="AC331" s="13">
        <v>6.6</v>
      </c>
      <c r="AD331" s="13">
        <v>51.7</v>
      </c>
      <c r="AE331" s="13">
        <v>0.5</v>
      </c>
      <c r="AI331" s="13">
        <v>0.05</v>
      </c>
      <c r="AL331" s="13">
        <v>17</v>
      </c>
      <c r="AT331" s="13" t="e">
        <f>LN(25/Table26[[#This Row],[Temperature (C)]]/(1-SQRT((Table26[[#This Row],[Temperature (C)]]-5)/Table26[[#This Row],[Temperature (C)]])))/Table26[[#This Row],[b]]</f>
        <v>#DIV/0!</v>
      </c>
      <c r="AU331" s="13">
        <f>IF(Table26[[#This Row],[b]]&lt;&gt;"",Table26[[#This Row],[T-5]], 0)</f>
        <v>0</v>
      </c>
      <c r="AV331" s="13">
        <v>50</v>
      </c>
      <c r="AW331" s="13">
        <v>294</v>
      </c>
      <c r="AY331" t="s">
        <v>503</v>
      </c>
      <c r="AZ331" s="13">
        <v>27.95</v>
      </c>
      <c r="BA331" s="13">
        <v>7.6</v>
      </c>
      <c r="BE331" s="13">
        <v>71.277850406387103</v>
      </c>
      <c r="BQ331" s="13" t="s">
        <v>506</v>
      </c>
      <c r="CV331" s="13">
        <v>0</v>
      </c>
    </row>
    <row r="332" spans="1:100" x14ac:dyDescent="0.25">
      <c r="A332" t="s">
        <v>346</v>
      </c>
      <c r="B332" t="s">
        <v>241</v>
      </c>
      <c r="C332">
        <v>2019</v>
      </c>
      <c r="D332" t="s">
        <v>347</v>
      </c>
      <c r="E332">
        <v>0</v>
      </c>
      <c r="F332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332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332" s="13">
        <v>60</v>
      </c>
      <c r="AB332" s="13">
        <v>41.2</v>
      </c>
      <c r="AC332" s="13">
        <v>6.6</v>
      </c>
      <c r="AD332" s="13">
        <v>51.7</v>
      </c>
      <c r="AE332" s="13">
        <v>0.5</v>
      </c>
      <c r="AI332" s="13">
        <v>0.05</v>
      </c>
      <c r="AL332" s="13">
        <v>13</v>
      </c>
      <c r="AT332" s="13" t="e">
        <f>LN(25/Table26[[#This Row],[Temperature (C)]]/(1-SQRT((Table26[[#This Row],[Temperature (C)]]-5)/Table26[[#This Row],[Temperature (C)]])))/Table26[[#This Row],[b]]</f>
        <v>#DIV/0!</v>
      </c>
      <c r="AU332" s="13">
        <f>IF(Table26[[#This Row],[b]]&lt;&gt;"",Table26[[#This Row],[T-5]], 0)</f>
        <v>0</v>
      </c>
      <c r="AV332" s="13">
        <v>10</v>
      </c>
      <c r="AW332" s="13">
        <v>315</v>
      </c>
      <c r="AY332" t="s">
        <v>503</v>
      </c>
      <c r="AZ332" s="13">
        <v>33.65</v>
      </c>
      <c r="BA332" s="13">
        <v>3.95</v>
      </c>
      <c r="BE332" s="13">
        <v>69.550547513103197</v>
      </c>
      <c r="BQ332" s="13">
        <v>11.285266457680251</v>
      </c>
      <c r="CV332" s="13">
        <v>0</v>
      </c>
    </row>
    <row r="333" spans="1:100" x14ac:dyDescent="0.25">
      <c r="A333" t="s">
        <v>346</v>
      </c>
      <c r="B333" t="s">
        <v>241</v>
      </c>
      <c r="C333">
        <v>2019</v>
      </c>
      <c r="D333" t="s">
        <v>347</v>
      </c>
      <c r="E333">
        <v>0</v>
      </c>
      <c r="F333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333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333" s="13">
        <v>60</v>
      </c>
      <c r="AB333" s="13">
        <v>41.2</v>
      </c>
      <c r="AC333" s="13">
        <v>6.6</v>
      </c>
      <c r="AD333" s="13">
        <v>51.7</v>
      </c>
      <c r="AE333" s="13">
        <v>0.5</v>
      </c>
      <c r="AI333" s="13">
        <v>0.05</v>
      </c>
      <c r="AL333" s="13">
        <v>7</v>
      </c>
      <c r="AT333" s="13" t="e">
        <f>LN(25/Table26[[#This Row],[Temperature (C)]]/(1-SQRT((Table26[[#This Row],[Temperature (C)]]-5)/Table26[[#This Row],[Temperature (C)]])))/Table26[[#This Row],[b]]</f>
        <v>#DIV/0!</v>
      </c>
      <c r="AU333" s="13">
        <f>IF(Table26[[#This Row],[b]]&lt;&gt;"",Table26[[#This Row],[T-5]], 0)</f>
        <v>0</v>
      </c>
      <c r="AV333" s="13">
        <v>35</v>
      </c>
      <c r="AW333" s="13">
        <v>315</v>
      </c>
      <c r="AY333" t="s">
        <v>503</v>
      </c>
      <c r="AZ333" s="13">
        <v>11.05</v>
      </c>
      <c r="BA333" s="13">
        <v>8.8000000000000007</v>
      </c>
      <c r="BE333" s="13">
        <v>69.102990033222497</v>
      </c>
      <c r="BQ333" s="13">
        <v>10.80669710806697</v>
      </c>
      <c r="CV333" s="13">
        <v>0</v>
      </c>
    </row>
    <row r="334" spans="1:100" x14ac:dyDescent="0.25">
      <c r="A334" t="s">
        <v>346</v>
      </c>
      <c r="B334" t="s">
        <v>241</v>
      </c>
      <c r="C334">
        <v>2019</v>
      </c>
      <c r="D334" t="s">
        <v>347</v>
      </c>
      <c r="E334">
        <v>0</v>
      </c>
      <c r="F334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334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334" s="13">
        <v>60</v>
      </c>
      <c r="AB334" s="13">
        <v>41.2</v>
      </c>
      <c r="AC334" s="13">
        <v>6.6</v>
      </c>
      <c r="AD334" s="13">
        <v>51.7</v>
      </c>
      <c r="AE334" s="13">
        <v>0.5</v>
      </c>
      <c r="AI334" s="13">
        <v>0.05</v>
      </c>
      <c r="AL334" s="13">
        <v>13</v>
      </c>
      <c r="AT334" s="13" t="e">
        <f>LN(25/Table26[[#This Row],[Temperature (C)]]/(1-SQRT((Table26[[#This Row],[Temperature (C)]]-5)/Table26[[#This Row],[Temperature (C)]])))/Table26[[#This Row],[b]]</f>
        <v>#DIV/0!</v>
      </c>
      <c r="AU334" s="13">
        <f>IF(Table26[[#This Row],[b]]&lt;&gt;"",Table26[[#This Row],[T-5]], 0)</f>
        <v>0</v>
      </c>
      <c r="AV334" s="13">
        <v>35</v>
      </c>
      <c r="AW334" s="13">
        <v>315</v>
      </c>
      <c r="AY334" t="s">
        <v>503</v>
      </c>
      <c r="AZ334" s="13">
        <v>22.85</v>
      </c>
      <c r="BA334" s="13">
        <v>7.85</v>
      </c>
      <c r="BE334" s="13">
        <v>57.807308970099598</v>
      </c>
      <c r="BQ334" s="13">
        <v>10.603829160530191</v>
      </c>
      <c r="CV334" s="13">
        <v>0</v>
      </c>
    </row>
    <row r="335" spans="1:100" x14ac:dyDescent="0.25">
      <c r="A335" t="s">
        <v>346</v>
      </c>
      <c r="B335" t="s">
        <v>241</v>
      </c>
      <c r="C335">
        <v>2019</v>
      </c>
      <c r="D335" t="s">
        <v>347</v>
      </c>
      <c r="E335">
        <v>0</v>
      </c>
      <c r="F335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335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335" s="13">
        <v>60</v>
      </c>
      <c r="AB335" s="13">
        <v>41.2</v>
      </c>
      <c r="AC335" s="13">
        <v>6.6</v>
      </c>
      <c r="AD335" s="13">
        <v>51.7</v>
      </c>
      <c r="AE335" s="13">
        <v>0.5</v>
      </c>
      <c r="AI335" s="13">
        <v>0.05</v>
      </c>
      <c r="AL335" s="13">
        <v>13</v>
      </c>
      <c r="AT335" s="13" t="e">
        <f>LN(25/Table26[[#This Row],[Temperature (C)]]/(1-SQRT((Table26[[#This Row],[Temperature (C)]]-5)/Table26[[#This Row],[Temperature (C)]])))/Table26[[#This Row],[b]]</f>
        <v>#DIV/0!</v>
      </c>
      <c r="AU335" s="13">
        <f>IF(Table26[[#This Row],[b]]&lt;&gt;"",Table26[[#This Row],[T-5]], 0)</f>
        <v>0</v>
      </c>
      <c r="AV335" s="13">
        <v>35</v>
      </c>
      <c r="AW335" s="13">
        <v>315</v>
      </c>
      <c r="AY335" t="s">
        <v>503</v>
      </c>
      <c r="AZ335" s="13">
        <v>22.15</v>
      </c>
      <c r="BA335" s="13">
        <v>11.35</v>
      </c>
      <c r="BE335" s="13">
        <v>60.797342192690998</v>
      </c>
      <c r="BQ335" s="13">
        <v>10.570236439499304</v>
      </c>
      <c r="CV335" s="13">
        <v>0</v>
      </c>
    </row>
    <row r="336" spans="1:100" x14ac:dyDescent="0.25">
      <c r="A336" t="s">
        <v>346</v>
      </c>
      <c r="B336" t="s">
        <v>241</v>
      </c>
      <c r="C336">
        <v>2019</v>
      </c>
      <c r="D336" t="s">
        <v>347</v>
      </c>
      <c r="E336">
        <v>0</v>
      </c>
      <c r="F336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336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336" s="13">
        <v>60</v>
      </c>
      <c r="AB336" s="13">
        <v>41.2</v>
      </c>
      <c r="AC336" s="13">
        <v>6.6</v>
      </c>
      <c r="AD336" s="13">
        <v>51.7</v>
      </c>
      <c r="AE336" s="13">
        <v>0.5</v>
      </c>
      <c r="AI336" s="13">
        <v>0.05</v>
      </c>
      <c r="AL336" s="13">
        <v>13</v>
      </c>
      <c r="AT336" s="13" t="e">
        <f>LN(25/Table26[[#This Row],[Temperature (C)]]/(1-SQRT((Table26[[#This Row],[Temperature (C)]]-5)/Table26[[#This Row],[Temperature (C)]])))/Table26[[#This Row],[b]]</f>
        <v>#DIV/0!</v>
      </c>
      <c r="AU336" s="13">
        <f>IF(Table26[[#This Row],[b]]&lt;&gt;"",Table26[[#This Row],[T-5]], 0)</f>
        <v>0</v>
      </c>
      <c r="AV336" s="13">
        <v>35</v>
      </c>
      <c r="AW336" s="13">
        <v>315</v>
      </c>
      <c r="AY336" t="s">
        <v>503</v>
      </c>
      <c r="AZ336" s="13">
        <v>28.5</v>
      </c>
      <c r="BA336" s="13">
        <v>9.5500000000000007</v>
      </c>
      <c r="BE336" s="13">
        <v>64.784053156146101</v>
      </c>
      <c r="BQ336" s="13">
        <v>11.140939597315437</v>
      </c>
      <c r="CV336" s="13">
        <v>0</v>
      </c>
    </row>
    <row r="337" spans="1:100" x14ac:dyDescent="0.25">
      <c r="A337" t="s">
        <v>346</v>
      </c>
      <c r="B337" t="s">
        <v>241</v>
      </c>
      <c r="C337">
        <v>2019</v>
      </c>
      <c r="D337" t="s">
        <v>347</v>
      </c>
      <c r="E337">
        <v>0</v>
      </c>
      <c r="F337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337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337" s="13">
        <v>60</v>
      </c>
      <c r="AB337" s="13">
        <v>41.2</v>
      </c>
      <c r="AC337" s="13">
        <v>6.6</v>
      </c>
      <c r="AD337" s="13">
        <v>51.7</v>
      </c>
      <c r="AE337" s="13">
        <v>0.5</v>
      </c>
      <c r="AI337" s="13">
        <v>0.05</v>
      </c>
      <c r="AL337" s="13">
        <v>13</v>
      </c>
      <c r="AT337" s="13" t="e">
        <f>LN(25/Table26[[#This Row],[Temperature (C)]]/(1-SQRT((Table26[[#This Row],[Temperature (C)]]-5)/Table26[[#This Row],[Temperature (C)]])))/Table26[[#This Row],[b]]</f>
        <v>#DIV/0!</v>
      </c>
      <c r="AU337" s="13">
        <f>IF(Table26[[#This Row],[b]]&lt;&gt;"",Table26[[#This Row],[T-5]], 0)</f>
        <v>0</v>
      </c>
      <c r="AV337" s="13">
        <v>35</v>
      </c>
      <c r="AW337" s="13">
        <v>315</v>
      </c>
      <c r="AY337" t="s">
        <v>503</v>
      </c>
      <c r="AZ337" s="13">
        <v>28.55</v>
      </c>
      <c r="BA337" s="13">
        <v>8.9</v>
      </c>
      <c r="BE337" s="13">
        <v>17.496727714677604</v>
      </c>
      <c r="BQ337" s="13" t="s">
        <v>506</v>
      </c>
      <c r="CV337" s="13">
        <v>0</v>
      </c>
    </row>
    <row r="338" spans="1:100" x14ac:dyDescent="0.25">
      <c r="A338" s="1" t="s">
        <v>346</v>
      </c>
      <c r="B338" t="s">
        <v>241</v>
      </c>
      <c r="C338">
        <v>2019</v>
      </c>
      <c r="D338" t="s">
        <v>347</v>
      </c>
      <c r="E338">
        <v>0</v>
      </c>
      <c r="F338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338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338" s="13">
        <v>60</v>
      </c>
      <c r="AB338" s="13">
        <v>41.2</v>
      </c>
      <c r="AC338" s="13">
        <v>6.6</v>
      </c>
      <c r="AD338" s="13">
        <v>51.7</v>
      </c>
      <c r="AE338" s="13">
        <v>0.5</v>
      </c>
      <c r="AI338" s="13">
        <v>0.05</v>
      </c>
      <c r="AL338" s="13">
        <v>13</v>
      </c>
      <c r="AT338" s="13" t="e">
        <f>LN(25/Table26[[#This Row],[Temperature (C)]]/(1-SQRT((Table26[[#This Row],[Temperature (C)]]-5)/Table26[[#This Row],[Temperature (C)]])))/Table26[[#This Row],[b]]</f>
        <v>#DIV/0!</v>
      </c>
      <c r="AU338" s="13">
        <f>IF(Table26[[#This Row],[b]]&lt;&gt;"",Table26[[#This Row],[T-5]], 0)</f>
        <v>0</v>
      </c>
      <c r="AV338" s="13">
        <v>35</v>
      </c>
      <c r="AW338" s="13">
        <v>315</v>
      </c>
      <c r="AY338" t="s">
        <v>503</v>
      </c>
      <c r="AZ338" s="13">
        <v>24.45</v>
      </c>
      <c r="BA338" s="13">
        <v>10.6</v>
      </c>
      <c r="BE338" s="13">
        <v>53.954215990820899</v>
      </c>
      <c r="BQ338" s="13" t="s">
        <v>506</v>
      </c>
      <c r="CV338" s="13">
        <v>0</v>
      </c>
    </row>
    <row r="339" spans="1:100" x14ac:dyDescent="0.25">
      <c r="A339" t="s">
        <v>346</v>
      </c>
      <c r="B339" t="s">
        <v>241</v>
      </c>
      <c r="C339">
        <v>2019</v>
      </c>
      <c r="D339" t="s">
        <v>347</v>
      </c>
      <c r="E339">
        <v>0</v>
      </c>
      <c r="F339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339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339" s="13">
        <v>60</v>
      </c>
      <c r="AB339" s="13">
        <v>41.2</v>
      </c>
      <c r="AC339" s="13">
        <v>6.6</v>
      </c>
      <c r="AD339" s="13">
        <v>51.7</v>
      </c>
      <c r="AE339" s="13">
        <v>0.5</v>
      </c>
      <c r="AI339" s="13">
        <v>0.05</v>
      </c>
      <c r="AL339" s="13">
        <v>13</v>
      </c>
      <c r="AT339" s="13" t="e">
        <f>LN(25/Table26[[#This Row],[Temperature (C)]]/(1-SQRT((Table26[[#This Row],[Temperature (C)]]-5)/Table26[[#This Row],[Temperature (C)]])))/Table26[[#This Row],[b]]</f>
        <v>#DIV/0!</v>
      </c>
      <c r="AU339" s="13">
        <f>IF(Table26[[#This Row],[b]]&lt;&gt;"",Table26[[#This Row],[T-5]], 0)</f>
        <v>0</v>
      </c>
      <c r="AV339" s="13">
        <v>35</v>
      </c>
      <c r="AW339" s="13">
        <v>315</v>
      </c>
      <c r="AY339" t="s">
        <v>503</v>
      </c>
      <c r="AZ339" s="13">
        <v>29.25</v>
      </c>
      <c r="BA339" s="13">
        <v>7.45</v>
      </c>
      <c r="BE339" s="13">
        <v>61.543407254598804</v>
      </c>
      <c r="BQ339" s="13" t="s">
        <v>506</v>
      </c>
      <c r="CV339" s="13">
        <v>0</v>
      </c>
    </row>
    <row r="340" spans="1:100" x14ac:dyDescent="0.25">
      <c r="A340" t="s">
        <v>346</v>
      </c>
      <c r="B340" t="s">
        <v>241</v>
      </c>
      <c r="C340">
        <v>2019</v>
      </c>
      <c r="D340" t="s">
        <v>347</v>
      </c>
      <c r="E340">
        <v>0</v>
      </c>
      <c r="F340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340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340" s="13">
        <v>60</v>
      </c>
      <c r="AB340" s="13">
        <v>41.2</v>
      </c>
      <c r="AC340" s="13">
        <v>6.6</v>
      </c>
      <c r="AD340" s="13">
        <v>51.7</v>
      </c>
      <c r="AE340" s="13">
        <v>0.5</v>
      </c>
      <c r="AI340" s="13">
        <v>0.05</v>
      </c>
      <c r="AL340" s="13">
        <v>20</v>
      </c>
      <c r="AT340" s="13" t="e">
        <f>LN(25/Table26[[#This Row],[Temperature (C)]]/(1-SQRT((Table26[[#This Row],[Temperature (C)]]-5)/Table26[[#This Row],[Temperature (C)]])))/Table26[[#This Row],[b]]</f>
        <v>#DIV/0!</v>
      </c>
      <c r="AU340" s="13">
        <f>IF(Table26[[#This Row],[b]]&lt;&gt;"",Table26[[#This Row],[T-5]], 0)</f>
        <v>0</v>
      </c>
      <c r="AV340" s="13">
        <v>35</v>
      </c>
      <c r="AW340" s="13">
        <v>315</v>
      </c>
      <c r="AY340" t="s">
        <v>503</v>
      </c>
      <c r="AZ340" s="13">
        <v>41.4</v>
      </c>
      <c r="BA340" s="13">
        <v>8.9</v>
      </c>
      <c r="BE340" s="13">
        <v>57.103717651950532</v>
      </c>
      <c r="BQ340" s="13" t="s">
        <v>506</v>
      </c>
      <c r="CV340" s="13">
        <v>0</v>
      </c>
    </row>
    <row r="341" spans="1:100" x14ac:dyDescent="0.25">
      <c r="A341" t="s">
        <v>346</v>
      </c>
      <c r="B341" t="s">
        <v>241</v>
      </c>
      <c r="C341">
        <v>2019</v>
      </c>
      <c r="D341" t="s">
        <v>347</v>
      </c>
      <c r="E341">
        <v>0</v>
      </c>
      <c r="F341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341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341" s="13">
        <v>60</v>
      </c>
      <c r="AB341" s="13">
        <v>41.2</v>
      </c>
      <c r="AC341" s="13">
        <v>6.6</v>
      </c>
      <c r="AD341" s="13">
        <v>51.7</v>
      </c>
      <c r="AE341" s="13">
        <v>0.5</v>
      </c>
      <c r="AI341" s="13">
        <v>0.05</v>
      </c>
      <c r="AL341" s="13">
        <v>13</v>
      </c>
      <c r="AT341" s="13" t="e">
        <f>LN(25/Table26[[#This Row],[Temperature (C)]]/(1-SQRT((Table26[[#This Row],[Temperature (C)]]-5)/Table26[[#This Row],[Temperature (C)]])))/Table26[[#This Row],[b]]</f>
        <v>#DIV/0!</v>
      </c>
      <c r="AU341" s="13">
        <f>IF(Table26[[#This Row],[b]]&lt;&gt;"",Table26[[#This Row],[T-5]], 0)</f>
        <v>0</v>
      </c>
      <c r="AV341" s="13">
        <v>60</v>
      </c>
      <c r="AW341" s="13">
        <v>315</v>
      </c>
      <c r="AY341" t="s">
        <v>503</v>
      </c>
      <c r="AZ341" s="13">
        <v>15.9</v>
      </c>
      <c r="BA341" s="13">
        <v>14.4</v>
      </c>
      <c r="BE341" s="13">
        <v>48.822680915200579</v>
      </c>
      <c r="BQ341" s="13">
        <v>11.59618008185539</v>
      </c>
      <c r="CV341" s="13">
        <v>0</v>
      </c>
    </row>
    <row r="342" spans="1:100" x14ac:dyDescent="0.25">
      <c r="A342" t="s">
        <v>346</v>
      </c>
      <c r="B342" t="s">
        <v>241</v>
      </c>
      <c r="C342">
        <v>2019</v>
      </c>
      <c r="D342" t="s">
        <v>347</v>
      </c>
      <c r="E342">
        <v>0</v>
      </c>
      <c r="F342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342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342" s="13">
        <v>60</v>
      </c>
      <c r="AB342" s="13">
        <v>41.2</v>
      </c>
      <c r="AC342" s="13">
        <v>6.6</v>
      </c>
      <c r="AD342" s="13">
        <v>51.7</v>
      </c>
      <c r="AE342" s="13">
        <v>0.5</v>
      </c>
      <c r="AI342" s="13">
        <v>0.05</v>
      </c>
      <c r="AL342" s="13">
        <v>10</v>
      </c>
      <c r="AT342" s="13" t="e">
        <f>LN(25/Table26[[#This Row],[Temperature (C)]]/(1-SQRT((Table26[[#This Row],[Temperature (C)]]-5)/Table26[[#This Row],[Temperature (C)]])))/Table26[[#This Row],[b]]</f>
        <v>#DIV/0!</v>
      </c>
      <c r="AU342" s="13">
        <f>IF(Table26[[#This Row],[b]]&lt;&gt;"",Table26[[#This Row],[T-5]], 0)</f>
        <v>0</v>
      </c>
      <c r="AV342" s="13">
        <v>20</v>
      </c>
      <c r="AW342" s="13">
        <v>336</v>
      </c>
      <c r="AY342" t="s">
        <v>503</v>
      </c>
      <c r="AZ342" s="13">
        <v>21.2</v>
      </c>
      <c r="BA342" s="13">
        <v>9.15</v>
      </c>
      <c r="BE342" s="13" t="s">
        <v>506</v>
      </c>
      <c r="BQ342" s="13">
        <v>13.084112149532709</v>
      </c>
      <c r="CV342" s="13">
        <v>0</v>
      </c>
    </row>
    <row r="343" spans="1:100" x14ac:dyDescent="0.25">
      <c r="A343" t="s">
        <v>346</v>
      </c>
      <c r="B343" t="s">
        <v>241</v>
      </c>
      <c r="C343">
        <v>2019</v>
      </c>
      <c r="D343" t="s">
        <v>347</v>
      </c>
      <c r="E343">
        <v>0</v>
      </c>
      <c r="F343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343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343" s="13">
        <v>60</v>
      </c>
      <c r="AB343" s="13">
        <v>41.2</v>
      </c>
      <c r="AC343" s="13">
        <v>6.6</v>
      </c>
      <c r="AD343" s="13">
        <v>51.7</v>
      </c>
      <c r="AE343" s="13">
        <v>0.5</v>
      </c>
      <c r="AI343" s="13">
        <v>0.05</v>
      </c>
      <c r="AL343" s="13">
        <v>17</v>
      </c>
      <c r="AT343" s="13" t="e">
        <f>LN(25/Table26[[#This Row],[Temperature (C)]]/(1-SQRT((Table26[[#This Row],[Temperature (C)]]-5)/Table26[[#This Row],[Temperature (C)]])))/Table26[[#This Row],[b]]</f>
        <v>#DIV/0!</v>
      </c>
      <c r="AU343" s="13">
        <f>IF(Table26[[#This Row],[b]]&lt;&gt;"",Table26[[#This Row],[T-5]], 0)</f>
        <v>0</v>
      </c>
      <c r="AV343" s="13">
        <v>20</v>
      </c>
      <c r="AW343" s="13">
        <v>336</v>
      </c>
      <c r="AY343" t="s">
        <v>503</v>
      </c>
      <c r="AZ343" s="13">
        <v>21.75</v>
      </c>
      <c r="BA343" s="13">
        <v>8.5500000000000007</v>
      </c>
      <c r="BE343" s="13" t="s">
        <v>506</v>
      </c>
      <c r="BQ343" s="13">
        <v>13.852813852813853</v>
      </c>
      <c r="CV343" s="13">
        <v>0</v>
      </c>
    </row>
    <row r="344" spans="1:100" x14ac:dyDescent="0.25">
      <c r="A344" t="s">
        <v>346</v>
      </c>
      <c r="B344" t="s">
        <v>241</v>
      </c>
      <c r="C344">
        <v>2019</v>
      </c>
      <c r="D344" t="s">
        <v>347</v>
      </c>
      <c r="E344">
        <v>0</v>
      </c>
      <c r="F344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344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344" s="13">
        <v>60</v>
      </c>
      <c r="AB344" s="13">
        <v>41.2</v>
      </c>
      <c r="AC344" s="13">
        <v>6.6</v>
      </c>
      <c r="AD344" s="13">
        <v>51.7</v>
      </c>
      <c r="AE344" s="13">
        <v>0.5</v>
      </c>
      <c r="AI344" s="13">
        <v>0.05</v>
      </c>
      <c r="AL344" s="13">
        <v>10</v>
      </c>
      <c r="AT344" s="13" t="e">
        <f>LN(25/Table26[[#This Row],[Temperature (C)]]/(1-SQRT((Table26[[#This Row],[Temperature (C)]]-5)/Table26[[#This Row],[Temperature (C)]])))/Table26[[#This Row],[b]]</f>
        <v>#DIV/0!</v>
      </c>
      <c r="AU344" s="13">
        <f>IF(Table26[[#This Row],[b]]&lt;&gt;"",Table26[[#This Row],[T-5]], 0)</f>
        <v>0</v>
      </c>
      <c r="AV344" s="13">
        <v>50</v>
      </c>
      <c r="AW344" s="13">
        <v>336</v>
      </c>
      <c r="AY344" t="s">
        <v>503</v>
      </c>
      <c r="AZ344" s="13">
        <v>28.55</v>
      </c>
      <c r="BA344" s="13">
        <v>18.8</v>
      </c>
      <c r="BE344" s="13" t="s">
        <v>506</v>
      </c>
      <c r="BQ344" s="13">
        <v>12.828438948995363</v>
      </c>
      <c r="CV344" s="13">
        <v>0</v>
      </c>
    </row>
    <row r="345" spans="1:100" x14ac:dyDescent="0.25">
      <c r="A345" t="s">
        <v>346</v>
      </c>
      <c r="B345" t="s">
        <v>241</v>
      </c>
      <c r="C345">
        <v>2019</v>
      </c>
      <c r="D345" t="s">
        <v>347</v>
      </c>
      <c r="E345">
        <v>0</v>
      </c>
      <c r="F345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345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345" s="13">
        <v>60</v>
      </c>
      <c r="AB345" s="13">
        <v>41.2</v>
      </c>
      <c r="AC345" s="13">
        <v>6.6</v>
      </c>
      <c r="AD345" s="13">
        <v>51.7</v>
      </c>
      <c r="AE345" s="13">
        <v>0.5</v>
      </c>
      <c r="AI345" s="13">
        <v>0.05</v>
      </c>
      <c r="AL345" s="13">
        <v>17</v>
      </c>
      <c r="AT345" s="13" t="e">
        <f>LN(25/Table26[[#This Row],[Temperature (C)]]/(1-SQRT((Table26[[#This Row],[Temperature (C)]]-5)/Table26[[#This Row],[Temperature (C)]])))/Table26[[#This Row],[b]]</f>
        <v>#DIV/0!</v>
      </c>
      <c r="AU345" s="13">
        <f>IF(Table26[[#This Row],[b]]&lt;&gt;"",Table26[[#This Row],[T-5]], 0)</f>
        <v>0</v>
      </c>
      <c r="AV345" s="13">
        <v>50</v>
      </c>
      <c r="AW345" s="13">
        <v>336</v>
      </c>
      <c r="AY345" t="s">
        <v>503</v>
      </c>
      <c r="AZ345" s="13">
        <v>12.6</v>
      </c>
      <c r="BA345" s="13">
        <v>14.4</v>
      </c>
      <c r="BE345" s="13" t="s">
        <v>506</v>
      </c>
      <c r="BQ345" s="13">
        <v>11.557788944723619</v>
      </c>
      <c r="CV345" s="13">
        <v>0</v>
      </c>
    </row>
    <row r="346" spans="1:100" x14ac:dyDescent="0.25">
      <c r="A346" t="s">
        <v>346</v>
      </c>
      <c r="B346" t="s">
        <v>241</v>
      </c>
      <c r="C346">
        <v>2019</v>
      </c>
      <c r="D346" t="s">
        <v>347</v>
      </c>
      <c r="E346">
        <v>0</v>
      </c>
      <c r="F346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346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346" s="13">
        <v>60</v>
      </c>
      <c r="AB346" s="13">
        <v>41.2</v>
      </c>
      <c r="AC346" s="13">
        <v>6.6</v>
      </c>
      <c r="AD346" s="13">
        <v>51.7</v>
      </c>
      <c r="AE346" s="13">
        <v>0.5</v>
      </c>
      <c r="AI346" s="13">
        <v>0.05</v>
      </c>
      <c r="AL346" s="13">
        <v>13</v>
      </c>
      <c r="AT346" s="13" t="e">
        <f>LN(25/Table26[[#This Row],[Temperature (C)]]/(1-SQRT((Table26[[#This Row],[Temperature (C)]]-5)/Table26[[#This Row],[Temperature (C)]])))/Table26[[#This Row],[b]]</f>
        <v>#DIV/0!</v>
      </c>
      <c r="AU346" s="13">
        <f>IF(Table26[[#This Row],[b]]&lt;&gt;"",Table26[[#This Row],[T-5]], 0)</f>
        <v>0</v>
      </c>
      <c r="AV346" s="13">
        <v>35</v>
      </c>
      <c r="AW346" s="13">
        <v>350</v>
      </c>
      <c r="AY346" t="s">
        <v>503</v>
      </c>
      <c r="AZ346" s="13">
        <v>14.9</v>
      </c>
      <c r="BA346" s="13">
        <v>13</v>
      </c>
      <c r="BE346" s="13">
        <v>11.8301886792452</v>
      </c>
      <c r="BQ346" s="13" t="s">
        <v>506</v>
      </c>
      <c r="CV346" s="13">
        <v>0</v>
      </c>
    </row>
    <row r="347" spans="1:100" x14ac:dyDescent="0.25">
      <c r="A347" t="s">
        <v>349</v>
      </c>
      <c r="B347" t="s">
        <v>350</v>
      </c>
      <c r="C347">
        <v>2021</v>
      </c>
      <c r="D347" t="s">
        <v>348</v>
      </c>
      <c r="E347">
        <v>1</v>
      </c>
      <c r="F34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27.9</v>
      </c>
      <c r="G347" s="13">
        <v>27.9</v>
      </c>
      <c r="K347" s="13">
        <v>34.6</v>
      </c>
      <c r="L347" s="13">
        <v>13.9</v>
      </c>
      <c r="N347" s="13">
        <v>38.6</v>
      </c>
      <c r="O34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76.400000000000006</v>
      </c>
      <c r="AB347" s="13">
        <v>25.8</v>
      </c>
      <c r="AC347" s="13">
        <v>4.5999999999999996</v>
      </c>
      <c r="AD347" s="13">
        <v>26.6</v>
      </c>
      <c r="AE347" s="13">
        <v>3.7</v>
      </c>
      <c r="AF347" s="13">
        <v>0.7</v>
      </c>
      <c r="AH347" s="13">
        <v>10.5</v>
      </c>
      <c r="AI347" s="13">
        <v>2.4500000000000001E-2</v>
      </c>
      <c r="AL347" s="13">
        <v>25</v>
      </c>
      <c r="AT347" s="13" t="e">
        <f>LN(25/Table26[[#This Row],[Temperature (C)]]/(1-SQRT((Table26[[#This Row],[Temperature (C)]]-5)/Table26[[#This Row],[Temperature (C)]])))/Table26[[#This Row],[b]]</f>
        <v>#DIV/0!</v>
      </c>
      <c r="AU347" s="13">
        <f>IF(Table26[[#This Row],[b]]&lt;&gt;"",Table26[[#This Row],[T-5]], 0)</f>
        <v>0</v>
      </c>
      <c r="AV347" s="13">
        <v>20</v>
      </c>
      <c r="AW347" s="13">
        <v>250</v>
      </c>
      <c r="AY347" t="s">
        <v>503</v>
      </c>
      <c r="BA347" s="13">
        <v>9.1300000000000008</v>
      </c>
      <c r="BE347" s="13">
        <v>4.6981132075471699</v>
      </c>
      <c r="BN347" s="13">
        <v>32.29</v>
      </c>
      <c r="BQ347" s="13" t="s">
        <v>506</v>
      </c>
      <c r="CV347" s="13">
        <v>0</v>
      </c>
    </row>
    <row r="348" spans="1:100" x14ac:dyDescent="0.25">
      <c r="A348" t="s">
        <v>349</v>
      </c>
      <c r="B348" t="s">
        <v>350</v>
      </c>
      <c r="C348">
        <v>2021</v>
      </c>
      <c r="D348" t="s">
        <v>348</v>
      </c>
      <c r="E348">
        <v>1</v>
      </c>
      <c r="F348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27.9</v>
      </c>
      <c r="G348" s="13">
        <v>27.9</v>
      </c>
      <c r="K348" s="13">
        <v>34.6</v>
      </c>
      <c r="L348" s="13">
        <v>13.9</v>
      </c>
      <c r="N348" s="13">
        <v>38.6</v>
      </c>
      <c r="O34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76.400000000000006</v>
      </c>
      <c r="AB348" s="13">
        <v>25.8</v>
      </c>
      <c r="AC348" s="13">
        <v>4.5999999999999996</v>
      </c>
      <c r="AD348" s="13">
        <v>26.6</v>
      </c>
      <c r="AE348" s="13">
        <v>3.7</v>
      </c>
      <c r="AF348" s="13">
        <v>0.7</v>
      </c>
      <c r="AH348" s="13">
        <v>10.5</v>
      </c>
      <c r="AI348" s="13">
        <v>2.4500000000000001E-2</v>
      </c>
      <c r="AL348" s="13">
        <v>25</v>
      </c>
      <c r="AT348" s="13" t="e">
        <f>LN(25/Table26[[#This Row],[Temperature (C)]]/(1-SQRT((Table26[[#This Row],[Temperature (C)]]-5)/Table26[[#This Row],[Temperature (C)]])))/Table26[[#This Row],[b]]</f>
        <v>#DIV/0!</v>
      </c>
      <c r="AU348" s="13">
        <f>IF(Table26[[#This Row],[b]]&lt;&gt;"",Table26[[#This Row],[T-5]], 0)</f>
        <v>0</v>
      </c>
      <c r="AV348" s="13">
        <v>20</v>
      </c>
      <c r="AW348" s="13">
        <v>300</v>
      </c>
      <c r="AY348" t="s">
        <v>503</v>
      </c>
      <c r="BA348" s="13">
        <v>10.27</v>
      </c>
      <c r="BE348" s="13">
        <v>11.150943396226401</v>
      </c>
      <c r="BN348" s="13">
        <v>34.6</v>
      </c>
      <c r="BQ348" s="13" t="s">
        <v>506</v>
      </c>
      <c r="CV348" s="13">
        <v>0</v>
      </c>
    </row>
    <row r="349" spans="1:100" x14ac:dyDescent="0.25">
      <c r="A349" t="s">
        <v>349</v>
      </c>
      <c r="B349" t="s">
        <v>350</v>
      </c>
      <c r="C349">
        <v>2021</v>
      </c>
      <c r="D349" t="s">
        <v>348</v>
      </c>
      <c r="E349">
        <v>1</v>
      </c>
      <c r="F349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27.9</v>
      </c>
      <c r="G349" s="13">
        <v>27.9</v>
      </c>
      <c r="K349" s="13">
        <v>34.6</v>
      </c>
      <c r="L349" s="13">
        <v>13.9</v>
      </c>
      <c r="N349" s="13">
        <v>38.6</v>
      </c>
      <c r="O34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76.400000000000006</v>
      </c>
      <c r="AB349" s="13">
        <v>25.8</v>
      </c>
      <c r="AC349" s="13">
        <v>4.5999999999999996</v>
      </c>
      <c r="AD349" s="13">
        <v>26.6</v>
      </c>
      <c r="AE349" s="13">
        <v>3.7</v>
      </c>
      <c r="AF349" s="13">
        <v>0.7</v>
      </c>
      <c r="AH349" s="13">
        <v>10.5</v>
      </c>
      <c r="AI349" s="13">
        <v>2.4500000000000001E-2</v>
      </c>
      <c r="AL349" s="13">
        <v>25</v>
      </c>
      <c r="AT349" s="13" t="e">
        <f>LN(25/Table26[[#This Row],[Temperature (C)]]/(1-SQRT((Table26[[#This Row],[Temperature (C)]]-5)/Table26[[#This Row],[Temperature (C)]])))/Table26[[#This Row],[b]]</f>
        <v>#DIV/0!</v>
      </c>
      <c r="AU349" s="13">
        <f>IF(Table26[[#This Row],[b]]&lt;&gt;"",Table26[[#This Row],[T-5]], 0)</f>
        <v>0</v>
      </c>
      <c r="AV349" s="13">
        <v>20</v>
      </c>
      <c r="AW349" s="13">
        <v>350</v>
      </c>
      <c r="AY349" t="s">
        <v>503</v>
      </c>
      <c r="BA349" s="13">
        <v>21.26</v>
      </c>
      <c r="BE349" s="13" t="s">
        <v>506</v>
      </c>
      <c r="BN349" s="13">
        <v>37.26</v>
      </c>
      <c r="BQ349" s="13">
        <v>6.5662732329398992</v>
      </c>
      <c r="CV349" s="13">
        <v>0</v>
      </c>
    </row>
    <row r="350" spans="1:100" x14ac:dyDescent="0.25">
      <c r="A350" t="s">
        <v>349</v>
      </c>
      <c r="B350" t="s">
        <v>350</v>
      </c>
      <c r="C350">
        <v>2021</v>
      </c>
      <c r="D350" t="s">
        <v>351</v>
      </c>
      <c r="E350">
        <v>1</v>
      </c>
      <c r="F350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31.3</v>
      </c>
      <c r="G350" s="13">
        <v>31.3</v>
      </c>
      <c r="K350" s="13">
        <v>38.9</v>
      </c>
      <c r="N350" s="13">
        <v>45.3</v>
      </c>
      <c r="O35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70.2</v>
      </c>
      <c r="AB350" s="13">
        <v>24</v>
      </c>
      <c r="AC350" s="13">
        <v>4.0999999999999996</v>
      </c>
      <c r="AD350" s="13">
        <v>22.2</v>
      </c>
      <c r="AE350" s="13">
        <v>3.8</v>
      </c>
      <c r="AF350" s="13">
        <v>0.6</v>
      </c>
      <c r="AH350" s="13">
        <v>10</v>
      </c>
      <c r="AI350" s="13">
        <v>2.4500000000000001E-2</v>
      </c>
      <c r="AL350" s="13">
        <v>25</v>
      </c>
      <c r="AT350" s="13" t="e">
        <f>LN(25/Table26[[#This Row],[Temperature (C)]]/(1-SQRT((Table26[[#This Row],[Temperature (C)]]-5)/Table26[[#This Row],[Temperature (C)]])))/Table26[[#This Row],[b]]</f>
        <v>#DIV/0!</v>
      </c>
      <c r="AU350" s="13">
        <f>IF(Table26[[#This Row],[b]]&lt;&gt;"",Table26[[#This Row],[T-5]], 0)</f>
        <v>0</v>
      </c>
      <c r="AV350" s="13">
        <v>20</v>
      </c>
      <c r="AW350" s="13">
        <v>250</v>
      </c>
      <c r="AY350" t="s">
        <v>503</v>
      </c>
      <c r="BA350" s="13">
        <v>8.86</v>
      </c>
      <c r="BE350" s="13" t="s">
        <v>506</v>
      </c>
      <c r="BN350" s="13">
        <v>28.85</v>
      </c>
      <c r="BQ350" s="13">
        <v>8.0239187873731055</v>
      </c>
      <c r="CV350" s="13">
        <v>0</v>
      </c>
    </row>
    <row r="351" spans="1:100" x14ac:dyDescent="0.25">
      <c r="A351" t="s">
        <v>349</v>
      </c>
      <c r="B351" t="s">
        <v>350</v>
      </c>
      <c r="C351">
        <v>2021</v>
      </c>
      <c r="D351" t="s">
        <v>351</v>
      </c>
      <c r="E351">
        <v>1</v>
      </c>
      <c r="F351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31.3</v>
      </c>
      <c r="G351" s="13">
        <v>31.3</v>
      </c>
      <c r="K351" s="13">
        <v>38.9</v>
      </c>
      <c r="N351" s="13">
        <v>45.3</v>
      </c>
      <c r="O35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70.2</v>
      </c>
      <c r="AB351" s="13">
        <v>24</v>
      </c>
      <c r="AC351" s="13">
        <v>4.0999999999999996</v>
      </c>
      <c r="AD351" s="13">
        <v>22.2</v>
      </c>
      <c r="AE351" s="13">
        <v>3.8</v>
      </c>
      <c r="AF351" s="13">
        <v>0.6</v>
      </c>
      <c r="AH351" s="13">
        <v>10</v>
      </c>
      <c r="AI351" s="13">
        <v>2.4500000000000001E-2</v>
      </c>
      <c r="AL351" s="13">
        <v>25</v>
      </c>
      <c r="AT351" s="13" t="e">
        <f>LN(25/Table26[[#This Row],[Temperature (C)]]/(1-SQRT((Table26[[#This Row],[Temperature (C)]]-5)/Table26[[#This Row],[Temperature (C)]])))/Table26[[#This Row],[b]]</f>
        <v>#DIV/0!</v>
      </c>
      <c r="AU351" s="13">
        <f>IF(Table26[[#This Row],[b]]&lt;&gt;"",Table26[[#This Row],[T-5]], 0)</f>
        <v>0</v>
      </c>
      <c r="AV351" s="13">
        <v>20</v>
      </c>
      <c r="AW351" s="13">
        <v>300</v>
      </c>
      <c r="AY351" t="s">
        <v>503</v>
      </c>
      <c r="BA351" s="13">
        <v>10.55</v>
      </c>
      <c r="BE351" s="13" t="s">
        <v>506</v>
      </c>
      <c r="BN351" s="13">
        <v>34.76</v>
      </c>
      <c r="BQ351" s="13">
        <v>7.5879718490083166</v>
      </c>
      <c r="CV351" s="13">
        <v>0</v>
      </c>
    </row>
    <row r="352" spans="1:100" x14ac:dyDescent="0.25">
      <c r="A352" t="s">
        <v>349</v>
      </c>
      <c r="B352" t="s">
        <v>350</v>
      </c>
      <c r="C352">
        <v>2021</v>
      </c>
      <c r="D352" t="s">
        <v>351</v>
      </c>
      <c r="E352">
        <v>1</v>
      </c>
      <c r="F352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31.3</v>
      </c>
      <c r="G352" s="13">
        <v>31.3</v>
      </c>
      <c r="K352" s="13">
        <v>38.9</v>
      </c>
      <c r="N352" s="13">
        <v>45.3</v>
      </c>
      <c r="O35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70.2</v>
      </c>
      <c r="AB352" s="13">
        <v>24</v>
      </c>
      <c r="AC352" s="13">
        <v>4.0999999999999996</v>
      </c>
      <c r="AD352" s="13">
        <v>22.2</v>
      </c>
      <c r="AE352" s="13">
        <v>3.8</v>
      </c>
      <c r="AF352" s="13">
        <v>0.6</v>
      </c>
      <c r="AH352" s="13">
        <v>10</v>
      </c>
      <c r="AI352" s="13">
        <v>2.4500000000000001E-2</v>
      </c>
      <c r="AL352" s="13">
        <v>25</v>
      </c>
      <c r="AT352" s="13" t="e">
        <f>LN(25/Table26[[#This Row],[Temperature (C)]]/(1-SQRT((Table26[[#This Row],[Temperature (C)]]-5)/Table26[[#This Row],[Temperature (C)]])))/Table26[[#This Row],[b]]</f>
        <v>#DIV/0!</v>
      </c>
      <c r="AU352" s="13">
        <f>IF(Table26[[#This Row],[b]]&lt;&gt;"",Table26[[#This Row],[T-5]], 0)</f>
        <v>0</v>
      </c>
      <c r="AV352" s="13">
        <v>20</v>
      </c>
      <c r="AW352" s="13">
        <v>350</v>
      </c>
      <c r="AY352" t="s">
        <v>503</v>
      </c>
      <c r="BA352" s="13">
        <v>15.39</v>
      </c>
      <c r="BE352" s="13" t="s">
        <v>506</v>
      </c>
      <c r="BN352" s="13">
        <v>34.909999999999997</v>
      </c>
      <c r="BQ352" s="13">
        <v>9.0093505180692439</v>
      </c>
      <c r="CV352" s="13">
        <v>0</v>
      </c>
    </row>
    <row r="353" spans="1:100" x14ac:dyDescent="0.25">
      <c r="A353" t="s">
        <v>354</v>
      </c>
      <c r="B353" t="s">
        <v>353</v>
      </c>
      <c r="C353">
        <v>2019</v>
      </c>
      <c r="D353" t="s">
        <v>352</v>
      </c>
      <c r="E353">
        <v>1</v>
      </c>
      <c r="F353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353" s="13">
        <v>8</v>
      </c>
      <c r="O353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S353" s="13">
        <v>13.5</v>
      </c>
      <c r="T353" s="13">
        <v>78.5</v>
      </c>
      <c r="AB353" s="13">
        <v>44.6</v>
      </c>
      <c r="AC353" s="13">
        <v>6.6</v>
      </c>
      <c r="AD353" s="13">
        <v>33</v>
      </c>
      <c r="AE353" s="13">
        <v>7.3</v>
      </c>
      <c r="AF353" s="13">
        <v>0.5</v>
      </c>
      <c r="AH353" s="13">
        <v>19.059999999999999</v>
      </c>
      <c r="AI353" s="13">
        <v>0.25</v>
      </c>
      <c r="AK353" s="13">
        <v>100</v>
      </c>
      <c r="AL353" s="13">
        <v>5</v>
      </c>
      <c r="AM353" s="13">
        <v>5</v>
      </c>
      <c r="AP353" s="13">
        <v>7.3499999999999996E-2</v>
      </c>
      <c r="AS353" s="13">
        <v>20</v>
      </c>
      <c r="AT353" s="13">
        <f>LN(25/Table26[[#This Row],[Temperature (C)]]/(1-SQRT((Table26[[#This Row],[Temperature (C)]]-5)/Table26[[#This Row],[Temperature (C)]])))/Table26[[#This Row],[b]]</f>
        <v>31.256266558766644</v>
      </c>
      <c r="AU353" s="13">
        <f>IF(Table26[[#This Row],[b]]&lt;&gt;"",Table26[[#This Row],[T-5]], 0)</f>
        <v>31.256266558766644</v>
      </c>
      <c r="AV353" s="13">
        <f>Table26[[#This Row],[Heating time]]+Table26[[#This Row],[Holding Time (min)]]</f>
        <v>51.25626655876664</v>
      </c>
      <c r="AW353" s="13">
        <v>240</v>
      </c>
      <c r="AY353" t="s">
        <v>503</v>
      </c>
      <c r="BA353" s="13">
        <v>6.4</v>
      </c>
      <c r="BB353" s="13">
        <v>61.57</v>
      </c>
      <c r="BE353" s="13" t="s">
        <v>506</v>
      </c>
      <c r="BN353" s="13">
        <v>35.31</v>
      </c>
      <c r="BP353" s="13">
        <v>11.85</v>
      </c>
      <c r="BQ353" s="13">
        <v>8.3598495805611801</v>
      </c>
      <c r="CV353" s="13">
        <v>0</v>
      </c>
    </row>
    <row r="354" spans="1:100" ht="15.75" customHeight="1" x14ac:dyDescent="0.25">
      <c r="A354" t="s">
        <v>354</v>
      </c>
      <c r="B354" t="s">
        <v>353</v>
      </c>
      <c r="C354">
        <v>2019</v>
      </c>
      <c r="D354" t="s">
        <v>352</v>
      </c>
      <c r="E354">
        <v>1</v>
      </c>
      <c r="F354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354" s="13">
        <v>8</v>
      </c>
      <c r="O354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S354" s="13">
        <v>13.5</v>
      </c>
      <c r="T354" s="13">
        <v>78.5</v>
      </c>
      <c r="AB354" s="13">
        <v>44.6</v>
      </c>
      <c r="AC354" s="13">
        <v>6.6</v>
      </c>
      <c r="AD354" s="13">
        <v>33</v>
      </c>
      <c r="AE354" s="13">
        <v>7.3</v>
      </c>
      <c r="AF354" s="13">
        <v>0.5</v>
      </c>
      <c r="AH354" s="13">
        <v>19.059999999999999</v>
      </c>
      <c r="AI354" s="13">
        <v>0.25</v>
      </c>
      <c r="AK354" s="13">
        <v>100</v>
      </c>
      <c r="AL354" s="13">
        <v>15</v>
      </c>
      <c r="AM354" s="13">
        <v>5</v>
      </c>
      <c r="AP354" s="13">
        <v>7.3499999999999996E-2</v>
      </c>
      <c r="AS354" s="13">
        <v>20</v>
      </c>
      <c r="AT354" s="13">
        <f>LN(25/Table26[[#This Row],[Temperature (C)]]/(1-SQRT((Table26[[#This Row],[Temperature (C)]]-5)/Table26[[#This Row],[Temperature (C)]])))/Table26[[#This Row],[b]]</f>
        <v>31.256266558766644</v>
      </c>
      <c r="AU354" s="13">
        <f>IF(Table26[[#This Row],[b]]&lt;&gt;"",Table26[[#This Row],[T-5]], 0)</f>
        <v>31.256266558766644</v>
      </c>
      <c r="AV354" s="13">
        <f>Table26[[#This Row],[Heating time]]+Table26[[#This Row],[Holding Time (min)]]</f>
        <v>51.25626655876664</v>
      </c>
      <c r="AW354" s="13">
        <v>240</v>
      </c>
      <c r="AY354" t="s">
        <v>503</v>
      </c>
      <c r="BA354" s="13">
        <v>6.66</v>
      </c>
      <c r="BB354" s="13">
        <v>46.12</v>
      </c>
      <c r="BE354" s="13" t="s">
        <v>506</v>
      </c>
      <c r="BN354" s="13">
        <v>35.58</v>
      </c>
      <c r="BP354" s="13">
        <v>12.44</v>
      </c>
      <c r="BQ354" s="13" t="s">
        <v>506</v>
      </c>
      <c r="CV354" s="13">
        <v>0</v>
      </c>
    </row>
    <row r="355" spans="1:100" x14ac:dyDescent="0.25">
      <c r="A355" t="s">
        <v>354</v>
      </c>
      <c r="B355" t="s">
        <v>353</v>
      </c>
      <c r="C355">
        <v>2019</v>
      </c>
      <c r="D355" t="s">
        <v>352</v>
      </c>
      <c r="E355">
        <v>1</v>
      </c>
      <c r="F355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355" s="13">
        <v>8</v>
      </c>
      <c r="O355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S355" s="13">
        <v>13.5</v>
      </c>
      <c r="T355" s="13">
        <v>78.5</v>
      </c>
      <c r="AB355" s="13">
        <v>44.6</v>
      </c>
      <c r="AC355" s="13">
        <v>6.6</v>
      </c>
      <c r="AD355" s="13">
        <v>33</v>
      </c>
      <c r="AE355" s="13">
        <v>7.3</v>
      </c>
      <c r="AF355" s="13">
        <v>0.5</v>
      </c>
      <c r="AH355" s="13">
        <v>19.059999999999999</v>
      </c>
      <c r="AI355" s="13">
        <v>0.25</v>
      </c>
      <c r="AK355" s="13">
        <v>100</v>
      </c>
      <c r="AL355" s="13">
        <v>5</v>
      </c>
      <c r="AM355" s="13">
        <v>5</v>
      </c>
      <c r="AP355" s="13">
        <v>7.3499999999999996E-2</v>
      </c>
      <c r="AS355" s="13">
        <v>60</v>
      </c>
      <c r="AT355" s="13">
        <f>LN(25/Table26[[#This Row],[Temperature (C)]]/(1-SQRT((Table26[[#This Row],[Temperature (C)]]-5)/Table26[[#This Row],[Temperature (C)]])))/Table26[[#This Row],[b]]</f>
        <v>31.256266558766644</v>
      </c>
      <c r="AU355" s="13">
        <f>IF(Table26[[#This Row],[b]]&lt;&gt;"",Table26[[#This Row],[T-5]], 0)</f>
        <v>31.256266558766644</v>
      </c>
      <c r="AV355" s="13">
        <f>Table26[[#This Row],[Heating time]]+Table26[[#This Row],[Holding Time (min)]]</f>
        <v>91.25626655876664</v>
      </c>
      <c r="AW355" s="13">
        <v>240</v>
      </c>
      <c r="AY355" t="s">
        <v>503</v>
      </c>
      <c r="BA355" s="13">
        <v>9.19</v>
      </c>
      <c r="BB355" s="13">
        <v>46.35</v>
      </c>
      <c r="BE355" s="13" t="s">
        <v>506</v>
      </c>
      <c r="BN355" s="13">
        <v>36.369999999999997</v>
      </c>
      <c r="BP355" s="13">
        <v>17.54</v>
      </c>
      <c r="BQ355" s="13" t="s">
        <v>506</v>
      </c>
      <c r="CV355" s="13">
        <v>0</v>
      </c>
    </row>
    <row r="356" spans="1:100" x14ac:dyDescent="0.25">
      <c r="A356" t="s">
        <v>354</v>
      </c>
      <c r="B356" t="s">
        <v>353</v>
      </c>
      <c r="C356">
        <v>2019</v>
      </c>
      <c r="D356" t="s">
        <v>352</v>
      </c>
      <c r="E356">
        <v>1</v>
      </c>
      <c r="F356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356" s="13">
        <v>8</v>
      </c>
      <c r="O356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S356" s="13">
        <v>13.5</v>
      </c>
      <c r="T356" s="13">
        <v>78.5</v>
      </c>
      <c r="AB356" s="13">
        <v>44.6</v>
      </c>
      <c r="AC356" s="13">
        <v>6.6</v>
      </c>
      <c r="AD356" s="13">
        <v>33</v>
      </c>
      <c r="AE356" s="13">
        <v>7.3</v>
      </c>
      <c r="AF356" s="13">
        <v>0.5</v>
      </c>
      <c r="AH356" s="13">
        <v>19.059999999999999</v>
      </c>
      <c r="AI356" s="13">
        <v>0.25</v>
      </c>
      <c r="AK356" s="13">
        <v>100</v>
      </c>
      <c r="AL356" s="13">
        <v>15</v>
      </c>
      <c r="AM356" s="13">
        <v>5</v>
      </c>
      <c r="AP356" s="13">
        <v>7.3499999999999996E-2</v>
      </c>
      <c r="AS356" s="13">
        <v>60</v>
      </c>
      <c r="AT356" s="13">
        <f>LN(25/Table26[[#This Row],[Temperature (C)]]/(1-SQRT((Table26[[#This Row],[Temperature (C)]]-5)/Table26[[#This Row],[Temperature (C)]])))/Table26[[#This Row],[b]]</f>
        <v>31.256266558766644</v>
      </c>
      <c r="AU356" s="13">
        <f>IF(Table26[[#This Row],[b]]&lt;&gt;"",Table26[[#This Row],[T-5]], 0)</f>
        <v>31.256266558766644</v>
      </c>
      <c r="AV356" s="13">
        <f>Table26[[#This Row],[Heating time]]+Table26[[#This Row],[Holding Time (min)]]</f>
        <v>91.25626655876664</v>
      </c>
      <c r="AW356" s="13">
        <v>240</v>
      </c>
      <c r="AY356" t="s">
        <v>503</v>
      </c>
      <c r="BA356" s="13">
        <v>11.06</v>
      </c>
      <c r="BB356" s="13">
        <v>34.65</v>
      </c>
      <c r="BE356" s="13" t="s">
        <v>506</v>
      </c>
      <c r="BN356" s="13">
        <v>36.26</v>
      </c>
      <c r="BP356" s="13">
        <v>21.04</v>
      </c>
      <c r="BQ356" s="13" t="s">
        <v>506</v>
      </c>
      <c r="CV356" s="13">
        <v>0</v>
      </c>
    </row>
    <row r="357" spans="1:100" x14ac:dyDescent="0.25">
      <c r="A357" t="s">
        <v>354</v>
      </c>
      <c r="B357" t="s">
        <v>353</v>
      </c>
      <c r="C357">
        <v>2019</v>
      </c>
      <c r="D357" t="s">
        <v>352</v>
      </c>
      <c r="E357">
        <v>1</v>
      </c>
      <c r="F357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357" s="13">
        <v>8</v>
      </c>
      <c r="O357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S357" s="13">
        <v>13.5</v>
      </c>
      <c r="T357" s="13">
        <v>78.5</v>
      </c>
      <c r="AB357" s="13">
        <v>44.6</v>
      </c>
      <c r="AC357" s="13">
        <v>6.6</v>
      </c>
      <c r="AD357" s="13">
        <v>33</v>
      </c>
      <c r="AE357" s="13">
        <v>7.3</v>
      </c>
      <c r="AF357" s="13">
        <v>0.5</v>
      </c>
      <c r="AH357" s="13">
        <v>19.059999999999999</v>
      </c>
      <c r="AI357" s="13">
        <v>0.25</v>
      </c>
      <c r="AK357" s="13">
        <v>100</v>
      </c>
      <c r="AL357" s="13">
        <v>5</v>
      </c>
      <c r="AM357" s="13">
        <v>5</v>
      </c>
      <c r="AP357" s="13">
        <v>7.3499999999999996E-2</v>
      </c>
      <c r="AS357" s="13">
        <v>20</v>
      </c>
      <c r="AT357" s="13">
        <f>LN(25/Table26[[#This Row],[Temperature (C)]]/(1-SQRT((Table26[[#This Row],[Temperature (C)]]-5)/Table26[[#This Row],[Temperature (C)]])))/Table26[[#This Row],[b]]</f>
        <v>31.27064137230996</v>
      </c>
      <c r="AU357" s="13">
        <f>IF(Table26[[#This Row],[b]]&lt;&gt;"",Table26[[#This Row],[T-5]], 0)</f>
        <v>31.27064137230996</v>
      </c>
      <c r="AV357" s="13">
        <f>Table26[[#This Row],[Heating time]]+Table26[[#This Row],[Holding Time (min)]]</f>
        <v>51.27064137230996</v>
      </c>
      <c r="AW357" s="13">
        <v>300</v>
      </c>
      <c r="AY357" t="s">
        <v>503</v>
      </c>
      <c r="BA357" s="13">
        <v>20.57</v>
      </c>
      <c r="BB357" s="13">
        <v>39.96</v>
      </c>
      <c r="BE357" s="13" t="s">
        <v>506</v>
      </c>
      <c r="BN357" s="13">
        <v>35.42</v>
      </c>
      <c r="BP357" s="13">
        <v>38.229999999999997</v>
      </c>
      <c r="BQ357" s="13" t="s">
        <v>506</v>
      </c>
      <c r="CV357" s="13">
        <v>0</v>
      </c>
    </row>
    <row r="358" spans="1:100" x14ac:dyDescent="0.25">
      <c r="A358" t="s">
        <v>354</v>
      </c>
      <c r="B358" t="s">
        <v>353</v>
      </c>
      <c r="C358">
        <v>2019</v>
      </c>
      <c r="D358" t="s">
        <v>352</v>
      </c>
      <c r="E358">
        <v>1</v>
      </c>
      <c r="F358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358" s="13">
        <v>8</v>
      </c>
      <c r="O358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S358" s="13">
        <v>13.5</v>
      </c>
      <c r="T358" s="13">
        <v>78.5</v>
      </c>
      <c r="AB358" s="13">
        <v>44.6</v>
      </c>
      <c r="AC358" s="13">
        <v>6.6</v>
      </c>
      <c r="AD358" s="13">
        <v>33</v>
      </c>
      <c r="AE358" s="13">
        <v>7.3</v>
      </c>
      <c r="AF358" s="13">
        <v>0.5</v>
      </c>
      <c r="AH358" s="13">
        <v>19.059999999999999</v>
      </c>
      <c r="AI358" s="13">
        <v>0.25</v>
      </c>
      <c r="AK358" s="13">
        <v>100</v>
      </c>
      <c r="AL358" s="13">
        <v>15</v>
      </c>
      <c r="AM358" s="13">
        <v>5</v>
      </c>
      <c r="AP358" s="13">
        <v>7.3499999999999996E-2</v>
      </c>
      <c r="AS358" s="13">
        <v>20</v>
      </c>
      <c r="AT358" s="13">
        <f>LN(25/Table26[[#This Row],[Temperature (C)]]/(1-SQRT((Table26[[#This Row],[Temperature (C)]]-5)/Table26[[#This Row],[Temperature (C)]])))/Table26[[#This Row],[b]]</f>
        <v>31.27064137230996</v>
      </c>
      <c r="AU358" s="13">
        <f>IF(Table26[[#This Row],[b]]&lt;&gt;"",Table26[[#This Row],[T-5]], 0)</f>
        <v>31.27064137230996</v>
      </c>
      <c r="AV358" s="13">
        <f>Table26[[#This Row],[Heating time]]+Table26[[#This Row],[Holding Time (min)]]</f>
        <v>51.27064137230996</v>
      </c>
      <c r="AW358" s="13">
        <v>300</v>
      </c>
      <c r="AY358" t="s">
        <v>503</v>
      </c>
      <c r="BA358" s="13">
        <v>22.6</v>
      </c>
      <c r="BB358" s="13">
        <v>31.06</v>
      </c>
      <c r="BE358" s="13" t="s">
        <v>506</v>
      </c>
      <c r="BN358" s="13">
        <v>33.270000000000003</v>
      </c>
      <c r="BP358" s="13">
        <v>39.44</v>
      </c>
      <c r="BQ358" s="13" t="s">
        <v>506</v>
      </c>
      <c r="CV358" s="13">
        <v>0</v>
      </c>
    </row>
    <row r="359" spans="1:100" x14ac:dyDescent="0.25">
      <c r="A359" t="s">
        <v>354</v>
      </c>
      <c r="B359" t="s">
        <v>353</v>
      </c>
      <c r="C359">
        <v>2019</v>
      </c>
      <c r="D359" t="s">
        <v>352</v>
      </c>
      <c r="E359">
        <v>1</v>
      </c>
      <c r="F359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359" s="13">
        <v>8</v>
      </c>
      <c r="O359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S359" s="13">
        <v>13.5</v>
      </c>
      <c r="T359" s="13">
        <v>78.5</v>
      </c>
      <c r="AB359" s="13">
        <v>44.6</v>
      </c>
      <c r="AC359" s="13">
        <v>6.6</v>
      </c>
      <c r="AD359" s="13">
        <v>33</v>
      </c>
      <c r="AE359" s="13">
        <v>7.3</v>
      </c>
      <c r="AF359" s="13">
        <v>0.5</v>
      </c>
      <c r="AH359" s="13">
        <v>19.059999999999999</v>
      </c>
      <c r="AI359" s="13">
        <v>0.25</v>
      </c>
      <c r="AK359" s="13">
        <v>100</v>
      </c>
      <c r="AL359" s="13">
        <v>5</v>
      </c>
      <c r="AM359" s="13">
        <v>5</v>
      </c>
      <c r="AP359" s="13">
        <v>7.3499999999999996E-2</v>
      </c>
      <c r="AS359" s="13">
        <v>60</v>
      </c>
      <c r="AT359" s="13">
        <f>LN(25/Table26[[#This Row],[Temperature (C)]]/(1-SQRT((Table26[[#This Row],[Temperature (C)]]-5)/Table26[[#This Row],[Temperature (C)]])))/Table26[[#This Row],[b]]</f>
        <v>31.27064137230996</v>
      </c>
      <c r="AU359" s="13">
        <f>IF(Table26[[#This Row],[b]]&lt;&gt;"",Table26[[#This Row],[T-5]], 0)</f>
        <v>31.27064137230996</v>
      </c>
      <c r="AV359" s="13">
        <f>Table26[[#This Row],[Heating time]]+Table26[[#This Row],[Holding Time (min)]]</f>
        <v>91.270641372309967</v>
      </c>
      <c r="AW359" s="13">
        <v>300</v>
      </c>
      <c r="AY359" t="s">
        <v>503</v>
      </c>
      <c r="BA359" s="13">
        <v>21.78</v>
      </c>
      <c r="BB359" s="13">
        <v>35.96</v>
      </c>
      <c r="BE359" s="13" t="s">
        <v>506</v>
      </c>
      <c r="BN359" s="13">
        <v>34.799999999999997</v>
      </c>
      <c r="BP359" s="13">
        <v>39.770000000000003</v>
      </c>
      <c r="BQ359" s="13" t="s">
        <v>506</v>
      </c>
      <c r="CV359" s="13">
        <v>0</v>
      </c>
    </row>
    <row r="360" spans="1:100" x14ac:dyDescent="0.25">
      <c r="A360" t="s">
        <v>354</v>
      </c>
      <c r="B360" t="s">
        <v>353</v>
      </c>
      <c r="C360">
        <v>2019</v>
      </c>
      <c r="D360" t="s">
        <v>352</v>
      </c>
      <c r="E360">
        <v>1</v>
      </c>
      <c r="F360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360" s="13">
        <v>8</v>
      </c>
      <c r="O360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S360" s="13">
        <v>13.5</v>
      </c>
      <c r="T360" s="13">
        <v>78.5</v>
      </c>
      <c r="AB360" s="13">
        <v>44.6</v>
      </c>
      <c r="AC360" s="13">
        <v>6.6</v>
      </c>
      <c r="AD360" s="13">
        <v>33</v>
      </c>
      <c r="AE360" s="13">
        <v>7.3</v>
      </c>
      <c r="AF360" s="13">
        <v>0.5</v>
      </c>
      <c r="AH360" s="13">
        <v>19.059999999999999</v>
      </c>
      <c r="AI360" s="13">
        <v>0.25</v>
      </c>
      <c r="AK360" s="13">
        <v>100</v>
      </c>
      <c r="AL360" s="13">
        <v>15</v>
      </c>
      <c r="AM360" s="13">
        <v>5</v>
      </c>
      <c r="AP360" s="13">
        <v>7.3499999999999996E-2</v>
      </c>
      <c r="AS360" s="13">
        <v>60</v>
      </c>
      <c r="AT360" s="13">
        <f>LN(25/Table26[[#This Row],[Temperature (C)]]/(1-SQRT((Table26[[#This Row],[Temperature (C)]]-5)/Table26[[#This Row],[Temperature (C)]])))/Table26[[#This Row],[b]]</f>
        <v>31.27064137230996</v>
      </c>
      <c r="AU360" s="13">
        <f>IF(Table26[[#This Row],[b]]&lt;&gt;"",Table26[[#This Row],[T-5]], 0)</f>
        <v>31.27064137230996</v>
      </c>
      <c r="AV360" s="13">
        <f>Table26[[#This Row],[Heating time]]+Table26[[#This Row],[Holding Time (min)]]</f>
        <v>91.270641372309967</v>
      </c>
      <c r="AW360" s="13">
        <v>300</v>
      </c>
      <c r="AY360" t="s">
        <v>503</v>
      </c>
      <c r="BA360" s="13">
        <v>24.93</v>
      </c>
      <c r="BB360" s="13">
        <v>28.93</v>
      </c>
      <c r="BE360" s="13" t="s">
        <v>506</v>
      </c>
      <c r="BN360" s="13">
        <v>32.840000000000003</v>
      </c>
      <c r="BP360" s="13">
        <v>42.95</v>
      </c>
      <c r="BQ360" s="13" t="s">
        <v>506</v>
      </c>
      <c r="CV360" s="13">
        <v>0</v>
      </c>
    </row>
    <row r="361" spans="1:100" x14ac:dyDescent="0.25">
      <c r="A361" t="s">
        <v>354</v>
      </c>
      <c r="B361" t="s">
        <v>353</v>
      </c>
      <c r="C361">
        <v>2019</v>
      </c>
      <c r="D361" t="s">
        <v>352</v>
      </c>
      <c r="E361">
        <v>1</v>
      </c>
      <c r="F361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361" s="13">
        <v>8</v>
      </c>
      <c r="O361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S361" s="13">
        <v>13.5</v>
      </c>
      <c r="T361" s="13">
        <v>78.5</v>
      </c>
      <c r="AB361" s="13">
        <v>44.6</v>
      </c>
      <c r="AC361" s="13">
        <v>6.6</v>
      </c>
      <c r="AD361" s="13">
        <v>33</v>
      </c>
      <c r="AE361" s="13">
        <v>7.3</v>
      </c>
      <c r="AF361" s="13">
        <v>0.5</v>
      </c>
      <c r="AH361" s="13">
        <v>19.059999999999999</v>
      </c>
      <c r="AI361" s="13">
        <v>0.25</v>
      </c>
      <c r="AK361" s="13">
        <v>100</v>
      </c>
      <c r="AL361" s="13">
        <v>10</v>
      </c>
      <c r="AM361" s="13">
        <v>5</v>
      </c>
      <c r="AP361" s="13">
        <v>7.3499999999999996E-2</v>
      </c>
      <c r="AS361" s="13">
        <v>40</v>
      </c>
      <c r="AT361" s="13">
        <f>LN(25/Table26[[#This Row],[Temperature (C)]]/(1-SQRT((Table26[[#This Row],[Temperature (C)]]-5)/Table26[[#This Row],[Temperature (C)]])))/Table26[[#This Row],[b]]</f>
        <v>31.256266558766644</v>
      </c>
      <c r="AU361" s="13">
        <f>IF(Table26[[#This Row],[b]]&lt;&gt;"",Table26[[#This Row],[T-5]], 0)</f>
        <v>31.256266558766644</v>
      </c>
      <c r="AV361" s="13">
        <f>Table26[[#This Row],[Heating time]]+Table26[[#This Row],[Holding Time (min)]]</f>
        <v>71.25626655876664</v>
      </c>
      <c r="AW361" s="13">
        <v>240</v>
      </c>
      <c r="AY361" t="s">
        <v>503</v>
      </c>
      <c r="BA361" s="13">
        <v>9.89</v>
      </c>
      <c r="BB361" s="13">
        <v>48.56</v>
      </c>
      <c r="BE361" s="13" t="s">
        <v>506</v>
      </c>
      <c r="BN361" s="13">
        <v>34.71</v>
      </c>
      <c r="BP361" s="13">
        <v>18.010000000000002</v>
      </c>
      <c r="BQ361" s="13" t="s">
        <v>506</v>
      </c>
      <c r="CV361" s="13">
        <v>0</v>
      </c>
    </row>
    <row r="362" spans="1:100" x14ac:dyDescent="0.25">
      <c r="A362" t="s">
        <v>354</v>
      </c>
      <c r="B362" t="s">
        <v>353</v>
      </c>
      <c r="C362">
        <v>2019</v>
      </c>
      <c r="D362" t="s">
        <v>352</v>
      </c>
      <c r="E362">
        <v>1</v>
      </c>
      <c r="F362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362" s="13">
        <v>8</v>
      </c>
      <c r="O362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S362" s="13">
        <v>13.5</v>
      </c>
      <c r="T362" s="13">
        <v>78.5</v>
      </c>
      <c r="AB362" s="13">
        <v>44.6</v>
      </c>
      <c r="AC362" s="13">
        <v>6.6</v>
      </c>
      <c r="AD362" s="13">
        <v>33</v>
      </c>
      <c r="AE362" s="13">
        <v>7.3</v>
      </c>
      <c r="AF362" s="13">
        <v>0.5</v>
      </c>
      <c r="AH362" s="13">
        <v>19.059999999999999</v>
      </c>
      <c r="AI362" s="13">
        <v>0.25</v>
      </c>
      <c r="AK362" s="13">
        <v>100</v>
      </c>
      <c r="AL362" s="13">
        <v>10</v>
      </c>
      <c r="AM362" s="13">
        <v>5</v>
      </c>
      <c r="AP362" s="13">
        <v>7.3499999999999996E-2</v>
      </c>
      <c r="AS362" s="13">
        <v>40</v>
      </c>
      <c r="AT362" s="13">
        <f>LN(25/Table26[[#This Row],[Temperature (C)]]/(1-SQRT((Table26[[#This Row],[Temperature (C)]]-5)/Table26[[#This Row],[Temperature (C)]])))/Table26[[#This Row],[b]]</f>
        <v>31.27064137230996</v>
      </c>
      <c r="AU362" s="13">
        <f>IF(Table26[[#This Row],[b]]&lt;&gt;"",Table26[[#This Row],[T-5]], 0)</f>
        <v>31.27064137230996</v>
      </c>
      <c r="AV362" s="13">
        <f>Table26[[#This Row],[Heating time]]+Table26[[#This Row],[Holding Time (min)]]</f>
        <v>71.270641372309967</v>
      </c>
      <c r="AW362" s="13">
        <v>300</v>
      </c>
      <c r="AY362" t="s">
        <v>503</v>
      </c>
      <c r="BA362" s="13">
        <v>19.39</v>
      </c>
      <c r="BB362" s="13">
        <v>31.78</v>
      </c>
      <c r="BE362" s="13" t="s">
        <v>506</v>
      </c>
      <c r="BN362" s="13">
        <v>34.380000000000003</v>
      </c>
      <c r="BP362" s="13">
        <v>34.979999999999997</v>
      </c>
      <c r="BQ362" s="13" t="s">
        <v>506</v>
      </c>
      <c r="CV362" s="13">
        <v>0</v>
      </c>
    </row>
    <row r="363" spans="1:100" x14ac:dyDescent="0.25">
      <c r="A363" t="s">
        <v>354</v>
      </c>
      <c r="B363" t="s">
        <v>353</v>
      </c>
      <c r="C363">
        <v>2019</v>
      </c>
      <c r="D363" t="s">
        <v>352</v>
      </c>
      <c r="E363">
        <v>1</v>
      </c>
      <c r="F363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363" s="13">
        <v>8</v>
      </c>
      <c r="O363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S363" s="13">
        <v>13.5</v>
      </c>
      <c r="T363" s="13">
        <v>78.5</v>
      </c>
      <c r="AB363" s="13">
        <v>44.6</v>
      </c>
      <c r="AC363" s="13">
        <v>6.6</v>
      </c>
      <c r="AD363" s="13">
        <v>33</v>
      </c>
      <c r="AE363" s="13">
        <v>7.3</v>
      </c>
      <c r="AF363" s="13">
        <v>0.5</v>
      </c>
      <c r="AH363" s="13">
        <v>19.059999999999999</v>
      </c>
      <c r="AI363" s="13">
        <v>0.25</v>
      </c>
      <c r="AK363" s="13">
        <v>100</v>
      </c>
      <c r="AL363" s="13">
        <v>5</v>
      </c>
      <c r="AM363" s="13">
        <v>5</v>
      </c>
      <c r="AP363" s="13">
        <v>7.3499999999999996E-2</v>
      </c>
      <c r="AS363" s="13">
        <v>40</v>
      </c>
      <c r="AT363" s="13">
        <f>LN(25/Table26[[#This Row],[Temperature (C)]]/(1-SQRT((Table26[[#This Row],[Temperature (C)]]-5)/Table26[[#This Row],[Temperature (C)]])))/Table26[[#This Row],[b]]</f>
        <v>31.264258208451114</v>
      </c>
      <c r="AU363" s="13">
        <f>IF(Table26[[#This Row],[b]]&lt;&gt;"",Table26[[#This Row],[T-5]], 0)</f>
        <v>31.264258208451114</v>
      </c>
      <c r="AV363" s="13">
        <f>Table26[[#This Row],[Heating time]]+Table26[[#This Row],[Holding Time (min)]]</f>
        <v>71.26425820845111</v>
      </c>
      <c r="AW363" s="13">
        <v>270</v>
      </c>
      <c r="AY363" t="s">
        <v>503</v>
      </c>
      <c r="BA363" s="13">
        <v>12.19</v>
      </c>
      <c r="BB363" s="13">
        <v>45.15</v>
      </c>
      <c r="BE363" s="13" t="s">
        <v>506</v>
      </c>
      <c r="BN363" s="13">
        <v>36.64</v>
      </c>
      <c r="BP363" s="13">
        <v>23.43</v>
      </c>
      <c r="BQ363" s="13" t="s">
        <v>506</v>
      </c>
      <c r="CV363" s="13">
        <v>0</v>
      </c>
    </row>
    <row r="364" spans="1:100" x14ac:dyDescent="0.25">
      <c r="A364" t="s">
        <v>354</v>
      </c>
      <c r="B364" t="s">
        <v>353</v>
      </c>
      <c r="C364">
        <v>2019</v>
      </c>
      <c r="D364" t="s">
        <v>352</v>
      </c>
      <c r="E364">
        <v>1</v>
      </c>
      <c r="F364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364" s="13">
        <v>8</v>
      </c>
      <c r="O364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S364" s="13">
        <v>13.5</v>
      </c>
      <c r="T364" s="13">
        <v>78.5</v>
      </c>
      <c r="AB364" s="13">
        <v>44.6</v>
      </c>
      <c r="AC364" s="13">
        <v>6.6</v>
      </c>
      <c r="AD364" s="13">
        <v>33</v>
      </c>
      <c r="AE364" s="13">
        <v>7.3</v>
      </c>
      <c r="AF364" s="13">
        <v>0.5</v>
      </c>
      <c r="AH364" s="13">
        <v>19.059999999999999</v>
      </c>
      <c r="AI364" s="13">
        <v>0.25</v>
      </c>
      <c r="AK364" s="13">
        <v>100</v>
      </c>
      <c r="AL364" s="13">
        <v>15</v>
      </c>
      <c r="AM364" s="13">
        <v>5</v>
      </c>
      <c r="AP364" s="13">
        <v>7.3499999999999996E-2</v>
      </c>
      <c r="AS364" s="13">
        <v>40</v>
      </c>
      <c r="AT364" s="13">
        <f>LN(25/Table26[[#This Row],[Temperature (C)]]/(1-SQRT((Table26[[#This Row],[Temperature (C)]]-5)/Table26[[#This Row],[Temperature (C)]])))/Table26[[#This Row],[b]]</f>
        <v>31.264258208451114</v>
      </c>
      <c r="AU364" s="13">
        <f>IF(Table26[[#This Row],[b]]&lt;&gt;"",Table26[[#This Row],[T-5]], 0)</f>
        <v>31.264258208451114</v>
      </c>
      <c r="AV364" s="13">
        <f>Table26[[#This Row],[Heating time]]+Table26[[#This Row],[Holding Time (min)]]</f>
        <v>71.26425820845111</v>
      </c>
      <c r="AW364" s="13">
        <v>270</v>
      </c>
      <c r="AY364" t="s">
        <v>503</v>
      </c>
      <c r="BA364" s="13">
        <v>18</v>
      </c>
      <c r="BB364" s="13">
        <v>37.869999999999997</v>
      </c>
      <c r="BE364" s="13" t="s">
        <v>506</v>
      </c>
      <c r="BN364" s="13">
        <v>36.14</v>
      </c>
      <c r="BP364" s="13">
        <v>34.14</v>
      </c>
      <c r="BQ364" s="13" t="s">
        <v>506</v>
      </c>
      <c r="CV364" s="13">
        <v>0</v>
      </c>
    </row>
    <row r="365" spans="1:100" x14ac:dyDescent="0.25">
      <c r="A365" t="s">
        <v>354</v>
      </c>
      <c r="B365" t="s">
        <v>353</v>
      </c>
      <c r="C365">
        <v>2019</v>
      </c>
      <c r="D365" t="s">
        <v>352</v>
      </c>
      <c r="E365">
        <v>1</v>
      </c>
      <c r="F365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365" s="13">
        <v>8</v>
      </c>
      <c r="O365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S365" s="13">
        <v>13.5</v>
      </c>
      <c r="T365" s="13">
        <v>78.5</v>
      </c>
      <c r="AB365" s="13">
        <v>44.6</v>
      </c>
      <c r="AC365" s="13">
        <v>6.6</v>
      </c>
      <c r="AD365" s="13">
        <v>33</v>
      </c>
      <c r="AE365" s="13">
        <v>7.3</v>
      </c>
      <c r="AF365" s="13">
        <v>0.5</v>
      </c>
      <c r="AH365" s="13">
        <v>19.059999999999999</v>
      </c>
      <c r="AI365" s="13">
        <v>0.25</v>
      </c>
      <c r="AK365" s="13">
        <v>100</v>
      </c>
      <c r="AL365" s="13">
        <v>10</v>
      </c>
      <c r="AM365" s="13">
        <v>5</v>
      </c>
      <c r="AP365" s="13">
        <v>7.3499999999999996E-2</v>
      </c>
      <c r="AS365" s="13">
        <v>20</v>
      </c>
      <c r="AT365" s="13">
        <f>LN(25/Table26[[#This Row],[Temperature (C)]]/(1-SQRT((Table26[[#This Row],[Temperature (C)]]-5)/Table26[[#This Row],[Temperature (C)]])))/Table26[[#This Row],[b]]</f>
        <v>31.264258208451114</v>
      </c>
      <c r="AU365" s="13">
        <f>IF(Table26[[#This Row],[b]]&lt;&gt;"",Table26[[#This Row],[T-5]], 0)</f>
        <v>31.264258208451114</v>
      </c>
      <c r="AV365" s="13">
        <f>Table26[[#This Row],[Heating time]]+Table26[[#This Row],[Holding Time (min)]]</f>
        <v>51.26425820845111</v>
      </c>
      <c r="AW365" s="13">
        <v>270</v>
      </c>
      <c r="AY365" t="s">
        <v>503</v>
      </c>
      <c r="BA365" s="13">
        <v>15.5</v>
      </c>
      <c r="BB365" s="13">
        <v>45.59</v>
      </c>
      <c r="BE365" s="13" t="s">
        <v>506</v>
      </c>
      <c r="BN365" s="13">
        <v>36.14</v>
      </c>
      <c r="BP365" s="13">
        <v>29.38</v>
      </c>
      <c r="BQ365" s="13" t="s">
        <v>506</v>
      </c>
      <c r="CV365" s="13">
        <v>0</v>
      </c>
    </row>
    <row r="366" spans="1:100" x14ac:dyDescent="0.25">
      <c r="A366" t="s">
        <v>354</v>
      </c>
      <c r="B366" t="s">
        <v>353</v>
      </c>
      <c r="C366">
        <v>2019</v>
      </c>
      <c r="D366" t="s">
        <v>352</v>
      </c>
      <c r="E366">
        <v>1</v>
      </c>
      <c r="F366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366" s="13">
        <v>8</v>
      </c>
      <c r="O366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S366" s="13">
        <v>13.5</v>
      </c>
      <c r="T366" s="13">
        <v>78.5</v>
      </c>
      <c r="AB366" s="13">
        <v>44.6</v>
      </c>
      <c r="AC366" s="13">
        <v>6.6</v>
      </c>
      <c r="AD366" s="13">
        <v>33</v>
      </c>
      <c r="AE366" s="13">
        <v>7.3</v>
      </c>
      <c r="AF366" s="13">
        <v>0.5</v>
      </c>
      <c r="AH366" s="13">
        <v>19.059999999999999</v>
      </c>
      <c r="AI366" s="13">
        <v>0.25</v>
      </c>
      <c r="AK366" s="13">
        <v>100</v>
      </c>
      <c r="AL366" s="13">
        <v>10</v>
      </c>
      <c r="AM366" s="13">
        <v>5</v>
      </c>
      <c r="AP366" s="13">
        <v>7.3499999999999996E-2</v>
      </c>
      <c r="AS366" s="13">
        <v>60</v>
      </c>
      <c r="AT366" s="13">
        <f>LN(25/Table26[[#This Row],[Temperature (C)]]/(1-SQRT((Table26[[#This Row],[Temperature (C)]]-5)/Table26[[#This Row],[Temperature (C)]])))/Table26[[#This Row],[b]]</f>
        <v>31.264258208451114</v>
      </c>
      <c r="AU366" s="13">
        <f>IF(Table26[[#This Row],[b]]&lt;&gt;"",Table26[[#This Row],[T-5]], 0)</f>
        <v>31.264258208451114</v>
      </c>
      <c r="AV366" s="13">
        <f>Table26[[#This Row],[Heating time]]+Table26[[#This Row],[Holding Time (min)]]</f>
        <v>91.26425820845111</v>
      </c>
      <c r="AW366" s="13">
        <v>270</v>
      </c>
      <c r="AY366" t="s">
        <v>503</v>
      </c>
      <c r="BA366" s="13">
        <v>16.489999999999998</v>
      </c>
      <c r="BB366" s="13">
        <v>39.380000000000003</v>
      </c>
      <c r="BE366" s="13" t="s">
        <v>506</v>
      </c>
      <c r="BN366" s="13">
        <v>35.56</v>
      </c>
      <c r="BP366" s="13">
        <v>31.11</v>
      </c>
      <c r="BQ366" s="13" t="s">
        <v>506</v>
      </c>
      <c r="CV366" s="13">
        <v>0</v>
      </c>
    </row>
    <row r="367" spans="1:100" x14ac:dyDescent="0.25">
      <c r="A367" t="s">
        <v>354</v>
      </c>
      <c r="B367" t="s">
        <v>353</v>
      </c>
      <c r="C367">
        <v>2019</v>
      </c>
      <c r="D367" t="s">
        <v>352</v>
      </c>
      <c r="E367">
        <v>1</v>
      </c>
      <c r="F367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367" s="13">
        <v>8</v>
      </c>
      <c r="O367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S367" s="13">
        <v>13.5</v>
      </c>
      <c r="T367" s="13">
        <v>78.5</v>
      </c>
      <c r="AB367" s="13">
        <v>44.6</v>
      </c>
      <c r="AC367" s="13">
        <v>6.6</v>
      </c>
      <c r="AD367" s="13">
        <v>33</v>
      </c>
      <c r="AE367" s="13">
        <v>7.3</v>
      </c>
      <c r="AF367" s="13">
        <v>0.5</v>
      </c>
      <c r="AH367" s="13">
        <v>19.059999999999999</v>
      </c>
      <c r="AI367" s="13">
        <v>0.25</v>
      </c>
      <c r="AK367" s="13">
        <v>100</v>
      </c>
      <c r="AL367" s="13">
        <v>10</v>
      </c>
      <c r="AM367" s="13">
        <v>5</v>
      </c>
      <c r="AP367" s="13">
        <v>7.3499999999999996E-2</v>
      </c>
      <c r="AS367" s="13">
        <v>40</v>
      </c>
      <c r="AT367" s="13">
        <f>LN(25/Table26[[#This Row],[Temperature (C)]]/(1-SQRT((Table26[[#This Row],[Temperature (C)]]-5)/Table26[[#This Row],[Temperature (C)]])))/Table26[[#This Row],[b]]</f>
        <v>31.264258208451114</v>
      </c>
      <c r="AU367" s="13">
        <f>IF(Table26[[#This Row],[b]]&lt;&gt;"",Table26[[#This Row],[T-5]], 0)</f>
        <v>31.264258208451114</v>
      </c>
      <c r="AV367" s="13">
        <f>Table26[[#This Row],[Heating time]]+Table26[[#This Row],[Holding Time (min)]]</f>
        <v>71.26425820845111</v>
      </c>
      <c r="AW367" s="13">
        <v>270</v>
      </c>
      <c r="AY367" t="s">
        <v>503</v>
      </c>
      <c r="BA367" s="13">
        <v>15.07</v>
      </c>
      <c r="BB367" s="13">
        <v>41</v>
      </c>
      <c r="BE367" s="13" t="s">
        <v>506</v>
      </c>
      <c r="BN367" s="13">
        <v>35.229999999999997</v>
      </c>
      <c r="BP367" s="13">
        <v>27.86</v>
      </c>
      <c r="BQ367" s="13" t="s">
        <v>506</v>
      </c>
      <c r="CV367" s="13">
        <v>0</v>
      </c>
    </row>
    <row r="368" spans="1:100" x14ac:dyDescent="0.25">
      <c r="A368" t="s">
        <v>354</v>
      </c>
      <c r="B368" t="s">
        <v>353</v>
      </c>
      <c r="C368">
        <v>2019</v>
      </c>
      <c r="D368" t="s">
        <v>352</v>
      </c>
      <c r="E368">
        <v>1</v>
      </c>
      <c r="F368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368" s="13">
        <v>8</v>
      </c>
      <c r="O368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S368" s="13">
        <v>13.5</v>
      </c>
      <c r="T368" s="13">
        <v>78.5</v>
      </c>
      <c r="AB368" s="13">
        <v>44.6</v>
      </c>
      <c r="AC368" s="13">
        <v>6.6</v>
      </c>
      <c r="AD368" s="13">
        <v>33</v>
      </c>
      <c r="AE368" s="13">
        <v>7.3</v>
      </c>
      <c r="AF368" s="13">
        <v>0.5</v>
      </c>
      <c r="AH368" s="13">
        <v>19.059999999999999</v>
      </c>
      <c r="AI368" s="13">
        <v>0.25</v>
      </c>
      <c r="AK368" s="13">
        <v>100</v>
      </c>
      <c r="AL368" s="13">
        <v>10</v>
      </c>
      <c r="AM368" s="13">
        <v>5</v>
      </c>
      <c r="AP368" s="13">
        <v>7.3499999999999996E-2</v>
      </c>
      <c r="AS368" s="13">
        <v>40</v>
      </c>
      <c r="AT368" s="13">
        <f>LN(25/Table26[[#This Row],[Temperature (C)]]/(1-SQRT((Table26[[#This Row],[Temperature (C)]]-5)/Table26[[#This Row],[Temperature (C)]])))/Table26[[#This Row],[b]]</f>
        <v>31.264258208451114</v>
      </c>
      <c r="AU368" s="13">
        <f>IF(Table26[[#This Row],[b]]&lt;&gt;"",Table26[[#This Row],[T-5]], 0)</f>
        <v>31.264258208451114</v>
      </c>
      <c r="AV368" s="13">
        <f>Table26[[#This Row],[Heating time]]+Table26[[#This Row],[Holding Time (min)]]</f>
        <v>71.26425820845111</v>
      </c>
      <c r="AW368" s="13">
        <v>270</v>
      </c>
      <c r="AY368" t="s">
        <v>503</v>
      </c>
      <c r="BA368" s="13">
        <v>15.49</v>
      </c>
      <c r="BB368" s="13">
        <v>39.78</v>
      </c>
      <c r="BE368" s="13" t="s">
        <v>506</v>
      </c>
      <c r="BN368" s="13">
        <v>35.97</v>
      </c>
      <c r="BP368" s="13">
        <v>29.23</v>
      </c>
      <c r="BQ368" s="13" t="s">
        <v>506</v>
      </c>
      <c r="CV368" s="13">
        <v>0</v>
      </c>
    </row>
    <row r="369" spans="1:100" x14ac:dyDescent="0.25">
      <c r="A369" t="s">
        <v>354</v>
      </c>
      <c r="B369" t="s">
        <v>353</v>
      </c>
      <c r="C369">
        <v>2019</v>
      </c>
      <c r="D369" t="s">
        <v>352</v>
      </c>
      <c r="E369">
        <v>1</v>
      </c>
      <c r="F369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369" s="13">
        <v>8</v>
      </c>
      <c r="O369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S369" s="13">
        <v>13.5</v>
      </c>
      <c r="T369" s="13">
        <v>78.5</v>
      </c>
      <c r="AB369" s="13">
        <v>44.6</v>
      </c>
      <c r="AC369" s="13">
        <v>6.6</v>
      </c>
      <c r="AD369" s="13">
        <v>33</v>
      </c>
      <c r="AE369" s="13">
        <v>7.3</v>
      </c>
      <c r="AF369" s="13">
        <v>0.5</v>
      </c>
      <c r="AH369" s="13">
        <v>19.059999999999999</v>
      </c>
      <c r="AI369" s="13">
        <v>0.25</v>
      </c>
      <c r="AK369" s="13">
        <v>100</v>
      </c>
      <c r="AL369" s="13">
        <v>10</v>
      </c>
      <c r="AM369" s="13">
        <v>5</v>
      </c>
      <c r="AP369" s="13">
        <v>7.3499999999999996E-2</v>
      </c>
      <c r="AS369" s="13">
        <v>40</v>
      </c>
      <c r="AT369" s="13">
        <f>LN(25/Table26[[#This Row],[Temperature (C)]]/(1-SQRT((Table26[[#This Row],[Temperature (C)]]-5)/Table26[[#This Row],[Temperature (C)]])))/Table26[[#This Row],[b]]</f>
        <v>31.264258208451114</v>
      </c>
      <c r="AU369" s="13">
        <f>IF(Table26[[#This Row],[b]]&lt;&gt;"",Table26[[#This Row],[T-5]], 0)</f>
        <v>31.264258208451114</v>
      </c>
      <c r="AV369" s="13">
        <f>Table26[[#This Row],[Heating time]]+Table26[[#This Row],[Holding Time (min)]]</f>
        <v>71.26425820845111</v>
      </c>
      <c r="AW369" s="13">
        <v>270</v>
      </c>
      <c r="AY369" t="s">
        <v>503</v>
      </c>
      <c r="BA369" s="13">
        <v>15.71</v>
      </c>
      <c r="BB369" s="13">
        <v>40.659999999999997</v>
      </c>
      <c r="BE369" s="13" t="s">
        <v>506</v>
      </c>
      <c r="BN369" s="13">
        <v>34.6</v>
      </c>
      <c r="BP369" s="13">
        <v>28.52</v>
      </c>
      <c r="BQ369" s="13" t="s">
        <v>506</v>
      </c>
      <c r="CV369" s="13">
        <v>0</v>
      </c>
    </row>
    <row r="370" spans="1:100" x14ac:dyDescent="0.25">
      <c r="A370" t="s">
        <v>355</v>
      </c>
      <c r="B370" t="s">
        <v>151</v>
      </c>
      <c r="C370">
        <v>2014</v>
      </c>
      <c r="D370" t="s">
        <v>359</v>
      </c>
      <c r="E370">
        <v>0</v>
      </c>
      <c r="F370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7</v>
      </c>
      <c r="G370" s="13">
        <v>7</v>
      </c>
      <c r="K370" s="13">
        <v>86</v>
      </c>
      <c r="L370" s="13">
        <v>0.56999999999999995</v>
      </c>
      <c r="N370" s="13">
        <v>6.82</v>
      </c>
      <c r="O37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93.57</v>
      </c>
      <c r="AB370" s="13">
        <v>46.54</v>
      </c>
      <c r="AC370" s="13">
        <v>6.69</v>
      </c>
      <c r="AD370" s="13">
        <v>25.58</v>
      </c>
      <c r="AE370" s="13">
        <v>13.7</v>
      </c>
      <c r="AF370" s="13">
        <v>0.67</v>
      </c>
      <c r="AH370" s="13">
        <v>22</v>
      </c>
      <c r="AI370" s="13">
        <v>2.2000000000000001E-3</v>
      </c>
      <c r="AJ370" s="13">
        <v>1.35</v>
      </c>
      <c r="AL370" s="13">
        <v>12</v>
      </c>
      <c r="AS370" s="13">
        <v>60</v>
      </c>
      <c r="AT370" s="13" t="e">
        <f>LN(25/Table26[[#This Row],[Temperature (C)]]/(1-SQRT((Table26[[#This Row],[Temperature (C)]]-5)/Table26[[#This Row],[Temperature (C)]])))/Table26[[#This Row],[b]]</f>
        <v>#DIV/0!</v>
      </c>
      <c r="AU370" s="13">
        <f>IF(Table26[[#This Row],[b]]&lt;&gt;"",Table26[[#This Row],[T-5]], 0)</f>
        <v>0</v>
      </c>
      <c r="AW370" s="13">
        <v>350</v>
      </c>
      <c r="AY370" t="s">
        <v>503</v>
      </c>
      <c r="AZ370" s="13">
        <v>2.1</v>
      </c>
      <c r="BA370" s="13">
        <f>Table26[[#This Row],[Light Biocrude wt%]]+Table26[[#This Row],[Heavy Biocrude wt%]]</f>
        <v>26.243386243386205</v>
      </c>
      <c r="BB370" s="13">
        <v>72</v>
      </c>
      <c r="BC370" s="13">
        <v>1</v>
      </c>
      <c r="BE370" s="13" t="s">
        <v>506</v>
      </c>
      <c r="BF370" s="13">
        <v>16.402116402116363</v>
      </c>
      <c r="BG370" s="13">
        <v>9.8412698412698401</v>
      </c>
      <c r="BQ370" s="13" t="s">
        <v>506</v>
      </c>
      <c r="BR370" s="13">
        <v>76.085409252668995</v>
      </c>
      <c r="BS370" s="13">
        <v>10.49</v>
      </c>
      <c r="BT370" s="13">
        <v>7.7304964539007104</v>
      </c>
      <c r="BU370" s="13">
        <v>5.2659574468085104</v>
      </c>
      <c r="BV370" s="13">
        <v>0.51056338028169002</v>
      </c>
      <c r="BW370" s="13">
        <v>38</v>
      </c>
      <c r="BX370" s="13">
        <v>69.822064056939496</v>
      </c>
      <c r="BY370" s="13">
        <v>8.19</v>
      </c>
      <c r="BZ370" s="13">
        <v>12.5531914893617</v>
      </c>
      <c r="CA370" s="13">
        <v>8.6702127659574408</v>
      </c>
      <c r="CB370" s="13">
        <v>0.68309859154929498</v>
      </c>
      <c r="CC370" s="13">
        <v>33</v>
      </c>
      <c r="CV370" s="13">
        <v>0</v>
      </c>
    </row>
    <row r="371" spans="1:100" x14ac:dyDescent="0.25">
      <c r="A371" t="s">
        <v>355</v>
      </c>
      <c r="B371" t="s">
        <v>151</v>
      </c>
      <c r="C371">
        <v>2014</v>
      </c>
      <c r="D371" t="s">
        <v>360</v>
      </c>
      <c r="E371">
        <v>0</v>
      </c>
      <c r="F371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</v>
      </c>
      <c r="G371" s="13">
        <v>10</v>
      </c>
      <c r="K371" s="13">
        <v>82</v>
      </c>
      <c r="L371" s="13">
        <v>2.6</v>
      </c>
      <c r="N371" s="13">
        <v>4.9000000000000004</v>
      </c>
      <c r="O37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94.6</v>
      </c>
      <c r="AB371" s="13">
        <v>47.32</v>
      </c>
      <c r="AC371" s="13">
        <v>6.88</v>
      </c>
      <c r="AD371" s="13">
        <v>27.15</v>
      </c>
      <c r="AE371" s="13">
        <v>13.17</v>
      </c>
      <c r="AF371" s="13">
        <v>0.57999999999999996</v>
      </c>
      <c r="AH371" s="13">
        <v>23</v>
      </c>
      <c r="AI371" s="13">
        <v>2.2000000000000001E-3</v>
      </c>
      <c r="AJ371" s="13">
        <v>1.35</v>
      </c>
      <c r="AL371" s="13">
        <v>12</v>
      </c>
      <c r="AS371" s="13">
        <v>60</v>
      </c>
      <c r="AT371" s="13" t="e">
        <f>LN(25/Table26[[#This Row],[Temperature (C)]]/(1-SQRT((Table26[[#This Row],[Temperature (C)]]-5)/Table26[[#This Row],[Temperature (C)]])))/Table26[[#This Row],[b]]</f>
        <v>#DIV/0!</v>
      </c>
      <c r="AU371" s="13">
        <f>IF(Table26[[#This Row],[b]]&lt;&gt;"",Table26[[#This Row],[T-5]], 0)</f>
        <v>0</v>
      </c>
      <c r="AW371" s="13">
        <v>350</v>
      </c>
      <c r="AY371" t="s">
        <v>503</v>
      </c>
      <c r="AZ371" s="13">
        <v>5</v>
      </c>
      <c r="BA371" s="13">
        <f>Table26[[#This Row],[Light Biocrude wt%]]+Table26[[#This Row],[Heavy Biocrude wt%]]</f>
        <v>30.793650793650698</v>
      </c>
      <c r="BB371" s="13">
        <v>64</v>
      </c>
      <c r="BC371" s="13">
        <v>1.2</v>
      </c>
      <c r="BE371" s="13" t="s">
        <v>506</v>
      </c>
      <c r="BF371" s="13">
        <v>14.3915343915343</v>
      </c>
      <c r="BG371" s="13">
        <v>16.402116402116398</v>
      </c>
      <c r="BQ371" s="13" t="s">
        <v>506</v>
      </c>
      <c r="BR371" s="13">
        <v>74.163701067615605</v>
      </c>
      <c r="BS371" s="13">
        <v>9.9499999999999993</v>
      </c>
      <c r="BT371" s="13">
        <v>9.36170212765958</v>
      </c>
      <c r="BU371" s="13">
        <v>6.1170212765957404</v>
      </c>
      <c r="BV371" s="13">
        <v>0.43661971830985902</v>
      </c>
      <c r="BW371" s="13">
        <v>34</v>
      </c>
      <c r="BX371" s="13">
        <v>70.2491103202847</v>
      </c>
      <c r="BY371" s="13">
        <v>8.5299999999999994</v>
      </c>
      <c r="BZ371" s="13">
        <v>12.7659574468085</v>
      </c>
      <c r="CA371" s="13">
        <v>7.7127659574468002</v>
      </c>
      <c r="CB371" s="13">
        <v>0.59154929577464699</v>
      </c>
      <c r="CC371" s="13">
        <v>30</v>
      </c>
      <c r="CV371" s="13">
        <v>0</v>
      </c>
    </row>
    <row r="372" spans="1:100" x14ac:dyDescent="0.25">
      <c r="A372" t="s">
        <v>355</v>
      </c>
      <c r="B372" t="s">
        <v>151</v>
      </c>
      <c r="C372">
        <v>2014</v>
      </c>
      <c r="D372" t="s">
        <v>356</v>
      </c>
      <c r="E372">
        <v>0</v>
      </c>
      <c r="F372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4</v>
      </c>
      <c r="G372" s="13">
        <v>4</v>
      </c>
      <c r="K372" s="13">
        <v>83</v>
      </c>
      <c r="L372" s="13">
        <v>2.7</v>
      </c>
      <c r="N372" s="13">
        <v>11</v>
      </c>
      <c r="O37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89.7</v>
      </c>
      <c r="AB372" s="13">
        <v>46.58</v>
      </c>
      <c r="AC372" s="13">
        <v>7.08</v>
      </c>
      <c r="AD372" s="13">
        <v>21.48</v>
      </c>
      <c r="AE372" s="13">
        <v>13.23</v>
      </c>
      <c r="AF372" s="13">
        <v>0.55000000000000004</v>
      </c>
      <c r="AH372" s="13">
        <v>23</v>
      </c>
      <c r="AI372" s="13">
        <v>2.2000000000000001E-3</v>
      </c>
      <c r="AJ372" s="13">
        <v>1.35</v>
      </c>
      <c r="AL372" s="13">
        <v>12</v>
      </c>
      <c r="AS372" s="13">
        <v>60</v>
      </c>
      <c r="AT372" s="13" t="e">
        <f>LN(25/Table26[[#This Row],[Temperature (C)]]/(1-SQRT((Table26[[#This Row],[Temperature (C)]]-5)/Table26[[#This Row],[Temperature (C)]])))/Table26[[#This Row],[b]]</f>
        <v>#DIV/0!</v>
      </c>
      <c r="AU372" s="13">
        <f>IF(Table26[[#This Row],[b]]&lt;&gt;"",Table26[[#This Row],[T-5]], 0)</f>
        <v>0</v>
      </c>
      <c r="AW372" s="13">
        <v>350</v>
      </c>
      <c r="AY372" t="s">
        <v>503</v>
      </c>
      <c r="AZ372" s="13">
        <v>1.8</v>
      </c>
      <c r="BA372" s="13">
        <f>Table26[[#This Row],[Light Biocrude wt%]]+Table26[[#This Row],[Heavy Biocrude wt%]]</f>
        <v>34.814814814814802</v>
      </c>
      <c r="BB372" s="13">
        <v>64</v>
      </c>
      <c r="BC372" s="13">
        <v>3.8</v>
      </c>
      <c r="BE372" s="13" t="s">
        <v>506</v>
      </c>
      <c r="BF372" s="13">
        <v>22.539682539682602</v>
      </c>
      <c r="BG372" s="13">
        <v>12.275132275132201</v>
      </c>
      <c r="BQ372" s="13" t="s">
        <v>506</v>
      </c>
      <c r="BR372" s="13">
        <v>72.597864768683195</v>
      </c>
      <c r="BS372" s="13">
        <v>9.3699999999999992</v>
      </c>
      <c r="BT372" s="13">
        <v>10.0709219858156</v>
      </c>
      <c r="BU372" s="13">
        <v>7.0744680851063801</v>
      </c>
      <c r="BV372" s="13">
        <v>0.88732394366197098</v>
      </c>
      <c r="BW372" s="13">
        <v>37</v>
      </c>
      <c r="BX372" s="13">
        <v>69.7508896797153</v>
      </c>
      <c r="BY372" s="13">
        <v>7.93</v>
      </c>
      <c r="BZ372" s="13">
        <v>12.0567375886524</v>
      </c>
      <c r="CA372" s="13">
        <v>9.6276595744680797</v>
      </c>
      <c r="CB372" s="13">
        <v>0.52816901408450601</v>
      </c>
      <c r="CC372" s="13">
        <v>34</v>
      </c>
      <c r="CV372" s="13">
        <v>0</v>
      </c>
    </row>
    <row r="373" spans="1:100" x14ac:dyDescent="0.25">
      <c r="A373" t="s">
        <v>355</v>
      </c>
      <c r="B373" t="s">
        <v>151</v>
      </c>
      <c r="C373">
        <v>2014</v>
      </c>
      <c r="D373" t="s">
        <v>357</v>
      </c>
      <c r="E373">
        <v>0</v>
      </c>
      <c r="F373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15</v>
      </c>
      <c r="G373" s="13">
        <v>15</v>
      </c>
      <c r="K373" s="13">
        <v>72</v>
      </c>
      <c r="L373" s="13">
        <v>0.55000000000000004</v>
      </c>
      <c r="N373" s="13">
        <v>13</v>
      </c>
      <c r="O37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87.55</v>
      </c>
      <c r="AB373" s="13">
        <v>42.65</v>
      </c>
      <c r="AC373" s="13">
        <v>6.56</v>
      </c>
      <c r="AD373" s="13">
        <v>25.91</v>
      </c>
      <c r="AE373" s="13">
        <v>11.45</v>
      </c>
      <c r="AF373" s="13">
        <v>0.43</v>
      </c>
      <c r="AH373" s="13">
        <v>21</v>
      </c>
      <c r="AI373" s="13">
        <v>2.2000000000000001E-3</v>
      </c>
      <c r="AJ373" s="13">
        <v>1.35</v>
      </c>
      <c r="AL373" s="13">
        <v>12</v>
      </c>
      <c r="AS373" s="13">
        <v>60</v>
      </c>
      <c r="AT373" s="13" t="e">
        <f>LN(25/Table26[[#This Row],[Temperature (C)]]/(1-SQRT((Table26[[#This Row],[Temperature (C)]]-5)/Table26[[#This Row],[Temperature (C)]])))/Table26[[#This Row],[b]]</f>
        <v>#DIV/0!</v>
      </c>
      <c r="AU373" s="13">
        <f>IF(Table26[[#This Row],[b]]&lt;&gt;"",Table26[[#This Row],[T-5]], 0)</f>
        <v>0</v>
      </c>
      <c r="AW373" s="13">
        <v>350</v>
      </c>
      <c r="AY373" t="s">
        <v>503</v>
      </c>
      <c r="AZ373" s="13">
        <v>3.6</v>
      </c>
      <c r="BA373" s="13">
        <f>Table26[[#This Row],[Light Biocrude wt%]]+Table26[[#This Row],[Heavy Biocrude wt%]]</f>
        <v>17.037037037036999</v>
      </c>
      <c r="BB373" s="13">
        <v>81</v>
      </c>
      <c r="BC373" s="13">
        <v>1</v>
      </c>
      <c r="BE373" s="13" t="s">
        <v>506</v>
      </c>
      <c r="BF373" s="13">
        <v>5.6084656084655986</v>
      </c>
      <c r="BG373" s="13">
        <v>11.4285714285714</v>
      </c>
      <c r="BQ373" s="13" t="s">
        <v>506</v>
      </c>
      <c r="BR373" s="13">
        <v>73.167259786476805</v>
      </c>
      <c r="BS373" s="13">
        <v>9.26</v>
      </c>
      <c r="BT373" s="13">
        <v>9.5744680851063801</v>
      </c>
      <c r="BU373" s="13">
        <v>7.1808510638297802</v>
      </c>
      <c r="BV373" s="13">
        <v>0.73591549295774605</v>
      </c>
      <c r="BW373" s="13">
        <v>33</v>
      </c>
      <c r="BX373" s="13">
        <v>71.103202846974995</v>
      </c>
      <c r="BY373" s="13">
        <v>8.07</v>
      </c>
      <c r="BZ373" s="13">
        <v>11.418439716311999</v>
      </c>
      <c r="CA373" s="13">
        <v>8.7234042553191493</v>
      </c>
      <c r="CB373" s="13">
        <v>0.65845070422535201</v>
      </c>
      <c r="CC373" s="13">
        <v>31</v>
      </c>
      <c r="CV373" s="13">
        <v>0</v>
      </c>
    </row>
    <row r="374" spans="1:100" x14ac:dyDescent="0.25">
      <c r="A374" t="s">
        <v>355</v>
      </c>
      <c r="B374" t="s">
        <v>151</v>
      </c>
      <c r="C374">
        <v>2014</v>
      </c>
      <c r="D374" t="s">
        <v>358</v>
      </c>
      <c r="E374">
        <v>0</v>
      </c>
      <c r="F374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17</v>
      </c>
      <c r="G374" s="13">
        <v>17</v>
      </c>
      <c r="K374" s="13">
        <v>75</v>
      </c>
      <c r="L374" s="13">
        <v>2.7</v>
      </c>
      <c r="N374" s="13">
        <v>4.68</v>
      </c>
      <c r="O37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94.7</v>
      </c>
      <c r="AB374" s="13">
        <v>46.47</v>
      </c>
      <c r="AC374" s="13">
        <v>7.31</v>
      </c>
      <c r="AD374" s="13">
        <v>29.03</v>
      </c>
      <c r="AE374" s="13">
        <v>12.04</v>
      </c>
      <c r="AF374" s="13">
        <v>0.47</v>
      </c>
      <c r="AH374" s="13">
        <v>22</v>
      </c>
      <c r="AI374" s="13">
        <v>2.2000000000000001E-3</v>
      </c>
      <c r="AJ374" s="13">
        <v>1.35</v>
      </c>
      <c r="AL374" s="13">
        <v>12</v>
      </c>
      <c r="AS374" s="13">
        <v>60</v>
      </c>
      <c r="AT374" s="13" t="e">
        <f>LN(25/Table26[[#This Row],[Temperature (C)]]/(1-SQRT((Table26[[#This Row],[Temperature (C)]]-5)/Table26[[#This Row],[Temperature (C)]])))/Table26[[#This Row],[b]]</f>
        <v>#DIV/0!</v>
      </c>
      <c r="AU374" s="13">
        <f>IF(Table26[[#This Row],[b]]&lt;&gt;"",Table26[[#This Row],[T-5]], 0)</f>
        <v>0</v>
      </c>
      <c r="AW374" s="13">
        <v>350</v>
      </c>
      <c r="AY374" t="s">
        <v>503</v>
      </c>
      <c r="AZ374" s="13">
        <v>4.5999999999999996</v>
      </c>
      <c r="BA374" s="13">
        <f>Table26[[#This Row],[Light Biocrude wt%]]+Table26[[#This Row],[Heavy Biocrude wt%]]</f>
        <v>33.227513227513199</v>
      </c>
      <c r="BB374" s="13">
        <v>62</v>
      </c>
      <c r="BC374" s="13">
        <v>1.9</v>
      </c>
      <c r="BE374" s="13">
        <v>5</v>
      </c>
      <c r="BF374" s="13">
        <v>16.507936507936499</v>
      </c>
      <c r="BG374" s="13">
        <v>16.7195767195767</v>
      </c>
      <c r="BQ374" s="13" t="s">
        <v>506</v>
      </c>
      <c r="BR374" s="13">
        <v>75.160142348754405</v>
      </c>
      <c r="BS374" s="13">
        <v>9.91</v>
      </c>
      <c r="BT374" s="13">
        <v>8.3687943262411402</v>
      </c>
      <c r="BU374" s="13">
        <v>6.0106382978723403</v>
      </c>
      <c r="BV374" s="13">
        <v>0.45070422535211202</v>
      </c>
      <c r="BW374" s="13">
        <v>36</v>
      </c>
      <c r="BX374" s="13">
        <v>72.882562277580007</v>
      </c>
      <c r="BY374" s="13">
        <v>8.26</v>
      </c>
      <c r="BZ374" s="13">
        <v>10.2127659574468</v>
      </c>
      <c r="CA374" s="13">
        <v>8.2446808510638299</v>
      </c>
      <c r="CB374" s="13">
        <v>0.41549295774647799</v>
      </c>
      <c r="CC374" s="13">
        <v>33</v>
      </c>
      <c r="CV374" s="13">
        <v>0</v>
      </c>
    </row>
    <row r="375" spans="1:100" x14ac:dyDescent="0.25">
      <c r="A375" t="s">
        <v>355</v>
      </c>
      <c r="B375" t="s">
        <v>151</v>
      </c>
      <c r="C375">
        <v>2014</v>
      </c>
      <c r="D375" t="s">
        <v>359</v>
      </c>
      <c r="E375">
        <v>0</v>
      </c>
      <c r="F375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7</v>
      </c>
      <c r="G375" s="13">
        <v>7</v>
      </c>
      <c r="K375" s="13">
        <v>86</v>
      </c>
      <c r="L375" s="13">
        <v>0.56999999999999995</v>
      </c>
      <c r="N375" s="13">
        <v>6.82</v>
      </c>
      <c r="O37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93.57</v>
      </c>
      <c r="AB375" s="13">
        <v>46.54</v>
      </c>
      <c r="AC375" s="13">
        <v>6.69</v>
      </c>
      <c r="AD375" s="13">
        <v>25.58</v>
      </c>
      <c r="AE375" s="13">
        <v>13.7</v>
      </c>
      <c r="AF375" s="13">
        <v>0.67</v>
      </c>
      <c r="AH375" s="13">
        <v>22</v>
      </c>
      <c r="AI375" s="13">
        <v>2.2000000000000001E-3</v>
      </c>
      <c r="AJ375" s="13">
        <v>0.3</v>
      </c>
      <c r="AL375" s="13">
        <v>12</v>
      </c>
      <c r="AR375" s="13">
        <v>1</v>
      </c>
      <c r="AT375" s="13" t="e">
        <f>LN(25/Table26[[#This Row],[Temperature (C)]]/(1-SQRT((Table26[[#This Row],[Temperature (C)]]-5)/Table26[[#This Row],[Temperature (C)]])))/Table26[[#This Row],[b]]</f>
        <v>#DIV/0!</v>
      </c>
      <c r="AU375" s="13">
        <f>IF(Table26[[#This Row],[b]]&lt;&gt;"",Table26[[#This Row],[T-5]], 0)</f>
        <v>0</v>
      </c>
      <c r="AW375" s="13">
        <v>600</v>
      </c>
      <c r="AY375" t="s">
        <v>503</v>
      </c>
      <c r="AZ375" s="13">
        <v>8.5</v>
      </c>
      <c r="BA375" s="13">
        <f>Table26[[#This Row],[Light Biocrude wt%]]+Table26[[#This Row],[Heavy Biocrude wt%]]</f>
        <v>27.1957671957671</v>
      </c>
      <c r="BB375" s="13">
        <v>66</v>
      </c>
      <c r="BE375" s="13">
        <v>12.4</v>
      </c>
      <c r="BF375" s="13">
        <v>6.3492063492063018</v>
      </c>
      <c r="BG375" s="13">
        <v>20.846560846560799</v>
      </c>
      <c r="BQ375" s="13" t="s">
        <v>506</v>
      </c>
      <c r="BR375" s="13">
        <v>68.398576512455506</v>
      </c>
      <c r="BS375" s="13">
        <v>9.67</v>
      </c>
      <c r="BT375" s="13">
        <v>15.319148936170199</v>
      </c>
      <c r="BU375" s="13">
        <v>5.9042553191489304</v>
      </c>
      <c r="BV375" s="13">
        <v>0.89436619718309796</v>
      </c>
      <c r="BW375" s="13">
        <v>34</v>
      </c>
      <c r="BX375" s="13">
        <v>62.989323843416301</v>
      </c>
      <c r="BY375" s="13">
        <v>7.91</v>
      </c>
      <c r="BZ375" s="13">
        <v>16.312056737588598</v>
      </c>
      <c r="CA375" s="13">
        <v>11.968085106382899</v>
      </c>
      <c r="CB375" s="13">
        <v>0.82746478873239404</v>
      </c>
      <c r="CC375" s="13">
        <v>29</v>
      </c>
      <c r="CV375" s="13">
        <v>0</v>
      </c>
    </row>
    <row r="376" spans="1:100" x14ac:dyDescent="0.25">
      <c r="A376" t="s">
        <v>355</v>
      </c>
      <c r="B376" t="s">
        <v>151</v>
      </c>
      <c r="C376">
        <v>2014</v>
      </c>
      <c r="D376" t="s">
        <v>360</v>
      </c>
      <c r="E376">
        <v>0</v>
      </c>
      <c r="F376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</v>
      </c>
      <c r="G376" s="13">
        <v>10</v>
      </c>
      <c r="K376" s="13">
        <v>82</v>
      </c>
      <c r="L376" s="13">
        <v>2.6</v>
      </c>
      <c r="N376" s="13">
        <v>4.9000000000000004</v>
      </c>
      <c r="O37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94.6</v>
      </c>
      <c r="AB376" s="13">
        <v>47.32</v>
      </c>
      <c r="AC376" s="13">
        <v>6.88</v>
      </c>
      <c r="AD376" s="13">
        <v>27.15</v>
      </c>
      <c r="AE376" s="13">
        <v>13.17</v>
      </c>
      <c r="AF376" s="13">
        <v>0.57999999999999996</v>
      </c>
      <c r="AH376" s="13">
        <v>23</v>
      </c>
      <c r="AI376" s="13">
        <v>2.2000000000000001E-3</v>
      </c>
      <c r="AJ376" s="13">
        <v>0.3</v>
      </c>
      <c r="AL376" s="13">
        <v>12</v>
      </c>
      <c r="AR376" s="13">
        <v>1</v>
      </c>
      <c r="AT376" s="13" t="e">
        <f>LN(25/Table26[[#This Row],[Temperature (C)]]/(1-SQRT((Table26[[#This Row],[Temperature (C)]]-5)/Table26[[#This Row],[Temperature (C)]])))/Table26[[#This Row],[b]]</f>
        <v>#DIV/0!</v>
      </c>
      <c r="AU376" s="13">
        <f>IF(Table26[[#This Row],[b]]&lt;&gt;"",Table26[[#This Row],[T-5]], 0)</f>
        <v>0</v>
      </c>
      <c r="AW376" s="13">
        <v>600</v>
      </c>
      <c r="AY376" t="s">
        <v>503</v>
      </c>
      <c r="AZ376" s="13">
        <v>26</v>
      </c>
      <c r="BA376" s="13">
        <f>Table26[[#This Row],[Light Biocrude wt%]]+Table26[[#This Row],[Heavy Biocrude wt%]]</f>
        <v>28.7830687830687</v>
      </c>
      <c r="BB376" s="13">
        <v>46</v>
      </c>
      <c r="BC376" s="13">
        <v>0.3</v>
      </c>
      <c r="BE376" s="13">
        <v>6.9</v>
      </c>
      <c r="BF376" s="13">
        <v>6.2433862433862011</v>
      </c>
      <c r="BG376" s="13">
        <v>22.539682539682499</v>
      </c>
      <c r="BQ376" s="13" t="s">
        <v>506</v>
      </c>
      <c r="BR376" s="13">
        <v>67.7580071174377</v>
      </c>
      <c r="BS376" s="13">
        <v>8.9499999999999993</v>
      </c>
      <c r="BT376" s="13">
        <v>14.8226950354609</v>
      </c>
      <c r="BU376" s="13">
        <v>8.13829787234042</v>
      </c>
      <c r="BV376" s="13">
        <v>0.66197183098591506</v>
      </c>
      <c r="BW376" s="13">
        <v>36</v>
      </c>
      <c r="BX376" s="13">
        <v>65.480427046263301</v>
      </c>
      <c r="BY376" s="13">
        <v>7.67</v>
      </c>
      <c r="BZ376" s="13">
        <v>14.680851063829699</v>
      </c>
      <c r="CA376" s="13">
        <v>11.1170212765957</v>
      </c>
      <c r="CB376" s="13">
        <v>1</v>
      </c>
      <c r="CC376" s="13">
        <v>34</v>
      </c>
      <c r="CV376" s="13">
        <v>0</v>
      </c>
    </row>
    <row r="377" spans="1:100" x14ac:dyDescent="0.25">
      <c r="A377" t="s">
        <v>355</v>
      </c>
      <c r="B377" t="s">
        <v>151</v>
      </c>
      <c r="C377">
        <v>2014</v>
      </c>
      <c r="D377" t="s">
        <v>356</v>
      </c>
      <c r="E377">
        <v>0</v>
      </c>
      <c r="F37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4</v>
      </c>
      <c r="G377" s="13">
        <v>4</v>
      </c>
      <c r="K377" s="13">
        <v>83</v>
      </c>
      <c r="L377" s="13">
        <v>2.7</v>
      </c>
      <c r="N377" s="13">
        <v>11</v>
      </c>
      <c r="O37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89.7</v>
      </c>
      <c r="AB377" s="13">
        <v>46.58</v>
      </c>
      <c r="AC377" s="13">
        <v>7.08</v>
      </c>
      <c r="AD377" s="13">
        <v>21.48</v>
      </c>
      <c r="AE377" s="13">
        <v>13.23</v>
      </c>
      <c r="AF377" s="13">
        <v>0.55000000000000004</v>
      </c>
      <c r="AH377" s="13">
        <v>23</v>
      </c>
      <c r="AI377" s="13">
        <v>2.2000000000000001E-3</v>
      </c>
      <c r="AJ377" s="13">
        <v>0.3</v>
      </c>
      <c r="AL377" s="13">
        <v>12</v>
      </c>
      <c r="AR377" s="13">
        <v>1</v>
      </c>
      <c r="AT377" s="13" t="e">
        <f>LN(25/Table26[[#This Row],[Temperature (C)]]/(1-SQRT((Table26[[#This Row],[Temperature (C)]]-5)/Table26[[#This Row],[Temperature (C)]])))/Table26[[#This Row],[b]]</f>
        <v>#DIV/0!</v>
      </c>
      <c r="AU377" s="13">
        <f>IF(Table26[[#This Row],[b]]&lt;&gt;"",Table26[[#This Row],[T-5]], 0)</f>
        <v>0</v>
      </c>
      <c r="AW377" s="13">
        <v>600</v>
      </c>
      <c r="AY377" t="s">
        <v>503</v>
      </c>
      <c r="AZ377" s="13">
        <v>4.4000000000000004</v>
      </c>
      <c r="BA377" s="13">
        <f>Table26[[#This Row],[Light Biocrude wt%]]+Table26[[#This Row],[Heavy Biocrude wt%]]</f>
        <v>47.195767195767097</v>
      </c>
      <c r="BB377" s="13">
        <v>52</v>
      </c>
      <c r="BC377" s="13">
        <v>1.7</v>
      </c>
      <c r="BE377" s="13">
        <v>12.6953125</v>
      </c>
      <c r="BF377" s="13">
        <v>10.052910052909994</v>
      </c>
      <c r="BG377" s="13">
        <v>37.142857142857103</v>
      </c>
      <c r="BQ377" s="13" t="s">
        <v>506</v>
      </c>
      <c r="BR377" s="13">
        <v>68.683274021352304</v>
      </c>
      <c r="BS377" s="13">
        <v>9.4</v>
      </c>
      <c r="BT377" s="13">
        <v>13.6170212765957</v>
      </c>
      <c r="BU377" s="13">
        <v>7.7127659574468002</v>
      </c>
      <c r="BV377" s="13">
        <v>0.676056338028169</v>
      </c>
      <c r="BW377" s="13">
        <v>33</v>
      </c>
      <c r="BX377" s="13">
        <v>61.209964412811303</v>
      </c>
      <c r="BY377" s="13">
        <v>7.45</v>
      </c>
      <c r="BZ377" s="13">
        <v>17.872340425531899</v>
      </c>
      <c r="CA377" s="13">
        <v>12.5</v>
      </c>
      <c r="CB377" s="13">
        <v>0.89436619718309796</v>
      </c>
      <c r="CC377" s="13">
        <v>29</v>
      </c>
      <c r="CV377" s="13">
        <v>0</v>
      </c>
    </row>
    <row r="378" spans="1:100" x14ac:dyDescent="0.25">
      <c r="A378" t="s">
        <v>355</v>
      </c>
      <c r="B378" t="s">
        <v>151</v>
      </c>
      <c r="C378">
        <v>2014</v>
      </c>
      <c r="D378" t="s">
        <v>357</v>
      </c>
      <c r="E378">
        <v>0</v>
      </c>
      <c r="F378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15</v>
      </c>
      <c r="G378" s="13">
        <v>15</v>
      </c>
      <c r="K378" s="13">
        <v>72</v>
      </c>
      <c r="L378" s="13">
        <v>0.55000000000000004</v>
      </c>
      <c r="N378" s="13">
        <v>13</v>
      </c>
      <c r="O37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87.55</v>
      </c>
      <c r="AB378" s="13">
        <v>42.65</v>
      </c>
      <c r="AC378" s="13">
        <v>6.56</v>
      </c>
      <c r="AD378" s="13">
        <v>25.91</v>
      </c>
      <c r="AE378" s="13">
        <v>11.45</v>
      </c>
      <c r="AF378" s="13">
        <v>0.43</v>
      </c>
      <c r="AH378" s="13">
        <v>21</v>
      </c>
      <c r="AI378" s="13">
        <v>2.2000000000000001E-3</v>
      </c>
      <c r="AJ378" s="13">
        <v>0.3</v>
      </c>
      <c r="AL378" s="13">
        <v>12</v>
      </c>
      <c r="AR378" s="13">
        <v>1</v>
      </c>
      <c r="AT378" s="13" t="e">
        <f>LN(25/Table26[[#This Row],[Temperature (C)]]/(1-SQRT((Table26[[#This Row],[Temperature (C)]]-5)/Table26[[#This Row],[Temperature (C)]])))/Table26[[#This Row],[b]]</f>
        <v>#DIV/0!</v>
      </c>
      <c r="AU378" s="13">
        <f>IF(Table26[[#This Row],[b]]&lt;&gt;"",Table26[[#This Row],[T-5]], 0)</f>
        <v>0</v>
      </c>
      <c r="AW378" s="13">
        <v>600</v>
      </c>
      <c r="AY378" t="s">
        <v>503</v>
      </c>
      <c r="AZ378" s="13">
        <v>3.4</v>
      </c>
      <c r="BA378" s="13">
        <f>Table26[[#This Row],[Light Biocrude wt%]]+Table26[[#This Row],[Heavy Biocrude wt%]]</f>
        <v>3.91534391534391</v>
      </c>
      <c r="BB378" s="13">
        <v>92</v>
      </c>
      <c r="BC378" s="13">
        <v>1.8</v>
      </c>
      <c r="BE378" s="13">
        <v>12.890624999999901</v>
      </c>
      <c r="BF378" s="13">
        <v>1.0582010582010599</v>
      </c>
      <c r="BG378" s="13">
        <v>2.8571428571428501</v>
      </c>
      <c r="BQ378" s="13" t="s">
        <v>506</v>
      </c>
      <c r="BR378" s="13">
        <v>68.185053380782904</v>
      </c>
      <c r="BS378" s="13">
        <v>8.6300000000000008</v>
      </c>
      <c r="BT378" s="13">
        <v>13.0496453900709</v>
      </c>
      <c r="BU378" s="13">
        <v>9.4148936170212707</v>
      </c>
      <c r="BV378" s="13">
        <v>0.78873239436619702</v>
      </c>
      <c r="BW378" s="13">
        <v>37</v>
      </c>
      <c r="BX378" s="13">
        <v>62.491103202846901</v>
      </c>
      <c r="BY378" s="13">
        <v>7.26</v>
      </c>
      <c r="BZ378" s="13">
        <v>17.304964539006999</v>
      </c>
      <c r="CA378" s="13">
        <v>12.127659574468</v>
      </c>
      <c r="CB378" s="13">
        <v>0.70422535211267501</v>
      </c>
      <c r="CC378" s="13">
        <v>35</v>
      </c>
      <c r="CV378" s="13">
        <v>0</v>
      </c>
    </row>
    <row r="379" spans="1:100" x14ac:dyDescent="0.25">
      <c r="A379" t="s">
        <v>355</v>
      </c>
      <c r="B379" t="s">
        <v>151</v>
      </c>
      <c r="C379">
        <v>2014</v>
      </c>
      <c r="D379" t="s">
        <v>358</v>
      </c>
      <c r="E379">
        <v>0</v>
      </c>
      <c r="F379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17</v>
      </c>
      <c r="G379" s="13">
        <v>17</v>
      </c>
      <c r="K379" s="13">
        <v>75</v>
      </c>
      <c r="L379" s="13">
        <v>2.7</v>
      </c>
      <c r="N379" s="13">
        <v>4.68</v>
      </c>
      <c r="O37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94.7</v>
      </c>
      <c r="AB379" s="13">
        <v>46.47</v>
      </c>
      <c r="AC379" s="13">
        <v>7.31</v>
      </c>
      <c r="AD379" s="13">
        <v>29.03</v>
      </c>
      <c r="AE379" s="13">
        <v>12.04</v>
      </c>
      <c r="AF379" s="13">
        <v>0.47</v>
      </c>
      <c r="AH379" s="13">
        <v>22</v>
      </c>
      <c r="AI379" s="13">
        <v>2.2000000000000001E-3</v>
      </c>
      <c r="AJ379" s="13">
        <v>0.3</v>
      </c>
      <c r="AL379" s="13">
        <v>12</v>
      </c>
      <c r="AR379" s="13">
        <v>1</v>
      </c>
      <c r="AT379" s="13" t="e">
        <f>LN(25/Table26[[#This Row],[Temperature (C)]]/(1-SQRT((Table26[[#This Row],[Temperature (C)]]-5)/Table26[[#This Row],[Temperature (C)]])))/Table26[[#This Row],[b]]</f>
        <v>#DIV/0!</v>
      </c>
      <c r="AU379" s="13">
        <f>IF(Table26[[#This Row],[b]]&lt;&gt;"",Table26[[#This Row],[T-5]], 0)</f>
        <v>0</v>
      </c>
      <c r="AW379" s="13">
        <v>600</v>
      </c>
      <c r="AY379" t="s">
        <v>503</v>
      </c>
      <c r="AZ379" s="13">
        <v>5.6</v>
      </c>
      <c r="BA379" s="13">
        <f>Table26[[#This Row],[Light Biocrude wt%]]+Table26[[#This Row],[Heavy Biocrude wt%]]</f>
        <v>47.8306878306878</v>
      </c>
      <c r="BB379" s="13">
        <v>43</v>
      </c>
      <c r="BC379" s="13">
        <v>6.9</v>
      </c>
      <c r="BE379" s="13">
        <v>20.3125</v>
      </c>
      <c r="BF379" s="13">
        <v>20.634920634920601</v>
      </c>
      <c r="BG379" s="13">
        <v>27.1957671957672</v>
      </c>
      <c r="BQ379" s="13" t="s">
        <v>506</v>
      </c>
      <c r="BR379" s="13">
        <v>71.459074733096003</v>
      </c>
      <c r="BS379" s="13">
        <v>9.51</v>
      </c>
      <c r="BT379" s="13">
        <v>13.1914893617021</v>
      </c>
      <c r="BU379" s="13">
        <v>5.95744680851063</v>
      </c>
      <c r="BV379" s="13">
        <v>0.154929577464788</v>
      </c>
      <c r="BW379" s="13">
        <v>35</v>
      </c>
      <c r="BX379" s="13">
        <v>66.975088967971502</v>
      </c>
      <c r="BY379" s="13">
        <v>7.5</v>
      </c>
      <c r="BZ379" s="13">
        <v>15.6028368794326</v>
      </c>
      <c r="CA379" s="13">
        <v>9.2021276595744705</v>
      </c>
      <c r="CB379" s="13">
        <v>0.69366197183098599</v>
      </c>
      <c r="CC379" s="13">
        <v>31</v>
      </c>
      <c r="CV379" s="13">
        <v>0</v>
      </c>
    </row>
    <row r="380" spans="1:100" x14ac:dyDescent="0.25">
      <c r="A380" t="s">
        <v>361</v>
      </c>
      <c r="B380" t="s">
        <v>362</v>
      </c>
      <c r="C380">
        <v>2016</v>
      </c>
      <c r="D380" t="s">
        <v>363</v>
      </c>
      <c r="E380">
        <v>1</v>
      </c>
      <c r="F380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380" s="13">
        <v>100</v>
      </c>
      <c r="O38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380" s="13">
        <v>55</v>
      </c>
      <c r="X380" s="13">
        <v>2</v>
      </c>
      <c r="Y380" s="13">
        <v>43</v>
      </c>
      <c r="AB380" s="13">
        <v>46.11</v>
      </c>
      <c r="AC380" s="13">
        <v>6.9500000000000011</v>
      </c>
      <c r="AD380" s="13">
        <v>33.28</v>
      </c>
      <c r="AE380" s="13">
        <v>13.13</v>
      </c>
      <c r="AF380" s="13">
        <v>0.53</v>
      </c>
      <c r="AI380" s="13">
        <v>1.67E-3</v>
      </c>
      <c r="AL380" s="13">
        <v>10</v>
      </c>
      <c r="AT380" s="13" t="e">
        <f>LN(25/Table26[[#This Row],[Temperature (C)]]/(1-SQRT((Table26[[#This Row],[Temperature (C)]]-5)/Table26[[#This Row],[Temperature (C)]])))/Table26[[#This Row],[b]]</f>
        <v>#DIV/0!</v>
      </c>
      <c r="AU380" s="13">
        <f>IF(Table26[[#This Row],[b]]&lt;&gt;"",Table26[[#This Row],[T-5]], 0)</f>
        <v>0</v>
      </c>
      <c r="AV380" s="13">
        <v>30</v>
      </c>
      <c r="AW380" s="13">
        <v>262</v>
      </c>
      <c r="AY380" t="s">
        <v>503</v>
      </c>
      <c r="AZ380" s="13">
        <v>33</v>
      </c>
      <c r="BA380" s="13">
        <v>6</v>
      </c>
      <c r="BB380" s="13">
        <v>58</v>
      </c>
      <c r="BC380" s="13">
        <v>4</v>
      </c>
      <c r="BE380" s="13">
        <v>20.8984375</v>
      </c>
      <c r="BQ380" s="13" t="s">
        <v>506</v>
      </c>
      <c r="CV380" s="13">
        <v>0</v>
      </c>
    </row>
    <row r="381" spans="1:100" x14ac:dyDescent="0.25">
      <c r="A381" t="s">
        <v>361</v>
      </c>
      <c r="B381" t="s">
        <v>362</v>
      </c>
      <c r="C381">
        <v>2016</v>
      </c>
      <c r="D381" t="s">
        <v>363</v>
      </c>
      <c r="E381">
        <v>1</v>
      </c>
      <c r="F381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381" s="13">
        <v>100</v>
      </c>
      <c r="O38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381" s="13">
        <v>55</v>
      </c>
      <c r="X381" s="13">
        <v>2</v>
      </c>
      <c r="Y381" s="13">
        <v>43</v>
      </c>
      <c r="AB381" s="13">
        <v>46.11</v>
      </c>
      <c r="AC381" s="13">
        <v>6.9500000000000011</v>
      </c>
      <c r="AD381" s="13">
        <v>33.28</v>
      </c>
      <c r="AE381" s="13">
        <v>13.13</v>
      </c>
      <c r="AF381" s="13">
        <v>0.53</v>
      </c>
      <c r="AI381" s="13">
        <v>1.67E-3</v>
      </c>
      <c r="AL381" s="13">
        <v>10</v>
      </c>
      <c r="AT381" s="13" t="e">
        <f>LN(25/Table26[[#This Row],[Temperature (C)]]/(1-SQRT((Table26[[#This Row],[Temperature (C)]]-5)/Table26[[#This Row],[Temperature (C)]])))/Table26[[#This Row],[b]]</f>
        <v>#DIV/0!</v>
      </c>
      <c r="AU381" s="13">
        <f>IF(Table26[[#This Row],[b]]&lt;&gt;"",Table26[[#This Row],[T-5]], 0)</f>
        <v>0</v>
      </c>
      <c r="AV381" s="13">
        <v>45</v>
      </c>
      <c r="AW381" s="13">
        <v>308</v>
      </c>
      <c r="AY381" t="s">
        <v>503</v>
      </c>
      <c r="AZ381" s="13">
        <v>5</v>
      </c>
      <c r="BA381" s="13">
        <v>18</v>
      </c>
      <c r="BB381" s="13">
        <v>72</v>
      </c>
      <c r="BC381" s="13">
        <v>4</v>
      </c>
      <c r="BE381" s="13">
        <v>13.0859375</v>
      </c>
      <c r="BQ381" s="13" t="s">
        <v>506</v>
      </c>
      <c r="CV381" s="13">
        <v>0</v>
      </c>
    </row>
    <row r="382" spans="1:100" x14ac:dyDescent="0.25">
      <c r="A382" s="1" t="s">
        <v>361</v>
      </c>
      <c r="B382" t="s">
        <v>362</v>
      </c>
      <c r="C382">
        <v>2016</v>
      </c>
      <c r="D382" t="s">
        <v>363</v>
      </c>
      <c r="E382">
        <v>1</v>
      </c>
      <c r="F382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382" s="13">
        <v>100</v>
      </c>
      <c r="O38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382" s="13">
        <v>55</v>
      </c>
      <c r="X382" s="13">
        <v>2</v>
      </c>
      <c r="Y382" s="13">
        <v>43</v>
      </c>
      <c r="AB382" s="13">
        <v>46.11</v>
      </c>
      <c r="AC382" s="13">
        <v>6.9500000000000011</v>
      </c>
      <c r="AD382" s="13">
        <v>33.28</v>
      </c>
      <c r="AE382" s="13">
        <v>13.13</v>
      </c>
      <c r="AF382" s="13">
        <v>0.53</v>
      </c>
      <c r="AI382" s="13">
        <v>1.67E-3</v>
      </c>
      <c r="AL382" s="13">
        <v>10</v>
      </c>
      <c r="AT382" s="13" t="e">
        <f>LN(25/Table26[[#This Row],[Temperature (C)]]/(1-SQRT((Table26[[#This Row],[Temperature (C)]]-5)/Table26[[#This Row],[Temperature (C)]])))/Table26[[#This Row],[b]]</f>
        <v>#DIV/0!</v>
      </c>
      <c r="AU382" s="13">
        <f>IF(Table26[[#This Row],[b]]&lt;&gt;"",Table26[[#This Row],[T-5]], 0)</f>
        <v>0</v>
      </c>
      <c r="AV382" s="13">
        <v>60</v>
      </c>
      <c r="AW382" s="13">
        <v>340</v>
      </c>
      <c r="AY382" t="s">
        <v>503</v>
      </c>
      <c r="AZ382" s="13">
        <v>3</v>
      </c>
      <c r="BA382" s="13">
        <v>30</v>
      </c>
      <c r="BB382" s="13">
        <v>63</v>
      </c>
      <c r="BC382" s="13">
        <v>5</v>
      </c>
      <c r="BE382" s="13">
        <v>25.096525096525003</v>
      </c>
      <c r="BI382" s="13">
        <v>63.05</v>
      </c>
      <c r="BJ382" s="13">
        <v>8.42</v>
      </c>
      <c r="BK382" s="13">
        <v>17.260000000000002</v>
      </c>
      <c r="BL382" s="13">
        <v>10.18</v>
      </c>
      <c r="BM382" s="13">
        <v>1.0900000000000001</v>
      </c>
      <c r="BQ382" s="13" t="s">
        <v>506</v>
      </c>
      <c r="CV382" s="13">
        <v>0</v>
      </c>
    </row>
    <row r="383" spans="1:100" x14ac:dyDescent="0.25">
      <c r="A383" t="s">
        <v>361</v>
      </c>
      <c r="B383" t="s">
        <v>362</v>
      </c>
      <c r="C383">
        <v>2016</v>
      </c>
      <c r="D383" t="s">
        <v>363</v>
      </c>
      <c r="E383">
        <v>1</v>
      </c>
      <c r="F383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383" s="13">
        <v>100</v>
      </c>
      <c r="O38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383" s="13">
        <v>55</v>
      </c>
      <c r="X383" s="13">
        <v>2</v>
      </c>
      <c r="Y383" s="13">
        <v>43</v>
      </c>
      <c r="AB383" s="13">
        <v>46.11</v>
      </c>
      <c r="AC383" s="13">
        <v>6.9500000000000011</v>
      </c>
      <c r="AD383" s="13">
        <v>33.28</v>
      </c>
      <c r="AE383" s="13">
        <v>13.13</v>
      </c>
      <c r="AF383" s="13">
        <v>0.53</v>
      </c>
      <c r="AI383" s="13">
        <v>1.67E-3</v>
      </c>
      <c r="AL383" s="13">
        <v>10</v>
      </c>
      <c r="AT383" s="13" t="e">
        <f>LN(25/Table26[[#This Row],[Temperature (C)]]/(1-SQRT((Table26[[#This Row],[Temperature (C)]]-5)/Table26[[#This Row],[Temperature (C)]])))/Table26[[#This Row],[b]]</f>
        <v>#DIV/0!</v>
      </c>
      <c r="AU383" s="13">
        <f>IF(Table26[[#This Row],[b]]&lt;&gt;"",Table26[[#This Row],[T-5]], 0)</f>
        <v>0</v>
      </c>
      <c r="AV383" s="13">
        <v>90</v>
      </c>
      <c r="AW383" s="13">
        <v>375</v>
      </c>
      <c r="AY383" t="s">
        <v>503</v>
      </c>
      <c r="AZ383" s="13">
        <v>2</v>
      </c>
      <c r="BA383" s="13">
        <v>39</v>
      </c>
      <c r="BB383" s="13">
        <v>51</v>
      </c>
      <c r="BC383" s="13">
        <v>8</v>
      </c>
      <c r="BE383" s="13">
        <v>21.235521235521198</v>
      </c>
      <c r="BI383" s="13">
        <v>66.56</v>
      </c>
      <c r="BJ383" s="13">
        <v>8.92</v>
      </c>
      <c r="BK383" s="13">
        <v>13.700000000000001</v>
      </c>
      <c r="BL383" s="13">
        <v>9.81</v>
      </c>
      <c r="BM383" s="13">
        <v>1.01</v>
      </c>
      <c r="BQ383" s="13" t="s">
        <v>506</v>
      </c>
      <c r="CV383" s="13">
        <v>0</v>
      </c>
    </row>
    <row r="384" spans="1:100" x14ac:dyDescent="0.25">
      <c r="A384" t="s">
        <v>361</v>
      </c>
      <c r="B384" t="s">
        <v>362</v>
      </c>
      <c r="C384">
        <v>2016</v>
      </c>
      <c r="D384" t="s">
        <v>363</v>
      </c>
      <c r="E384">
        <v>1</v>
      </c>
      <c r="F384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384" s="13">
        <v>100</v>
      </c>
      <c r="O38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384" s="13">
        <v>55</v>
      </c>
      <c r="X384" s="13">
        <v>2</v>
      </c>
      <c r="Y384" s="13">
        <v>43</v>
      </c>
      <c r="AB384" s="13">
        <v>46.11</v>
      </c>
      <c r="AC384" s="13">
        <v>6.9500000000000011</v>
      </c>
      <c r="AD384" s="13">
        <v>33.28</v>
      </c>
      <c r="AE384" s="13">
        <v>13.13</v>
      </c>
      <c r="AF384" s="13">
        <v>0.53</v>
      </c>
      <c r="AI384" s="13">
        <v>1.67E-3</v>
      </c>
      <c r="AL384" s="13">
        <v>10</v>
      </c>
      <c r="AT384" s="13" t="e">
        <f>LN(25/Table26[[#This Row],[Temperature (C)]]/(1-SQRT((Table26[[#This Row],[Temperature (C)]]-5)/Table26[[#This Row],[Temperature (C)]])))/Table26[[#This Row],[b]]</f>
        <v>#DIV/0!</v>
      </c>
      <c r="AU384" s="13">
        <f>IF(Table26[[#This Row],[b]]&lt;&gt;"",Table26[[#This Row],[T-5]], 0)</f>
        <v>0</v>
      </c>
      <c r="AV384" s="13">
        <v>120</v>
      </c>
      <c r="AW384" s="13">
        <v>389</v>
      </c>
      <c r="AY384" t="s">
        <v>503</v>
      </c>
      <c r="AZ384" s="13">
        <v>1</v>
      </c>
      <c r="BA384" s="13">
        <v>39</v>
      </c>
      <c r="BB384" s="13">
        <v>53</v>
      </c>
      <c r="BC384" s="13">
        <v>7</v>
      </c>
      <c r="BE384" s="13">
        <v>22.007722007721998</v>
      </c>
      <c r="BI384" s="13">
        <v>66.23</v>
      </c>
      <c r="BJ384" s="13">
        <v>8.94</v>
      </c>
      <c r="BK384" s="13">
        <v>14.16</v>
      </c>
      <c r="BL384" s="13">
        <v>9.629999999999999</v>
      </c>
      <c r="BM384" s="13">
        <v>1.04</v>
      </c>
      <c r="BQ384" s="13" t="s">
        <v>506</v>
      </c>
      <c r="CV384" s="13">
        <v>0</v>
      </c>
    </row>
    <row r="385" spans="1:100" x14ac:dyDescent="0.25">
      <c r="A385" t="s">
        <v>361</v>
      </c>
      <c r="B385" t="s">
        <v>362</v>
      </c>
      <c r="C385">
        <v>2016</v>
      </c>
      <c r="D385" t="s">
        <v>363</v>
      </c>
      <c r="E385">
        <v>1</v>
      </c>
      <c r="F385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385" s="13">
        <v>100</v>
      </c>
      <c r="O38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385" s="13">
        <v>55</v>
      </c>
      <c r="X385" s="13">
        <v>2</v>
      </c>
      <c r="Y385" s="13">
        <v>43</v>
      </c>
      <c r="AB385" s="13">
        <v>46.11</v>
      </c>
      <c r="AC385" s="13">
        <v>6.9500000000000011</v>
      </c>
      <c r="AD385" s="13">
        <v>33.28</v>
      </c>
      <c r="AE385" s="13">
        <v>13.13</v>
      </c>
      <c r="AF385" s="13">
        <v>0.53</v>
      </c>
      <c r="AI385" s="13">
        <v>1.67E-3</v>
      </c>
      <c r="AL385" s="13">
        <v>10</v>
      </c>
      <c r="AT385" s="13" t="e">
        <f>LN(25/Table26[[#This Row],[Temperature (C)]]/(1-SQRT((Table26[[#This Row],[Temperature (C)]]-5)/Table26[[#This Row],[Temperature (C)]])))/Table26[[#This Row],[b]]</f>
        <v>#DIV/0!</v>
      </c>
      <c r="AU385" s="13">
        <f>IF(Table26[[#This Row],[b]]&lt;&gt;"",Table26[[#This Row],[T-5]], 0)</f>
        <v>0</v>
      </c>
      <c r="AV385" s="13">
        <v>180</v>
      </c>
      <c r="AW385" s="13">
        <v>396</v>
      </c>
      <c r="AY385" t="s">
        <v>503</v>
      </c>
      <c r="BA385" s="13">
        <v>32</v>
      </c>
      <c r="BB385" s="13">
        <v>60</v>
      </c>
      <c r="BC385" s="13">
        <v>8</v>
      </c>
      <c r="BE385" s="13">
        <v>16.023166023165999</v>
      </c>
      <c r="BI385" s="13">
        <v>67.64</v>
      </c>
      <c r="BJ385" s="13">
        <v>8.870000000000001</v>
      </c>
      <c r="BK385" s="13">
        <v>14.069999999999999</v>
      </c>
      <c r="BL385" s="13">
        <v>8.5</v>
      </c>
      <c r="BM385" s="13">
        <v>0.91999999999999993</v>
      </c>
      <c r="BQ385" s="13" t="s">
        <v>506</v>
      </c>
      <c r="CV385" s="13">
        <v>0</v>
      </c>
    </row>
    <row r="386" spans="1:100" x14ac:dyDescent="0.25">
      <c r="A386" t="s">
        <v>361</v>
      </c>
      <c r="B386" t="s">
        <v>362</v>
      </c>
      <c r="C386">
        <v>2016</v>
      </c>
      <c r="D386" t="s">
        <v>363</v>
      </c>
      <c r="E386">
        <v>1</v>
      </c>
      <c r="F386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386" s="13">
        <v>100</v>
      </c>
      <c r="O38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386" s="13">
        <v>55</v>
      </c>
      <c r="X386" s="13">
        <v>2</v>
      </c>
      <c r="Y386" s="13">
        <v>43</v>
      </c>
      <c r="AB386" s="13">
        <v>46.11</v>
      </c>
      <c r="AC386" s="13">
        <v>6.9500000000000011</v>
      </c>
      <c r="AD386" s="13">
        <v>33.28</v>
      </c>
      <c r="AE386" s="13">
        <v>13.13</v>
      </c>
      <c r="AF386" s="13">
        <v>0.53</v>
      </c>
      <c r="AI386" s="13">
        <v>1.67E-3</v>
      </c>
      <c r="AL386" s="13">
        <v>10</v>
      </c>
      <c r="AT386" s="13" t="e">
        <f>LN(25/Table26[[#This Row],[Temperature (C)]]/(1-SQRT((Table26[[#This Row],[Temperature (C)]]-5)/Table26[[#This Row],[Temperature (C)]])))/Table26[[#This Row],[b]]</f>
        <v>#DIV/0!</v>
      </c>
      <c r="AU386" s="13">
        <f>IF(Table26[[#This Row],[b]]&lt;&gt;"",Table26[[#This Row],[T-5]], 0)</f>
        <v>0</v>
      </c>
      <c r="AV386" s="13">
        <v>300</v>
      </c>
      <c r="AW386" s="13">
        <v>398</v>
      </c>
      <c r="AY386" t="s">
        <v>503</v>
      </c>
      <c r="AZ386" s="13">
        <v>1</v>
      </c>
      <c r="BA386" s="13">
        <v>28</v>
      </c>
      <c r="BB386" s="13">
        <v>59</v>
      </c>
      <c r="BC386" s="13">
        <v>13</v>
      </c>
      <c r="BE386" s="13">
        <v>12.3552123552123</v>
      </c>
      <c r="BI386" s="13">
        <v>68.73</v>
      </c>
      <c r="BJ386" s="13">
        <v>8.93</v>
      </c>
      <c r="BK386" s="13">
        <v>13.489999999999998</v>
      </c>
      <c r="BL386" s="13">
        <v>7.93</v>
      </c>
      <c r="BM386" s="13">
        <v>0.91999999999999993</v>
      </c>
      <c r="BQ386" s="13" t="s">
        <v>506</v>
      </c>
      <c r="CV386" s="13">
        <v>0</v>
      </c>
    </row>
    <row r="387" spans="1:100" x14ac:dyDescent="0.25">
      <c r="A387" t="s">
        <v>361</v>
      </c>
      <c r="B387" t="s">
        <v>362</v>
      </c>
      <c r="C387">
        <v>2016</v>
      </c>
      <c r="D387" t="s">
        <v>363</v>
      </c>
      <c r="E387">
        <v>1</v>
      </c>
      <c r="F387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387" s="13">
        <v>100</v>
      </c>
      <c r="O38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387" s="13">
        <v>55</v>
      </c>
      <c r="X387" s="13">
        <v>2</v>
      </c>
      <c r="Y387" s="13">
        <v>43</v>
      </c>
      <c r="AB387" s="13">
        <v>46.11</v>
      </c>
      <c r="AC387" s="13">
        <v>6.9500000000000011</v>
      </c>
      <c r="AD387" s="13">
        <v>33.28</v>
      </c>
      <c r="AE387" s="13">
        <v>13.13</v>
      </c>
      <c r="AF387" s="13">
        <v>0.53</v>
      </c>
      <c r="AI387" s="13">
        <v>1.67E-3</v>
      </c>
      <c r="AL387" s="13">
        <v>10</v>
      </c>
      <c r="AT387" s="13" t="e">
        <f>LN(25/Table26[[#This Row],[Temperature (C)]]/(1-SQRT((Table26[[#This Row],[Temperature (C)]]-5)/Table26[[#This Row],[Temperature (C)]])))/Table26[[#This Row],[b]]</f>
        <v>#DIV/0!</v>
      </c>
      <c r="AU387" s="13">
        <f>IF(Table26[[#This Row],[b]]&lt;&gt;"",Table26[[#This Row],[T-5]], 0)</f>
        <v>0</v>
      </c>
      <c r="AV387" s="13">
        <v>10</v>
      </c>
      <c r="AW387" s="13">
        <v>162</v>
      </c>
      <c r="AY387" t="s">
        <v>503</v>
      </c>
      <c r="AZ387" s="13">
        <v>50</v>
      </c>
      <c r="BA387" s="13">
        <v>1</v>
      </c>
      <c r="BB387" s="13">
        <v>46</v>
      </c>
      <c r="BC387" s="13">
        <v>3</v>
      </c>
      <c r="BE387" s="13">
        <v>17.773437499999901</v>
      </c>
      <c r="BQ387" s="13" t="s">
        <v>506</v>
      </c>
      <c r="CV387" s="13">
        <v>0</v>
      </c>
    </row>
    <row r="388" spans="1:100" x14ac:dyDescent="0.25">
      <c r="A388" t="s">
        <v>361</v>
      </c>
      <c r="B388" t="s">
        <v>362</v>
      </c>
      <c r="C388">
        <v>2016</v>
      </c>
      <c r="D388" t="s">
        <v>363</v>
      </c>
      <c r="E388">
        <v>1</v>
      </c>
      <c r="F388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388" s="13">
        <v>100</v>
      </c>
      <c r="O38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388" s="13">
        <v>55</v>
      </c>
      <c r="X388" s="13">
        <v>2</v>
      </c>
      <c r="Y388" s="13">
        <v>43</v>
      </c>
      <c r="AB388" s="13">
        <v>46.11</v>
      </c>
      <c r="AC388" s="13">
        <v>6.9500000000000011</v>
      </c>
      <c r="AD388" s="13">
        <v>33.28</v>
      </c>
      <c r="AE388" s="13">
        <v>13.13</v>
      </c>
      <c r="AF388" s="13">
        <v>0.53</v>
      </c>
      <c r="AI388" s="13">
        <v>1.67E-3</v>
      </c>
      <c r="AL388" s="13">
        <v>10</v>
      </c>
      <c r="AT388" s="13" t="e">
        <f>LN(25/Table26[[#This Row],[Temperature (C)]]/(1-SQRT((Table26[[#This Row],[Temperature (C)]]-5)/Table26[[#This Row],[Temperature (C)]])))/Table26[[#This Row],[b]]</f>
        <v>#DIV/0!</v>
      </c>
      <c r="AU388" s="13">
        <f>IF(Table26[[#This Row],[b]]&lt;&gt;"",Table26[[#This Row],[T-5]], 0)</f>
        <v>0</v>
      </c>
      <c r="AV388" s="13">
        <v>20</v>
      </c>
      <c r="AW388" s="13">
        <v>249</v>
      </c>
      <c r="AY388" t="s">
        <v>503</v>
      </c>
      <c r="AZ388" s="13">
        <v>34</v>
      </c>
      <c r="BA388" s="13">
        <v>3</v>
      </c>
      <c r="BB388" s="13">
        <v>60</v>
      </c>
      <c r="BC388" s="13">
        <v>4</v>
      </c>
      <c r="BE388" s="13">
        <v>18.749999999999901</v>
      </c>
      <c r="BQ388" s="13" t="s">
        <v>506</v>
      </c>
      <c r="CV388" s="13">
        <v>0</v>
      </c>
    </row>
    <row r="389" spans="1:100" x14ac:dyDescent="0.25">
      <c r="A389" t="s">
        <v>361</v>
      </c>
      <c r="B389" t="s">
        <v>362</v>
      </c>
      <c r="C389">
        <v>2016</v>
      </c>
      <c r="D389" t="s">
        <v>363</v>
      </c>
      <c r="E389">
        <v>1</v>
      </c>
      <c r="F389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389" s="13">
        <v>100</v>
      </c>
      <c r="O38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389" s="13">
        <v>55</v>
      </c>
      <c r="X389" s="13">
        <v>2</v>
      </c>
      <c r="Y389" s="13">
        <v>43</v>
      </c>
      <c r="AB389" s="13">
        <v>46.11</v>
      </c>
      <c r="AC389" s="13">
        <v>6.9500000000000011</v>
      </c>
      <c r="AD389" s="13">
        <v>33.28</v>
      </c>
      <c r="AE389" s="13">
        <v>13.13</v>
      </c>
      <c r="AF389" s="13">
        <v>0.53</v>
      </c>
      <c r="AI389" s="13">
        <v>1.67E-3</v>
      </c>
      <c r="AL389" s="13">
        <v>10</v>
      </c>
      <c r="AT389" s="13" t="e">
        <f>LN(25/Table26[[#This Row],[Temperature (C)]]/(1-SQRT((Table26[[#This Row],[Temperature (C)]]-5)/Table26[[#This Row],[Temperature (C)]])))/Table26[[#This Row],[b]]</f>
        <v>#DIV/0!</v>
      </c>
      <c r="AU389" s="13">
        <f>IF(Table26[[#This Row],[b]]&lt;&gt;"",Table26[[#This Row],[T-5]], 0)</f>
        <v>0</v>
      </c>
      <c r="AV389" s="13">
        <v>30</v>
      </c>
      <c r="AW389" s="13">
        <v>310</v>
      </c>
      <c r="AY389" t="s">
        <v>503</v>
      </c>
      <c r="AZ389" s="13">
        <v>8</v>
      </c>
      <c r="BA389" s="13">
        <v>19</v>
      </c>
      <c r="BB389" s="13">
        <v>68</v>
      </c>
      <c r="BC389" s="13">
        <v>5</v>
      </c>
      <c r="BE389" s="13">
        <v>16.9921875</v>
      </c>
      <c r="BI389" s="13">
        <v>63.680000000000007</v>
      </c>
      <c r="BJ389" s="13">
        <v>8.6499999999999986</v>
      </c>
      <c r="BK389" s="13">
        <v>17.52</v>
      </c>
      <c r="BL389" s="13">
        <v>9.19</v>
      </c>
      <c r="BM389" s="13">
        <v>0.96</v>
      </c>
      <c r="BQ389" s="13" t="s">
        <v>506</v>
      </c>
      <c r="CV389" s="13">
        <v>0</v>
      </c>
    </row>
    <row r="390" spans="1:100" x14ac:dyDescent="0.25">
      <c r="A390" t="s">
        <v>361</v>
      </c>
      <c r="B390" t="s">
        <v>362</v>
      </c>
      <c r="C390">
        <v>2016</v>
      </c>
      <c r="D390" t="s">
        <v>363</v>
      </c>
      <c r="E390">
        <v>1</v>
      </c>
      <c r="F390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390" s="13">
        <v>100</v>
      </c>
      <c r="O39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390" s="13">
        <v>55</v>
      </c>
      <c r="X390" s="13">
        <v>2</v>
      </c>
      <c r="Y390" s="13">
        <v>43</v>
      </c>
      <c r="AB390" s="13">
        <v>46.11</v>
      </c>
      <c r="AC390" s="13">
        <v>6.9500000000000011</v>
      </c>
      <c r="AD390" s="13">
        <v>33.28</v>
      </c>
      <c r="AE390" s="13">
        <v>13.13</v>
      </c>
      <c r="AF390" s="13">
        <v>0.53</v>
      </c>
      <c r="AI390" s="13">
        <v>1.67E-3</v>
      </c>
      <c r="AL390" s="13">
        <v>10</v>
      </c>
      <c r="AT390" s="13" t="e">
        <f>LN(25/Table26[[#This Row],[Temperature (C)]]/(1-SQRT((Table26[[#This Row],[Temperature (C)]]-5)/Table26[[#This Row],[Temperature (C)]])))/Table26[[#This Row],[b]]</f>
        <v>#DIV/0!</v>
      </c>
      <c r="AU390" s="13">
        <f>IF(Table26[[#This Row],[b]]&lt;&gt;"",Table26[[#This Row],[T-5]], 0)</f>
        <v>0</v>
      </c>
      <c r="AV390" s="13">
        <v>45</v>
      </c>
      <c r="AW390" s="13">
        <v>370</v>
      </c>
      <c r="AY390" t="s">
        <v>503</v>
      </c>
      <c r="AZ390" s="13">
        <v>4</v>
      </c>
      <c r="BA390" s="13">
        <v>29</v>
      </c>
      <c r="BB390" s="13">
        <v>61</v>
      </c>
      <c r="BC390" s="13">
        <v>6</v>
      </c>
      <c r="BE390" s="13">
        <v>27.343749999999901</v>
      </c>
      <c r="BI390" s="13">
        <v>63.06</v>
      </c>
      <c r="BJ390" s="13">
        <v>8.36</v>
      </c>
      <c r="BK390" s="13">
        <v>17.48</v>
      </c>
      <c r="BL390" s="13">
        <v>10.199999999999999</v>
      </c>
      <c r="BM390" s="13">
        <v>0.89999999999999991</v>
      </c>
      <c r="BQ390" s="13" t="s">
        <v>506</v>
      </c>
      <c r="CV390" s="13">
        <v>0</v>
      </c>
    </row>
    <row r="391" spans="1:100" x14ac:dyDescent="0.25">
      <c r="A391" t="s">
        <v>361</v>
      </c>
      <c r="B391" t="s">
        <v>362</v>
      </c>
      <c r="C391">
        <v>2016</v>
      </c>
      <c r="D391" t="s">
        <v>363</v>
      </c>
      <c r="E391">
        <v>1</v>
      </c>
      <c r="F391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391" s="13">
        <v>100</v>
      </c>
      <c r="O39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391" s="13">
        <v>55</v>
      </c>
      <c r="X391" s="13">
        <v>2</v>
      </c>
      <c r="Y391" s="13">
        <v>43</v>
      </c>
      <c r="AB391" s="13">
        <v>46.11</v>
      </c>
      <c r="AC391" s="13">
        <v>6.9500000000000011</v>
      </c>
      <c r="AD391" s="13">
        <v>33.28</v>
      </c>
      <c r="AE391" s="13">
        <v>13.13</v>
      </c>
      <c r="AF391" s="13">
        <v>0.53</v>
      </c>
      <c r="AI391" s="13">
        <v>1.67E-3</v>
      </c>
      <c r="AL391" s="13">
        <v>10</v>
      </c>
      <c r="AT391" s="13" t="e">
        <f>LN(25/Table26[[#This Row],[Temperature (C)]]/(1-SQRT((Table26[[#This Row],[Temperature (C)]]-5)/Table26[[#This Row],[Temperature (C)]])))/Table26[[#This Row],[b]]</f>
        <v>#DIV/0!</v>
      </c>
      <c r="AU391" s="13">
        <f>IF(Table26[[#This Row],[b]]&lt;&gt;"",Table26[[#This Row],[T-5]], 0)</f>
        <v>0</v>
      </c>
      <c r="AV391" s="13">
        <v>60</v>
      </c>
      <c r="AW391" s="13">
        <v>399</v>
      </c>
      <c r="AY391" t="s">
        <v>503</v>
      </c>
      <c r="AZ391" s="13">
        <v>1</v>
      </c>
      <c r="BA391" s="13">
        <v>39</v>
      </c>
      <c r="BB391" s="13">
        <v>51</v>
      </c>
      <c r="BC391" s="13">
        <v>9</v>
      </c>
      <c r="BE391" s="13">
        <v>15.0390625</v>
      </c>
      <c r="BI391" s="13">
        <v>61.050000000000004</v>
      </c>
      <c r="BJ391" s="13">
        <v>8.6300000000000008</v>
      </c>
      <c r="BK391" s="13">
        <v>19.600000000000001</v>
      </c>
      <c r="BL391" s="13">
        <v>9.7799999999999994</v>
      </c>
      <c r="BM391" s="13">
        <v>0.94000000000000006</v>
      </c>
      <c r="BQ391" s="13" t="s">
        <v>506</v>
      </c>
      <c r="CV391" s="13">
        <v>0</v>
      </c>
    </row>
    <row r="392" spans="1:100" x14ac:dyDescent="0.25">
      <c r="A392" t="s">
        <v>361</v>
      </c>
      <c r="B392" t="s">
        <v>362</v>
      </c>
      <c r="C392">
        <v>2016</v>
      </c>
      <c r="D392" t="s">
        <v>363</v>
      </c>
      <c r="E392">
        <v>1</v>
      </c>
      <c r="F392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392" s="13">
        <v>100</v>
      </c>
      <c r="O39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392" s="13">
        <v>55</v>
      </c>
      <c r="X392" s="13">
        <v>2</v>
      </c>
      <c r="Y392" s="13">
        <v>43</v>
      </c>
      <c r="AB392" s="13">
        <v>46.11</v>
      </c>
      <c r="AC392" s="13">
        <v>6.9500000000000011</v>
      </c>
      <c r="AD392" s="13">
        <v>33.28</v>
      </c>
      <c r="AE392" s="13">
        <v>13.13</v>
      </c>
      <c r="AF392" s="13">
        <v>0.53</v>
      </c>
      <c r="AI392" s="13">
        <v>1.67E-3</v>
      </c>
      <c r="AL392" s="13">
        <v>10</v>
      </c>
      <c r="AT392" s="13" t="e">
        <f>LN(25/Table26[[#This Row],[Temperature (C)]]/(1-SQRT((Table26[[#This Row],[Temperature (C)]]-5)/Table26[[#This Row],[Temperature (C)]])))/Table26[[#This Row],[b]]</f>
        <v>#DIV/0!</v>
      </c>
      <c r="AU392" s="13">
        <f>IF(Table26[[#This Row],[b]]&lt;&gt;"",Table26[[#This Row],[T-5]], 0)</f>
        <v>0</v>
      </c>
      <c r="AV392" s="13">
        <v>90</v>
      </c>
      <c r="AW392" s="13">
        <v>433</v>
      </c>
      <c r="AY392" t="s">
        <v>503</v>
      </c>
      <c r="AZ392" s="13">
        <v>1</v>
      </c>
      <c r="BA392" s="13">
        <v>40</v>
      </c>
      <c r="BB392" s="13">
        <v>48</v>
      </c>
      <c r="BC392" s="13">
        <v>11</v>
      </c>
      <c r="BE392" s="13">
        <v>19.038461538461501</v>
      </c>
      <c r="BI392" s="13">
        <v>65.45</v>
      </c>
      <c r="BJ392" s="13">
        <v>8.73</v>
      </c>
      <c r="BK392" s="13">
        <v>15.290000000000001</v>
      </c>
      <c r="BL392" s="13">
        <v>9.7000000000000011</v>
      </c>
      <c r="BM392" s="13">
        <v>0.83</v>
      </c>
      <c r="BQ392" s="13" t="s">
        <v>506</v>
      </c>
      <c r="CV392" s="13">
        <v>0</v>
      </c>
    </row>
    <row r="393" spans="1:100" x14ac:dyDescent="0.25">
      <c r="A393" t="s">
        <v>361</v>
      </c>
      <c r="B393" t="s">
        <v>362</v>
      </c>
      <c r="C393">
        <v>2016</v>
      </c>
      <c r="D393" t="s">
        <v>363</v>
      </c>
      <c r="E393">
        <v>1</v>
      </c>
      <c r="F393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393" s="13">
        <v>100</v>
      </c>
      <c r="O39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393" s="13">
        <v>55</v>
      </c>
      <c r="X393" s="13">
        <v>2</v>
      </c>
      <c r="Y393" s="13">
        <v>43</v>
      </c>
      <c r="AB393" s="13">
        <v>46.11</v>
      </c>
      <c r="AC393" s="13">
        <v>6.9500000000000011</v>
      </c>
      <c r="AD393" s="13">
        <v>33.28</v>
      </c>
      <c r="AE393" s="13">
        <v>13.13</v>
      </c>
      <c r="AF393" s="13">
        <v>0.53</v>
      </c>
      <c r="AI393" s="13">
        <v>1.67E-3</v>
      </c>
      <c r="AL393" s="13">
        <v>10</v>
      </c>
      <c r="AT393" s="13" t="e">
        <f>LN(25/Table26[[#This Row],[Temperature (C)]]/(1-SQRT((Table26[[#This Row],[Temperature (C)]]-5)/Table26[[#This Row],[Temperature (C)]])))/Table26[[#This Row],[b]]</f>
        <v>#DIV/0!</v>
      </c>
      <c r="AU393" s="13">
        <f>IF(Table26[[#This Row],[b]]&lt;&gt;"",Table26[[#This Row],[T-5]], 0)</f>
        <v>0</v>
      </c>
      <c r="AV393" s="13">
        <v>120</v>
      </c>
      <c r="AW393" s="13">
        <v>443</v>
      </c>
      <c r="AY393" t="s">
        <v>503</v>
      </c>
      <c r="BA393" s="13">
        <v>34</v>
      </c>
      <c r="BB393" s="13">
        <v>54</v>
      </c>
      <c r="BC393" s="13">
        <v>12</v>
      </c>
      <c r="BE393" s="13">
        <v>17.5</v>
      </c>
      <c r="BI393" s="13">
        <v>67.210000000000008</v>
      </c>
      <c r="BJ393" s="13">
        <v>9.11</v>
      </c>
      <c r="BK393" s="13">
        <v>13.600000000000001</v>
      </c>
      <c r="BL393" s="13">
        <v>8.2900000000000009</v>
      </c>
      <c r="BM393" s="13">
        <v>1.79</v>
      </c>
      <c r="BQ393" s="13" t="s">
        <v>506</v>
      </c>
      <c r="CV393" s="13">
        <v>0</v>
      </c>
    </row>
    <row r="394" spans="1:100" x14ac:dyDescent="0.25">
      <c r="A394" t="s">
        <v>361</v>
      </c>
      <c r="B394" t="s">
        <v>362</v>
      </c>
      <c r="C394">
        <v>2016</v>
      </c>
      <c r="D394" t="s">
        <v>363</v>
      </c>
      <c r="E394">
        <v>1</v>
      </c>
      <c r="F394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394" s="13">
        <v>100</v>
      </c>
      <c r="O39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394" s="13">
        <v>55</v>
      </c>
      <c r="X394" s="13">
        <v>2</v>
      </c>
      <c r="Y394" s="13">
        <v>43</v>
      </c>
      <c r="AB394" s="13">
        <v>46.11</v>
      </c>
      <c r="AC394" s="13">
        <v>6.9500000000000011</v>
      </c>
      <c r="AD394" s="13">
        <v>33.28</v>
      </c>
      <c r="AE394" s="13">
        <v>13.13</v>
      </c>
      <c r="AF394" s="13">
        <v>0.53</v>
      </c>
      <c r="AI394" s="13">
        <v>1.67E-3</v>
      </c>
      <c r="AL394" s="13">
        <v>10</v>
      </c>
      <c r="AT394" s="13" t="e">
        <f>LN(25/Table26[[#This Row],[Temperature (C)]]/(1-SQRT((Table26[[#This Row],[Temperature (C)]]-5)/Table26[[#This Row],[Temperature (C)]])))/Table26[[#This Row],[b]]</f>
        <v>#DIV/0!</v>
      </c>
      <c r="AU394" s="13">
        <f>IF(Table26[[#This Row],[b]]&lt;&gt;"",Table26[[#This Row],[T-5]], 0)</f>
        <v>0</v>
      </c>
      <c r="AV394" s="13">
        <v>180</v>
      </c>
      <c r="AW394" s="13">
        <v>448</v>
      </c>
      <c r="AY394" t="s">
        <v>503</v>
      </c>
      <c r="BA394" s="13">
        <v>24</v>
      </c>
      <c r="BB394" s="13">
        <v>61</v>
      </c>
      <c r="BC394" s="13">
        <v>15</v>
      </c>
      <c r="BE394" s="13">
        <v>17.884615384615401</v>
      </c>
      <c r="BI394" s="13">
        <v>68.12</v>
      </c>
      <c r="BJ394" s="13">
        <v>8.8800000000000008</v>
      </c>
      <c r="BK394" s="13">
        <v>13.020000000000001</v>
      </c>
      <c r="BL394" s="13">
        <v>8.7200000000000006</v>
      </c>
      <c r="BM394" s="13">
        <v>1.26</v>
      </c>
      <c r="BQ394" s="13" t="s">
        <v>506</v>
      </c>
      <c r="CV394" s="13">
        <v>0</v>
      </c>
    </row>
    <row r="395" spans="1:100" x14ac:dyDescent="0.25">
      <c r="A395" t="s">
        <v>361</v>
      </c>
      <c r="B395" t="s">
        <v>362</v>
      </c>
      <c r="C395">
        <v>2016</v>
      </c>
      <c r="D395" t="s">
        <v>363</v>
      </c>
      <c r="E395">
        <v>1</v>
      </c>
      <c r="F395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395" s="13">
        <v>100</v>
      </c>
      <c r="O39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395" s="13">
        <v>55</v>
      </c>
      <c r="X395" s="13">
        <v>2</v>
      </c>
      <c r="Y395" s="13">
        <v>43</v>
      </c>
      <c r="AB395" s="13">
        <v>46.11</v>
      </c>
      <c r="AC395" s="13">
        <v>6.9500000000000011</v>
      </c>
      <c r="AD395" s="13">
        <v>33.28</v>
      </c>
      <c r="AE395" s="13">
        <v>13.13</v>
      </c>
      <c r="AF395" s="13">
        <v>0.53</v>
      </c>
      <c r="AI395" s="13">
        <v>1.67E-3</v>
      </c>
      <c r="AL395" s="13">
        <v>10</v>
      </c>
      <c r="AT395" s="13" t="e">
        <f>LN(25/Table26[[#This Row],[Temperature (C)]]/(1-SQRT((Table26[[#This Row],[Temperature (C)]]-5)/Table26[[#This Row],[Temperature (C)]])))/Table26[[#This Row],[b]]</f>
        <v>#DIV/0!</v>
      </c>
      <c r="AU395" s="13">
        <f>IF(Table26[[#This Row],[b]]&lt;&gt;"",Table26[[#This Row],[T-5]], 0)</f>
        <v>0</v>
      </c>
      <c r="AV395" s="13">
        <v>300</v>
      </c>
      <c r="AW395" s="13">
        <v>449</v>
      </c>
      <c r="AY395" t="s">
        <v>503</v>
      </c>
      <c r="BA395" s="13">
        <v>19</v>
      </c>
      <c r="BB395" s="13">
        <v>65</v>
      </c>
      <c r="BC395" s="13">
        <v>16</v>
      </c>
      <c r="BE395" s="13">
        <v>12.5</v>
      </c>
      <c r="BI395" s="13">
        <v>69.699999999999989</v>
      </c>
      <c r="BJ395" s="13">
        <v>9.0499999999999989</v>
      </c>
      <c r="BK395" s="13">
        <v>11.68</v>
      </c>
      <c r="BL395" s="13">
        <v>8.2900000000000009</v>
      </c>
      <c r="BM395" s="13">
        <v>1.28</v>
      </c>
      <c r="BQ395" s="13" t="s">
        <v>506</v>
      </c>
      <c r="CV395" s="13">
        <v>0</v>
      </c>
    </row>
    <row r="396" spans="1:100" x14ac:dyDescent="0.25">
      <c r="A396" t="s">
        <v>361</v>
      </c>
      <c r="B396" t="s">
        <v>362</v>
      </c>
      <c r="C396">
        <v>2016</v>
      </c>
      <c r="D396" t="s">
        <v>363</v>
      </c>
      <c r="E396">
        <v>1</v>
      </c>
      <c r="F396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396" s="13">
        <v>100</v>
      </c>
      <c r="O39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396" s="13">
        <v>55</v>
      </c>
      <c r="X396" s="13">
        <v>2</v>
      </c>
      <c r="Y396" s="13">
        <v>43</v>
      </c>
      <c r="AB396" s="13">
        <v>46.11</v>
      </c>
      <c r="AC396" s="13">
        <v>6.9500000000000011</v>
      </c>
      <c r="AD396" s="13">
        <v>33.28</v>
      </c>
      <c r="AE396" s="13">
        <v>13.13</v>
      </c>
      <c r="AF396" s="13">
        <v>0.53</v>
      </c>
      <c r="AI396" s="13">
        <v>1.67E-3</v>
      </c>
      <c r="AL396" s="13">
        <v>10</v>
      </c>
      <c r="AT396" s="13" t="e">
        <f>LN(25/Table26[[#This Row],[Temperature (C)]]/(1-SQRT((Table26[[#This Row],[Temperature (C)]]-5)/Table26[[#This Row],[Temperature (C)]])))/Table26[[#This Row],[b]]</f>
        <v>#DIV/0!</v>
      </c>
      <c r="AU396" s="13">
        <f>IF(Table26[[#This Row],[b]]&lt;&gt;"",Table26[[#This Row],[T-5]], 0)</f>
        <v>0</v>
      </c>
      <c r="AV396" s="13">
        <v>20</v>
      </c>
      <c r="AW396" s="13">
        <v>254</v>
      </c>
      <c r="AY396" t="s">
        <v>503</v>
      </c>
      <c r="AZ396" s="13">
        <v>35</v>
      </c>
      <c r="BA396" s="13">
        <v>5</v>
      </c>
      <c r="BB396" s="13">
        <v>56</v>
      </c>
      <c r="BC396" s="13">
        <v>4</v>
      </c>
      <c r="BE396" s="13">
        <v>6.3461538461538698</v>
      </c>
      <c r="BQ396" s="13" t="s">
        <v>506</v>
      </c>
      <c r="CV396" s="13">
        <v>0</v>
      </c>
    </row>
    <row r="397" spans="1:100" x14ac:dyDescent="0.25">
      <c r="A397" t="s">
        <v>361</v>
      </c>
      <c r="B397" t="s">
        <v>362</v>
      </c>
      <c r="C397">
        <v>2016</v>
      </c>
      <c r="D397" t="s">
        <v>363</v>
      </c>
      <c r="E397">
        <v>1</v>
      </c>
      <c r="F397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397" s="13">
        <v>100</v>
      </c>
      <c r="O39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397" s="13">
        <v>55</v>
      </c>
      <c r="X397" s="13">
        <v>2</v>
      </c>
      <c r="Y397" s="13">
        <v>43</v>
      </c>
      <c r="AB397" s="13">
        <v>46.11</v>
      </c>
      <c r="AC397" s="13">
        <v>6.9500000000000011</v>
      </c>
      <c r="AD397" s="13">
        <v>33.28</v>
      </c>
      <c r="AE397" s="13">
        <v>13.13</v>
      </c>
      <c r="AF397" s="13">
        <v>0.53</v>
      </c>
      <c r="AI397" s="13">
        <v>1.67E-3</v>
      </c>
      <c r="AL397" s="13">
        <v>10</v>
      </c>
      <c r="AT397" s="13" t="e">
        <f>LN(25/Table26[[#This Row],[Temperature (C)]]/(1-SQRT((Table26[[#This Row],[Temperature (C)]]-5)/Table26[[#This Row],[Temperature (C)]])))/Table26[[#This Row],[b]]</f>
        <v>#DIV/0!</v>
      </c>
      <c r="AU397" s="13">
        <f>IF(Table26[[#This Row],[b]]&lt;&gt;"",Table26[[#This Row],[T-5]], 0)</f>
        <v>0</v>
      </c>
      <c r="AV397" s="13">
        <v>30</v>
      </c>
      <c r="AW397" s="13">
        <v>319</v>
      </c>
      <c r="AY397" t="s">
        <v>503</v>
      </c>
      <c r="AZ397" s="13">
        <v>1</v>
      </c>
      <c r="BA397" s="13">
        <v>20</v>
      </c>
      <c r="BB397" s="13">
        <v>74</v>
      </c>
      <c r="BC397" s="13">
        <v>5</v>
      </c>
      <c r="BE397" s="13">
        <v>8.8803088803088599</v>
      </c>
      <c r="BI397" s="13">
        <v>63.17</v>
      </c>
      <c r="BJ397" s="13">
        <v>8.48</v>
      </c>
      <c r="BK397" s="13">
        <v>17.54</v>
      </c>
      <c r="BL397" s="13">
        <v>9.73</v>
      </c>
      <c r="BM397" s="13">
        <v>1.08</v>
      </c>
      <c r="BQ397" s="13" t="s">
        <v>506</v>
      </c>
      <c r="CV397" s="13">
        <v>0</v>
      </c>
    </row>
    <row r="398" spans="1:100" x14ac:dyDescent="0.25">
      <c r="A398" t="s">
        <v>361</v>
      </c>
      <c r="B398" t="s">
        <v>362</v>
      </c>
      <c r="C398">
        <v>2016</v>
      </c>
      <c r="D398" t="s">
        <v>363</v>
      </c>
      <c r="E398">
        <v>1</v>
      </c>
      <c r="F398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398" s="13">
        <v>100</v>
      </c>
      <c r="O39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398" s="13">
        <v>55</v>
      </c>
      <c r="X398" s="13">
        <v>2</v>
      </c>
      <c r="Y398" s="13">
        <v>43</v>
      </c>
      <c r="AB398" s="13">
        <v>46.11</v>
      </c>
      <c r="AC398" s="13">
        <v>6.9500000000000011</v>
      </c>
      <c r="AD398" s="13">
        <v>33.28</v>
      </c>
      <c r="AE398" s="13">
        <v>13.13</v>
      </c>
      <c r="AF398" s="13">
        <v>0.53</v>
      </c>
      <c r="AI398" s="13">
        <v>1.67E-3</v>
      </c>
      <c r="AL398" s="13">
        <v>10</v>
      </c>
      <c r="AT398" s="13" t="e">
        <f>LN(25/Table26[[#This Row],[Temperature (C)]]/(1-SQRT((Table26[[#This Row],[Temperature (C)]]-5)/Table26[[#This Row],[Temperature (C)]])))/Table26[[#This Row],[b]]</f>
        <v>#DIV/0!</v>
      </c>
      <c r="AU398" s="13">
        <f>IF(Table26[[#This Row],[b]]&lt;&gt;"",Table26[[#This Row],[T-5]], 0)</f>
        <v>0</v>
      </c>
      <c r="AV398" s="13">
        <v>45</v>
      </c>
      <c r="AW398" s="13">
        <v>377</v>
      </c>
      <c r="AY398" t="s">
        <v>503</v>
      </c>
      <c r="AZ398" s="13">
        <v>3</v>
      </c>
      <c r="BA398" s="13">
        <v>38</v>
      </c>
      <c r="BB398" s="13">
        <v>53</v>
      </c>
      <c r="BC398" s="13">
        <v>6</v>
      </c>
      <c r="BE398" s="13">
        <v>20.270270270270199</v>
      </c>
      <c r="BI398" s="13">
        <v>58.42</v>
      </c>
      <c r="BJ398" s="13">
        <v>8.25</v>
      </c>
      <c r="BK398" s="13">
        <v>22.009999999999998</v>
      </c>
      <c r="BL398" s="13">
        <v>10.25</v>
      </c>
      <c r="BM398" s="13">
        <v>1.0699999999999998</v>
      </c>
      <c r="BQ398" s="13" t="s">
        <v>506</v>
      </c>
      <c r="CV398" s="13">
        <v>0</v>
      </c>
    </row>
    <row r="399" spans="1:100" x14ac:dyDescent="0.25">
      <c r="A399" t="s">
        <v>361</v>
      </c>
      <c r="B399" t="s">
        <v>362</v>
      </c>
      <c r="C399">
        <v>2016</v>
      </c>
      <c r="D399" t="s">
        <v>363</v>
      </c>
      <c r="E399">
        <v>1</v>
      </c>
      <c r="F399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399" s="13">
        <v>100</v>
      </c>
      <c r="O39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399" s="13">
        <v>55</v>
      </c>
      <c r="X399" s="13">
        <v>2</v>
      </c>
      <c r="Y399" s="13">
        <v>43</v>
      </c>
      <c r="AB399" s="13">
        <v>46.11</v>
      </c>
      <c r="AC399" s="13">
        <v>6.9500000000000011</v>
      </c>
      <c r="AD399" s="13">
        <v>33.28</v>
      </c>
      <c r="AE399" s="13">
        <v>13.13</v>
      </c>
      <c r="AF399" s="13">
        <v>0.53</v>
      </c>
      <c r="AI399" s="13">
        <v>1.67E-3</v>
      </c>
      <c r="AL399" s="13">
        <v>10</v>
      </c>
      <c r="AT399" s="13" t="e">
        <f>LN(25/Table26[[#This Row],[Temperature (C)]]/(1-SQRT((Table26[[#This Row],[Temperature (C)]]-5)/Table26[[#This Row],[Temperature (C)]])))/Table26[[#This Row],[b]]</f>
        <v>#DIV/0!</v>
      </c>
      <c r="AU399" s="13">
        <f>IF(Table26[[#This Row],[b]]&lt;&gt;"",Table26[[#This Row],[T-5]], 0)</f>
        <v>0</v>
      </c>
      <c r="AV399" s="13">
        <v>60</v>
      </c>
      <c r="AW399" s="13">
        <v>410</v>
      </c>
      <c r="AY399" t="s">
        <v>503</v>
      </c>
      <c r="AZ399" s="13">
        <v>2</v>
      </c>
      <c r="BA399" s="13">
        <v>33</v>
      </c>
      <c r="BB399" s="13">
        <v>55</v>
      </c>
      <c r="BC399" s="13">
        <v>10</v>
      </c>
      <c r="BE399" s="13">
        <v>23.552123552123501</v>
      </c>
      <c r="BI399" s="13">
        <v>64.900000000000006</v>
      </c>
      <c r="BJ399" s="13">
        <v>8.57</v>
      </c>
      <c r="BK399" s="13">
        <v>15.809999999999999</v>
      </c>
      <c r="BL399" s="13">
        <v>9.74</v>
      </c>
      <c r="BM399" s="13">
        <v>0.98</v>
      </c>
      <c r="BQ399" s="13" t="s">
        <v>506</v>
      </c>
      <c r="CV399" s="13">
        <v>0</v>
      </c>
    </row>
    <row r="400" spans="1:100" x14ac:dyDescent="0.25">
      <c r="A400" t="s">
        <v>361</v>
      </c>
      <c r="B400" t="s">
        <v>362</v>
      </c>
      <c r="C400">
        <v>2016</v>
      </c>
      <c r="D400" t="s">
        <v>363</v>
      </c>
      <c r="E400">
        <v>1</v>
      </c>
      <c r="F400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400" s="13">
        <v>100</v>
      </c>
      <c r="O40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400" s="13">
        <v>55</v>
      </c>
      <c r="X400" s="13">
        <v>2</v>
      </c>
      <c r="Y400" s="13">
        <v>43</v>
      </c>
      <c r="AB400" s="13">
        <v>46.11</v>
      </c>
      <c r="AC400" s="13">
        <v>6.9500000000000011</v>
      </c>
      <c r="AD400" s="13">
        <v>33.28</v>
      </c>
      <c r="AE400" s="13">
        <v>13.13</v>
      </c>
      <c r="AF400" s="13">
        <v>0.53</v>
      </c>
      <c r="AI400" s="13">
        <v>1.67E-3</v>
      </c>
      <c r="AL400" s="13">
        <v>10</v>
      </c>
      <c r="AT400" s="13" t="e">
        <f>LN(25/Table26[[#This Row],[Temperature (C)]]/(1-SQRT((Table26[[#This Row],[Temperature (C)]]-5)/Table26[[#This Row],[Temperature (C)]])))/Table26[[#This Row],[b]]</f>
        <v>#DIV/0!</v>
      </c>
      <c r="AU400" s="13">
        <f>IF(Table26[[#This Row],[b]]&lt;&gt;"",Table26[[#This Row],[T-5]], 0)</f>
        <v>0</v>
      </c>
      <c r="AV400" s="13">
        <v>90</v>
      </c>
      <c r="AW400" s="13">
        <v>461</v>
      </c>
      <c r="AY400" t="s">
        <v>503</v>
      </c>
      <c r="AZ400" s="13">
        <v>1</v>
      </c>
      <c r="BA400" s="13">
        <v>34</v>
      </c>
      <c r="BB400" s="13">
        <v>53</v>
      </c>
      <c r="BC400" s="13">
        <v>12</v>
      </c>
      <c r="BE400" s="13">
        <v>26.833976833976799</v>
      </c>
      <c r="BI400" s="13">
        <v>65.490000000000009</v>
      </c>
      <c r="BJ400" s="13">
        <v>8.7999999999999989</v>
      </c>
      <c r="BK400" s="13">
        <v>15.190000000000001</v>
      </c>
      <c r="BL400" s="13">
        <v>9.74</v>
      </c>
      <c r="BM400" s="13">
        <v>0.77999999999999992</v>
      </c>
      <c r="BQ400" s="13" t="s">
        <v>506</v>
      </c>
      <c r="CV400" s="13">
        <v>0</v>
      </c>
    </row>
    <row r="401" spans="1:100" x14ac:dyDescent="0.25">
      <c r="A401" t="s">
        <v>361</v>
      </c>
      <c r="B401" t="s">
        <v>362</v>
      </c>
      <c r="C401">
        <v>2016</v>
      </c>
      <c r="D401" t="s">
        <v>363</v>
      </c>
      <c r="E401">
        <v>1</v>
      </c>
      <c r="F401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401" s="13">
        <v>100</v>
      </c>
      <c r="O40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401" s="13">
        <v>55</v>
      </c>
      <c r="X401" s="13">
        <v>2</v>
      </c>
      <c r="Y401" s="13">
        <v>43</v>
      </c>
      <c r="AB401" s="13">
        <v>46.11</v>
      </c>
      <c r="AC401" s="13">
        <v>6.9500000000000011</v>
      </c>
      <c r="AD401" s="13">
        <v>33.28</v>
      </c>
      <c r="AE401" s="13">
        <v>13.13</v>
      </c>
      <c r="AF401" s="13">
        <v>0.53</v>
      </c>
      <c r="AI401" s="13">
        <v>1.67E-3</v>
      </c>
      <c r="AL401" s="13">
        <v>10</v>
      </c>
      <c r="AT401" s="13" t="e">
        <f>LN(25/Table26[[#This Row],[Temperature (C)]]/(1-SQRT((Table26[[#This Row],[Temperature (C)]]-5)/Table26[[#This Row],[Temperature (C)]])))/Table26[[#This Row],[b]]</f>
        <v>#DIV/0!</v>
      </c>
      <c r="AU401" s="13">
        <f>IF(Table26[[#This Row],[b]]&lt;&gt;"",Table26[[#This Row],[T-5]], 0)</f>
        <v>0</v>
      </c>
      <c r="AV401" s="13">
        <v>120</v>
      </c>
      <c r="AW401" s="13">
        <v>484</v>
      </c>
      <c r="AY401" t="s">
        <v>503</v>
      </c>
      <c r="AZ401" s="13">
        <v>1</v>
      </c>
      <c r="BA401" s="13">
        <v>27</v>
      </c>
      <c r="BB401" s="13">
        <v>57</v>
      </c>
      <c r="BC401" s="13">
        <v>15</v>
      </c>
      <c r="BE401" s="13">
        <v>18.146718146718101</v>
      </c>
      <c r="BI401" s="13">
        <v>69.13</v>
      </c>
      <c r="BJ401" s="13">
        <v>8.8800000000000008</v>
      </c>
      <c r="BK401" s="13">
        <v>12.21</v>
      </c>
      <c r="BL401" s="13">
        <v>8.99</v>
      </c>
      <c r="BM401" s="13">
        <v>0.79</v>
      </c>
      <c r="BQ401" s="13" t="s">
        <v>506</v>
      </c>
      <c r="CV401" s="13">
        <v>0</v>
      </c>
    </row>
    <row r="402" spans="1:100" x14ac:dyDescent="0.25">
      <c r="A402" t="s">
        <v>361</v>
      </c>
      <c r="B402" t="s">
        <v>362</v>
      </c>
      <c r="C402">
        <v>2016</v>
      </c>
      <c r="D402" t="s">
        <v>363</v>
      </c>
      <c r="E402">
        <v>1</v>
      </c>
      <c r="F402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402" s="13">
        <v>100</v>
      </c>
      <c r="O40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402" s="13">
        <v>55</v>
      </c>
      <c r="X402" s="13">
        <v>2</v>
      </c>
      <c r="Y402" s="13">
        <v>43</v>
      </c>
      <c r="AB402" s="13">
        <v>46.11</v>
      </c>
      <c r="AC402" s="13">
        <v>6.9500000000000011</v>
      </c>
      <c r="AD402" s="13">
        <v>33.28</v>
      </c>
      <c r="AE402" s="13">
        <v>13.13</v>
      </c>
      <c r="AF402" s="13">
        <v>0.53</v>
      </c>
      <c r="AI402" s="13">
        <v>1.67E-3</v>
      </c>
      <c r="AL402" s="13">
        <v>10</v>
      </c>
      <c r="AT402" s="13" t="e">
        <f>LN(25/Table26[[#This Row],[Temperature (C)]]/(1-SQRT((Table26[[#This Row],[Temperature (C)]]-5)/Table26[[#This Row],[Temperature (C)]])))/Table26[[#This Row],[b]]</f>
        <v>#DIV/0!</v>
      </c>
      <c r="AU402" s="13">
        <f>IF(Table26[[#This Row],[b]]&lt;&gt;"",Table26[[#This Row],[T-5]], 0)</f>
        <v>0</v>
      </c>
      <c r="AV402" s="13">
        <v>180</v>
      </c>
      <c r="AW402" s="13">
        <v>498</v>
      </c>
      <c r="AY402" t="s">
        <v>503</v>
      </c>
      <c r="AZ402" s="13">
        <v>1</v>
      </c>
      <c r="BA402" s="13">
        <v>19</v>
      </c>
      <c r="BB402" s="13">
        <v>62</v>
      </c>
      <c r="BC402" s="13">
        <v>18</v>
      </c>
      <c r="BE402" s="13">
        <v>19.535783365570499</v>
      </c>
      <c r="BI402" s="13">
        <v>66.95</v>
      </c>
      <c r="BJ402" s="13">
        <v>7.4399999999999995</v>
      </c>
      <c r="BK402" s="13">
        <v>14.790000000000001</v>
      </c>
      <c r="BL402" s="13">
        <v>9.15</v>
      </c>
      <c r="BM402" s="13">
        <v>1.67</v>
      </c>
      <c r="BQ402" s="13" t="s">
        <v>506</v>
      </c>
      <c r="CV402" s="13">
        <v>0</v>
      </c>
    </row>
    <row r="403" spans="1:100" x14ac:dyDescent="0.25">
      <c r="A403" t="s">
        <v>361</v>
      </c>
      <c r="B403" t="s">
        <v>362</v>
      </c>
      <c r="C403">
        <v>2016</v>
      </c>
      <c r="D403" t="s">
        <v>363</v>
      </c>
      <c r="E403">
        <v>1</v>
      </c>
      <c r="F403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403" s="13">
        <v>100</v>
      </c>
      <c r="O40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W403" s="13">
        <v>55</v>
      </c>
      <c r="X403" s="13">
        <v>2</v>
      </c>
      <c r="Y403" s="13">
        <v>43</v>
      </c>
      <c r="AB403" s="13">
        <v>46.11</v>
      </c>
      <c r="AC403" s="13">
        <v>6.9500000000000011</v>
      </c>
      <c r="AD403" s="13">
        <v>33.28</v>
      </c>
      <c r="AE403" s="13">
        <v>13.13</v>
      </c>
      <c r="AF403" s="13">
        <v>0.53</v>
      </c>
      <c r="AI403" s="13">
        <v>1.67E-3</v>
      </c>
      <c r="AL403" s="13">
        <v>10</v>
      </c>
      <c r="AT403" s="13" t="e">
        <f>LN(25/Table26[[#This Row],[Temperature (C)]]/(1-SQRT((Table26[[#This Row],[Temperature (C)]]-5)/Table26[[#This Row],[Temperature (C)]])))/Table26[[#This Row],[b]]</f>
        <v>#DIV/0!</v>
      </c>
      <c r="AU403" s="13">
        <f>IF(Table26[[#This Row],[b]]&lt;&gt;"",Table26[[#This Row],[T-5]], 0)</f>
        <v>0</v>
      </c>
      <c r="AV403" s="13">
        <v>300</v>
      </c>
      <c r="AW403" s="13">
        <v>500</v>
      </c>
      <c r="AY403" t="s">
        <v>503</v>
      </c>
      <c r="AZ403" s="13">
        <v>4</v>
      </c>
      <c r="BA403" s="13">
        <v>11</v>
      </c>
      <c r="BB403" s="13">
        <v>63</v>
      </c>
      <c r="BC403" s="13">
        <v>22</v>
      </c>
      <c r="BE403" s="13">
        <v>24.3713733075435</v>
      </c>
      <c r="BI403" s="13">
        <v>69.260000000000005</v>
      </c>
      <c r="BJ403" s="13">
        <v>7.3</v>
      </c>
      <c r="BL403" s="13">
        <v>9.7799999999999994</v>
      </c>
      <c r="BQ403" s="13" t="s">
        <v>506</v>
      </c>
      <c r="CV403" s="13">
        <v>0</v>
      </c>
    </row>
    <row r="404" spans="1:100" x14ac:dyDescent="0.25">
      <c r="A404" t="s">
        <v>364</v>
      </c>
      <c r="B404" t="s">
        <v>282</v>
      </c>
      <c r="C404">
        <v>2019</v>
      </c>
      <c r="D404" t="s">
        <v>288</v>
      </c>
      <c r="E404">
        <v>1</v>
      </c>
      <c r="F404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404" s="13">
        <v>100</v>
      </c>
      <c r="O40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404" s="13">
        <v>44.5</v>
      </c>
      <c r="AC404" s="13">
        <v>6.6</v>
      </c>
      <c r="AD404" s="13">
        <v>42.3</v>
      </c>
      <c r="AE404" s="13">
        <v>6.6</v>
      </c>
      <c r="AH404" s="13">
        <v>18.7</v>
      </c>
      <c r="AI404" s="13">
        <v>4.1000000000000003E-3</v>
      </c>
      <c r="AL404" s="13">
        <v>5</v>
      </c>
      <c r="AT404" s="13" t="e">
        <f>LN(25/Table26[[#This Row],[Temperature (C)]]/(1-SQRT((Table26[[#This Row],[Temperature (C)]]-5)/Table26[[#This Row],[Temperature (C)]])))/Table26[[#This Row],[b]]</f>
        <v>#DIV/0!</v>
      </c>
      <c r="AU404" s="13">
        <f>IF(Table26[[#This Row],[b]]&lt;&gt;"",Table26[[#This Row],[T-5]], 0)</f>
        <v>0</v>
      </c>
      <c r="AV404" s="13">
        <v>3.2</v>
      </c>
      <c r="AW404" s="13">
        <v>250</v>
      </c>
      <c r="AY404" t="s">
        <v>503</v>
      </c>
      <c r="AZ404" s="13">
        <v>92.110874200426395</v>
      </c>
      <c r="BA404" s="13">
        <v>7.5554714790328603</v>
      </c>
      <c r="BB404" s="13">
        <v>2.3076923076923199</v>
      </c>
      <c r="BC404" s="13">
        <v>4.2874044533066904</v>
      </c>
      <c r="BE404" s="13">
        <v>18.568665377176</v>
      </c>
      <c r="BQ404" s="13" t="s">
        <v>506</v>
      </c>
      <c r="CV404" s="13">
        <v>0</v>
      </c>
    </row>
    <row r="405" spans="1:100" x14ac:dyDescent="0.25">
      <c r="A405" t="s">
        <v>364</v>
      </c>
      <c r="B405" t="s">
        <v>282</v>
      </c>
      <c r="C405">
        <v>2019</v>
      </c>
      <c r="D405" t="s">
        <v>288</v>
      </c>
      <c r="E405">
        <v>1</v>
      </c>
      <c r="F405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405" s="13">
        <v>100</v>
      </c>
      <c r="O40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405" s="13">
        <v>44.5</v>
      </c>
      <c r="AC405" s="13">
        <v>6.6</v>
      </c>
      <c r="AD405" s="13">
        <v>42.3</v>
      </c>
      <c r="AE405" s="13">
        <v>6.6</v>
      </c>
      <c r="AH405" s="13">
        <v>18.7</v>
      </c>
      <c r="AI405" s="13">
        <v>4.1000000000000003E-3</v>
      </c>
      <c r="AL405" s="13">
        <v>5</v>
      </c>
      <c r="AT405" s="13" t="e">
        <f>LN(25/Table26[[#This Row],[Temperature (C)]]/(1-SQRT((Table26[[#This Row],[Temperature (C)]]-5)/Table26[[#This Row],[Temperature (C)]])))/Table26[[#This Row],[b]]</f>
        <v>#DIV/0!</v>
      </c>
      <c r="AU405" s="13">
        <f>IF(Table26[[#This Row],[b]]&lt;&gt;"",Table26[[#This Row],[T-5]], 0)</f>
        <v>0</v>
      </c>
      <c r="AV405" s="13">
        <v>5.6</v>
      </c>
      <c r="AW405" s="13">
        <v>250</v>
      </c>
      <c r="AY405" t="s">
        <v>503</v>
      </c>
      <c r="AZ405" s="13">
        <v>91.897654584221698</v>
      </c>
      <c r="BA405" s="13">
        <v>9.0584118017345006</v>
      </c>
      <c r="BB405" s="13">
        <v>4.0659340659340897</v>
      </c>
      <c r="BC405" s="13">
        <v>2.10834164174139</v>
      </c>
      <c r="BE405" s="13">
        <v>23.210831721470001</v>
      </c>
      <c r="BQ405" s="13" t="s">
        <v>506</v>
      </c>
      <c r="CV405" s="13">
        <v>0</v>
      </c>
    </row>
    <row r="406" spans="1:100" x14ac:dyDescent="0.25">
      <c r="A406" t="s">
        <v>364</v>
      </c>
      <c r="B406" t="s">
        <v>282</v>
      </c>
      <c r="C406">
        <v>2019</v>
      </c>
      <c r="D406" t="s">
        <v>288</v>
      </c>
      <c r="E406">
        <v>1</v>
      </c>
      <c r="F406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406" s="13">
        <v>100</v>
      </c>
      <c r="O40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406" s="13">
        <v>44.5</v>
      </c>
      <c r="AC406" s="13">
        <v>6.6</v>
      </c>
      <c r="AD406" s="13">
        <v>42.3</v>
      </c>
      <c r="AE406" s="13">
        <v>6.6</v>
      </c>
      <c r="AH406" s="13">
        <v>18.7</v>
      </c>
      <c r="AI406" s="13">
        <v>4.1000000000000003E-3</v>
      </c>
      <c r="AL406" s="13">
        <v>5</v>
      </c>
      <c r="AT406" s="13" t="e">
        <f>LN(25/Table26[[#This Row],[Temperature (C)]]/(1-SQRT((Table26[[#This Row],[Temperature (C)]]-5)/Table26[[#This Row],[Temperature (C)]])))/Table26[[#This Row],[b]]</f>
        <v>#DIV/0!</v>
      </c>
      <c r="AU406" s="13">
        <f>IF(Table26[[#This Row],[b]]&lt;&gt;"",Table26[[#This Row],[T-5]], 0)</f>
        <v>0</v>
      </c>
      <c r="AV406" s="13">
        <v>10</v>
      </c>
      <c r="AW406" s="13">
        <v>250</v>
      </c>
      <c r="AY406" t="s">
        <v>503</v>
      </c>
      <c r="AZ406" s="13">
        <v>89.765458422174802</v>
      </c>
      <c r="BA406" s="13">
        <v>9.6083157479313392</v>
      </c>
      <c r="BB406" s="13">
        <v>3.2967032967033099</v>
      </c>
      <c r="BC406" s="13">
        <v>4.7930874044533001</v>
      </c>
      <c r="BE406" s="13">
        <v>11.025145067698199</v>
      </c>
      <c r="BQ406" s="13" t="s">
        <v>506</v>
      </c>
      <c r="CV406" s="13">
        <v>0</v>
      </c>
    </row>
    <row r="407" spans="1:100" x14ac:dyDescent="0.25">
      <c r="A407" t="s">
        <v>364</v>
      </c>
      <c r="B407" t="s">
        <v>282</v>
      </c>
      <c r="C407">
        <v>2019</v>
      </c>
      <c r="D407" t="s">
        <v>288</v>
      </c>
      <c r="E407">
        <v>1</v>
      </c>
      <c r="F40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407" s="13">
        <v>100</v>
      </c>
      <c r="O40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407" s="13">
        <v>44.5</v>
      </c>
      <c r="AC407" s="13">
        <v>6.6</v>
      </c>
      <c r="AD407" s="13">
        <v>42.3</v>
      </c>
      <c r="AE407" s="13">
        <v>6.6</v>
      </c>
      <c r="AH407" s="13">
        <v>18.7</v>
      </c>
      <c r="AI407" s="13">
        <v>4.1000000000000003E-3</v>
      </c>
      <c r="AL407" s="13">
        <v>5</v>
      </c>
      <c r="AT407" s="13" t="e">
        <f>LN(25/Table26[[#This Row],[Temperature (C)]]/(1-SQRT((Table26[[#This Row],[Temperature (C)]]-5)/Table26[[#This Row],[Temperature (C)]])))/Table26[[#This Row],[b]]</f>
        <v>#DIV/0!</v>
      </c>
      <c r="AU407" s="13">
        <f>IF(Table26[[#This Row],[b]]&lt;&gt;"",Table26[[#This Row],[T-5]], 0)</f>
        <v>0</v>
      </c>
      <c r="AV407" s="13">
        <v>31.6</v>
      </c>
      <c r="AW407" s="13">
        <v>250</v>
      </c>
      <c r="AY407" t="s">
        <v>503</v>
      </c>
      <c r="AZ407" s="13">
        <v>85.714285714285694</v>
      </c>
      <c r="BA407" s="13">
        <v>10.327822334710801</v>
      </c>
      <c r="BB407" s="13">
        <v>7.52747252747253</v>
      </c>
      <c r="BC407" s="13">
        <v>5.4553672316383697</v>
      </c>
      <c r="BE407" s="13">
        <v>40.463645943098001</v>
      </c>
      <c r="BQ407" s="13" t="s">
        <v>506</v>
      </c>
      <c r="CV407" s="13">
        <v>0</v>
      </c>
    </row>
    <row r="408" spans="1:100" x14ac:dyDescent="0.25">
      <c r="A408" t="s">
        <v>364</v>
      </c>
      <c r="B408" t="s">
        <v>282</v>
      </c>
      <c r="C408">
        <v>2019</v>
      </c>
      <c r="D408" t="s">
        <v>288</v>
      </c>
      <c r="E408">
        <v>1</v>
      </c>
      <c r="F408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408" s="13">
        <v>100</v>
      </c>
      <c r="O40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408" s="13">
        <v>44.5</v>
      </c>
      <c r="AC408" s="13">
        <v>6.6</v>
      </c>
      <c r="AD408" s="13">
        <v>42.3</v>
      </c>
      <c r="AE408" s="13">
        <v>6.6</v>
      </c>
      <c r="AH408" s="13">
        <v>18.7</v>
      </c>
      <c r="AI408" s="13">
        <v>4.1000000000000003E-3</v>
      </c>
      <c r="AL408" s="13">
        <v>5</v>
      </c>
      <c r="AT408" s="13" t="e">
        <f>LN(25/Table26[[#This Row],[Temperature (C)]]/(1-SQRT((Table26[[#This Row],[Temperature (C)]]-5)/Table26[[#This Row],[Temperature (C)]])))/Table26[[#This Row],[b]]</f>
        <v>#DIV/0!</v>
      </c>
      <c r="AU408" s="13">
        <f>IF(Table26[[#This Row],[b]]&lt;&gt;"",Table26[[#This Row],[T-5]], 0)</f>
        <v>0</v>
      </c>
      <c r="AV408" s="13">
        <v>100</v>
      </c>
      <c r="AW408" s="13">
        <v>250</v>
      </c>
      <c r="AY408" t="s">
        <v>503</v>
      </c>
      <c r="AZ408" s="13">
        <v>79.317697228144993</v>
      </c>
      <c r="BA408" s="13">
        <v>19.808609943280899</v>
      </c>
      <c r="BB408" s="13">
        <v>9.3956043956043995</v>
      </c>
      <c r="BC408" s="13">
        <v>7.3736124958457401</v>
      </c>
      <c r="BE408" s="13">
        <v>53.424657534246599</v>
      </c>
      <c r="BQ408" s="13" t="s">
        <v>506</v>
      </c>
      <c r="CV408" s="13">
        <v>0</v>
      </c>
    </row>
    <row r="409" spans="1:100" x14ac:dyDescent="0.25">
      <c r="A409" t="s">
        <v>364</v>
      </c>
      <c r="B409" t="s">
        <v>282</v>
      </c>
      <c r="C409">
        <v>2019</v>
      </c>
      <c r="D409" t="s">
        <v>288</v>
      </c>
      <c r="E409">
        <v>1</v>
      </c>
      <c r="F409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409" s="13">
        <v>100</v>
      </c>
      <c r="O40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409" s="13">
        <v>44.5</v>
      </c>
      <c r="AC409" s="13">
        <v>6.6</v>
      </c>
      <c r="AD409" s="13">
        <v>42.3</v>
      </c>
      <c r="AE409" s="13">
        <v>6.6</v>
      </c>
      <c r="AH409" s="13">
        <v>18.7</v>
      </c>
      <c r="AI409" s="13">
        <v>4.1000000000000003E-3</v>
      </c>
      <c r="AL409" s="13">
        <v>5</v>
      </c>
      <c r="AT409" s="13" t="e">
        <f>LN(25/Table26[[#This Row],[Temperature (C)]]/(1-SQRT((Table26[[#This Row],[Temperature (C)]]-5)/Table26[[#This Row],[Temperature (C)]])))/Table26[[#This Row],[b]]</f>
        <v>#DIV/0!</v>
      </c>
      <c r="AU409" s="13">
        <f>IF(Table26[[#This Row],[b]]&lt;&gt;"",Table26[[#This Row],[T-5]], 0)</f>
        <v>0</v>
      </c>
      <c r="AV409" s="13">
        <v>3.2</v>
      </c>
      <c r="AW409" s="13">
        <v>350</v>
      </c>
      <c r="AY409" t="s">
        <v>503</v>
      </c>
      <c r="AZ409" s="13">
        <v>19.189765458422102</v>
      </c>
      <c r="BA409" s="13">
        <v>23.3647206938052</v>
      </c>
      <c r="BB409" s="13">
        <v>13.351648351648301</v>
      </c>
      <c r="BC409" s="13">
        <v>68.9145895646394</v>
      </c>
      <c r="BE409" s="13">
        <v>47.102212855637603</v>
      </c>
      <c r="BI409" s="13">
        <v>65.7</v>
      </c>
      <c r="BJ409" s="13">
        <v>7.1</v>
      </c>
      <c r="BK409" s="13">
        <v>22.4</v>
      </c>
      <c r="BL409" s="13">
        <v>4.8</v>
      </c>
      <c r="BN409" s="13">
        <v>29.4</v>
      </c>
      <c r="BP409" s="13">
        <v>11.1</v>
      </c>
      <c r="BQ409" s="13" t="s">
        <v>506</v>
      </c>
      <c r="CV409" s="13">
        <v>0</v>
      </c>
    </row>
    <row r="410" spans="1:100" x14ac:dyDescent="0.25">
      <c r="A410" t="s">
        <v>364</v>
      </c>
      <c r="B410" t="s">
        <v>282</v>
      </c>
      <c r="C410">
        <v>2019</v>
      </c>
      <c r="D410" t="s">
        <v>288</v>
      </c>
      <c r="E410">
        <v>1</v>
      </c>
      <c r="F410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410" s="13">
        <v>100</v>
      </c>
      <c r="O41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410" s="13">
        <v>44.5</v>
      </c>
      <c r="AC410" s="13">
        <v>6.6</v>
      </c>
      <c r="AD410" s="13">
        <v>42.3</v>
      </c>
      <c r="AE410" s="13">
        <v>6.6</v>
      </c>
      <c r="AH410" s="13">
        <v>18.7</v>
      </c>
      <c r="AI410" s="13">
        <v>4.1000000000000003E-3</v>
      </c>
      <c r="AL410" s="13">
        <v>5</v>
      </c>
      <c r="AT410" s="13" t="e">
        <f>LN(25/Table26[[#This Row],[Temperature (C)]]/(1-SQRT((Table26[[#This Row],[Temperature (C)]]-5)/Table26[[#This Row],[Temperature (C)]])))/Table26[[#This Row],[b]]</f>
        <v>#DIV/0!</v>
      </c>
      <c r="AU410" s="13">
        <f>IF(Table26[[#This Row],[b]]&lt;&gt;"",Table26[[#This Row],[T-5]], 0)</f>
        <v>0</v>
      </c>
      <c r="AV410" s="13">
        <v>5.6</v>
      </c>
      <c r="AW410" s="13">
        <v>350</v>
      </c>
      <c r="AY410" t="s">
        <v>503</v>
      </c>
      <c r="AZ410" s="13">
        <v>17.484008528784599</v>
      </c>
      <c r="BA410" s="13">
        <v>50.963310382617003</v>
      </c>
      <c r="BB410" s="13">
        <v>18.901098901098901</v>
      </c>
      <c r="BC410" s="13">
        <v>56.696576935858999</v>
      </c>
      <c r="BE410" s="13">
        <v>47.102212855637603</v>
      </c>
      <c r="BI410" s="13">
        <v>67.900000000000006</v>
      </c>
      <c r="BJ410" s="13">
        <v>7.2</v>
      </c>
      <c r="BK410" s="13">
        <v>19</v>
      </c>
      <c r="BL410" s="13">
        <v>5.9</v>
      </c>
      <c r="BN410" s="13">
        <v>30.6</v>
      </c>
      <c r="BP410" s="13">
        <v>25.1</v>
      </c>
      <c r="BQ410" s="13" t="s">
        <v>506</v>
      </c>
      <c r="CV410" s="13">
        <v>0</v>
      </c>
    </row>
    <row r="411" spans="1:100" x14ac:dyDescent="0.25">
      <c r="A411" t="s">
        <v>364</v>
      </c>
      <c r="B411" t="s">
        <v>282</v>
      </c>
      <c r="C411">
        <v>2019</v>
      </c>
      <c r="D411" t="s">
        <v>288</v>
      </c>
      <c r="E411">
        <v>1</v>
      </c>
      <c r="F411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411" s="13">
        <v>100</v>
      </c>
      <c r="O41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411" s="13">
        <v>44.5</v>
      </c>
      <c r="AC411" s="13">
        <v>6.6</v>
      </c>
      <c r="AD411" s="13">
        <v>42.3</v>
      </c>
      <c r="AE411" s="13">
        <v>6.6</v>
      </c>
      <c r="AH411" s="13">
        <v>18.7</v>
      </c>
      <c r="AI411" s="13">
        <v>4.1000000000000003E-3</v>
      </c>
      <c r="AL411" s="13">
        <v>5</v>
      </c>
      <c r="AT411" s="13" t="e">
        <f>LN(25/Table26[[#This Row],[Temperature (C)]]/(1-SQRT((Table26[[#This Row],[Temperature (C)]]-5)/Table26[[#This Row],[Temperature (C)]])))/Table26[[#This Row],[b]]</f>
        <v>#DIV/0!</v>
      </c>
      <c r="AU411" s="13">
        <f>IF(Table26[[#This Row],[b]]&lt;&gt;"",Table26[[#This Row],[T-5]], 0)</f>
        <v>0</v>
      </c>
      <c r="AV411" s="13">
        <v>10</v>
      </c>
      <c r="AW411" s="13">
        <v>350</v>
      </c>
      <c r="AY411" t="s">
        <v>503</v>
      </c>
      <c r="AZ411" s="13">
        <v>15.778251599147101</v>
      </c>
      <c r="BA411" s="13">
        <v>61.418008538840603</v>
      </c>
      <c r="BB411" s="13">
        <v>14.285714285714301</v>
      </c>
      <c r="BC411" s="13">
        <v>60.949684280491802</v>
      </c>
      <c r="BE411" s="13">
        <v>1.07334525939179</v>
      </c>
      <c r="BI411" s="13">
        <v>71.900000000000006</v>
      </c>
      <c r="BJ411" s="13">
        <v>7.6</v>
      </c>
      <c r="BK411" s="13">
        <v>14.8</v>
      </c>
      <c r="BL411" s="13">
        <v>5.7</v>
      </c>
      <c r="BN411" s="13">
        <v>33.1</v>
      </c>
      <c r="BP411" s="13">
        <v>32.799999999999997</v>
      </c>
      <c r="BQ411" s="13" t="s">
        <v>506</v>
      </c>
      <c r="CV411" s="13">
        <v>0</v>
      </c>
    </row>
    <row r="412" spans="1:100" x14ac:dyDescent="0.25">
      <c r="A412" t="s">
        <v>364</v>
      </c>
      <c r="B412" t="s">
        <v>282</v>
      </c>
      <c r="C412">
        <v>2019</v>
      </c>
      <c r="D412" t="s">
        <v>288</v>
      </c>
      <c r="E412">
        <v>1</v>
      </c>
      <c r="F412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412" s="13">
        <v>100</v>
      </c>
      <c r="O41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412" s="13">
        <v>44.5</v>
      </c>
      <c r="AC412" s="13">
        <v>6.6</v>
      </c>
      <c r="AD412" s="13">
        <v>42.3</v>
      </c>
      <c r="AE412" s="13">
        <v>6.6</v>
      </c>
      <c r="AH412" s="13">
        <v>18.7</v>
      </c>
      <c r="AI412" s="13">
        <v>4.1000000000000003E-3</v>
      </c>
      <c r="AL412" s="13">
        <v>5</v>
      </c>
      <c r="AT412" s="13" t="e">
        <f>LN(25/Table26[[#This Row],[Temperature (C)]]/(1-SQRT((Table26[[#This Row],[Temperature (C)]]-5)/Table26[[#This Row],[Temperature (C)]])))/Table26[[#This Row],[b]]</f>
        <v>#DIV/0!</v>
      </c>
      <c r="AU412" s="13">
        <f>IF(Table26[[#This Row],[b]]&lt;&gt;"",Table26[[#This Row],[T-5]], 0)</f>
        <v>0</v>
      </c>
      <c r="AV412" s="13">
        <v>31.6</v>
      </c>
      <c r="AW412" s="13">
        <v>350</v>
      </c>
      <c r="AY412" t="s">
        <v>503</v>
      </c>
      <c r="AZ412" s="13">
        <v>14.285714285714199</v>
      </c>
      <c r="BA412" s="13">
        <v>64.803864330933806</v>
      </c>
      <c r="BB412" s="13">
        <v>10.5494505494505</v>
      </c>
      <c r="BC412" s="13">
        <v>64.749750747756707</v>
      </c>
      <c r="BE412" s="13">
        <v>1.61001788908765</v>
      </c>
      <c r="BI412" s="13">
        <v>74.5</v>
      </c>
      <c r="BJ412" s="13">
        <v>8.3000000000000007</v>
      </c>
      <c r="BK412" s="13">
        <v>12</v>
      </c>
      <c r="BL412" s="13">
        <v>5.2</v>
      </c>
      <c r="BN412" s="13">
        <v>35.4</v>
      </c>
      <c r="BP412" s="13">
        <v>37</v>
      </c>
      <c r="BQ412" s="13" t="s">
        <v>506</v>
      </c>
      <c r="CV412" s="13">
        <v>0</v>
      </c>
    </row>
    <row r="413" spans="1:100" x14ac:dyDescent="0.25">
      <c r="A413" t="s">
        <v>364</v>
      </c>
      <c r="B413" t="s">
        <v>282</v>
      </c>
      <c r="C413">
        <v>2019</v>
      </c>
      <c r="D413" t="s">
        <v>288</v>
      </c>
      <c r="E413">
        <v>1</v>
      </c>
      <c r="F413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413" s="13">
        <v>100</v>
      </c>
      <c r="O41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413" s="13">
        <v>44.5</v>
      </c>
      <c r="AC413" s="13">
        <v>6.6</v>
      </c>
      <c r="AD413" s="13">
        <v>42.3</v>
      </c>
      <c r="AE413" s="13">
        <v>6.6</v>
      </c>
      <c r="AH413" s="13">
        <v>18.7</v>
      </c>
      <c r="AI413" s="13">
        <v>4.1000000000000003E-3</v>
      </c>
      <c r="AL413" s="13">
        <v>5</v>
      </c>
      <c r="AT413" s="13" t="e">
        <f>LN(25/Table26[[#This Row],[Temperature (C)]]/(1-SQRT((Table26[[#This Row],[Temperature (C)]]-5)/Table26[[#This Row],[Temperature (C)]])))/Table26[[#This Row],[b]]</f>
        <v>#DIV/0!</v>
      </c>
      <c r="AU413" s="13">
        <f>IF(Table26[[#This Row],[b]]&lt;&gt;"",Table26[[#This Row],[T-5]], 0)</f>
        <v>0</v>
      </c>
      <c r="AV413" s="13">
        <v>100</v>
      </c>
      <c r="AW413" s="13">
        <v>350</v>
      </c>
      <c r="AY413" t="s">
        <v>503</v>
      </c>
      <c r="AZ413" s="13">
        <v>15.138592750533</v>
      </c>
      <c r="BA413" s="13">
        <v>60.760798306582799</v>
      </c>
      <c r="BB413" s="13">
        <v>4.4505494505494596</v>
      </c>
      <c r="BC413" s="13">
        <v>70.902758391492199</v>
      </c>
      <c r="BE413" s="13">
        <v>2.6833631484794198</v>
      </c>
      <c r="BI413" s="13">
        <v>74.400000000000006</v>
      </c>
      <c r="BJ413" s="13">
        <v>8.5</v>
      </c>
      <c r="BK413" s="13">
        <v>11.7</v>
      </c>
      <c r="BL413" s="13">
        <v>5.3</v>
      </c>
      <c r="BN413" s="13">
        <v>35.700000000000003</v>
      </c>
      <c r="BP413" s="13">
        <v>34.9</v>
      </c>
      <c r="BQ413" s="13" t="s">
        <v>506</v>
      </c>
      <c r="CV413" s="13">
        <v>0</v>
      </c>
    </row>
    <row r="414" spans="1:100" x14ac:dyDescent="0.25">
      <c r="A414" t="s">
        <v>364</v>
      </c>
      <c r="B414" t="s">
        <v>282</v>
      </c>
      <c r="C414">
        <v>2019</v>
      </c>
      <c r="D414" t="s">
        <v>288</v>
      </c>
      <c r="E414">
        <v>1</v>
      </c>
      <c r="F414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414" s="13">
        <v>100</v>
      </c>
      <c r="O41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414" s="13">
        <v>44.5</v>
      </c>
      <c r="AC414" s="13">
        <v>6.6</v>
      </c>
      <c r="AD414" s="13">
        <v>42.3</v>
      </c>
      <c r="AE414" s="13">
        <v>6.6</v>
      </c>
      <c r="AH414" s="13">
        <v>18.7</v>
      </c>
      <c r="AI414" s="13">
        <v>4.1000000000000003E-3</v>
      </c>
      <c r="AL414" s="13">
        <v>5</v>
      </c>
      <c r="AT414" s="13" t="e">
        <f>LN(25/Table26[[#This Row],[Temperature (C)]]/(1-SQRT((Table26[[#This Row],[Temperature (C)]]-5)/Table26[[#This Row],[Temperature (C)]])))/Table26[[#This Row],[b]]</f>
        <v>#DIV/0!</v>
      </c>
      <c r="AU414" s="13">
        <f>IF(Table26[[#This Row],[b]]&lt;&gt;"",Table26[[#This Row],[T-5]], 0)</f>
        <v>0</v>
      </c>
      <c r="AV414" s="13">
        <v>1</v>
      </c>
      <c r="AW414" s="13">
        <v>400</v>
      </c>
      <c r="AY414" t="s">
        <v>503</v>
      </c>
      <c r="AZ414" s="13">
        <v>73.134328358208904</v>
      </c>
      <c r="BA414" s="13">
        <v>23.598902801378902</v>
      </c>
      <c r="BB414" s="13">
        <v>5.2747252747252897</v>
      </c>
      <c r="BC414" s="13">
        <v>17.271385842472501</v>
      </c>
      <c r="BE414" s="13">
        <v>2.32558139534882</v>
      </c>
      <c r="BQ414" s="13" t="s">
        <v>506</v>
      </c>
      <c r="CV414" s="13">
        <v>0</v>
      </c>
    </row>
    <row r="415" spans="1:100" x14ac:dyDescent="0.25">
      <c r="A415" t="s">
        <v>364</v>
      </c>
      <c r="B415" t="s">
        <v>282</v>
      </c>
      <c r="C415">
        <v>2019</v>
      </c>
      <c r="D415" t="s">
        <v>288</v>
      </c>
      <c r="E415">
        <v>1</v>
      </c>
      <c r="F415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415" s="13">
        <v>100</v>
      </c>
      <c r="O41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415" s="13">
        <v>44.5</v>
      </c>
      <c r="AC415" s="13">
        <v>6.6</v>
      </c>
      <c r="AD415" s="13">
        <v>42.3</v>
      </c>
      <c r="AE415" s="13">
        <v>6.6</v>
      </c>
      <c r="AH415" s="13">
        <v>18.7</v>
      </c>
      <c r="AI415" s="13">
        <v>4.1000000000000003E-3</v>
      </c>
      <c r="AL415" s="13">
        <v>5</v>
      </c>
      <c r="AT415" s="13" t="e">
        <f>LN(25/Table26[[#This Row],[Temperature (C)]]/(1-SQRT((Table26[[#This Row],[Temperature (C)]]-5)/Table26[[#This Row],[Temperature (C)]])))/Table26[[#This Row],[b]]</f>
        <v>#DIV/0!</v>
      </c>
      <c r="AU415" s="13">
        <f>IF(Table26[[#This Row],[b]]&lt;&gt;"",Table26[[#This Row],[T-5]], 0)</f>
        <v>0</v>
      </c>
      <c r="AV415" s="13">
        <v>3.2</v>
      </c>
      <c r="AW415" s="13">
        <v>400</v>
      </c>
      <c r="AY415" t="s">
        <v>503</v>
      </c>
      <c r="AZ415" s="13">
        <v>16.631130063965799</v>
      </c>
      <c r="BA415" s="13">
        <v>75.746170078832606</v>
      </c>
      <c r="BB415" s="13">
        <v>14.945054945054901</v>
      </c>
      <c r="BC415" s="13">
        <v>53.8560319042871</v>
      </c>
      <c r="BE415" s="13">
        <v>7.5134168157424002</v>
      </c>
      <c r="BQ415" s="13">
        <v>12.654707272980115</v>
      </c>
      <c r="CV415" s="13">
        <v>0</v>
      </c>
    </row>
    <row r="416" spans="1:100" x14ac:dyDescent="0.25">
      <c r="A416" t="s">
        <v>364</v>
      </c>
      <c r="B416" t="s">
        <v>282</v>
      </c>
      <c r="C416">
        <v>2019</v>
      </c>
      <c r="D416" t="s">
        <v>288</v>
      </c>
      <c r="E416">
        <v>1</v>
      </c>
      <c r="F416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416" s="13">
        <v>100</v>
      </c>
      <c r="O41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416" s="13">
        <v>44.5</v>
      </c>
      <c r="AC416" s="13">
        <v>6.6</v>
      </c>
      <c r="AD416" s="13">
        <v>42.3</v>
      </c>
      <c r="AE416" s="13">
        <v>6.6</v>
      </c>
      <c r="AH416" s="13">
        <v>18.7</v>
      </c>
      <c r="AI416" s="13">
        <v>4.1000000000000003E-3</v>
      </c>
      <c r="AL416" s="13">
        <v>5</v>
      </c>
      <c r="AT416" s="13" t="e">
        <f>LN(25/Table26[[#This Row],[Temperature (C)]]/(1-SQRT((Table26[[#This Row],[Temperature (C)]]-5)/Table26[[#This Row],[Temperature (C)]])))/Table26[[#This Row],[b]]</f>
        <v>#DIV/0!</v>
      </c>
      <c r="AU416" s="13">
        <f>IF(Table26[[#This Row],[b]]&lt;&gt;"",Table26[[#This Row],[T-5]], 0)</f>
        <v>0</v>
      </c>
      <c r="AV416" s="13">
        <v>5.6</v>
      </c>
      <c r="AW416" s="13">
        <v>400</v>
      </c>
      <c r="AY416" t="s">
        <v>503</v>
      </c>
      <c r="AZ416" s="13">
        <v>15.565031982942401</v>
      </c>
      <c r="BA416" s="13">
        <v>63.5347799568817</v>
      </c>
      <c r="BB416" s="13">
        <v>11.703296703296701</v>
      </c>
      <c r="BC416" s="13">
        <v>61.716716517115302</v>
      </c>
      <c r="BE416" s="13">
        <v>8.2289803220035704</v>
      </c>
      <c r="BQ416" s="13">
        <v>12.759807295251202</v>
      </c>
      <c r="CV416" s="13">
        <v>0</v>
      </c>
    </row>
    <row r="417" spans="1:100" x14ac:dyDescent="0.25">
      <c r="A417" t="s">
        <v>364</v>
      </c>
      <c r="B417" t="s">
        <v>282</v>
      </c>
      <c r="C417">
        <v>2019</v>
      </c>
      <c r="D417" t="s">
        <v>288</v>
      </c>
      <c r="E417">
        <v>1</v>
      </c>
      <c r="F41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417" s="13">
        <v>100</v>
      </c>
      <c r="O41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417" s="13">
        <v>44.5</v>
      </c>
      <c r="AC417" s="13">
        <v>6.6</v>
      </c>
      <c r="AD417" s="13">
        <v>42.3</v>
      </c>
      <c r="AE417" s="13">
        <v>6.6</v>
      </c>
      <c r="AH417" s="13">
        <v>18.7</v>
      </c>
      <c r="AI417" s="13">
        <v>4.1000000000000003E-3</v>
      </c>
      <c r="AL417" s="13">
        <v>5</v>
      </c>
      <c r="AT417" s="13" t="e">
        <f>LN(25/Table26[[#This Row],[Temperature (C)]]/(1-SQRT((Table26[[#This Row],[Temperature (C)]]-5)/Table26[[#This Row],[Temperature (C)]])))/Table26[[#This Row],[b]]</f>
        <v>#DIV/0!</v>
      </c>
      <c r="AU417" s="13">
        <f>IF(Table26[[#This Row],[b]]&lt;&gt;"",Table26[[#This Row],[T-5]], 0)</f>
        <v>0</v>
      </c>
      <c r="AV417" s="13">
        <v>7.9</v>
      </c>
      <c r="AW417" s="13">
        <v>400</v>
      </c>
      <c r="AY417" t="s">
        <v>503</v>
      </c>
      <c r="AZ417" s="13">
        <v>14.7121535181236</v>
      </c>
      <c r="BA417" s="13">
        <v>60.283953959406197</v>
      </c>
      <c r="BB417" s="13">
        <v>10.4945054945055</v>
      </c>
      <c r="BC417" s="13">
        <v>65.178065802592201</v>
      </c>
      <c r="BE417" s="13">
        <v>7.5134168157423797</v>
      </c>
      <c r="BQ417" s="13">
        <v>12.103039389396212</v>
      </c>
      <c r="CV417" s="13">
        <v>0</v>
      </c>
    </row>
    <row r="418" spans="1:100" x14ac:dyDescent="0.25">
      <c r="A418" t="s">
        <v>364</v>
      </c>
      <c r="B418" t="s">
        <v>282</v>
      </c>
      <c r="C418">
        <v>2019</v>
      </c>
      <c r="D418" t="s">
        <v>288</v>
      </c>
      <c r="E418">
        <v>1</v>
      </c>
      <c r="F418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418" s="13">
        <v>100</v>
      </c>
      <c r="O41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418" s="13">
        <v>44.5</v>
      </c>
      <c r="AC418" s="13">
        <v>6.6</v>
      </c>
      <c r="AD418" s="13">
        <v>42.3</v>
      </c>
      <c r="AE418" s="13">
        <v>6.6</v>
      </c>
      <c r="AH418" s="13">
        <v>18.7</v>
      </c>
      <c r="AI418" s="13">
        <v>4.1000000000000003E-3</v>
      </c>
      <c r="AL418" s="13">
        <v>5</v>
      </c>
      <c r="AT418" s="13" t="e">
        <f>LN(25/Table26[[#This Row],[Temperature (C)]]/(1-SQRT((Table26[[#This Row],[Temperature (C)]]-5)/Table26[[#This Row],[Temperature (C)]])))/Table26[[#This Row],[b]]</f>
        <v>#DIV/0!</v>
      </c>
      <c r="AU418" s="13">
        <f>IF(Table26[[#This Row],[b]]&lt;&gt;"",Table26[[#This Row],[T-5]], 0)</f>
        <v>0</v>
      </c>
      <c r="AV418" s="13">
        <v>10</v>
      </c>
      <c r="AW418" s="13">
        <v>400</v>
      </c>
      <c r="AY418" t="s">
        <v>503</v>
      </c>
      <c r="AZ418" s="13">
        <v>14.9253731343283</v>
      </c>
      <c r="BA418" s="13">
        <v>59.132286798065202</v>
      </c>
      <c r="BB418" s="13">
        <v>10.6043956043956</v>
      </c>
      <c r="BC418" s="13">
        <v>65.655832502492501</v>
      </c>
      <c r="BE418" s="13">
        <v>7.8711985688729804</v>
      </c>
      <c r="BQ418" s="13">
        <v>12.001600213361781</v>
      </c>
      <c r="CV418" s="13">
        <v>0</v>
      </c>
    </row>
    <row r="419" spans="1:100" x14ac:dyDescent="0.25">
      <c r="A419" t="s">
        <v>364</v>
      </c>
      <c r="B419" t="s">
        <v>282</v>
      </c>
      <c r="C419">
        <v>2019</v>
      </c>
      <c r="D419" t="s">
        <v>288</v>
      </c>
      <c r="E419">
        <v>1</v>
      </c>
      <c r="F419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419" s="13">
        <v>100</v>
      </c>
      <c r="O41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419" s="13">
        <v>44.5</v>
      </c>
      <c r="AC419" s="13">
        <v>6.6</v>
      </c>
      <c r="AD419" s="13">
        <v>42.3</v>
      </c>
      <c r="AE419" s="13">
        <v>6.6</v>
      </c>
      <c r="AH419" s="13">
        <v>18.7</v>
      </c>
      <c r="AI419" s="13">
        <v>4.1000000000000003E-3</v>
      </c>
      <c r="AL419" s="13">
        <v>5</v>
      </c>
      <c r="AT419" s="13" t="e">
        <f>LN(25/Table26[[#This Row],[Temperature (C)]]/(1-SQRT((Table26[[#This Row],[Temperature (C)]]-5)/Table26[[#This Row],[Temperature (C)]])))/Table26[[#This Row],[b]]</f>
        <v>#DIV/0!</v>
      </c>
      <c r="AU419" s="13">
        <f>IF(Table26[[#This Row],[b]]&lt;&gt;"",Table26[[#This Row],[T-5]], 0)</f>
        <v>0</v>
      </c>
      <c r="AV419" s="13">
        <v>1</v>
      </c>
      <c r="AW419" s="13">
        <v>450</v>
      </c>
      <c r="AY419" t="s">
        <v>503</v>
      </c>
      <c r="AZ419" s="13">
        <v>18.3368869936034</v>
      </c>
      <c r="BA419" s="13">
        <v>49.312946226178099</v>
      </c>
      <c r="BB419" s="13">
        <v>13.4615384615384</v>
      </c>
      <c r="BC419" s="13">
        <v>61.506945829179102</v>
      </c>
      <c r="BE419" s="13">
        <v>7.8260869565216904</v>
      </c>
      <c r="BQ419" s="13">
        <v>12.368856985091112</v>
      </c>
      <c r="CV419" s="13">
        <v>0</v>
      </c>
    </row>
    <row r="420" spans="1:100" x14ac:dyDescent="0.25">
      <c r="A420" t="s">
        <v>364</v>
      </c>
      <c r="B420" t="s">
        <v>282</v>
      </c>
      <c r="C420">
        <v>2019</v>
      </c>
      <c r="D420" t="s">
        <v>288</v>
      </c>
      <c r="E420">
        <v>1</v>
      </c>
      <c r="F420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420" s="13">
        <v>100</v>
      </c>
      <c r="O42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420" s="13">
        <v>44.5</v>
      </c>
      <c r="AC420" s="13">
        <v>6.6</v>
      </c>
      <c r="AD420" s="13">
        <v>42.3</v>
      </c>
      <c r="AE420" s="13">
        <v>6.6</v>
      </c>
      <c r="AH420" s="13">
        <v>18.7</v>
      </c>
      <c r="AI420" s="13">
        <v>4.1000000000000003E-3</v>
      </c>
      <c r="AL420" s="13">
        <v>5</v>
      </c>
      <c r="AT420" s="13" t="e">
        <f>LN(25/Table26[[#This Row],[Temperature (C)]]/(1-SQRT((Table26[[#This Row],[Temperature (C)]]-5)/Table26[[#This Row],[Temperature (C)]])))/Table26[[#This Row],[b]]</f>
        <v>#DIV/0!</v>
      </c>
      <c r="AU420" s="13">
        <f>IF(Table26[[#This Row],[b]]&lt;&gt;"",Table26[[#This Row],[T-5]], 0)</f>
        <v>0</v>
      </c>
      <c r="AV420" s="13">
        <v>3.2</v>
      </c>
      <c r="AW420" s="13">
        <v>450</v>
      </c>
      <c r="AY420" t="s">
        <v>503</v>
      </c>
      <c r="AZ420" s="13">
        <v>17.270788912579899</v>
      </c>
      <c r="BA420" s="13">
        <v>76.508077325757696</v>
      </c>
      <c r="BB420" s="13">
        <v>11.4285714285714</v>
      </c>
      <c r="BC420" s="13">
        <v>56.522964440013197</v>
      </c>
      <c r="BE420" s="13">
        <v>8.6956521739130093</v>
      </c>
      <c r="BQ420" s="13">
        <v>11.99131850244167</v>
      </c>
      <c r="CV420" s="13">
        <v>0</v>
      </c>
    </row>
    <row r="421" spans="1:100" x14ac:dyDescent="0.25">
      <c r="A421" t="s">
        <v>364</v>
      </c>
      <c r="B421" t="s">
        <v>282</v>
      </c>
      <c r="C421">
        <v>2019</v>
      </c>
      <c r="D421" t="s">
        <v>288</v>
      </c>
      <c r="E421">
        <v>1</v>
      </c>
      <c r="F421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421" s="13">
        <v>100</v>
      </c>
      <c r="O42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421" s="13">
        <v>44.5</v>
      </c>
      <c r="AC421" s="13">
        <v>6.6</v>
      </c>
      <c r="AD421" s="13">
        <v>42.3</v>
      </c>
      <c r="AE421" s="13">
        <v>6.6</v>
      </c>
      <c r="AH421" s="13">
        <v>18.7</v>
      </c>
      <c r="AI421" s="13">
        <v>4.1000000000000003E-3</v>
      </c>
      <c r="AL421" s="13">
        <v>5</v>
      </c>
      <c r="AT421" s="13" t="e">
        <f>LN(25/Table26[[#This Row],[Temperature (C)]]/(1-SQRT((Table26[[#This Row],[Temperature (C)]]-5)/Table26[[#This Row],[Temperature (C)]])))/Table26[[#This Row],[b]]</f>
        <v>#DIV/0!</v>
      </c>
      <c r="AU421" s="13">
        <f>IF(Table26[[#This Row],[b]]&lt;&gt;"",Table26[[#This Row],[T-5]], 0)</f>
        <v>0</v>
      </c>
      <c r="AV421" s="13">
        <v>5.6</v>
      </c>
      <c r="AW421" s="13">
        <v>450</v>
      </c>
      <c r="AY421" t="s">
        <v>503</v>
      </c>
      <c r="AZ421" s="13">
        <v>16.204690831556501</v>
      </c>
      <c r="BA421" s="13">
        <v>54.582369805511398</v>
      </c>
      <c r="BB421" s="13">
        <v>7.9670329670329698</v>
      </c>
      <c r="BC421" s="13">
        <v>67.520372216683199</v>
      </c>
      <c r="BE421" s="13">
        <v>9.0434782608695201</v>
      </c>
      <c r="BQ421" s="13">
        <v>11.599462365591398</v>
      </c>
      <c r="CV421" s="13">
        <v>0</v>
      </c>
    </row>
    <row r="422" spans="1:100" x14ac:dyDescent="0.25">
      <c r="A422" t="s">
        <v>364</v>
      </c>
      <c r="B422" t="s">
        <v>282</v>
      </c>
      <c r="C422">
        <v>2019</v>
      </c>
      <c r="D422" t="s">
        <v>288</v>
      </c>
      <c r="E422">
        <v>1</v>
      </c>
      <c r="F422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422" s="13">
        <v>100</v>
      </c>
      <c r="O42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422" s="13">
        <v>44.5</v>
      </c>
      <c r="AC422" s="13">
        <v>6.6</v>
      </c>
      <c r="AD422" s="13">
        <v>42.3</v>
      </c>
      <c r="AE422" s="13">
        <v>6.6</v>
      </c>
      <c r="AH422" s="13">
        <v>18.7</v>
      </c>
      <c r="AI422" s="13">
        <v>4.1000000000000003E-3</v>
      </c>
      <c r="AL422" s="13">
        <v>5</v>
      </c>
      <c r="AT422" s="13" t="e">
        <f>LN(25/Table26[[#This Row],[Temperature (C)]]/(1-SQRT((Table26[[#This Row],[Temperature (C)]]-5)/Table26[[#This Row],[Temperature (C)]])))/Table26[[#This Row],[b]]</f>
        <v>#DIV/0!</v>
      </c>
      <c r="AU422" s="13">
        <f>IF(Table26[[#This Row],[b]]&lt;&gt;"",Table26[[#This Row],[T-5]], 0)</f>
        <v>0</v>
      </c>
      <c r="AV422" s="13">
        <v>7.9</v>
      </c>
      <c r="AW422" s="13">
        <v>450</v>
      </c>
      <c r="AY422" t="s">
        <v>503</v>
      </c>
      <c r="AZ422" s="13">
        <v>15.3518123667377</v>
      </c>
      <c r="BA422" s="13">
        <v>40.474039380428501</v>
      </c>
      <c r="BB422" s="13">
        <v>8.0769230769230802</v>
      </c>
      <c r="BC422" s="13">
        <v>73.334662678630707</v>
      </c>
      <c r="BE422" s="13">
        <v>9.0434782608695503</v>
      </c>
      <c r="BQ422" s="13">
        <v>11.710996427153633</v>
      </c>
      <c r="CV422" s="13">
        <v>0</v>
      </c>
    </row>
    <row r="423" spans="1:100" x14ac:dyDescent="0.25">
      <c r="A423" t="s">
        <v>364</v>
      </c>
      <c r="B423" t="s">
        <v>282</v>
      </c>
      <c r="C423">
        <v>2019</v>
      </c>
      <c r="D423" t="s">
        <v>288</v>
      </c>
      <c r="E423">
        <v>1</v>
      </c>
      <c r="F423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423" s="13">
        <v>100</v>
      </c>
      <c r="O42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423" s="13">
        <v>44.5</v>
      </c>
      <c r="AC423" s="13">
        <v>6.6</v>
      </c>
      <c r="AD423" s="13">
        <v>42.3</v>
      </c>
      <c r="AE423" s="13">
        <v>6.6</v>
      </c>
      <c r="AH423" s="13">
        <v>18.7</v>
      </c>
      <c r="AI423" s="13">
        <v>4.1000000000000003E-3</v>
      </c>
      <c r="AL423" s="13">
        <v>5</v>
      </c>
      <c r="AT423" s="13" t="e">
        <f>LN(25/Table26[[#This Row],[Temperature (C)]]/(1-SQRT((Table26[[#This Row],[Temperature (C)]]-5)/Table26[[#This Row],[Temperature (C)]])))/Table26[[#This Row],[b]]</f>
        <v>#DIV/0!</v>
      </c>
      <c r="AU423" s="13">
        <f>IF(Table26[[#This Row],[b]]&lt;&gt;"",Table26[[#This Row],[T-5]], 0)</f>
        <v>0</v>
      </c>
      <c r="AV423" s="13">
        <v>10</v>
      </c>
      <c r="AW423" s="13">
        <v>450</v>
      </c>
      <c r="AY423" t="s">
        <v>503</v>
      </c>
      <c r="AZ423" s="13">
        <v>13.6460554371002</v>
      </c>
      <c r="BA423" s="13">
        <v>34.750276419688198</v>
      </c>
      <c r="BB423" s="13">
        <v>7.2527472527472501</v>
      </c>
      <c r="BC423" s="13">
        <v>76.949950149551299</v>
      </c>
      <c r="BE423" s="13">
        <v>7.8671328671328702</v>
      </c>
      <c r="BQ423" s="13">
        <v>12.55482456140351</v>
      </c>
      <c r="CV423" s="13">
        <v>0</v>
      </c>
    </row>
    <row r="424" spans="1:100" x14ac:dyDescent="0.25">
      <c r="A424" t="s">
        <v>364</v>
      </c>
      <c r="B424" t="s">
        <v>282</v>
      </c>
      <c r="C424">
        <v>2019</v>
      </c>
      <c r="D424" t="s">
        <v>288</v>
      </c>
      <c r="E424">
        <v>1</v>
      </c>
      <c r="F424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424" s="13">
        <v>100</v>
      </c>
      <c r="O42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424" s="13">
        <v>44.5</v>
      </c>
      <c r="AC424" s="13">
        <v>6.6</v>
      </c>
      <c r="AD424" s="13">
        <v>42.3</v>
      </c>
      <c r="AE424" s="13">
        <v>6.6</v>
      </c>
      <c r="AH424" s="13">
        <v>18.7</v>
      </c>
      <c r="AI424" s="13">
        <v>4.1000000000000003E-3</v>
      </c>
      <c r="AL424" s="13">
        <v>5</v>
      </c>
      <c r="AT424" s="13" t="e">
        <f>LN(25/Table26[[#This Row],[Temperature (C)]]/(1-SQRT((Table26[[#This Row],[Temperature (C)]]-5)/Table26[[#This Row],[Temperature (C)]])))/Table26[[#This Row],[b]]</f>
        <v>#DIV/0!</v>
      </c>
      <c r="AU424" s="13">
        <f>IF(Table26[[#This Row],[b]]&lt;&gt;"",Table26[[#This Row],[T-5]], 0)</f>
        <v>0</v>
      </c>
      <c r="AV424" s="13">
        <v>1</v>
      </c>
      <c r="AW424" s="13">
        <v>500</v>
      </c>
      <c r="AY424" t="s">
        <v>503</v>
      </c>
      <c r="AZ424" s="13">
        <v>14.285714285714199</v>
      </c>
      <c r="BA424" s="13">
        <v>79.789562262107793</v>
      </c>
      <c r="BB424" s="13">
        <v>21.428571428571399</v>
      </c>
      <c r="BC424" s="13">
        <v>49.114523097374502</v>
      </c>
      <c r="BE424" s="13">
        <v>7.6923076923076996</v>
      </c>
      <c r="BI424" s="13">
        <v>74.400000000000006</v>
      </c>
      <c r="BJ424" s="13">
        <v>8.5</v>
      </c>
      <c r="BK424" s="13">
        <v>11.7</v>
      </c>
      <c r="BL424" s="13">
        <v>5.3</v>
      </c>
      <c r="BN424" s="13">
        <v>35.700000000000003</v>
      </c>
      <c r="BP424" s="13">
        <v>45.2</v>
      </c>
      <c r="BQ424" s="13">
        <v>12.161610665215616</v>
      </c>
      <c r="CV424" s="13">
        <v>0</v>
      </c>
    </row>
    <row r="425" spans="1:100" x14ac:dyDescent="0.25">
      <c r="A425" t="s">
        <v>364</v>
      </c>
      <c r="B425" t="s">
        <v>282</v>
      </c>
      <c r="C425">
        <v>2019</v>
      </c>
      <c r="D425" t="s">
        <v>288</v>
      </c>
      <c r="E425">
        <v>1</v>
      </c>
      <c r="F425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425" s="13">
        <v>100</v>
      </c>
      <c r="O42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425" s="13">
        <v>44.5</v>
      </c>
      <c r="AC425" s="13">
        <v>6.6</v>
      </c>
      <c r="AD425" s="13">
        <v>42.3</v>
      </c>
      <c r="AE425" s="13">
        <v>6.6</v>
      </c>
      <c r="AH425" s="13">
        <v>18.7</v>
      </c>
      <c r="AI425" s="13">
        <v>4.1000000000000003E-3</v>
      </c>
      <c r="AL425" s="13">
        <v>5</v>
      </c>
      <c r="AT425" s="13" t="e">
        <f>LN(25/Table26[[#This Row],[Temperature (C)]]/(1-SQRT((Table26[[#This Row],[Temperature (C)]]-5)/Table26[[#This Row],[Temperature (C)]])))/Table26[[#This Row],[b]]</f>
        <v>#DIV/0!</v>
      </c>
      <c r="AU425" s="13">
        <f>IF(Table26[[#This Row],[b]]&lt;&gt;"",Table26[[#This Row],[T-5]], 0)</f>
        <v>0</v>
      </c>
      <c r="AV425" s="13">
        <v>3.2</v>
      </c>
      <c r="AW425" s="13">
        <v>500</v>
      </c>
      <c r="AY425" t="s">
        <v>503</v>
      </c>
      <c r="AZ425" s="13">
        <v>13.2196162046908</v>
      </c>
      <c r="BA425" s="13">
        <v>51.936242453497798</v>
      </c>
      <c r="BB425" s="13">
        <v>9.39560439560438</v>
      </c>
      <c r="BC425" s="13">
        <v>70.640611498836805</v>
      </c>
      <c r="BE425" s="13">
        <v>9.2657342657342507</v>
      </c>
      <c r="BI425" s="13">
        <v>73.099999999999994</v>
      </c>
      <c r="BJ425" s="13">
        <v>8.8000000000000007</v>
      </c>
      <c r="BK425" s="13">
        <v>12.6</v>
      </c>
      <c r="BL425" s="13">
        <v>5.5</v>
      </c>
      <c r="BN425" s="13">
        <v>35.5</v>
      </c>
      <c r="BP425" s="13">
        <v>29.5</v>
      </c>
      <c r="BQ425" s="13">
        <v>12.256081261694735</v>
      </c>
      <c r="CV425" s="13">
        <v>0</v>
      </c>
    </row>
    <row r="426" spans="1:100" x14ac:dyDescent="0.25">
      <c r="A426" t="s">
        <v>364</v>
      </c>
      <c r="B426" t="s">
        <v>282</v>
      </c>
      <c r="C426">
        <v>2019</v>
      </c>
      <c r="D426" t="s">
        <v>288</v>
      </c>
      <c r="E426">
        <v>1</v>
      </c>
      <c r="F426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426" s="13">
        <v>100</v>
      </c>
      <c r="O42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426" s="13">
        <v>44.5</v>
      </c>
      <c r="AC426" s="13">
        <v>6.6</v>
      </c>
      <c r="AD426" s="13">
        <v>42.3</v>
      </c>
      <c r="AE426" s="13">
        <v>6.6</v>
      </c>
      <c r="AH426" s="13">
        <v>18.7</v>
      </c>
      <c r="AI426" s="13">
        <v>4.1000000000000003E-3</v>
      </c>
      <c r="AL426" s="13">
        <v>5</v>
      </c>
      <c r="AT426" s="13" t="e">
        <f>LN(25/Table26[[#This Row],[Temperature (C)]]/(1-SQRT((Table26[[#This Row],[Temperature (C)]]-5)/Table26[[#This Row],[Temperature (C)]])))/Table26[[#This Row],[b]]</f>
        <v>#DIV/0!</v>
      </c>
      <c r="AU426" s="13">
        <f>IF(Table26[[#This Row],[b]]&lt;&gt;"",Table26[[#This Row],[T-5]], 0)</f>
        <v>0</v>
      </c>
      <c r="AV426" s="13">
        <v>5.6</v>
      </c>
      <c r="AW426" s="13">
        <v>500</v>
      </c>
      <c r="AY426" t="s">
        <v>503</v>
      </c>
      <c r="AZ426" s="13">
        <v>12.793176972281399</v>
      </c>
      <c r="BA426" s="13">
        <v>34.772781385457797</v>
      </c>
      <c r="BB426" s="13">
        <v>9.1758241758241805</v>
      </c>
      <c r="BC426" s="13">
        <v>76.618411432369498</v>
      </c>
      <c r="BE426" s="13">
        <v>8.0419580419580203</v>
      </c>
      <c r="BI426" s="13">
        <v>72.900000000000006</v>
      </c>
      <c r="BJ426" s="13">
        <v>8.9</v>
      </c>
      <c r="BK426" s="13">
        <v>12.8</v>
      </c>
      <c r="BL426" s="13">
        <v>5.4</v>
      </c>
      <c r="BN426" s="13">
        <v>35.6</v>
      </c>
      <c r="BP426" s="13">
        <v>19.7</v>
      </c>
      <c r="BQ426" s="13">
        <v>12.007952286282306</v>
      </c>
      <c r="CV426" s="13">
        <v>0</v>
      </c>
    </row>
    <row r="427" spans="1:100" x14ac:dyDescent="0.25">
      <c r="A427" t="s">
        <v>364</v>
      </c>
      <c r="B427" t="s">
        <v>282</v>
      </c>
      <c r="C427">
        <v>2019</v>
      </c>
      <c r="D427" t="s">
        <v>288</v>
      </c>
      <c r="E427">
        <v>1</v>
      </c>
      <c r="F42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427" s="13">
        <v>100</v>
      </c>
      <c r="O42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427" s="13">
        <v>44.5</v>
      </c>
      <c r="AC427" s="13">
        <v>6.6</v>
      </c>
      <c r="AD427" s="13">
        <v>42.3</v>
      </c>
      <c r="AE427" s="13">
        <v>6.6</v>
      </c>
      <c r="AH427" s="13">
        <v>18.7</v>
      </c>
      <c r="AI427" s="13">
        <v>4.1000000000000003E-3</v>
      </c>
      <c r="AL427" s="13">
        <v>5</v>
      </c>
      <c r="AT427" s="13" t="e">
        <f>LN(25/Table26[[#This Row],[Temperature (C)]]/(1-SQRT((Table26[[#This Row],[Temperature (C)]]-5)/Table26[[#This Row],[Temperature (C)]])))/Table26[[#This Row],[b]]</f>
        <v>#DIV/0!</v>
      </c>
      <c r="AU427" s="13">
        <f>IF(Table26[[#This Row],[b]]&lt;&gt;"",Table26[[#This Row],[T-5]], 0)</f>
        <v>0</v>
      </c>
      <c r="AV427" s="13">
        <v>7.9</v>
      </c>
      <c r="AW427" s="13">
        <v>500</v>
      </c>
      <c r="AY427" t="s">
        <v>503</v>
      </c>
      <c r="AZ427" s="13">
        <v>13.6460554371002</v>
      </c>
      <c r="BA427" s="13">
        <v>33.426723505295101</v>
      </c>
      <c r="BB427" s="13">
        <v>7.3076923076923199</v>
      </c>
      <c r="BC427" s="13">
        <v>77.413359920239202</v>
      </c>
      <c r="BE427" s="13">
        <v>50.0980392156862</v>
      </c>
      <c r="BI427" s="13">
        <v>72.400000000000006</v>
      </c>
      <c r="BJ427" s="13">
        <v>9.1</v>
      </c>
      <c r="BK427" s="13">
        <v>13.3</v>
      </c>
      <c r="BL427" s="13">
        <v>5.2</v>
      </c>
      <c r="BN427" s="13">
        <v>35.700000000000003</v>
      </c>
      <c r="BP427" s="13">
        <v>19.3</v>
      </c>
      <c r="BQ427" s="13" t="s">
        <v>506</v>
      </c>
      <c r="CV427" s="13">
        <v>0</v>
      </c>
    </row>
    <row r="428" spans="1:100" x14ac:dyDescent="0.25">
      <c r="A428" t="s">
        <v>364</v>
      </c>
      <c r="B428" t="s">
        <v>282</v>
      </c>
      <c r="C428">
        <v>2019</v>
      </c>
      <c r="D428" t="s">
        <v>288</v>
      </c>
      <c r="E428">
        <v>1</v>
      </c>
      <c r="F428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H428" s="13">
        <v>100</v>
      </c>
      <c r="O42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428" s="13">
        <v>44.5</v>
      </c>
      <c r="AC428" s="13">
        <v>6.6</v>
      </c>
      <c r="AD428" s="13">
        <v>42.3</v>
      </c>
      <c r="AE428" s="13">
        <v>6.6</v>
      </c>
      <c r="AH428" s="13">
        <v>18.7</v>
      </c>
      <c r="AI428" s="13">
        <v>4.1000000000000003E-3</v>
      </c>
      <c r="AL428" s="13">
        <v>5</v>
      </c>
      <c r="AT428" s="13" t="e">
        <f>LN(25/Table26[[#This Row],[Temperature (C)]]/(1-SQRT((Table26[[#This Row],[Temperature (C)]]-5)/Table26[[#This Row],[Temperature (C)]])))/Table26[[#This Row],[b]]</f>
        <v>#DIV/0!</v>
      </c>
      <c r="AU428" s="13">
        <f>IF(Table26[[#This Row],[b]]&lt;&gt;"",Table26[[#This Row],[T-5]], 0)</f>
        <v>0</v>
      </c>
      <c r="AV428" s="13">
        <v>10</v>
      </c>
      <c r="AW428" s="13">
        <v>500</v>
      </c>
      <c r="AY428" t="s">
        <v>503</v>
      </c>
      <c r="AZ428" s="13">
        <v>12.793176972281399</v>
      </c>
      <c r="BA428" s="13">
        <v>27.322659238940702</v>
      </c>
      <c r="BB428" s="13">
        <v>7.3626373626373702</v>
      </c>
      <c r="BC428" s="13">
        <v>80.714390162844794</v>
      </c>
      <c r="BE428" s="13">
        <v>45.196078431372499</v>
      </c>
      <c r="BI428" s="13">
        <v>71.599999999999994</v>
      </c>
      <c r="BJ428" s="13">
        <v>9.3000000000000007</v>
      </c>
      <c r="BK428" s="13">
        <v>14.4</v>
      </c>
      <c r="BL428" s="13">
        <v>4.8</v>
      </c>
      <c r="BN428" s="13">
        <v>35.6</v>
      </c>
      <c r="BP428" s="13">
        <v>15.5</v>
      </c>
      <c r="BQ428" s="13" t="s">
        <v>506</v>
      </c>
      <c r="CV428" s="13">
        <v>0</v>
      </c>
    </row>
    <row r="429" spans="1:100" x14ac:dyDescent="0.25">
      <c r="A429" t="s">
        <v>365</v>
      </c>
      <c r="B429" t="s">
        <v>362</v>
      </c>
      <c r="C429">
        <v>2017</v>
      </c>
      <c r="D429" t="s">
        <v>366</v>
      </c>
      <c r="E429">
        <v>1</v>
      </c>
      <c r="F429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429" s="13">
        <v>100</v>
      </c>
      <c r="O42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429" s="13">
        <v>1.2999999999999999E-3</v>
      </c>
      <c r="AL429" s="13">
        <v>10</v>
      </c>
      <c r="AM429" s="13">
        <f t="shared" ref="AM429:AM456" si="5">4*60</f>
        <v>240</v>
      </c>
      <c r="AP429" s="13">
        <v>3.0640000000000001</v>
      </c>
      <c r="AT429" s="13">
        <f>LN(25/Table26[[#This Row],[Temperature (C)]]/(1-SQRT((Table26[[#This Row],[Temperature (C)]]-5)/Table26[[#This Row],[Temperature (C)]])))/Table26[[#This Row],[b]]</f>
        <v>0.74943722971459248</v>
      </c>
      <c r="AU429" s="13">
        <f>IF(Table26[[#This Row],[b]]&lt;&gt;"",Table26[[#This Row],[T-5]], 0)</f>
        <v>0.74943722971459248</v>
      </c>
      <c r="AV429" s="13">
        <v>1</v>
      </c>
      <c r="AW429" s="13">
        <v>200</v>
      </c>
      <c r="AY429" t="s">
        <v>503</v>
      </c>
      <c r="AZ429" s="13">
        <v>76.400000000000006</v>
      </c>
      <c r="BE429" s="13">
        <v>47.254901960784302</v>
      </c>
      <c r="BQ429" s="13" t="s">
        <v>506</v>
      </c>
      <c r="CV429" s="13">
        <v>0</v>
      </c>
    </row>
    <row r="430" spans="1:100" x14ac:dyDescent="0.25">
      <c r="A430" t="s">
        <v>365</v>
      </c>
      <c r="B430" t="s">
        <v>362</v>
      </c>
      <c r="C430">
        <v>2017</v>
      </c>
      <c r="D430" t="s">
        <v>366</v>
      </c>
      <c r="E430">
        <v>1</v>
      </c>
      <c r="F430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430" s="13">
        <v>100</v>
      </c>
      <c r="O43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430" s="13">
        <v>1.2999999999999999E-3</v>
      </c>
      <c r="AL430" s="13">
        <v>10</v>
      </c>
      <c r="AM430" s="13">
        <f t="shared" si="5"/>
        <v>240</v>
      </c>
      <c r="AP430" s="13">
        <v>3.0640000000000001</v>
      </c>
      <c r="AT430" s="13">
        <f>LN(25/Table26[[#This Row],[Temperature (C)]]/(1-SQRT((Table26[[#This Row],[Temperature (C)]]-5)/Table26[[#This Row],[Temperature (C)]])))/Table26[[#This Row],[b]]</f>
        <v>0.74943722971459248</v>
      </c>
      <c r="AU430" s="13">
        <f>IF(Table26[[#This Row],[b]]&lt;&gt;"",Table26[[#This Row],[T-5]], 0)</f>
        <v>0.74943722971459248</v>
      </c>
      <c r="AV430" s="13">
        <v>5</v>
      </c>
      <c r="AW430" s="13">
        <v>200</v>
      </c>
      <c r="AY430" t="s">
        <v>503</v>
      </c>
      <c r="AZ430" s="13">
        <v>20.5</v>
      </c>
      <c r="BE430" s="13">
        <v>43.431372549019599</v>
      </c>
      <c r="BQ430" s="13" t="s">
        <v>506</v>
      </c>
      <c r="CV430" s="13">
        <v>0</v>
      </c>
    </row>
    <row r="431" spans="1:100" x14ac:dyDescent="0.25">
      <c r="A431" t="s">
        <v>365</v>
      </c>
      <c r="B431" t="s">
        <v>362</v>
      </c>
      <c r="C431">
        <v>2017</v>
      </c>
      <c r="D431" t="s">
        <v>366</v>
      </c>
      <c r="E431">
        <v>1</v>
      </c>
      <c r="F431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431" s="13">
        <v>100</v>
      </c>
      <c r="O43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431" s="13">
        <v>1.2999999999999999E-3</v>
      </c>
      <c r="AL431" s="13">
        <v>10</v>
      </c>
      <c r="AM431" s="13">
        <f t="shared" si="5"/>
        <v>240</v>
      </c>
      <c r="AP431" s="13">
        <v>3.0640000000000001</v>
      </c>
      <c r="AT431" s="13">
        <f>LN(25/Table26[[#This Row],[Temperature (C)]]/(1-SQRT((Table26[[#This Row],[Temperature (C)]]-5)/Table26[[#This Row],[Temperature (C)]])))/Table26[[#This Row],[b]]</f>
        <v>0.74943722971459248</v>
      </c>
      <c r="AU431" s="13">
        <f>IF(Table26[[#This Row],[b]]&lt;&gt;"",Table26[[#This Row],[T-5]], 0)</f>
        <v>0.74943722971459248</v>
      </c>
      <c r="AV431" s="13">
        <v>10</v>
      </c>
      <c r="AW431" s="13">
        <v>200</v>
      </c>
      <c r="AY431" t="s">
        <v>503</v>
      </c>
      <c r="AZ431" s="13">
        <v>17</v>
      </c>
      <c r="BE431" s="13">
        <v>38.627450980392098</v>
      </c>
      <c r="BQ431" s="13" t="s">
        <v>506</v>
      </c>
      <c r="CV431" s="13">
        <v>0</v>
      </c>
    </row>
    <row r="432" spans="1:100" x14ac:dyDescent="0.25">
      <c r="A432" t="s">
        <v>365</v>
      </c>
      <c r="B432" t="s">
        <v>362</v>
      </c>
      <c r="C432">
        <v>2017</v>
      </c>
      <c r="D432" t="s">
        <v>366</v>
      </c>
      <c r="E432">
        <v>1</v>
      </c>
      <c r="F432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432" s="13">
        <v>100</v>
      </c>
      <c r="O43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432" s="13">
        <v>1.2999999999999999E-3</v>
      </c>
      <c r="AL432" s="13">
        <v>10</v>
      </c>
      <c r="AM432" s="13">
        <f t="shared" si="5"/>
        <v>240</v>
      </c>
      <c r="AP432" s="13">
        <v>3.0640000000000001</v>
      </c>
      <c r="AT432" s="13">
        <f>LN(25/Table26[[#This Row],[Temperature (C)]]/(1-SQRT((Table26[[#This Row],[Temperature (C)]]-5)/Table26[[#This Row],[Temperature (C)]])))/Table26[[#This Row],[b]]</f>
        <v>0.74943722971459248</v>
      </c>
      <c r="AU432" s="13">
        <f>IF(Table26[[#This Row],[b]]&lt;&gt;"",Table26[[#This Row],[T-5]], 0)</f>
        <v>0.74943722971459248</v>
      </c>
      <c r="AV432" s="13">
        <v>30</v>
      </c>
      <c r="AW432" s="13">
        <v>200</v>
      </c>
      <c r="AY432" t="s">
        <v>503</v>
      </c>
      <c r="AZ432" s="13">
        <v>10.7</v>
      </c>
      <c r="BA432" s="13">
        <v>0.8</v>
      </c>
      <c r="BE432" s="13">
        <v>31.192052980132399</v>
      </c>
      <c r="BQ432" s="13" t="s">
        <v>506</v>
      </c>
      <c r="CV432" s="13">
        <v>0</v>
      </c>
    </row>
    <row r="433" spans="1:100" x14ac:dyDescent="0.25">
      <c r="A433" t="s">
        <v>365</v>
      </c>
      <c r="B433" t="s">
        <v>362</v>
      </c>
      <c r="C433">
        <v>2017</v>
      </c>
      <c r="D433" t="s">
        <v>366</v>
      </c>
      <c r="E433">
        <v>1</v>
      </c>
      <c r="F433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433" s="13">
        <v>100</v>
      </c>
      <c r="O43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433" s="13">
        <v>1.2999999999999999E-3</v>
      </c>
      <c r="AL433" s="13">
        <v>10</v>
      </c>
      <c r="AM433" s="13">
        <f t="shared" si="5"/>
        <v>240</v>
      </c>
      <c r="AP433" s="13">
        <v>3.0640000000000001</v>
      </c>
      <c r="AT433" s="13">
        <f>LN(25/Table26[[#This Row],[Temperature (C)]]/(1-SQRT((Table26[[#This Row],[Temperature (C)]]-5)/Table26[[#This Row],[Temperature (C)]])))/Table26[[#This Row],[b]]</f>
        <v>0.74943722971459248</v>
      </c>
      <c r="AU433" s="13">
        <f>IF(Table26[[#This Row],[b]]&lt;&gt;"",Table26[[#This Row],[T-5]], 0)</f>
        <v>0.74943722971459248</v>
      </c>
      <c r="AV433" s="13">
        <v>60</v>
      </c>
      <c r="AW433" s="13">
        <v>200</v>
      </c>
      <c r="AY433" t="s">
        <v>503</v>
      </c>
      <c r="AZ433" s="13">
        <v>7.5</v>
      </c>
      <c r="BA433" s="13">
        <v>3</v>
      </c>
      <c r="BE433" s="13">
        <v>40.728476821191997</v>
      </c>
      <c r="BQ433" s="13" t="s">
        <v>506</v>
      </c>
      <c r="CV433" s="13">
        <v>0</v>
      </c>
    </row>
    <row r="434" spans="1:100" x14ac:dyDescent="0.25">
      <c r="A434" t="s">
        <v>365</v>
      </c>
      <c r="B434" t="s">
        <v>362</v>
      </c>
      <c r="C434">
        <v>2017</v>
      </c>
      <c r="D434" t="s">
        <v>366</v>
      </c>
      <c r="E434">
        <v>1</v>
      </c>
      <c r="F434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434" s="13">
        <v>100</v>
      </c>
      <c r="O43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434" s="13">
        <v>1.2999999999999999E-3</v>
      </c>
      <c r="AL434" s="13">
        <v>10</v>
      </c>
      <c r="AM434" s="13">
        <f t="shared" si="5"/>
        <v>240</v>
      </c>
      <c r="AP434" s="13">
        <v>3.0640000000000001</v>
      </c>
      <c r="AT434" s="13">
        <f>LN(25/Table26[[#This Row],[Temperature (C)]]/(1-SQRT((Table26[[#This Row],[Temperature (C)]]-5)/Table26[[#This Row],[Temperature (C)]])))/Table26[[#This Row],[b]]</f>
        <v>0.74985220978415823</v>
      </c>
      <c r="AU434" s="13">
        <f>IF(Table26[[#This Row],[b]]&lt;&gt;"",Table26[[#This Row],[T-5]], 0)</f>
        <v>0.74985220978415823</v>
      </c>
      <c r="AV434" s="13">
        <v>1</v>
      </c>
      <c r="AW434" s="13">
        <v>250</v>
      </c>
      <c r="AY434" t="s">
        <v>503</v>
      </c>
      <c r="AZ434" s="13">
        <v>40.699999999999996</v>
      </c>
      <c r="BA434" s="13">
        <v>0.5</v>
      </c>
      <c r="BE434" s="13">
        <v>46.192052980132402</v>
      </c>
      <c r="BQ434" s="13" t="s">
        <v>506</v>
      </c>
      <c r="CV434" s="13">
        <v>0</v>
      </c>
    </row>
    <row r="435" spans="1:100" x14ac:dyDescent="0.25">
      <c r="A435" t="s">
        <v>365</v>
      </c>
      <c r="B435" t="s">
        <v>362</v>
      </c>
      <c r="C435">
        <v>2017</v>
      </c>
      <c r="D435" t="s">
        <v>366</v>
      </c>
      <c r="E435">
        <v>1</v>
      </c>
      <c r="F435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435" s="13">
        <v>100</v>
      </c>
      <c r="O43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435" s="13">
        <v>1.2999999999999999E-3</v>
      </c>
      <c r="AL435" s="13">
        <v>10</v>
      </c>
      <c r="AM435" s="13">
        <f t="shared" si="5"/>
        <v>240</v>
      </c>
      <c r="AP435" s="13">
        <v>3.0640000000000001</v>
      </c>
      <c r="AT435" s="13">
        <f>LN(25/Table26[[#This Row],[Temperature (C)]]/(1-SQRT((Table26[[#This Row],[Temperature (C)]]-5)/Table26[[#This Row],[Temperature (C)]])))/Table26[[#This Row],[b]]</f>
        <v>0.74985220978415823</v>
      </c>
      <c r="AU435" s="13">
        <f>IF(Table26[[#This Row],[b]]&lt;&gt;"",Table26[[#This Row],[T-5]], 0)</f>
        <v>0.74985220978415823</v>
      </c>
      <c r="AV435" s="13">
        <v>5</v>
      </c>
      <c r="AW435" s="13">
        <v>250</v>
      </c>
      <c r="AY435" t="s">
        <v>503</v>
      </c>
      <c r="AZ435" s="13">
        <v>13.3</v>
      </c>
      <c r="BA435" s="13">
        <v>1.5</v>
      </c>
      <c r="BE435" s="13">
        <v>47.781456953642298</v>
      </c>
      <c r="BQ435" s="13" t="s">
        <v>506</v>
      </c>
      <c r="CV435" s="13">
        <v>0</v>
      </c>
    </row>
    <row r="436" spans="1:100" x14ac:dyDescent="0.25">
      <c r="A436" t="s">
        <v>365</v>
      </c>
      <c r="B436" t="s">
        <v>362</v>
      </c>
      <c r="C436">
        <v>2017</v>
      </c>
      <c r="D436" t="s">
        <v>366</v>
      </c>
      <c r="E436">
        <v>1</v>
      </c>
      <c r="F436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436" s="13">
        <v>100</v>
      </c>
      <c r="O43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436" s="13">
        <v>1.2999999999999999E-3</v>
      </c>
      <c r="AL436" s="13">
        <v>10</v>
      </c>
      <c r="AM436" s="13">
        <f t="shared" si="5"/>
        <v>240</v>
      </c>
      <c r="AP436" s="13">
        <v>3.0640000000000001</v>
      </c>
      <c r="AT436" s="13">
        <f>LN(25/Table26[[#This Row],[Temperature (C)]]/(1-SQRT((Table26[[#This Row],[Temperature (C)]]-5)/Table26[[#This Row],[Temperature (C)]])))/Table26[[#This Row],[b]]</f>
        <v>0.74985220978415823</v>
      </c>
      <c r="AU436" s="13">
        <f>IF(Table26[[#This Row],[b]]&lt;&gt;"",Table26[[#This Row],[T-5]], 0)</f>
        <v>0.74985220978415823</v>
      </c>
      <c r="AV436" s="13">
        <v>10</v>
      </c>
      <c r="AW436" s="13">
        <v>250</v>
      </c>
      <c r="AY436" t="s">
        <v>503</v>
      </c>
      <c r="AZ436" s="13">
        <v>5.5</v>
      </c>
      <c r="BA436" s="13">
        <v>1.7999999999999998</v>
      </c>
      <c r="BE436" s="13">
        <v>56.721854304635698</v>
      </c>
      <c r="BQ436" s="13" t="s">
        <v>506</v>
      </c>
      <c r="CV436" s="13">
        <v>0</v>
      </c>
    </row>
    <row r="437" spans="1:100" x14ac:dyDescent="0.25">
      <c r="A437" t="s">
        <v>365</v>
      </c>
      <c r="B437" t="s">
        <v>362</v>
      </c>
      <c r="C437">
        <v>2017</v>
      </c>
      <c r="D437" t="s">
        <v>366</v>
      </c>
      <c r="E437">
        <v>1</v>
      </c>
      <c r="F437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437" s="13">
        <v>100</v>
      </c>
      <c r="O43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437" s="13">
        <v>1.2999999999999999E-3</v>
      </c>
      <c r="AL437" s="13">
        <v>10</v>
      </c>
      <c r="AM437" s="13">
        <f t="shared" si="5"/>
        <v>240</v>
      </c>
      <c r="AP437" s="13">
        <v>3.0640000000000001</v>
      </c>
      <c r="AT437" s="13">
        <f>LN(25/Table26[[#This Row],[Temperature (C)]]/(1-SQRT((Table26[[#This Row],[Temperature (C)]]-5)/Table26[[#This Row],[Temperature (C)]])))/Table26[[#This Row],[b]]</f>
        <v>0.74985220978415823</v>
      </c>
      <c r="AU437" s="13">
        <f>IF(Table26[[#This Row],[b]]&lt;&gt;"",Table26[[#This Row],[T-5]], 0)</f>
        <v>0.74985220978415823</v>
      </c>
      <c r="AV437" s="13">
        <v>30</v>
      </c>
      <c r="AW437" s="13">
        <v>250</v>
      </c>
      <c r="AY437" t="s">
        <v>503</v>
      </c>
      <c r="AZ437" s="13">
        <v>4.5</v>
      </c>
      <c r="BA437" s="13">
        <v>6.6000000000000005</v>
      </c>
      <c r="BE437" s="13">
        <v>40.1292407108239</v>
      </c>
      <c r="BQ437" s="13" t="s">
        <v>506</v>
      </c>
      <c r="CV437" s="13">
        <v>0</v>
      </c>
    </row>
    <row r="438" spans="1:100" x14ac:dyDescent="0.25">
      <c r="A438" t="s">
        <v>365</v>
      </c>
      <c r="B438" t="s">
        <v>362</v>
      </c>
      <c r="C438">
        <v>2017</v>
      </c>
      <c r="D438" t="s">
        <v>366</v>
      </c>
      <c r="E438">
        <v>1</v>
      </c>
      <c r="F438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438" s="13">
        <v>100</v>
      </c>
      <c r="O43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438" s="13">
        <v>1.2999999999999999E-3</v>
      </c>
      <c r="AL438" s="13">
        <v>10</v>
      </c>
      <c r="AM438" s="13">
        <f t="shared" si="5"/>
        <v>240</v>
      </c>
      <c r="AP438" s="13">
        <v>3.0640000000000001</v>
      </c>
      <c r="AT438" s="13">
        <f>LN(25/Table26[[#This Row],[Temperature (C)]]/(1-SQRT((Table26[[#This Row],[Temperature (C)]]-5)/Table26[[#This Row],[Temperature (C)]])))/Table26[[#This Row],[b]]</f>
        <v>0.74985220978415823</v>
      </c>
      <c r="AU438" s="13">
        <f>IF(Table26[[#This Row],[b]]&lt;&gt;"",Table26[[#This Row],[T-5]], 0)</f>
        <v>0.74985220978415823</v>
      </c>
      <c r="AV438" s="13">
        <v>60</v>
      </c>
      <c r="AW438" s="13">
        <v>250</v>
      </c>
      <c r="AY438" t="s">
        <v>503</v>
      </c>
      <c r="AZ438" s="13">
        <v>5.3</v>
      </c>
      <c r="BA438" s="13">
        <v>9.1</v>
      </c>
      <c r="BE438" s="13">
        <v>47.883683360258402</v>
      </c>
      <c r="BQ438" s="13" t="s">
        <v>506</v>
      </c>
      <c r="CV438" s="13">
        <v>0</v>
      </c>
    </row>
    <row r="439" spans="1:100" x14ac:dyDescent="0.25">
      <c r="A439" t="s">
        <v>365</v>
      </c>
      <c r="B439" t="s">
        <v>362</v>
      </c>
      <c r="C439">
        <v>2017</v>
      </c>
      <c r="D439" t="s">
        <v>366</v>
      </c>
      <c r="E439">
        <v>1</v>
      </c>
      <c r="F439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439" s="13">
        <v>100</v>
      </c>
      <c r="O43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439" s="13">
        <v>1.2999999999999999E-3</v>
      </c>
      <c r="AL439" s="13">
        <v>10</v>
      </c>
      <c r="AM439" s="13">
        <f t="shared" si="5"/>
        <v>240</v>
      </c>
      <c r="AP439" s="13">
        <v>3.0640000000000001</v>
      </c>
      <c r="AT439" s="13">
        <f>LN(25/Table26[[#This Row],[Temperature (C)]]/(1-SQRT((Table26[[#This Row],[Temperature (C)]]-5)/Table26[[#This Row],[Temperature (C)]])))/Table26[[#This Row],[b]]</f>
        <v>0.75012798331096009</v>
      </c>
      <c r="AU439" s="13">
        <f>IF(Table26[[#This Row],[b]]&lt;&gt;"",Table26[[#This Row],[T-5]], 0)</f>
        <v>0.75012798331096009</v>
      </c>
      <c r="AV439" s="13">
        <v>0.5</v>
      </c>
      <c r="AW439" s="13">
        <v>300</v>
      </c>
      <c r="AY439" t="s">
        <v>503</v>
      </c>
      <c r="AZ439" s="13">
        <v>26.200000000000003</v>
      </c>
      <c r="BA439" s="13">
        <v>0.4</v>
      </c>
      <c r="BE439" s="13">
        <v>52.1486268174475</v>
      </c>
      <c r="BQ439" s="13" t="s">
        <v>506</v>
      </c>
      <c r="CV439" s="13">
        <v>0</v>
      </c>
    </row>
    <row r="440" spans="1:100" x14ac:dyDescent="0.25">
      <c r="A440" t="s">
        <v>365</v>
      </c>
      <c r="B440" t="s">
        <v>362</v>
      </c>
      <c r="C440">
        <v>2017</v>
      </c>
      <c r="D440" t="s">
        <v>366</v>
      </c>
      <c r="E440">
        <v>1</v>
      </c>
      <c r="F440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440" s="13">
        <v>100</v>
      </c>
      <c r="O44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440" s="13">
        <v>1.2999999999999999E-3</v>
      </c>
      <c r="AL440" s="13">
        <v>10</v>
      </c>
      <c r="AM440" s="13">
        <f t="shared" si="5"/>
        <v>240</v>
      </c>
      <c r="AP440" s="13">
        <v>3.0640000000000001</v>
      </c>
      <c r="AT440" s="13">
        <f>LN(25/Table26[[#This Row],[Temperature (C)]]/(1-SQRT((Table26[[#This Row],[Temperature (C)]]-5)/Table26[[#This Row],[Temperature (C)]])))/Table26[[#This Row],[b]]</f>
        <v>0.75012798331096009</v>
      </c>
      <c r="AU440" s="13">
        <f>IF(Table26[[#This Row],[b]]&lt;&gt;"",Table26[[#This Row],[T-5]], 0)</f>
        <v>0.75012798331096009</v>
      </c>
      <c r="AV440" s="13">
        <v>1</v>
      </c>
      <c r="AW440" s="13">
        <v>300</v>
      </c>
      <c r="AY440" t="s">
        <v>503</v>
      </c>
      <c r="AZ440" s="13">
        <v>14.000000000000002</v>
      </c>
      <c r="BA440" s="13">
        <v>1.6</v>
      </c>
      <c r="BE440" s="13">
        <v>35.799522673030999</v>
      </c>
      <c r="BQ440" s="13">
        <v>9.5844795135369925</v>
      </c>
      <c r="CV440" s="13">
        <v>0</v>
      </c>
    </row>
    <row r="441" spans="1:100" x14ac:dyDescent="0.25">
      <c r="A441" t="s">
        <v>365</v>
      </c>
      <c r="B441" t="s">
        <v>362</v>
      </c>
      <c r="C441">
        <v>2017</v>
      </c>
      <c r="D441" t="s">
        <v>366</v>
      </c>
      <c r="E441">
        <v>1</v>
      </c>
      <c r="F441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441" s="13">
        <v>100</v>
      </c>
      <c r="O44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441" s="13">
        <v>1.2999999999999999E-3</v>
      </c>
      <c r="AL441" s="13">
        <v>10</v>
      </c>
      <c r="AM441" s="13">
        <f t="shared" si="5"/>
        <v>240</v>
      </c>
      <c r="AP441" s="13">
        <v>3.0640000000000001</v>
      </c>
      <c r="AT441" s="13">
        <f>LN(25/Table26[[#This Row],[Temperature (C)]]/(1-SQRT((Table26[[#This Row],[Temperature (C)]]-5)/Table26[[#This Row],[Temperature (C)]])))/Table26[[#This Row],[b]]</f>
        <v>0.75012798331096009</v>
      </c>
      <c r="AU441" s="13">
        <f>IF(Table26[[#This Row],[b]]&lt;&gt;"",Table26[[#This Row],[T-5]], 0)</f>
        <v>0.75012798331096009</v>
      </c>
      <c r="AV441" s="13">
        <v>5</v>
      </c>
      <c r="AW441" s="13">
        <v>300</v>
      </c>
      <c r="AY441" t="s">
        <v>503</v>
      </c>
      <c r="AZ441" s="13">
        <v>2.9000000000000004</v>
      </c>
      <c r="BA441" s="13">
        <v>4.5999999999999996</v>
      </c>
      <c r="BE441" s="13">
        <v>46.252983293555999</v>
      </c>
      <c r="BQ441" s="13">
        <v>9.6627939926324746</v>
      </c>
      <c r="CV441" s="13">
        <v>0</v>
      </c>
    </row>
    <row r="442" spans="1:100" x14ac:dyDescent="0.25">
      <c r="A442" t="s">
        <v>365</v>
      </c>
      <c r="B442" t="s">
        <v>362</v>
      </c>
      <c r="C442">
        <v>2017</v>
      </c>
      <c r="D442" t="s">
        <v>366</v>
      </c>
      <c r="E442">
        <v>1</v>
      </c>
      <c r="F442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442" s="13">
        <v>100</v>
      </c>
      <c r="O44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442" s="13">
        <v>1.2999999999999999E-3</v>
      </c>
      <c r="AL442" s="13">
        <v>10</v>
      </c>
      <c r="AM442" s="13">
        <f t="shared" si="5"/>
        <v>240</v>
      </c>
      <c r="AP442" s="13">
        <v>3.0640000000000001</v>
      </c>
      <c r="AT442" s="13">
        <f>LN(25/Table26[[#This Row],[Temperature (C)]]/(1-SQRT((Table26[[#This Row],[Temperature (C)]]-5)/Table26[[#This Row],[Temperature (C)]])))/Table26[[#This Row],[b]]</f>
        <v>0.75012798331096009</v>
      </c>
      <c r="AU442" s="13">
        <f>IF(Table26[[#This Row],[b]]&lt;&gt;"",Table26[[#This Row],[T-5]], 0)</f>
        <v>0.75012798331096009</v>
      </c>
      <c r="AV442" s="13">
        <v>10</v>
      </c>
      <c r="AW442" s="13">
        <v>300</v>
      </c>
      <c r="AY442" t="s">
        <v>503</v>
      </c>
      <c r="AZ442" s="13">
        <v>3.6999999999999997</v>
      </c>
      <c r="BA442" s="13">
        <v>17.2</v>
      </c>
      <c r="BE442" s="13">
        <v>53.269689737470102</v>
      </c>
      <c r="BQ442" s="13">
        <v>9.8465299470324599</v>
      </c>
      <c r="CV442" s="13">
        <v>0</v>
      </c>
    </row>
    <row r="443" spans="1:100" x14ac:dyDescent="0.25">
      <c r="A443" t="s">
        <v>365</v>
      </c>
      <c r="B443" t="s">
        <v>362</v>
      </c>
      <c r="C443">
        <v>2017</v>
      </c>
      <c r="D443" t="s">
        <v>366</v>
      </c>
      <c r="E443">
        <v>1</v>
      </c>
      <c r="F443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443" s="13">
        <v>100</v>
      </c>
      <c r="O44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443" s="13">
        <v>1.2999999999999999E-3</v>
      </c>
      <c r="AL443" s="13">
        <v>10</v>
      </c>
      <c r="AM443" s="13">
        <f t="shared" si="5"/>
        <v>240</v>
      </c>
      <c r="AP443" s="13">
        <v>3.0640000000000001</v>
      </c>
      <c r="AT443" s="13">
        <f>LN(25/Table26[[#This Row],[Temperature (C)]]/(1-SQRT((Table26[[#This Row],[Temperature (C)]]-5)/Table26[[#This Row],[Temperature (C)]])))/Table26[[#This Row],[b]]</f>
        <v>0.75012798331096009</v>
      </c>
      <c r="AU443" s="13">
        <f>IF(Table26[[#This Row],[b]]&lt;&gt;"",Table26[[#This Row],[T-5]], 0)</f>
        <v>0.75012798331096009</v>
      </c>
      <c r="AV443" s="13">
        <v>30</v>
      </c>
      <c r="AW443" s="13">
        <v>300</v>
      </c>
      <c r="AY443" t="s">
        <v>503</v>
      </c>
      <c r="AZ443" s="13">
        <v>19.8</v>
      </c>
      <c r="BA443" s="13">
        <v>12.7</v>
      </c>
      <c r="BE443" s="13">
        <v>56.133651551312603</v>
      </c>
      <c r="BQ443" s="13">
        <v>9.7266881028938901</v>
      </c>
      <c r="CV443" s="13">
        <v>0</v>
      </c>
    </row>
    <row r="444" spans="1:100" x14ac:dyDescent="0.25">
      <c r="A444" t="s">
        <v>365</v>
      </c>
      <c r="B444" t="s">
        <v>362</v>
      </c>
      <c r="C444">
        <v>2017</v>
      </c>
      <c r="D444" t="s">
        <v>366</v>
      </c>
      <c r="E444">
        <v>1</v>
      </c>
      <c r="F444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444" s="13">
        <v>100</v>
      </c>
      <c r="O44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444" s="13">
        <v>1.2999999999999999E-3</v>
      </c>
      <c r="AL444" s="13">
        <v>10</v>
      </c>
      <c r="AM444" s="13">
        <f t="shared" si="5"/>
        <v>240</v>
      </c>
      <c r="AP444" s="13">
        <v>3.0640000000000001</v>
      </c>
      <c r="AT444" s="13">
        <f>LN(25/Table26[[#This Row],[Temperature (C)]]/(1-SQRT((Table26[[#This Row],[Temperature (C)]]-5)/Table26[[#This Row],[Temperature (C)]])))/Table26[[#This Row],[b]]</f>
        <v>0.75012798331096009</v>
      </c>
      <c r="AU444" s="13">
        <f>IF(Table26[[#This Row],[b]]&lt;&gt;"",Table26[[#This Row],[T-5]], 0)</f>
        <v>0.75012798331096009</v>
      </c>
      <c r="AV444" s="13">
        <v>60</v>
      </c>
      <c r="AW444" s="13">
        <v>300</v>
      </c>
      <c r="AY444" t="s">
        <v>503</v>
      </c>
      <c r="AZ444" s="13">
        <v>13.200000000000001</v>
      </c>
      <c r="BA444" s="13">
        <v>11.200000000000001</v>
      </c>
      <c r="BE444" s="13">
        <v>22.285714285714199</v>
      </c>
      <c r="BQ444" s="13">
        <v>11.106389006941493</v>
      </c>
      <c r="CV444" s="13">
        <v>0</v>
      </c>
    </row>
    <row r="445" spans="1:100" x14ac:dyDescent="0.25">
      <c r="A445" t="s">
        <v>365</v>
      </c>
      <c r="B445" t="s">
        <v>362</v>
      </c>
      <c r="C445">
        <v>2017</v>
      </c>
      <c r="D445" t="s">
        <v>366</v>
      </c>
      <c r="E445">
        <v>1</v>
      </c>
      <c r="F445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445" s="13">
        <v>100</v>
      </c>
      <c r="O44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445" s="13">
        <v>1.2999999999999999E-3</v>
      </c>
      <c r="AL445" s="13">
        <v>10</v>
      </c>
      <c r="AM445" s="13">
        <f t="shared" si="5"/>
        <v>240</v>
      </c>
      <c r="AP445" s="13">
        <v>3.0640000000000001</v>
      </c>
      <c r="AT445" s="13">
        <f>LN(25/Table26[[#This Row],[Temperature (C)]]/(1-SQRT((Table26[[#This Row],[Temperature (C)]]-5)/Table26[[#This Row],[Temperature (C)]])))/Table26[[#This Row],[b]]</f>
        <v>0.7503245360589913</v>
      </c>
      <c r="AU445" s="13">
        <f>IF(Table26[[#This Row],[b]]&lt;&gt;"",Table26[[#This Row],[T-5]], 0)</f>
        <v>0.7503245360589913</v>
      </c>
      <c r="AV445" s="13">
        <v>0.5</v>
      </c>
      <c r="AW445" s="13">
        <v>350</v>
      </c>
      <c r="AY445" t="s">
        <v>503</v>
      </c>
      <c r="AZ445" s="13">
        <v>23.400000000000002</v>
      </c>
      <c r="BE445" s="13">
        <v>25.857142857142801</v>
      </c>
      <c r="BQ445" s="13">
        <v>11.033824331696673</v>
      </c>
      <c r="CV445" s="13">
        <v>0</v>
      </c>
    </row>
    <row r="446" spans="1:100" x14ac:dyDescent="0.25">
      <c r="A446" t="s">
        <v>365</v>
      </c>
      <c r="B446" t="s">
        <v>362</v>
      </c>
      <c r="C446">
        <v>2017</v>
      </c>
      <c r="D446" t="s">
        <v>366</v>
      </c>
      <c r="E446">
        <v>1</v>
      </c>
      <c r="F446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446" s="13">
        <v>100</v>
      </c>
      <c r="O44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446" s="13">
        <v>1.2999999999999999E-3</v>
      </c>
      <c r="AL446" s="13">
        <v>10</v>
      </c>
      <c r="AM446" s="13">
        <f t="shared" si="5"/>
        <v>240</v>
      </c>
      <c r="AP446" s="13">
        <v>3.0640000000000001</v>
      </c>
      <c r="AT446" s="13">
        <f>LN(25/Table26[[#This Row],[Temperature (C)]]/(1-SQRT((Table26[[#This Row],[Temperature (C)]]-5)/Table26[[#This Row],[Temperature (C)]])))/Table26[[#This Row],[b]]</f>
        <v>0.7503245360589913</v>
      </c>
      <c r="AU446" s="13">
        <f>IF(Table26[[#This Row],[b]]&lt;&gt;"",Table26[[#This Row],[T-5]], 0)</f>
        <v>0.7503245360589913</v>
      </c>
      <c r="AV446" s="13">
        <v>1</v>
      </c>
      <c r="AW446" s="13">
        <v>350</v>
      </c>
      <c r="AY446" t="s">
        <v>503</v>
      </c>
      <c r="AZ446" s="13">
        <v>12.6</v>
      </c>
      <c r="BA446" s="13">
        <v>12.4</v>
      </c>
      <c r="BE446" s="13">
        <v>30.571428571428498</v>
      </c>
      <c r="BQ446" s="13">
        <v>11.056803170409509</v>
      </c>
      <c r="CV446" s="13">
        <v>0</v>
      </c>
    </row>
    <row r="447" spans="1:100" x14ac:dyDescent="0.25">
      <c r="A447" t="s">
        <v>365</v>
      </c>
      <c r="B447" t="s">
        <v>362</v>
      </c>
      <c r="C447">
        <v>2017</v>
      </c>
      <c r="D447" t="s">
        <v>366</v>
      </c>
      <c r="E447">
        <v>1</v>
      </c>
      <c r="F447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447" s="13">
        <v>100</v>
      </c>
      <c r="O44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447" s="13">
        <v>1.2999999999999999E-3</v>
      </c>
      <c r="AL447" s="13">
        <v>10</v>
      </c>
      <c r="AM447" s="13">
        <f t="shared" si="5"/>
        <v>240</v>
      </c>
      <c r="AP447" s="13">
        <v>3.0640000000000001</v>
      </c>
      <c r="AT447" s="13">
        <f>LN(25/Table26[[#This Row],[Temperature (C)]]/(1-SQRT((Table26[[#This Row],[Temperature (C)]]-5)/Table26[[#This Row],[Temperature (C)]])))/Table26[[#This Row],[b]]</f>
        <v>0.7503245360589913</v>
      </c>
      <c r="AU447" s="13">
        <f>IF(Table26[[#This Row],[b]]&lt;&gt;"",Table26[[#This Row],[T-5]], 0)</f>
        <v>0.7503245360589913</v>
      </c>
      <c r="AV447" s="13">
        <v>5</v>
      </c>
      <c r="AW447" s="13">
        <v>350</v>
      </c>
      <c r="AY447" t="s">
        <v>503</v>
      </c>
      <c r="BA447" s="13">
        <v>12.1</v>
      </c>
      <c r="BE447" s="13">
        <v>32.285714285714199</v>
      </c>
      <c r="BQ447" s="13">
        <v>11.264554562686163</v>
      </c>
      <c r="CV447" s="13">
        <v>0</v>
      </c>
    </row>
    <row r="448" spans="1:100" x14ac:dyDescent="0.25">
      <c r="A448" t="s">
        <v>365</v>
      </c>
      <c r="B448" t="s">
        <v>362</v>
      </c>
      <c r="C448">
        <v>2017</v>
      </c>
      <c r="D448" t="s">
        <v>366</v>
      </c>
      <c r="E448">
        <v>1</v>
      </c>
      <c r="F448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448" s="13">
        <v>100</v>
      </c>
      <c r="O44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448" s="13">
        <v>1.2999999999999999E-3</v>
      </c>
      <c r="AL448" s="13">
        <v>10</v>
      </c>
      <c r="AM448" s="13">
        <f t="shared" si="5"/>
        <v>240</v>
      </c>
      <c r="AP448" s="13">
        <v>3.0640000000000001</v>
      </c>
      <c r="AT448" s="13">
        <f>LN(25/Table26[[#This Row],[Temperature (C)]]/(1-SQRT((Table26[[#This Row],[Temperature (C)]]-5)/Table26[[#This Row],[Temperature (C)]])))/Table26[[#This Row],[b]]</f>
        <v>0.7503245360589913</v>
      </c>
      <c r="AU448" s="13">
        <f>IF(Table26[[#This Row],[b]]&lt;&gt;"",Table26[[#This Row],[T-5]], 0)</f>
        <v>0.7503245360589913</v>
      </c>
      <c r="AV448" s="13">
        <v>10</v>
      </c>
      <c r="AW448" s="13">
        <v>350</v>
      </c>
      <c r="AY448" t="s">
        <v>503</v>
      </c>
      <c r="AZ448" s="13">
        <v>8.9</v>
      </c>
      <c r="BA448" s="13">
        <v>19.600000000000001</v>
      </c>
      <c r="BE448" s="13">
        <v>32.234957020057301</v>
      </c>
      <c r="BQ448" s="13">
        <v>10.800168752636759</v>
      </c>
      <c r="CV448" s="13">
        <v>0</v>
      </c>
    </row>
    <row r="449" spans="1:100" x14ac:dyDescent="0.25">
      <c r="A449" t="s">
        <v>365</v>
      </c>
      <c r="B449" t="s">
        <v>362</v>
      </c>
      <c r="C449">
        <v>2017</v>
      </c>
      <c r="D449" t="s">
        <v>366</v>
      </c>
      <c r="E449">
        <v>1</v>
      </c>
      <c r="F449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449" s="13">
        <v>100</v>
      </c>
      <c r="O44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449" s="13">
        <v>1.2999999999999999E-3</v>
      </c>
      <c r="AL449" s="13">
        <v>10</v>
      </c>
      <c r="AM449" s="13">
        <f t="shared" si="5"/>
        <v>240</v>
      </c>
      <c r="AP449" s="13">
        <v>3.0640000000000001</v>
      </c>
      <c r="AT449" s="13">
        <f>LN(25/Table26[[#This Row],[Temperature (C)]]/(1-SQRT((Table26[[#This Row],[Temperature (C)]]-5)/Table26[[#This Row],[Temperature (C)]])))/Table26[[#This Row],[b]]</f>
        <v>0.7503245360589913</v>
      </c>
      <c r="AU449" s="13">
        <f>IF(Table26[[#This Row],[b]]&lt;&gt;"",Table26[[#This Row],[T-5]], 0)</f>
        <v>0.7503245360589913</v>
      </c>
      <c r="AV449" s="13">
        <v>30</v>
      </c>
      <c r="AW449" s="13">
        <v>350</v>
      </c>
      <c r="AY449" t="s">
        <v>503</v>
      </c>
      <c r="AZ449" s="13">
        <v>1.3</v>
      </c>
      <c r="BA449" s="13">
        <v>8.1</v>
      </c>
      <c r="BE449" s="13">
        <v>35.959885386819401</v>
      </c>
      <c r="BQ449" s="13">
        <v>11.002613120616148</v>
      </c>
      <c r="CV449" s="13">
        <v>0</v>
      </c>
    </row>
    <row r="450" spans="1:100" x14ac:dyDescent="0.25">
      <c r="A450" t="s">
        <v>365</v>
      </c>
      <c r="B450" t="s">
        <v>362</v>
      </c>
      <c r="C450">
        <v>2017</v>
      </c>
      <c r="D450" t="s">
        <v>366</v>
      </c>
      <c r="E450">
        <v>1</v>
      </c>
      <c r="F450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450" s="13">
        <v>100</v>
      </c>
      <c r="O45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450" s="13">
        <v>1.2999999999999999E-3</v>
      </c>
      <c r="AL450" s="13">
        <v>10</v>
      </c>
      <c r="AM450" s="13">
        <f t="shared" si="5"/>
        <v>240</v>
      </c>
      <c r="AP450" s="13">
        <v>3.0640000000000001</v>
      </c>
      <c r="AT450" s="13">
        <f>LN(25/Table26[[#This Row],[Temperature (C)]]/(1-SQRT((Table26[[#This Row],[Temperature (C)]]-5)/Table26[[#This Row],[Temperature (C)]])))/Table26[[#This Row],[b]]</f>
        <v>0.7503245360589913</v>
      </c>
      <c r="AU450" s="13">
        <f>IF(Table26[[#This Row],[b]]&lt;&gt;"",Table26[[#This Row],[T-5]], 0)</f>
        <v>0.7503245360589913</v>
      </c>
      <c r="AV450" s="13">
        <v>60</v>
      </c>
      <c r="AW450" s="13">
        <v>350</v>
      </c>
      <c r="AY450" t="s">
        <v>503</v>
      </c>
      <c r="AZ450" s="13">
        <v>5.8999999999999995</v>
      </c>
      <c r="BA450" s="13">
        <v>3.3000000000000003</v>
      </c>
      <c r="BE450" s="13">
        <v>42.4068767908309</v>
      </c>
      <c r="BQ450" s="13">
        <v>10.835244906220483</v>
      </c>
      <c r="CV450" s="13">
        <v>0</v>
      </c>
    </row>
    <row r="451" spans="1:100" x14ac:dyDescent="0.25">
      <c r="A451" t="s">
        <v>365</v>
      </c>
      <c r="B451" t="s">
        <v>362</v>
      </c>
      <c r="C451">
        <v>2017</v>
      </c>
      <c r="D451" t="s">
        <v>366</v>
      </c>
      <c r="E451">
        <v>1</v>
      </c>
      <c r="F451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451" s="13">
        <v>100</v>
      </c>
      <c r="O45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451" s="13">
        <v>1.2999999999999999E-3</v>
      </c>
      <c r="AL451" s="13">
        <v>10</v>
      </c>
      <c r="AM451" s="13">
        <f t="shared" si="5"/>
        <v>240</v>
      </c>
      <c r="AP451" s="13">
        <v>3.0640000000000001</v>
      </c>
      <c r="AT451" s="13">
        <f>LN(25/Table26[[#This Row],[Temperature (C)]]/(1-SQRT((Table26[[#This Row],[Temperature (C)]]-5)/Table26[[#This Row],[Temperature (C)]])))/Table26[[#This Row],[b]]</f>
        <v>0.75047171735941343</v>
      </c>
      <c r="AU451" s="13">
        <f>IF(Table26[[#This Row],[b]]&lt;&gt;"",Table26[[#This Row],[T-5]], 0)</f>
        <v>0.75047171735941343</v>
      </c>
      <c r="AV451" s="13">
        <v>0.5</v>
      </c>
      <c r="AW451" s="13">
        <v>400</v>
      </c>
      <c r="AY451" t="s">
        <v>503</v>
      </c>
      <c r="AZ451" s="13">
        <v>12.1</v>
      </c>
      <c r="BA451" s="13">
        <v>7.7</v>
      </c>
      <c r="BE451" s="13">
        <v>44.126074498567299</v>
      </c>
      <c r="BQ451" s="13">
        <v>10.850518937862248</v>
      </c>
      <c r="CV451" s="13">
        <v>0</v>
      </c>
    </row>
    <row r="452" spans="1:100" x14ac:dyDescent="0.25">
      <c r="A452" t="s">
        <v>365</v>
      </c>
      <c r="B452" t="s">
        <v>362</v>
      </c>
      <c r="C452">
        <v>2017</v>
      </c>
      <c r="D452" t="s">
        <v>366</v>
      </c>
      <c r="E452">
        <v>1</v>
      </c>
      <c r="F452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452" s="13">
        <v>100</v>
      </c>
      <c r="O45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452" s="13">
        <v>1.2999999999999999E-3</v>
      </c>
      <c r="AL452" s="13">
        <v>10</v>
      </c>
      <c r="AM452" s="13">
        <f t="shared" si="5"/>
        <v>240</v>
      </c>
      <c r="AP452" s="13">
        <v>3.0640000000000001</v>
      </c>
      <c r="AT452" s="13">
        <f>LN(25/Table26[[#This Row],[Temperature (C)]]/(1-SQRT((Table26[[#This Row],[Temperature (C)]]-5)/Table26[[#This Row],[Temperature (C)]])))/Table26[[#This Row],[b]]</f>
        <v>0.75047171735941343</v>
      </c>
      <c r="AU452" s="13">
        <f>IF(Table26[[#This Row],[b]]&lt;&gt;"",Table26[[#This Row],[T-5]], 0)</f>
        <v>0.75047171735941343</v>
      </c>
      <c r="AV452" s="13">
        <v>1</v>
      </c>
      <c r="AW452" s="13">
        <v>400</v>
      </c>
      <c r="AY452" t="s">
        <v>503</v>
      </c>
      <c r="AZ452" s="13">
        <v>10.4</v>
      </c>
      <c r="BA452" s="13">
        <v>24.2</v>
      </c>
      <c r="BE452" s="13">
        <v>88.925802879291197</v>
      </c>
      <c r="BQ452" s="13">
        <v>15.119986574928678</v>
      </c>
      <c r="CV452" s="13">
        <v>0</v>
      </c>
    </row>
    <row r="453" spans="1:100" x14ac:dyDescent="0.25">
      <c r="A453" t="s">
        <v>365</v>
      </c>
      <c r="B453" t="s">
        <v>362</v>
      </c>
      <c r="C453">
        <v>2017</v>
      </c>
      <c r="D453" t="s">
        <v>366</v>
      </c>
      <c r="E453">
        <v>1</v>
      </c>
      <c r="F453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453" s="13">
        <v>100</v>
      </c>
      <c r="O45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453" s="13">
        <v>1.2999999999999999E-3</v>
      </c>
      <c r="AL453" s="13">
        <v>10</v>
      </c>
      <c r="AM453" s="13">
        <f t="shared" si="5"/>
        <v>240</v>
      </c>
      <c r="AP453" s="13">
        <v>3.0640000000000001</v>
      </c>
      <c r="AT453" s="13">
        <f>LN(25/Table26[[#This Row],[Temperature (C)]]/(1-SQRT((Table26[[#This Row],[Temperature (C)]]-5)/Table26[[#This Row],[Temperature (C)]])))/Table26[[#This Row],[b]]</f>
        <v>0.75047171735941343</v>
      </c>
      <c r="AU453" s="13">
        <f>IF(Table26[[#This Row],[b]]&lt;&gt;"",Table26[[#This Row],[T-5]], 0)</f>
        <v>0.75047171735941343</v>
      </c>
      <c r="AV453" s="13">
        <v>5</v>
      </c>
      <c r="AW453" s="13">
        <v>400</v>
      </c>
      <c r="AY453" t="s">
        <v>503</v>
      </c>
      <c r="AZ453" s="13">
        <v>4.5999999999999996</v>
      </c>
      <c r="BA453" s="13">
        <v>4</v>
      </c>
      <c r="BE453" s="13">
        <v>63.233665559246901</v>
      </c>
      <c r="BQ453" s="13">
        <v>14.796425024826219</v>
      </c>
      <c r="CV453" s="13">
        <v>0</v>
      </c>
    </row>
    <row r="454" spans="1:100" x14ac:dyDescent="0.25">
      <c r="A454" t="s">
        <v>365</v>
      </c>
      <c r="B454" t="s">
        <v>362</v>
      </c>
      <c r="C454">
        <v>2017</v>
      </c>
      <c r="D454" t="s">
        <v>366</v>
      </c>
      <c r="E454">
        <v>1</v>
      </c>
      <c r="F454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454" s="13">
        <v>100</v>
      </c>
      <c r="O45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454" s="13">
        <v>1.2999999999999999E-3</v>
      </c>
      <c r="AL454" s="13">
        <v>10</v>
      </c>
      <c r="AM454" s="13">
        <f t="shared" si="5"/>
        <v>240</v>
      </c>
      <c r="AP454" s="13">
        <v>3.0640000000000001</v>
      </c>
      <c r="AT454" s="13">
        <f>LN(25/Table26[[#This Row],[Temperature (C)]]/(1-SQRT((Table26[[#This Row],[Temperature (C)]]-5)/Table26[[#This Row],[Temperature (C)]])))/Table26[[#This Row],[b]]</f>
        <v>0.75047171735941343</v>
      </c>
      <c r="AU454" s="13">
        <f>IF(Table26[[#This Row],[b]]&lt;&gt;"",Table26[[#This Row],[T-5]], 0)</f>
        <v>0.75047171735941343</v>
      </c>
      <c r="AV454" s="13">
        <v>10</v>
      </c>
      <c r="AW454" s="13">
        <v>400</v>
      </c>
      <c r="AY454" t="s">
        <v>503</v>
      </c>
      <c r="AZ454" s="13">
        <v>7.1</v>
      </c>
      <c r="BA454" s="13">
        <v>1.2</v>
      </c>
      <c r="BE454" s="13">
        <v>58.582502768549197</v>
      </c>
      <c r="BQ454" s="13">
        <v>14.340808455934864</v>
      </c>
      <c r="CV454" s="13">
        <v>0</v>
      </c>
    </row>
    <row r="455" spans="1:100" x14ac:dyDescent="0.25">
      <c r="A455" t="s">
        <v>365</v>
      </c>
      <c r="B455" t="s">
        <v>362</v>
      </c>
      <c r="C455">
        <v>2017</v>
      </c>
      <c r="D455" t="s">
        <v>366</v>
      </c>
      <c r="E455">
        <v>1</v>
      </c>
      <c r="F455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455" s="13">
        <v>100</v>
      </c>
      <c r="O45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455" s="13">
        <v>1.2999999999999999E-3</v>
      </c>
      <c r="AL455" s="13">
        <v>10</v>
      </c>
      <c r="AM455" s="13">
        <f t="shared" si="5"/>
        <v>240</v>
      </c>
      <c r="AP455" s="13">
        <v>3.0640000000000001</v>
      </c>
      <c r="AT455" s="13">
        <f>LN(25/Table26[[#This Row],[Temperature (C)]]/(1-SQRT((Table26[[#This Row],[Temperature (C)]]-5)/Table26[[#This Row],[Temperature (C)]])))/Table26[[#This Row],[b]]</f>
        <v>0.75047171735941343</v>
      </c>
      <c r="AU455" s="13">
        <f>IF(Table26[[#This Row],[b]]&lt;&gt;"",Table26[[#This Row],[T-5]], 0)</f>
        <v>0.75047171735941343</v>
      </c>
      <c r="AV455" s="13">
        <v>30</v>
      </c>
      <c r="AW455" s="13">
        <v>400</v>
      </c>
      <c r="AY455" t="s">
        <v>503</v>
      </c>
      <c r="AZ455" s="13">
        <v>1.5</v>
      </c>
      <c r="BA455" s="13">
        <v>1</v>
      </c>
      <c r="BE455" s="13">
        <v>70.542635658914705</v>
      </c>
      <c r="BQ455" s="13">
        <v>14.476102941176469</v>
      </c>
      <c r="CV455" s="13">
        <v>0</v>
      </c>
    </row>
    <row r="456" spans="1:100" x14ac:dyDescent="0.25">
      <c r="A456" t="s">
        <v>365</v>
      </c>
      <c r="B456" t="s">
        <v>362</v>
      </c>
      <c r="C456">
        <v>2017</v>
      </c>
      <c r="D456" t="s">
        <v>366</v>
      </c>
      <c r="E456">
        <v>1</v>
      </c>
      <c r="F456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456" s="13">
        <v>100</v>
      </c>
      <c r="O45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456" s="13">
        <v>1.2999999999999999E-3</v>
      </c>
      <c r="AL456" s="13">
        <v>10</v>
      </c>
      <c r="AM456" s="13">
        <f t="shared" si="5"/>
        <v>240</v>
      </c>
      <c r="AP456" s="13">
        <v>3.0640000000000001</v>
      </c>
      <c r="AT456" s="13">
        <f>LN(25/Table26[[#This Row],[Temperature (C)]]/(1-SQRT((Table26[[#This Row],[Temperature (C)]]-5)/Table26[[#This Row],[Temperature (C)]])))/Table26[[#This Row],[b]]</f>
        <v>0.75047171735941343</v>
      </c>
      <c r="AU456" s="13">
        <f>IF(Table26[[#This Row],[b]]&lt;&gt;"",Table26[[#This Row],[T-5]], 0)</f>
        <v>0.75047171735941343</v>
      </c>
      <c r="AV456" s="13">
        <v>60</v>
      </c>
      <c r="AW456" s="13">
        <v>400</v>
      </c>
      <c r="AY456" t="s">
        <v>503</v>
      </c>
      <c r="AZ456" s="13">
        <v>0.3</v>
      </c>
      <c r="BA456" s="13">
        <v>4</v>
      </c>
      <c r="BE456" s="13">
        <v>88.3720930232558</v>
      </c>
      <c r="BQ456" s="13">
        <v>14.04241108699282</v>
      </c>
      <c r="CV456" s="13">
        <v>0</v>
      </c>
    </row>
    <row r="457" spans="1:100" x14ac:dyDescent="0.25">
      <c r="A457" t="s">
        <v>367</v>
      </c>
      <c r="B457" t="s">
        <v>368</v>
      </c>
      <c r="C457">
        <v>2021</v>
      </c>
      <c r="D457" t="s">
        <v>369</v>
      </c>
      <c r="E457">
        <v>1</v>
      </c>
      <c r="F45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36.5</v>
      </c>
      <c r="G457" s="13">
        <v>36.5</v>
      </c>
      <c r="K457" s="13">
        <v>27.5</v>
      </c>
      <c r="L457" s="13">
        <v>15.7</v>
      </c>
      <c r="N457" s="13">
        <v>5.4</v>
      </c>
      <c r="O45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79.7</v>
      </c>
      <c r="U457" s="13">
        <v>14.6</v>
      </c>
      <c r="AI457" s="13">
        <v>4.1000000000000003E-3</v>
      </c>
      <c r="AL457" s="13">
        <v>5</v>
      </c>
      <c r="AT457" s="13" t="e">
        <f>LN(25/Table26[[#This Row],[Temperature (C)]]/(1-SQRT((Table26[[#This Row],[Temperature (C)]]-5)/Table26[[#This Row],[Temperature (C)]])))/Table26[[#This Row],[b]]</f>
        <v>#DIV/0!</v>
      </c>
      <c r="AU457" s="13">
        <f>IF(Table26[[#This Row],[b]]&lt;&gt;"",Table26[[#This Row],[T-5]], 0)</f>
        <v>0</v>
      </c>
      <c r="AV457" s="13">
        <v>30</v>
      </c>
      <c r="AW457" s="13">
        <v>200</v>
      </c>
      <c r="AY457" t="s">
        <v>503</v>
      </c>
      <c r="AZ457" s="13">
        <v>11.6125290023201</v>
      </c>
      <c r="BA457" s="13">
        <v>11.774941995359599</v>
      </c>
      <c r="BB457" s="13">
        <v>19.773781902552201</v>
      </c>
      <c r="BE457" s="13">
        <v>1.8404907975460101</v>
      </c>
      <c r="BQ457" s="13" t="s">
        <v>506</v>
      </c>
      <c r="CV457" s="13">
        <v>0</v>
      </c>
    </row>
    <row r="458" spans="1:100" x14ac:dyDescent="0.25">
      <c r="A458" t="s">
        <v>367</v>
      </c>
      <c r="B458" t="s">
        <v>368</v>
      </c>
      <c r="C458">
        <v>2021</v>
      </c>
      <c r="D458" t="s">
        <v>369</v>
      </c>
      <c r="E458">
        <v>1</v>
      </c>
      <c r="F458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36.5</v>
      </c>
      <c r="G458" s="13">
        <v>36.5</v>
      </c>
      <c r="K458" s="13">
        <v>27.5</v>
      </c>
      <c r="L458" s="13">
        <v>15.7</v>
      </c>
      <c r="N458" s="13">
        <v>5.4</v>
      </c>
      <c r="O45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79.7</v>
      </c>
      <c r="U458" s="13">
        <v>14.6</v>
      </c>
      <c r="AI458" s="13">
        <v>4.1000000000000003E-3</v>
      </c>
      <c r="AL458" s="13">
        <v>5</v>
      </c>
      <c r="AT458" s="13" t="e">
        <f>LN(25/Table26[[#This Row],[Temperature (C)]]/(1-SQRT((Table26[[#This Row],[Temperature (C)]]-5)/Table26[[#This Row],[Temperature (C)]])))/Table26[[#This Row],[b]]</f>
        <v>#DIV/0!</v>
      </c>
      <c r="AU458" s="13">
        <f>IF(Table26[[#This Row],[b]]&lt;&gt;"",Table26[[#This Row],[T-5]], 0)</f>
        <v>0</v>
      </c>
      <c r="AV458" s="13">
        <v>30</v>
      </c>
      <c r="AW458" s="13">
        <v>300</v>
      </c>
      <c r="AY458" t="s">
        <v>503</v>
      </c>
      <c r="AZ458" s="13">
        <v>6.4153132250580196</v>
      </c>
      <c r="BA458" s="13">
        <v>28.787703016241299</v>
      </c>
      <c r="BB458" s="13">
        <v>10.6786542923433</v>
      </c>
      <c r="BE458" s="13">
        <v>3.936108960231997</v>
      </c>
      <c r="BQ458" s="13" t="s">
        <v>506</v>
      </c>
      <c r="CV458" s="13">
        <v>0</v>
      </c>
    </row>
    <row r="459" spans="1:100" x14ac:dyDescent="0.25">
      <c r="A459" t="s">
        <v>367</v>
      </c>
      <c r="B459" t="s">
        <v>368</v>
      </c>
      <c r="C459">
        <v>2021</v>
      </c>
      <c r="D459" t="s">
        <v>369</v>
      </c>
      <c r="E459">
        <v>1</v>
      </c>
      <c r="F459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36.5</v>
      </c>
      <c r="G459" s="13">
        <v>36.5</v>
      </c>
      <c r="K459" s="13">
        <v>27.5</v>
      </c>
      <c r="L459" s="13">
        <v>15.7</v>
      </c>
      <c r="N459" s="13">
        <v>5.4</v>
      </c>
      <c r="O45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79.7</v>
      </c>
      <c r="U459" s="13">
        <v>14.6</v>
      </c>
      <c r="AI459" s="13">
        <v>4.1000000000000003E-3</v>
      </c>
      <c r="AL459" s="13">
        <v>5</v>
      </c>
      <c r="AT459" s="13" t="e">
        <f>LN(25/Table26[[#This Row],[Temperature (C)]]/(1-SQRT((Table26[[#This Row],[Temperature (C)]]-5)/Table26[[#This Row],[Temperature (C)]])))/Table26[[#This Row],[b]]</f>
        <v>#DIV/0!</v>
      </c>
      <c r="AU459" s="13">
        <f>IF(Table26[[#This Row],[b]]&lt;&gt;"",Table26[[#This Row],[T-5]], 0)</f>
        <v>0</v>
      </c>
      <c r="AV459" s="13">
        <v>30</v>
      </c>
      <c r="AW459" s="13">
        <v>350</v>
      </c>
      <c r="AY459" t="s">
        <v>503</v>
      </c>
      <c r="AZ459" s="13">
        <v>2.3549883990719298</v>
      </c>
      <c r="BA459" s="13">
        <v>29.274941995359601</v>
      </c>
      <c r="BB459" s="13">
        <v>9.6635730858468705</v>
      </c>
      <c r="BE459" s="13">
        <v>8.7421658360963903</v>
      </c>
      <c r="BQ459" s="13" t="s">
        <v>506</v>
      </c>
      <c r="CV459" s="13">
        <v>0</v>
      </c>
    </row>
    <row r="460" spans="1:100" x14ac:dyDescent="0.25">
      <c r="A460" t="s">
        <v>367</v>
      </c>
      <c r="B460" t="s">
        <v>368</v>
      </c>
      <c r="C460">
        <v>2021</v>
      </c>
      <c r="D460" t="s">
        <v>369</v>
      </c>
      <c r="E460">
        <v>1</v>
      </c>
      <c r="F460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36.5</v>
      </c>
      <c r="G460" s="13">
        <v>36.5</v>
      </c>
      <c r="K460" s="13">
        <v>27.5</v>
      </c>
      <c r="L460" s="13">
        <v>15.7</v>
      </c>
      <c r="N460" s="13">
        <v>5.4</v>
      </c>
      <c r="O46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79.7</v>
      </c>
      <c r="U460" s="13">
        <v>14.6</v>
      </c>
      <c r="AI460" s="13">
        <v>4.1000000000000003E-3</v>
      </c>
      <c r="AL460" s="13">
        <v>5</v>
      </c>
      <c r="AT460" s="13" t="e">
        <f>LN(25/Table26[[#This Row],[Temperature (C)]]/(1-SQRT((Table26[[#This Row],[Temperature (C)]]-5)/Table26[[#This Row],[Temperature (C)]])))/Table26[[#This Row],[b]]</f>
        <v>#DIV/0!</v>
      </c>
      <c r="AU460" s="13">
        <f>IF(Table26[[#This Row],[b]]&lt;&gt;"",Table26[[#This Row],[T-5]], 0)</f>
        <v>0</v>
      </c>
      <c r="AV460" s="13">
        <v>30</v>
      </c>
      <c r="AW460" s="13">
        <v>400</v>
      </c>
      <c r="AY460" t="s">
        <v>503</v>
      </c>
      <c r="AZ460" s="13">
        <v>5.76566125290024</v>
      </c>
      <c r="BA460" s="13">
        <v>30.005800464037101</v>
      </c>
      <c r="BB460" s="13">
        <v>5.8468677494199603</v>
      </c>
      <c r="BE460" s="13">
        <v>11.964182897532107</v>
      </c>
      <c r="BQ460" s="13" t="s">
        <v>506</v>
      </c>
      <c r="CV460" s="13">
        <v>0</v>
      </c>
    </row>
    <row r="461" spans="1:100" x14ac:dyDescent="0.25">
      <c r="A461" t="s">
        <v>367</v>
      </c>
      <c r="B461" t="s">
        <v>368</v>
      </c>
      <c r="C461">
        <v>2021</v>
      </c>
      <c r="D461" t="s">
        <v>369</v>
      </c>
      <c r="E461">
        <v>1</v>
      </c>
      <c r="F461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36.5</v>
      </c>
      <c r="G461" s="13">
        <v>36.5</v>
      </c>
      <c r="K461" s="13">
        <v>27.5</v>
      </c>
      <c r="L461" s="13">
        <v>15.7</v>
      </c>
      <c r="N461" s="13">
        <v>5.4</v>
      </c>
      <c r="O46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79.7</v>
      </c>
      <c r="U461" s="13">
        <v>14.6</v>
      </c>
      <c r="AI461" s="13">
        <v>4.1000000000000003E-3</v>
      </c>
      <c r="AL461" s="13">
        <v>5</v>
      </c>
      <c r="AT461" s="13" t="e">
        <f>LN(25/Table26[[#This Row],[Temperature (C)]]/(1-SQRT((Table26[[#This Row],[Temperature (C)]]-5)/Table26[[#This Row],[Temperature (C)]])))/Table26[[#This Row],[b]]</f>
        <v>#DIV/0!</v>
      </c>
      <c r="AU461" s="13">
        <f>IF(Table26[[#This Row],[b]]&lt;&gt;"",Table26[[#This Row],[T-5]], 0)</f>
        <v>0</v>
      </c>
      <c r="AV461" s="13">
        <v>30</v>
      </c>
      <c r="AW461" s="13">
        <v>500</v>
      </c>
      <c r="AY461" t="s">
        <v>503</v>
      </c>
      <c r="AZ461" s="13">
        <v>3.2888631090487301</v>
      </c>
      <c r="BA461" s="13">
        <v>5.4408352668213498</v>
      </c>
      <c r="BB461" s="13">
        <v>4.95359628770301</v>
      </c>
      <c r="BE461" s="13">
        <v>12.731881324412202</v>
      </c>
      <c r="BQ461" s="13" t="s">
        <v>506</v>
      </c>
      <c r="CV461" s="13">
        <v>0</v>
      </c>
    </row>
    <row r="462" spans="1:100" x14ac:dyDescent="0.25">
      <c r="A462" t="s">
        <v>367</v>
      </c>
      <c r="B462" t="s">
        <v>368</v>
      </c>
      <c r="C462">
        <v>2021</v>
      </c>
      <c r="D462" t="s">
        <v>369</v>
      </c>
      <c r="E462">
        <v>1</v>
      </c>
      <c r="F462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36.5</v>
      </c>
      <c r="G462" s="13">
        <v>36.5</v>
      </c>
      <c r="K462" s="13">
        <v>27.5</v>
      </c>
      <c r="L462" s="13">
        <v>15.7</v>
      </c>
      <c r="N462" s="13">
        <v>5.4</v>
      </c>
      <c r="O46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79.7</v>
      </c>
      <c r="U462" s="13">
        <v>14.6</v>
      </c>
      <c r="AI462" s="13">
        <v>4.1000000000000003E-3</v>
      </c>
      <c r="AL462" s="13">
        <v>5</v>
      </c>
      <c r="AT462" s="13" t="e">
        <f>LN(25/Table26[[#This Row],[Temperature (C)]]/(1-SQRT((Table26[[#This Row],[Temperature (C)]]-5)/Table26[[#This Row],[Temperature (C)]])))/Table26[[#This Row],[b]]</f>
        <v>#DIV/0!</v>
      </c>
      <c r="AU462" s="13">
        <f>IF(Table26[[#This Row],[b]]&lt;&gt;"",Table26[[#This Row],[T-5]], 0)</f>
        <v>0</v>
      </c>
      <c r="AV462" s="13">
        <v>30</v>
      </c>
      <c r="AW462" s="13">
        <v>600</v>
      </c>
      <c r="AY462" t="s">
        <v>503</v>
      </c>
      <c r="AZ462" s="13">
        <v>0.56844547563804404</v>
      </c>
      <c r="BA462" s="13">
        <v>6.3747099767981403</v>
      </c>
      <c r="BB462" s="13">
        <v>3.0452436194895598</v>
      </c>
      <c r="BE462" s="13">
        <v>1.2248189598419901</v>
      </c>
      <c r="BQ462" s="13" t="s">
        <v>506</v>
      </c>
      <c r="CV462" s="13">
        <v>0</v>
      </c>
    </row>
    <row r="463" spans="1:100" x14ac:dyDescent="0.25">
      <c r="A463" t="s">
        <v>367</v>
      </c>
      <c r="B463" t="s">
        <v>368</v>
      </c>
      <c r="C463">
        <v>2021</v>
      </c>
      <c r="D463" t="s">
        <v>369</v>
      </c>
      <c r="E463">
        <v>1</v>
      </c>
      <c r="F463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36.5</v>
      </c>
      <c r="G463" s="13">
        <v>36.5</v>
      </c>
      <c r="K463" s="13">
        <v>27.5</v>
      </c>
      <c r="L463" s="13">
        <v>15.7</v>
      </c>
      <c r="N463" s="13">
        <v>5.4</v>
      </c>
      <c r="O46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79.7</v>
      </c>
      <c r="U463" s="13">
        <v>14.6</v>
      </c>
      <c r="AI463" s="13">
        <v>4.1000000000000003E-3</v>
      </c>
      <c r="AL463" s="13">
        <v>5</v>
      </c>
      <c r="AT463" s="13" t="e">
        <f>LN(25/Table26[[#This Row],[Temperature (C)]]/(1-SQRT((Table26[[#This Row],[Temperature (C)]]-5)/Table26[[#This Row],[Temperature (C)]])))/Table26[[#This Row],[b]]</f>
        <v>#DIV/0!</v>
      </c>
      <c r="AU463" s="13">
        <f>IF(Table26[[#This Row],[b]]&lt;&gt;"",Table26[[#This Row],[T-5]], 0)</f>
        <v>0</v>
      </c>
      <c r="AV463" s="13">
        <v>1</v>
      </c>
      <c r="AW463" s="13">
        <v>500</v>
      </c>
      <c r="AY463" t="s">
        <v>503</v>
      </c>
      <c r="AZ463" s="13">
        <v>2.7204176334106802</v>
      </c>
      <c r="BA463" s="13">
        <v>23.306264501160001</v>
      </c>
      <c r="BB463" s="13">
        <v>12.1809744779582</v>
      </c>
      <c r="BE463" s="13">
        <v>8.3512179065174301</v>
      </c>
      <c r="BQ463" s="13" t="s">
        <v>506</v>
      </c>
      <c r="CV463" s="13">
        <v>0</v>
      </c>
    </row>
    <row r="464" spans="1:100" x14ac:dyDescent="0.25">
      <c r="A464" t="s">
        <v>367</v>
      </c>
      <c r="B464" t="s">
        <v>368</v>
      </c>
      <c r="C464">
        <v>2021</v>
      </c>
      <c r="D464" t="s">
        <v>369</v>
      </c>
      <c r="E464">
        <v>1</v>
      </c>
      <c r="F464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36.5</v>
      </c>
      <c r="G464" s="13">
        <v>36.5</v>
      </c>
      <c r="K464" s="13">
        <v>27.5</v>
      </c>
      <c r="L464" s="13">
        <v>15.7</v>
      </c>
      <c r="N464" s="13">
        <v>5.4</v>
      </c>
      <c r="O46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79.7</v>
      </c>
      <c r="U464" s="13">
        <v>14.6</v>
      </c>
      <c r="AI464" s="13">
        <v>4.1000000000000003E-3</v>
      </c>
      <c r="AL464" s="13">
        <v>5</v>
      </c>
      <c r="AT464" s="13" t="e">
        <f>LN(25/Table26[[#This Row],[Temperature (C)]]/(1-SQRT((Table26[[#This Row],[Temperature (C)]]-5)/Table26[[#This Row],[Temperature (C)]])))/Table26[[#This Row],[b]]</f>
        <v>#DIV/0!</v>
      </c>
      <c r="AU464" s="13">
        <f>IF(Table26[[#This Row],[b]]&lt;&gt;"",Table26[[#This Row],[T-5]], 0)</f>
        <v>0</v>
      </c>
      <c r="AV464" s="13">
        <v>1</v>
      </c>
      <c r="AW464" s="13">
        <v>600</v>
      </c>
      <c r="AY464" t="s">
        <v>503</v>
      </c>
      <c r="AZ464" s="13">
        <v>6.2529002320185603</v>
      </c>
      <c r="BA464" s="13">
        <v>30.168213457076501</v>
      </c>
      <c r="BB464" s="13">
        <v>19.205336426914101</v>
      </c>
      <c r="BE464" s="13">
        <v>11.7860434496378</v>
      </c>
      <c r="BQ464" s="13" t="s">
        <v>506</v>
      </c>
      <c r="CV464" s="13">
        <v>0</v>
      </c>
    </row>
    <row r="465" spans="1:100" x14ac:dyDescent="0.25">
      <c r="A465" t="s">
        <v>367</v>
      </c>
      <c r="B465" t="s">
        <v>368</v>
      </c>
      <c r="C465">
        <v>2021</v>
      </c>
      <c r="D465" t="s">
        <v>369</v>
      </c>
      <c r="E465">
        <v>1</v>
      </c>
      <c r="F465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36.5</v>
      </c>
      <c r="G465" s="13">
        <v>36.5</v>
      </c>
      <c r="K465" s="13">
        <v>27.5</v>
      </c>
      <c r="L465" s="13">
        <v>15.7</v>
      </c>
      <c r="N465" s="13">
        <v>5.4</v>
      </c>
      <c r="O46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79.7</v>
      </c>
      <c r="U465" s="13">
        <v>14.6</v>
      </c>
      <c r="AI465" s="13">
        <v>4.1000000000000003E-3</v>
      </c>
      <c r="AL465" s="13">
        <v>5</v>
      </c>
      <c r="AT465" s="13" t="e">
        <f>LN(25/Table26[[#This Row],[Temperature (C)]]/(1-SQRT((Table26[[#This Row],[Temperature (C)]]-5)/Table26[[#This Row],[Temperature (C)]])))/Table26[[#This Row],[b]]</f>
        <v>#DIV/0!</v>
      </c>
      <c r="AU465" s="13">
        <f>IF(Table26[[#This Row],[b]]&lt;&gt;"",Table26[[#This Row],[T-5]], 0)</f>
        <v>0</v>
      </c>
      <c r="AV465" s="13">
        <v>0</v>
      </c>
      <c r="AW465" s="13">
        <v>300</v>
      </c>
      <c r="AY465" t="s">
        <v>503</v>
      </c>
      <c r="AZ465" s="13">
        <v>45.4166666666666</v>
      </c>
      <c r="BA465" s="13">
        <v>13.75</v>
      </c>
      <c r="BB465" s="13">
        <v>40.297619047619001</v>
      </c>
      <c r="BE465" s="13">
        <v>13.979591836734601</v>
      </c>
      <c r="BQ465" s="13" t="s">
        <v>506</v>
      </c>
      <c r="CV465" s="13">
        <v>0</v>
      </c>
    </row>
    <row r="466" spans="1:100" x14ac:dyDescent="0.25">
      <c r="A466" t="s">
        <v>367</v>
      </c>
      <c r="B466" t="s">
        <v>368</v>
      </c>
      <c r="C466">
        <v>2021</v>
      </c>
      <c r="D466" t="s">
        <v>369</v>
      </c>
      <c r="E466">
        <v>1</v>
      </c>
      <c r="F466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36.5</v>
      </c>
      <c r="G466" s="13">
        <v>36.5</v>
      </c>
      <c r="K466" s="13">
        <v>27.5</v>
      </c>
      <c r="L466" s="13">
        <v>15.7</v>
      </c>
      <c r="N466" s="13">
        <v>5.4</v>
      </c>
      <c r="O46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79.7</v>
      </c>
      <c r="U466" s="13">
        <v>14.6</v>
      </c>
      <c r="AI466" s="13">
        <v>4.1000000000000003E-3</v>
      </c>
      <c r="AL466" s="13">
        <v>5</v>
      </c>
      <c r="AT466" s="13" t="e">
        <f>LN(25/Table26[[#This Row],[Temperature (C)]]/(1-SQRT((Table26[[#This Row],[Temperature (C)]]-5)/Table26[[#This Row],[Temperature (C)]])))/Table26[[#This Row],[b]]</f>
        <v>#DIV/0!</v>
      </c>
      <c r="AU466" s="13">
        <f>IF(Table26[[#This Row],[b]]&lt;&gt;"",Table26[[#This Row],[T-5]], 0)</f>
        <v>0</v>
      </c>
      <c r="AV466" s="13">
        <v>30</v>
      </c>
      <c r="AW466" s="13">
        <v>300</v>
      </c>
      <c r="AY466" t="s">
        <v>503</v>
      </c>
      <c r="AZ466" s="13">
        <v>18.869047619047599</v>
      </c>
      <c r="BA466" s="13">
        <v>17.797619047619001</v>
      </c>
      <c r="BB466" s="13">
        <v>13.511904761904701</v>
      </c>
      <c r="BE466" s="13">
        <v>13.519749835418327</v>
      </c>
      <c r="BQ466" s="13" t="s">
        <v>506</v>
      </c>
      <c r="CV466" s="13">
        <v>0</v>
      </c>
    </row>
    <row r="467" spans="1:100" x14ac:dyDescent="0.25">
      <c r="A467" t="s">
        <v>367</v>
      </c>
      <c r="B467" t="s">
        <v>368</v>
      </c>
      <c r="C467">
        <v>2021</v>
      </c>
      <c r="D467" t="s">
        <v>369</v>
      </c>
      <c r="E467">
        <v>1</v>
      </c>
      <c r="F46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36.5</v>
      </c>
      <c r="G467" s="13">
        <v>36.5</v>
      </c>
      <c r="K467" s="13">
        <v>27.5</v>
      </c>
      <c r="L467" s="13">
        <v>15.7</v>
      </c>
      <c r="N467" s="13">
        <v>5.4</v>
      </c>
      <c r="O46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79.7</v>
      </c>
      <c r="U467" s="13">
        <v>14.6</v>
      </c>
      <c r="AI467" s="13">
        <v>4.1000000000000003E-3</v>
      </c>
      <c r="AL467" s="13">
        <v>5</v>
      </c>
      <c r="AT467" s="13" t="e">
        <f>LN(25/Table26[[#This Row],[Temperature (C)]]/(1-SQRT((Table26[[#This Row],[Temperature (C)]]-5)/Table26[[#This Row],[Temperature (C)]])))/Table26[[#This Row],[b]]</f>
        <v>#DIV/0!</v>
      </c>
      <c r="AU467" s="13">
        <f>IF(Table26[[#This Row],[b]]&lt;&gt;"",Table26[[#This Row],[T-5]], 0)</f>
        <v>0</v>
      </c>
      <c r="AV467" s="13">
        <v>30</v>
      </c>
      <c r="AW467" s="13">
        <v>300</v>
      </c>
      <c r="AY467" t="s">
        <v>503</v>
      </c>
      <c r="AZ467" s="13">
        <v>12.202380952380899</v>
      </c>
      <c r="BA467" s="13">
        <v>20.8333333333333</v>
      </c>
      <c r="BB467" s="13">
        <v>13.0952380952381</v>
      </c>
      <c r="BE467" s="13">
        <v>3.0800821355241013</v>
      </c>
      <c r="BQ467" s="13" t="s">
        <v>506</v>
      </c>
      <c r="CV467" s="13">
        <v>0</v>
      </c>
    </row>
    <row r="468" spans="1:100" x14ac:dyDescent="0.25">
      <c r="A468" t="s">
        <v>367</v>
      </c>
      <c r="B468" t="s">
        <v>368</v>
      </c>
      <c r="C468">
        <v>2021</v>
      </c>
      <c r="D468" t="s">
        <v>369</v>
      </c>
      <c r="E468">
        <v>1</v>
      </c>
      <c r="F468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36.5</v>
      </c>
      <c r="G468" s="13">
        <v>36.5</v>
      </c>
      <c r="K468" s="13">
        <v>27.5</v>
      </c>
      <c r="L468" s="13">
        <v>15.7</v>
      </c>
      <c r="N468" s="13">
        <v>5.4</v>
      </c>
      <c r="O46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79.7</v>
      </c>
      <c r="U468" s="13">
        <v>14.6</v>
      </c>
      <c r="AI468" s="13">
        <v>4.1000000000000003E-3</v>
      </c>
      <c r="AL468" s="13">
        <v>5</v>
      </c>
      <c r="AT468" s="13" t="e">
        <f>LN(25/Table26[[#This Row],[Temperature (C)]]/(1-SQRT((Table26[[#This Row],[Temperature (C)]]-5)/Table26[[#This Row],[Temperature (C)]])))/Table26[[#This Row],[b]]</f>
        <v>#DIV/0!</v>
      </c>
      <c r="AU468" s="13">
        <f>IF(Table26[[#This Row],[b]]&lt;&gt;"",Table26[[#This Row],[T-5]], 0)</f>
        <v>0</v>
      </c>
      <c r="AV468" s="13">
        <v>30</v>
      </c>
      <c r="AW468" s="13">
        <v>300</v>
      </c>
      <c r="AY468" t="s">
        <v>503</v>
      </c>
      <c r="AZ468" s="13">
        <v>11.369047619047601</v>
      </c>
      <c r="BA468" s="13">
        <v>29.345238095237999</v>
      </c>
      <c r="BB468" s="13">
        <v>12.857142857142801</v>
      </c>
      <c r="BE468" s="13">
        <v>11.32747061731061</v>
      </c>
      <c r="BQ468" s="13" t="s">
        <v>506</v>
      </c>
      <c r="CV468" s="13">
        <v>0</v>
      </c>
    </row>
    <row r="469" spans="1:100" x14ac:dyDescent="0.25">
      <c r="A469" t="s">
        <v>367</v>
      </c>
      <c r="B469" t="s">
        <v>368</v>
      </c>
      <c r="C469">
        <v>2021</v>
      </c>
      <c r="D469" t="s">
        <v>369</v>
      </c>
      <c r="E469">
        <v>1</v>
      </c>
      <c r="F469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36.5</v>
      </c>
      <c r="G469" s="13">
        <v>36.5</v>
      </c>
      <c r="K469" s="13">
        <v>27.5</v>
      </c>
      <c r="L469" s="13">
        <v>15.7</v>
      </c>
      <c r="N469" s="13">
        <v>5.4</v>
      </c>
      <c r="O46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79.7</v>
      </c>
      <c r="U469" s="13">
        <v>14.6</v>
      </c>
      <c r="AI469" s="13">
        <v>4.1000000000000003E-3</v>
      </c>
      <c r="AL469" s="13">
        <v>5</v>
      </c>
      <c r="AT469" s="13" t="e">
        <f>LN(25/Table26[[#This Row],[Temperature (C)]]/(1-SQRT((Table26[[#This Row],[Temperature (C)]]-5)/Table26[[#This Row],[Temperature (C)]])))/Table26[[#This Row],[b]]</f>
        <v>#DIV/0!</v>
      </c>
      <c r="AU469" s="13">
        <f>IF(Table26[[#This Row],[b]]&lt;&gt;"",Table26[[#This Row],[T-5]], 0)</f>
        <v>0</v>
      </c>
      <c r="AV469" s="13">
        <v>30</v>
      </c>
      <c r="AW469" s="13">
        <v>300</v>
      </c>
      <c r="AY469" t="s">
        <v>503</v>
      </c>
      <c r="AZ469" s="13">
        <v>11.4880952380952</v>
      </c>
      <c r="BA469" s="13">
        <v>27.202380952380899</v>
      </c>
      <c r="BB469" s="13">
        <v>9.5238095238095202</v>
      </c>
      <c r="BE469" s="13">
        <v>11.977654891476069</v>
      </c>
      <c r="BQ469" s="13" t="s">
        <v>506</v>
      </c>
      <c r="CV469" s="13">
        <v>0</v>
      </c>
    </row>
    <row r="470" spans="1:100" x14ac:dyDescent="0.25">
      <c r="A470" s="1" t="s">
        <v>379</v>
      </c>
      <c r="B470" t="s">
        <v>334</v>
      </c>
      <c r="C470">
        <v>2020</v>
      </c>
      <c r="D470" t="s">
        <v>380</v>
      </c>
      <c r="E470">
        <v>1</v>
      </c>
      <c r="F470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M470" s="13">
        <v>100</v>
      </c>
      <c r="O47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470" s="13">
        <v>60.7</v>
      </c>
      <c r="AC470" s="13">
        <v>6.6</v>
      </c>
      <c r="AD470" s="13">
        <v>32.94</v>
      </c>
      <c r="AE470" s="13">
        <v>0</v>
      </c>
      <c r="AH470" s="13">
        <v>23.1</v>
      </c>
      <c r="AI470" s="13">
        <v>0.05</v>
      </c>
      <c r="AL470" s="13">
        <v>10</v>
      </c>
      <c r="AM470" s="13">
        <v>10</v>
      </c>
      <c r="AP470" s="13">
        <v>0.14499999999999999</v>
      </c>
      <c r="AS470" s="13">
        <v>38</v>
      </c>
      <c r="AT470" s="13">
        <f>LN(25/Table26[[#This Row],[Temperature (C)]]/(1-SQRT((Table26[[#This Row],[Temperature (C)]]-5)/Table26[[#This Row],[Temperature (C)]])))/Table26[[#This Row],[b]]</f>
        <v>15.850980281826082</v>
      </c>
      <c r="AU470" s="13">
        <f>IF(Table26[[#This Row],[b]]&lt;&gt;"",Table26[[#This Row],[T-5]], 0)</f>
        <v>15.850980281826082</v>
      </c>
      <c r="AV470" s="13">
        <f>Table26[[#This Row],[Heating time]]+Table26[[#This Row],[Holding Time (min)]]</f>
        <v>53.850980281826082</v>
      </c>
      <c r="AW470" s="13">
        <v>300</v>
      </c>
      <c r="AY470" t="s">
        <v>503</v>
      </c>
      <c r="BA470" s="13">
        <v>9.5</v>
      </c>
      <c r="BE470" s="13">
        <v>15.400078950948011</v>
      </c>
      <c r="BQ470" s="13" t="s">
        <v>506</v>
      </c>
      <c r="CV470" s="13">
        <v>0</v>
      </c>
    </row>
    <row r="471" spans="1:100" x14ac:dyDescent="0.25">
      <c r="A471" t="s">
        <v>379</v>
      </c>
      <c r="B471" t="s">
        <v>334</v>
      </c>
      <c r="C471">
        <v>2020</v>
      </c>
      <c r="D471" t="s">
        <v>380</v>
      </c>
      <c r="E471">
        <v>1</v>
      </c>
      <c r="F471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M471" s="13">
        <v>100</v>
      </c>
      <c r="O47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471" s="13">
        <v>60.7</v>
      </c>
      <c r="AC471" s="13">
        <v>6.6</v>
      </c>
      <c r="AD471" s="13">
        <v>32.94</v>
      </c>
      <c r="AE471" s="13">
        <v>0</v>
      </c>
      <c r="AH471" s="13">
        <v>23.1</v>
      </c>
      <c r="AI471" s="13">
        <v>0.05</v>
      </c>
      <c r="AL471" s="13">
        <v>10</v>
      </c>
      <c r="AM471" s="13">
        <v>10</v>
      </c>
      <c r="AP471" s="13">
        <v>0.14499999999999999</v>
      </c>
      <c r="AS471" s="13">
        <v>60</v>
      </c>
      <c r="AT471" s="13">
        <f>LN(25/Table26[[#This Row],[Temperature (C)]]/(1-SQRT((Table26[[#This Row],[Temperature (C)]]-5)/Table26[[#This Row],[Temperature (C)]])))/Table26[[#This Row],[b]]</f>
        <v>15.850980281826082</v>
      </c>
      <c r="AU471" s="13">
        <f>IF(Table26[[#This Row],[b]]&lt;&gt;"",Table26[[#This Row],[T-5]], 0)</f>
        <v>15.850980281826082</v>
      </c>
      <c r="AV471" s="13">
        <f>Table26[[#This Row],[Heating time]]+Table26[[#This Row],[Holding Time (min)]]</f>
        <v>75.850980281826082</v>
      </c>
      <c r="AW471" s="13">
        <v>300</v>
      </c>
      <c r="AY471" t="s">
        <v>503</v>
      </c>
      <c r="BA471" s="13">
        <v>10.7</v>
      </c>
      <c r="BE471" s="13">
        <v>15.811088295688371</v>
      </c>
      <c r="BQ471" s="13" t="s">
        <v>506</v>
      </c>
      <c r="CV471" s="13">
        <v>0</v>
      </c>
    </row>
    <row r="472" spans="1:100" x14ac:dyDescent="0.25">
      <c r="A472" t="s">
        <v>379</v>
      </c>
      <c r="B472" t="s">
        <v>334</v>
      </c>
      <c r="C472">
        <v>2020</v>
      </c>
      <c r="D472" t="s">
        <v>380</v>
      </c>
      <c r="E472">
        <v>1</v>
      </c>
      <c r="F472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M472" s="13">
        <v>100</v>
      </c>
      <c r="O47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472" s="13">
        <v>60.7</v>
      </c>
      <c r="AC472" s="13">
        <v>6.6</v>
      </c>
      <c r="AD472" s="13">
        <v>32.94</v>
      </c>
      <c r="AE472" s="13">
        <v>0</v>
      </c>
      <c r="AH472" s="13">
        <v>23.1</v>
      </c>
      <c r="AI472" s="13">
        <v>0.05</v>
      </c>
      <c r="AL472" s="13">
        <v>10</v>
      </c>
      <c r="AM472" s="13">
        <v>10</v>
      </c>
      <c r="AP472" s="13">
        <v>0.14499999999999999</v>
      </c>
      <c r="AS472" s="13">
        <v>20</v>
      </c>
      <c r="AT472" s="13">
        <f>LN(25/Table26[[#This Row],[Temperature (C)]]/(1-SQRT((Table26[[#This Row],[Temperature (C)]]-5)/Table26[[#This Row],[Temperature (C)]])))/Table26[[#This Row],[b]]</f>
        <v>15.850980281826082</v>
      </c>
      <c r="AU472" s="13">
        <f>IF(Table26[[#This Row],[b]]&lt;&gt;"",Table26[[#This Row],[T-5]], 0)</f>
        <v>15.850980281826082</v>
      </c>
      <c r="AV472" s="13">
        <f>Table26[[#This Row],[Heating time]]+Table26[[#This Row],[Holding Time (min)]]</f>
        <v>35.850980281826082</v>
      </c>
      <c r="AW472" s="13">
        <v>300</v>
      </c>
      <c r="AY472" t="s">
        <v>503</v>
      </c>
      <c r="BA472" s="13">
        <v>8.1</v>
      </c>
      <c r="BE472" s="13">
        <v>1.8999999999999972</v>
      </c>
      <c r="BQ472" s="13" t="s">
        <v>506</v>
      </c>
      <c r="CV472" s="13">
        <v>0</v>
      </c>
    </row>
    <row r="473" spans="1:100" x14ac:dyDescent="0.25">
      <c r="A473" t="s">
        <v>379</v>
      </c>
      <c r="B473" t="s">
        <v>334</v>
      </c>
      <c r="C473">
        <v>2020</v>
      </c>
      <c r="D473" t="s">
        <v>380</v>
      </c>
      <c r="E473">
        <v>1</v>
      </c>
      <c r="F473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M473" s="13">
        <v>100</v>
      </c>
      <c r="O47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473" s="13">
        <v>60.7</v>
      </c>
      <c r="AC473" s="13">
        <v>6.6</v>
      </c>
      <c r="AD473" s="13">
        <v>32.94</v>
      </c>
      <c r="AE473" s="13">
        <v>0</v>
      </c>
      <c r="AH473" s="13">
        <v>23.1</v>
      </c>
      <c r="AI473" s="13">
        <v>0.05</v>
      </c>
      <c r="AL473" s="13">
        <v>10</v>
      </c>
      <c r="AM473" s="13">
        <v>10</v>
      </c>
      <c r="AP473" s="13">
        <v>0.14499999999999999</v>
      </c>
      <c r="AS473" s="13">
        <v>33</v>
      </c>
      <c r="AT473" s="13">
        <f>LN(25/Table26[[#This Row],[Temperature (C)]]/(1-SQRT((Table26[[#This Row],[Temperature (C)]]-5)/Table26[[#This Row],[Temperature (C)]])))/Table26[[#This Row],[b]]</f>
        <v>15.855825141072815</v>
      </c>
      <c r="AU473" s="13">
        <f>IF(Table26[[#This Row],[b]]&lt;&gt;"",Table26[[#This Row],[T-5]], 0)</f>
        <v>15.855825141072815</v>
      </c>
      <c r="AV473" s="13">
        <f>Table26[[#This Row],[Heating time]]+Table26[[#This Row],[Holding Time (min)]]</f>
        <v>48.855825141072813</v>
      </c>
      <c r="AW473" s="13">
        <v>360</v>
      </c>
      <c r="AY473" t="s">
        <v>503</v>
      </c>
      <c r="BA473" s="13">
        <v>18.7</v>
      </c>
      <c r="BE473" s="13">
        <v>5.9999999999999947</v>
      </c>
      <c r="BQ473" s="13" t="s">
        <v>506</v>
      </c>
      <c r="CV473" s="13">
        <v>0</v>
      </c>
    </row>
    <row r="474" spans="1:100" x14ac:dyDescent="0.25">
      <c r="A474" t="s">
        <v>379</v>
      </c>
      <c r="B474" t="s">
        <v>334</v>
      </c>
      <c r="C474">
        <v>2020</v>
      </c>
      <c r="D474" t="s">
        <v>380</v>
      </c>
      <c r="E474">
        <v>1</v>
      </c>
      <c r="F474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M474" s="13">
        <v>100</v>
      </c>
      <c r="O47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474" s="13">
        <v>60.7</v>
      </c>
      <c r="AC474" s="13">
        <v>6.6</v>
      </c>
      <c r="AD474" s="13">
        <v>32.94</v>
      </c>
      <c r="AE474" s="13">
        <v>0</v>
      </c>
      <c r="AH474" s="13">
        <v>23.1</v>
      </c>
      <c r="AI474" s="13">
        <v>0.05</v>
      </c>
      <c r="AL474" s="13">
        <v>10</v>
      </c>
      <c r="AM474" s="13">
        <v>10</v>
      </c>
      <c r="AP474" s="13">
        <v>0.14499999999999999</v>
      </c>
      <c r="AS474" s="13">
        <v>60</v>
      </c>
      <c r="AT474" s="13">
        <f>LN(25/Table26[[#This Row],[Temperature (C)]]/(1-SQRT((Table26[[#This Row],[Temperature (C)]]-5)/Table26[[#This Row],[Temperature (C)]])))/Table26[[#This Row],[b]]</f>
        <v>15.855825141072815</v>
      </c>
      <c r="AU474" s="13">
        <f>IF(Table26[[#This Row],[b]]&lt;&gt;"",Table26[[#This Row],[T-5]], 0)</f>
        <v>15.855825141072815</v>
      </c>
      <c r="AV474" s="13">
        <f>Table26[[#This Row],[Heating time]]+Table26[[#This Row],[Holding Time (min)]]</f>
        <v>75.855825141072813</v>
      </c>
      <c r="AW474" s="13">
        <v>360</v>
      </c>
      <c r="AY474" t="s">
        <v>503</v>
      </c>
      <c r="BA474" s="13">
        <v>20.3</v>
      </c>
      <c r="BE474" s="13">
        <v>9.9</v>
      </c>
      <c r="BQ474" s="13" t="s">
        <v>506</v>
      </c>
      <c r="CV474" s="13">
        <v>0</v>
      </c>
    </row>
    <row r="475" spans="1:100" x14ac:dyDescent="0.25">
      <c r="A475" t="s">
        <v>379</v>
      </c>
      <c r="B475" t="s">
        <v>334</v>
      </c>
      <c r="C475">
        <v>2020</v>
      </c>
      <c r="D475" t="s">
        <v>380</v>
      </c>
      <c r="E475">
        <v>1</v>
      </c>
      <c r="F475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M475" s="13">
        <v>100</v>
      </c>
      <c r="O47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475" s="13">
        <v>60.7</v>
      </c>
      <c r="AC475" s="13">
        <v>6.6</v>
      </c>
      <c r="AD475" s="13">
        <v>32.94</v>
      </c>
      <c r="AE475" s="13">
        <v>0</v>
      </c>
      <c r="AH475" s="13">
        <v>23.1</v>
      </c>
      <c r="AI475" s="13">
        <v>0.05</v>
      </c>
      <c r="AL475" s="13">
        <v>10</v>
      </c>
      <c r="AM475" s="13">
        <v>10</v>
      </c>
      <c r="AP475" s="13">
        <v>0.14499999999999999</v>
      </c>
      <c r="AS475" s="13">
        <v>42.6</v>
      </c>
      <c r="AT475" s="13">
        <f>LN(25/Table26[[#This Row],[Temperature (C)]]/(1-SQRT((Table26[[#This Row],[Temperature (C)]]-5)/Table26[[#This Row],[Temperature (C)]])))/Table26[[#This Row],[b]]</f>
        <v>15.853250629973596</v>
      </c>
      <c r="AU475" s="13">
        <f>IF(Table26[[#This Row],[b]]&lt;&gt;"",Table26[[#This Row],[T-5]], 0)</f>
        <v>15.853250629973596</v>
      </c>
      <c r="AV475" s="13">
        <f>Table26[[#This Row],[Heating time]]+Table26[[#This Row],[Holding Time (min)]]</f>
        <v>58.453250629973596</v>
      </c>
      <c r="AW475" s="13">
        <v>325.39999999999998</v>
      </c>
      <c r="AY475" t="s">
        <v>503</v>
      </c>
      <c r="BA475" s="13">
        <v>17.7</v>
      </c>
      <c r="BE475" s="13">
        <v>12.599999999999991</v>
      </c>
      <c r="BQ475" s="13" t="s">
        <v>506</v>
      </c>
      <c r="CV475" s="13">
        <v>0</v>
      </c>
    </row>
    <row r="476" spans="1:100" x14ac:dyDescent="0.25">
      <c r="A476" t="s">
        <v>379</v>
      </c>
      <c r="B476" t="s">
        <v>334</v>
      </c>
      <c r="C476">
        <v>2020</v>
      </c>
      <c r="D476" t="s">
        <v>380</v>
      </c>
      <c r="E476">
        <v>1</v>
      </c>
      <c r="F476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M476" s="13">
        <v>100</v>
      </c>
      <c r="O47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476" s="13">
        <v>60.7</v>
      </c>
      <c r="AC476" s="13">
        <v>6.6</v>
      </c>
      <c r="AD476" s="13">
        <v>32.94</v>
      </c>
      <c r="AE476" s="13">
        <v>0</v>
      </c>
      <c r="AH476" s="13">
        <v>23.1</v>
      </c>
      <c r="AI476" s="13">
        <v>0.05</v>
      </c>
      <c r="AL476" s="13">
        <v>10</v>
      </c>
      <c r="AM476" s="13">
        <v>10</v>
      </c>
      <c r="AP476" s="13">
        <v>0.14499999999999999</v>
      </c>
      <c r="AS476" s="13">
        <v>42.6</v>
      </c>
      <c r="AT476" s="13">
        <f>LN(25/Table26[[#This Row],[Temperature (C)]]/(1-SQRT((Table26[[#This Row],[Temperature (C)]]-5)/Table26[[#This Row],[Temperature (C)]])))/Table26[[#This Row],[b]]</f>
        <v>15.853250629973596</v>
      </c>
      <c r="AU476" s="13">
        <f>IF(Table26[[#This Row],[b]]&lt;&gt;"",Table26[[#This Row],[T-5]], 0)</f>
        <v>15.853250629973596</v>
      </c>
      <c r="AV476" s="13">
        <f>Table26[[#This Row],[Heating time]]+Table26[[#This Row],[Holding Time (min)]]</f>
        <v>58.453250629973596</v>
      </c>
      <c r="AW476" s="13">
        <v>325.39999999999998</v>
      </c>
      <c r="AY476" t="s">
        <v>503</v>
      </c>
      <c r="BA476" s="13">
        <v>18.100000000000001</v>
      </c>
      <c r="BE476" s="13">
        <v>14.400000000000006</v>
      </c>
      <c r="BQ476" s="13" t="s">
        <v>506</v>
      </c>
      <c r="CV476" s="13">
        <v>0</v>
      </c>
    </row>
    <row r="477" spans="1:100" x14ac:dyDescent="0.25">
      <c r="A477" t="s">
        <v>379</v>
      </c>
      <c r="B477" t="s">
        <v>334</v>
      </c>
      <c r="C477">
        <v>2020</v>
      </c>
      <c r="D477" t="s">
        <v>380</v>
      </c>
      <c r="E477">
        <v>1</v>
      </c>
      <c r="F477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M477" s="13">
        <v>100</v>
      </c>
      <c r="O47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477" s="13">
        <v>60.7</v>
      </c>
      <c r="AC477" s="13">
        <v>6.6</v>
      </c>
      <c r="AD477" s="13">
        <v>32.94</v>
      </c>
      <c r="AE477" s="13">
        <v>0</v>
      </c>
      <c r="AH477" s="13">
        <v>23.1</v>
      </c>
      <c r="AI477" s="13">
        <v>0.05</v>
      </c>
      <c r="AL477" s="13">
        <v>10</v>
      </c>
      <c r="AM477" s="13">
        <v>10</v>
      </c>
      <c r="AP477" s="13">
        <v>0.14499999999999999</v>
      </c>
      <c r="AS477" s="13">
        <v>42.6</v>
      </c>
      <c r="AT477" s="13">
        <f>LN(25/Table26[[#This Row],[Temperature (C)]]/(1-SQRT((Table26[[#This Row],[Temperature (C)]]-5)/Table26[[#This Row],[Temperature (C)]])))/Table26[[#This Row],[b]]</f>
        <v>15.853250629973596</v>
      </c>
      <c r="AU477" s="13">
        <f>IF(Table26[[#This Row],[b]]&lt;&gt;"",Table26[[#This Row],[T-5]], 0)</f>
        <v>15.853250629973596</v>
      </c>
      <c r="AV477" s="13">
        <f>Table26[[#This Row],[Heating time]]+Table26[[#This Row],[Holding Time (min)]]</f>
        <v>58.453250629973596</v>
      </c>
      <c r="AW477" s="13">
        <v>325.39999999999998</v>
      </c>
      <c r="AY477" t="s">
        <v>503</v>
      </c>
      <c r="BA477" s="13">
        <v>17.5</v>
      </c>
      <c r="BE477" s="13">
        <v>21.800000000000008</v>
      </c>
      <c r="BQ477" s="13" t="s">
        <v>506</v>
      </c>
      <c r="CV477" s="13">
        <v>0</v>
      </c>
    </row>
    <row r="478" spans="1:100" x14ac:dyDescent="0.25">
      <c r="A478" t="s">
        <v>379</v>
      </c>
      <c r="B478" t="s">
        <v>334</v>
      </c>
      <c r="C478">
        <v>2020</v>
      </c>
      <c r="D478" t="s">
        <v>380</v>
      </c>
      <c r="E478">
        <v>1</v>
      </c>
      <c r="F478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M478" s="13">
        <v>100</v>
      </c>
      <c r="O47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478" s="13">
        <v>60.7</v>
      </c>
      <c r="AC478" s="13">
        <v>6.6</v>
      </c>
      <c r="AD478" s="13">
        <v>32.94</v>
      </c>
      <c r="AE478" s="13">
        <v>0</v>
      </c>
      <c r="AH478" s="13">
        <v>23.1</v>
      </c>
      <c r="AI478" s="13">
        <v>0.05</v>
      </c>
      <c r="AL478" s="13">
        <v>10</v>
      </c>
      <c r="AM478" s="13">
        <v>10</v>
      </c>
      <c r="AP478" s="13">
        <v>0.14499999999999999</v>
      </c>
      <c r="AS478" s="13">
        <v>45.4</v>
      </c>
      <c r="AT478" s="13">
        <f>LN(25/Table26[[#This Row],[Temperature (C)]]/(1-SQRT((Table26[[#This Row],[Temperature (C)]]-5)/Table26[[#This Row],[Temperature (C)]])))/Table26[[#This Row],[b]]</f>
        <v>15.855825141072815</v>
      </c>
      <c r="AU478" s="13">
        <f>IF(Table26[[#This Row],[b]]&lt;&gt;"",Table26[[#This Row],[T-5]], 0)</f>
        <v>15.855825141072815</v>
      </c>
      <c r="AV478" s="13">
        <f>Table26[[#This Row],[Heating time]]+Table26[[#This Row],[Holding Time (min)]]</f>
        <v>61.255825141072812</v>
      </c>
      <c r="AW478" s="13">
        <v>360</v>
      </c>
      <c r="AY478" t="s">
        <v>503</v>
      </c>
      <c r="BA478" s="13">
        <v>22.3</v>
      </c>
      <c r="BE478" s="13">
        <v>31.099999999999991</v>
      </c>
      <c r="BQ478" s="13" t="s">
        <v>506</v>
      </c>
      <c r="CV478" s="13">
        <v>0</v>
      </c>
    </row>
    <row r="479" spans="1:100" x14ac:dyDescent="0.25">
      <c r="A479" t="s">
        <v>379</v>
      </c>
      <c r="B479" t="s">
        <v>334</v>
      </c>
      <c r="C479">
        <v>2020</v>
      </c>
      <c r="D479" t="s">
        <v>380</v>
      </c>
      <c r="E479">
        <v>1</v>
      </c>
      <c r="F479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M479" s="13">
        <v>100</v>
      </c>
      <c r="O47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479" s="13">
        <v>60.7</v>
      </c>
      <c r="AC479" s="13">
        <v>6.6</v>
      </c>
      <c r="AD479" s="13">
        <v>32.94</v>
      </c>
      <c r="AE479" s="13">
        <v>0</v>
      </c>
      <c r="AH479" s="13">
        <v>23.1</v>
      </c>
      <c r="AI479" s="13">
        <v>0.05</v>
      </c>
      <c r="AL479" s="13">
        <v>10</v>
      </c>
      <c r="AM479" s="13">
        <v>10</v>
      </c>
      <c r="AP479" s="13">
        <v>0.14499999999999999</v>
      </c>
      <c r="AS479" s="13">
        <v>38.799999999999997</v>
      </c>
      <c r="AT479" s="13">
        <f>LN(25/Table26[[#This Row],[Temperature (C)]]/(1-SQRT((Table26[[#This Row],[Temperature (C)]]-5)/Table26[[#This Row],[Temperature (C)]])))/Table26[[#This Row],[b]]</f>
        <v>15.854684603507961</v>
      </c>
      <c r="AU479" s="13">
        <f>IF(Table26[[#This Row],[b]]&lt;&gt;"",Table26[[#This Row],[T-5]], 0)</f>
        <v>15.854684603507961</v>
      </c>
      <c r="AV479" s="13">
        <f>Table26[[#This Row],[Heating time]]+Table26[[#This Row],[Holding Time (min)]]</f>
        <v>54.65468460350796</v>
      </c>
      <c r="AW479" s="13">
        <v>343.8</v>
      </c>
      <c r="AY479" t="s">
        <v>503</v>
      </c>
      <c r="BA479" s="13">
        <v>22.1</v>
      </c>
      <c r="BE479" s="13">
        <v>36.200000000000003</v>
      </c>
      <c r="BQ479" s="13" t="s">
        <v>506</v>
      </c>
      <c r="CV479" s="13">
        <v>0</v>
      </c>
    </row>
    <row r="480" spans="1:100" x14ac:dyDescent="0.25">
      <c r="A480" t="s">
        <v>379</v>
      </c>
      <c r="B480" t="s">
        <v>334</v>
      </c>
      <c r="C480">
        <v>2020</v>
      </c>
      <c r="D480" t="s">
        <v>380</v>
      </c>
      <c r="E480">
        <v>1</v>
      </c>
      <c r="F480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M480" s="13">
        <v>100</v>
      </c>
      <c r="O48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480" s="13">
        <v>60.7</v>
      </c>
      <c r="AC480" s="13">
        <v>6.6</v>
      </c>
      <c r="AD480" s="13">
        <v>32.94</v>
      </c>
      <c r="AE480" s="13">
        <v>0</v>
      </c>
      <c r="AH480" s="13">
        <v>23.1</v>
      </c>
      <c r="AI480" s="13">
        <v>0.05</v>
      </c>
      <c r="AL480" s="13">
        <v>10</v>
      </c>
      <c r="AM480" s="13">
        <v>10</v>
      </c>
      <c r="AP480" s="13">
        <v>0.14499999999999999</v>
      </c>
      <c r="AS480" s="13">
        <v>25.85</v>
      </c>
      <c r="AT480" s="13">
        <f>LN(25/Table26[[#This Row],[Temperature (C)]]/(1-SQRT((Table26[[#This Row],[Temperature (C)]]-5)/Table26[[#This Row],[Temperature (C)]])))/Table26[[#This Row],[b]]</f>
        <v>15.852936449245101</v>
      </c>
      <c r="AU480" s="13">
        <f>IF(Table26[[#This Row],[b]]&lt;&gt;"",Table26[[#This Row],[T-5]], 0)</f>
        <v>15.852936449245101</v>
      </c>
      <c r="AV480" s="13">
        <f>Table26[[#This Row],[Heating time]]+Table26[[#This Row],[Holding Time (min)]]</f>
        <v>41.702936449245101</v>
      </c>
      <c r="AW480" s="13">
        <v>321.63</v>
      </c>
      <c r="AY480" t="s">
        <v>503</v>
      </c>
      <c r="BA480" s="13">
        <v>13.1</v>
      </c>
      <c r="BE480" s="13">
        <v>37.700000000000003</v>
      </c>
      <c r="BQ480" s="13" t="s">
        <v>506</v>
      </c>
      <c r="CV480" s="13">
        <v>0</v>
      </c>
    </row>
    <row r="481" spans="1:100" x14ac:dyDescent="0.25">
      <c r="A481" t="s">
        <v>379</v>
      </c>
      <c r="B481" t="s">
        <v>334</v>
      </c>
      <c r="C481">
        <v>2020</v>
      </c>
      <c r="D481" t="s">
        <v>380</v>
      </c>
      <c r="E481">
        <v>1</v>
      </c>
      <c r="F481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M481" s="13">
        <v>100</v>
      </c>
      <c r="O48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481" s="13">
        <v>60.7</v>
      </c>
      <c r="AC481" s="13">
        <v>6.6</v>
      </c>
      <c r="AD481" s="13">
        <v>32.94</v>
      </c>
      <c r="AE481" s="13">
        <v>0</v>
      </c>
      <c r="AH481" s="13">
        <v>23.1</v>
      </c>
      <c r="AI481" s="13">
        <v>0.05</v>
      </c>
      <c r="AL481" s="13">
        <v>10</v>
      </c>
      <c r="AM481" s="13">
        <v>10</v>
      </c>
      <c r="AP481" s="13">
        <v>0.14499999999999999</v>
      </c>
      <c r="AS481" s="13">
        <v>20</v>
      </c>
      <c r="AT481" s="13">
        <f>LN(25/Table26[[#This Row],[Temperature (C)]]/(1-SQRT((Table26[[#This Row],[Temperature (C)]]-5)/Table26[[#This Row],[Temperature (C)]])))/Table26[[#This Row],[b]]</f>
        <v>15.854662462280739</v>
      </c>
      <c r="AU481" s="13">
        <f>IF(Table26[[#This Row],[b]]&lt;&gt;"",Table26[[#This Row],[T-5]], 0)</f>
        <v>15.854662462280739</v>
      </c>
      <c r="AV481" s="13">
        <f>Table26[[#This Row],[Heating time]]+Table26[[#This Row],[Holding Time (min)]]</f>
        <v>35.854662462280743</v>
      </c>
      <c r="AW481" s="13">
        <v>343.5</v>
      </c>
      <c r="AY481" t="s">
        <v>503</v>
      </c>
      <c r="BA481" s="13">
        <v>13.5</v>
      </c>
      <c r="BE481" s="13">
        <v>7.4</v>
      </c>
      <c r="BQ481" s="13" t="s">
        <v>506</v>
      </c>
      <c r="CV481" s="13">
        <v>0</v>
      </c>
    </row>
    <row r="482" spans="1:100" x14ac:dyDescent="0.25">
      <c r="A482" t="s">
        <v>379</v>
      </c>
      <c r="B482" t="s">
        <v>334</v>
      </c>
      <c r="C482">
        <v>2020</v>
      </c>
      <c r="D482" t="s">
        <v>380</v>
      </c>
      <c r="E482">
        <v>1</v>
      </c>
      <c r="F482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M482" s="13">
        <v>100</v>
      </c>
      <c r="O48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482" s="13">
        <v>60.7</v>
      </c>
      <c r="AC482" s="13">
        <v>6.6</v>
      </c>
      <c r="AD482" s="13">
        <v>32.94</v>
      </c>
      <c r="AE482" s="13">
        <v>0</v>
      </c>
      <c r="AH482" s="13">
        <v>23.1</v>
      </c>
      <c r="AI482" s="13">
        <v>0.05</v>
      </c>
      <c r="AL482" s="13">
        <v>10</v>
      </c>
      <c r="AM482" s="13">
        <v>10</v>
      </c>
      <c r="AP482" s="13">
        <v>0.14499999999999999</v>
      </c>
      <c r="AS482" s="13">
        <v>20</v>
      </c>
      <c r="AT482" s="13">
        <f>LN(25/Table26[[#This Row],[Temperature (C)]]/(1-SQRT((Table26[[#This Row],[Temperature (C)]]-5)/Table26[[#This Row],[Temperature (C)]])))/Table26[[#This Row],[b]]</f>
        <v>15.854662462280739</v>
      </c>
      <c r="AU482" s="13">
        <f>IF(Table26[[#This Row],[b]]&lt;&gt;"",Table26[[#This Row],[T-5]], 0)</f>
        <v>15.854662462280739</v>
      </c>
      <c r="AV482" s="13">
        <f>Table26[[#This Row],[Heating time]]+Table26[[#This Row],[Holding Time (min)]]</f>
        <v>35.854662462280743</v>
      </c>
      <c r="AW482" s="13">
        <v>343.5</v>
      </c>
      <c r="AY482" t="s">
        <v>503</v>
      </c>
      <c r="BA482" s="13">
        <v>13.7</v>
      </c>
      <c r="BE482" s="13">
        <v>14.299999999999997</v>
      </c>
      <c r="BQ482" s="13" t="s">
        <v>506</v>
      </c>
      <c r="CV482" s="13">
        <v>0</v>
      </c>
    </row>
    <row r="483" spans="1:100" x14ac:dyDescent="0.25">
      <c r="A483" t="s">
        <v>379</v>
      </c>
      <c r="B483" t="s">
        <v>334</v>
      </c>
      <c r="C483">
        <v>2020</v>
      </c>
      <c r="D483" t="s">
        <v>380</v>
      </c>
      <c r="E483">
        <v>1</v>
      </c>
      <c r="F483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M483" s="13">
        <v>100</v>
      </c>
      <c r="O48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483" s="13">
        <v>60.7</v>
      </c>
      <c r="AC483" s="13">
        <v>6.6</v>
      </c>
      <c r="AD483" s="13">
        <v>32.94</v>
      </c>
      <c r="AE483" s="13">
        <v>0</v>
      </c>
      <c r="AH483" s="13">
        <v>23.1</v>
      </c>
      <c r="AI483" s="13">
        <v>0.05</v>
      </c>
      <c r="AL483" s="13">
        <v>10</v>
      </c>
      <c r="AM483" s="13">
        <v>10</v>
      </c>
      <c r="AP483" s="13">
        <v>0.14499999999999999</v>
      </c>
      <c r="AS483" s="13">
        <v>60</v>
      </c>
      <c r="AT483" s="13">
        <f>LN(25/Table26[[#This Row],[Temperature (C)]]/(1-SQRT((Table26[[#This Row],[Temperature (C)]]-5)/Table26[[#This Row],[Temperature (C)]])))/Table26[[#This Row],[b]]</f>
        <v>15.853862242575763</v>
      </c>
      <c r="AU483" s="13">
        <f>IF(Table26[[#This Row],[b]]&lt;&gt;"",Table26[[#This Row],[T-5]], 0)</f>
        <v>15.853862242575763</v>
      </c>
      <c r="AV483" s="13">
        <f>Table26[[#This Row],[Heating time]]+Table26[[#This Row],[Holding Time (min)]]</f>
        <v>75.853862242575758</v>
      </c>
      <c r="AW483" s="13">
        <v>333</v>
      </c>
      <c r="AY483" t="s">
        <v>503</v>
      </c>
      <c r="BA483" s="13">
        <v>19.100000000000001</v>
      </c>
      <c r="BE483" s="13">
        <v>24.999999999999996</v>
      </c>
      <c r="BQ483" s="13" t="s">
        <v>506</v>
      </c>
      <c r="CV483" s="13">
        <v>0</v>
      </c>
    </row>
    <row r="484" spans="1:100" x14ac:dyDescent="0.25">
      <c r="A484" t="s">
        <v>379</v>
      </c>
      <c r="B484" t="s">
        <v>334</v>
      </c>
      <c r="C484">
        <v>2020</v>
      </c>
      <c r="D484" t="s">
        <v>380</v>
      </c>
      <c r="E484">
        <v>1</v>
      </c>
      <c r="F484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M484" s="13">
        <v>100</v>
      </c>
      <c r="O48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484" s="13">
        <v>60.7</v>
      </c>
      <c r="AC484" s="13">
        <v>6.6</v>
      </c>
      <c r="AD484" s="13">
        <v>32.94</v>
      </c>
      <c r="AE484" s="13">
        <v>0</v>
      </c>
      <c r="AH484" s="13">
        <v>23.1</v>
      </c>
      <c r="AI484" s="13">
        <v>0.05</v>
      </c>
      <c r="AL484" s="13">
        <v>10</v>
      </c>
      <c r="AM484" s="13">
        <v>10</v>
      </c>
      <c r="AP484" s="13">
        <v>0.14499999999999999</v>
      </c>
      <c r="AS484" s="13">
        <v>60</v>
      </c>
      <c r="AT484" s="13">
        <f>LN(25/Table26[[#This Row],[Temperature (C)]]/(1-SQRT((Table26[[#This Row],[Temperature (C)]]-5)/Table26[[#This Row],[Temperature (C)]])))/Table26[[#This Row],[b]]</f>
        <v>15.853862242575763</v>
      </c>
      <c r="AU484" s="13">
        <f>IF(Table26[[#This Row],[b]]&lt;&gt;"",Table26[[#This Row],[T-5]], 0)</f>
        <v>15.853862242575763</v>
      </c>
      <c r="AV484" s="13">
        <f>Table26[[#This Row],[Heating time]]+Table26[[#This Row],[Holding Time (min)]]</f>
        <v>75.853862242575758</v>
      </c>
      <c r="AW484" s="13">
        <v>333</v>
      </c>
      <c r="AY484" t="s">
        <v>503</v>
      </c>
      <c r="BA484" s="13">
        <v>19.5</v>
      </c>
      <c r="BE484" s="13">
        <v>26.800000000000008</v>
      </c>
      <c r="BQ484" s="13" t="s">
        <v>506</v>
      </c>
      <c r="CV484" s="13">
        <v>0</v>
      </c>
    </row>
    <row r="485" spans="1:100" x14ac:dyDescent="0.25">
      <c r="A485" t="s">
        <v>379</v>
      </c>
      <c r="B485" t="s">
        <v>334</v>
      </c>
      <c r="C485">
        <v>2020</v>
      </c>
      <c r="D485" s="9" t="s">
        <v>381</v>
      </c>
      <c r="E485">
        <v>0</v>
      </c>
      <c r="F485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12.237583205325141</v>
      </c>
      <c r="G485" s="13">
        <f>1.25/2.25*Algae!$F$384</f>
        <v>12.237583205325141</v>
      </c>
      <c r="K485" s="13">
        <f>1.25/2.25*Algae!$I$384</f>
        <v>35.995903737839228</v>
      </c>
      <c r="L485" s="13">
        <f>1.25/2.25*Algae!$J$384</f>
        <v>2.96979006656426</v>
      </c>
      <c r="M485" s="13">
        <f>100/2.25</f>
        <v>44.444444444444443</v>
      </c>
      <c r="N485" s="13">
        <f>1.25/2.25*Algae!$M$384</f>
        <v>4.7222222222222223</v>
      </c>
      <c r="O48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95.647721454173066</v>
      </c>
      <c r="AB485" s="13">
        <v>53.033333333333331</v>
      </c>
      <c r="AC485" s="13">
        <v>6.7666666666666666</v>
      </c>
      <c r="AD485" s="13">
        <v>34.362222222222222</v>
      </c>
      <c r="AE485" s="13">
        <v>5.9444444444444446</v>
      </c>
      <c r="AF485" s="13">
        <v>0</v>
      </c>
      <c r="AH485" s="13">
        <v>20.544444444444444</v>
      </c>
      <c r="AI485" s="13">
        <v>0.05</v>
      </c>
      <c r="AL485" s="13">
        <v>10</v>
      </c>
      <c r="AM485" s="13">
        <v>10</v>
      </c>
      <c r="AP485" s="13">
        <v>0.14499999999999999</v>
      </c>
      <c r="AS485" s="13">
        <v>40</v>
      </c>
      <c r="AT485" s="13">
        <f>LN(25/Table26[[#This Row],[Temperature (C)]]/(1-SQRT((Table26[[#This Row],[Temperature (C)]]-5)/Table26[[#This Row],[Temperature (C)]])))/Table26[[#This Row],[b]]</f>
        <v>15.85440124478308</v>
      </c>
      <c r="AU485" s="13">
        <f>IF(Table26[[#This Row],[b]]&lt;&gt;"",Table26[[#This Row],[T-5]], 0)</f>
        <v>15.85440124478308</v>
      </c>
      <c r="AV485" s="13">
        <f>Table26[[#This Row],[Heating time]]+Table26[[#This Row],[Holding Time (min)]]</f>
        <v>55.854401244783077</v>
      </c>
      <c r="AW485" s="13">
        <v>340</v>
      </c>
      <c r="AY485" t="s">
        <v>503</v>
      </c>
      <c r="BA485" s="13">
        <v>27.5</v>
      </c>
      <c r="BE485" s="13">
        <v>32.1</v>
      </c>
      <c r="BQ485" s="13" t="s">
        <v>506</v>
      </c>
      <c r="CV485" s="13">
        <v>0</v>
      </c>
    </row>
    <row r="486" spans="1:100" x14ac:dyDescent="0.25">
      <c r="A486" t="s">
        <v>379</v>
      </c>
      <c r="B486" t="s">
        <v>334</v>
      </c>
      <c r="C486">
        <v>2020</v>
      </c>
      <c r="D486" s="9" t="s">
        <v>381</v>
      </c>
      <c r="E486">
        <v>0</v>
      </c>
      <c r="F486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12.237583205325141</v>
      </c>
      <c r="G486" s="13">
        <f>1.25/2.25*Algae!$F$384</f>
        <v>12.237583205325141</v>
      </c>
      <c r="K486" s="13">
        <f>1.25/2.25*Algae!$I$384</f>
        <v>35.995903737839228</v>
      </c>
      <c r="L486" s="13">
        <f>1.25/2.25*Algae!$J$384</f>
        <v>2.96979006656426</v>
      </c>
      <c r="M486" s="13">
        <f>100/2.25</f>
        <v>44.444444444444443</v>
      </c>
      <c r="N486" s="13">
        <f>1.25/2.25*Algae!$M$384</f>
        <v>4.7222222222222223</v>
      </c>
      <c r="O48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95.647721454173066</v>
      </c>
      <c r="AB486" s="13">
        <v>53.033333333333331</v>
      </c>
      <c r="AC486" s="13">
        <v>6.7666666666666666</v>
      </c>
      <c r="AD486" s="13">
        <v>34.362222222222222</v>
      </c>
      <c r="AE486" s="13">
        <v>5.9444444444444446</v>
      </c>
      <c r="AF486" s="13">
        <v>0</v>
      </c>
      <c r="AH486" s="13">
        <v>20.544444444444444</v>
      </c>
      <c r="AI486" s="13">
        <v>0.05</v>
      </c>
      <c r="AL486" s="13">
        <v>10</v>
      </c>
      <c r="AM486" s="13">
        <v>10</v>
      </c>
      <c r="AP486" s="13">
        <v>0.14499999999999999</v>
      </c>
      <c r="AS486" s="13">
        <v>20</v>
      </c>
      <c r="AT486" s="13">
        <f>LN(25/Table26[[#This Row],[Temperature (C)]]/(1-SQRT((Table26[[#This Row],[Temperature (C)]]-5)/Table26[[#This Row],[Temperature (C)]])))/Table26[[#This Row],[b]]</f>
        <v>15.855825141072815</v>
      </c>
      <c r="AU486" s="13">
        <f>IF(Table26[[#This Row],[b]]&lt;&gt;"",Table26[[#This Row],[T-5]], 0)</f>
        <v>15.855825141072815</v>
      </c>
      <c r="AV486" s="13">
        <f>Table26[[#This Row],[Heating time]]+Table26[[#This Row],[Holding Time (min)]]</f>
        <v>35.855825141072813</v>
      </c>
      <c r="AW486" s="13">
        <v>360</v>
      </c>
      <c r="AY486" t="s">
        <v>503</v>
      </c>
      <c r="BA486" s="13">
        <v>19.7</v>
      </c>
      <c r="BE486" s="13">
        <v>40.9</v>
      </c>
      <c r="BQ486" s="13" t="s">
        <v>506</v>
      </c>
      <c r="CV486" s="13">
        <v>0</v>
      </c>
    </row>
    <row r="487" spans="1:100" x14ac:dyDescent="0.25">
      <c r="A487" t="s">
        <v>379</v>
      </c>
      <c r="B487" t="s">
        <v>334</v>
      </c>
      <c r="C487">
        <v>2020</v>
      </c>
      <c r="D487" s="9" t="s">
        <v>381</v>
      </c>
      <c r="E487">
        <v>0</v>
      </c>
      <c r="F48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12.237583205325141</v>
      </c>
      <c r="G487" s="13">
        <f>1.25/2.25*Algae!$F$384</f>
        <v>12.237583205325141</v>
      </c>
      <c r="K487" s="13">
        <f>1.25/2.25*Algae!$I$384</f>
        <v>35.995903737839228</v>
      </c>
      <c r="L487" s="13">
        <f>1.25/2.25*Algae!$J$384</f>
        <v>2.96979006656426</v>
      </c>
      <c r="M487" s="13">
        <f>100/2.25</f>
        <v>44.444444444444443</v>
      </c>
      <c r="N487" s="13">
        <f>1.25/2.25*Algae!$M$384</f>
        <v>4.7222222222222223</v>
      </c>
      <c r="O48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95.647721454173066</v>
      </c>
      <c r="AB487" s="13">
        <v>53.033333333333331</v>
      </c>
      <c r="AC487" s="13">
        <v>6.7666666666666666</v>
      </c>
      <c r="AD487" s="13">
        <v>34.362222222222222</v>
      </c>
      <c r="AE487" s="13">
        <v>5.9444444444444446</v>
      </c>
      <c r="AF487" s="13">
        <v>0</v>
      </c>
      <c r="AH487" s="13">
        <v>20.544444444444444</v>
      </c>
      <c r="AI487" s="13">
        <v>0.05</v>
      </c>
      <c r="AL487" s="13">
        <v>10</v>
      </c>
      <c r="AM487" s="13">
        <v>10</v>
      </c>
      <c r="AP487" s="13">
        <v>0.14499999999999999</v>
      </c>
      <c r="AS487" s="13">
        <v>60</v>
      </c>
      <c r="AT487" s="13">
        <f>LN(25/Table26[[#This Row],[Temperature (C)]]/(1-SQRT((Table26[[#This Row],[Temperature (C)]]-5)/Table26[[#This Row],[Temperature (C)]])))/Table26[[#This Row],[b]]</f>
        <v>15.855825141072815</v>
      </c>
      <c r="AU487" s="13">
        <f>IF(Table26[[#This Row],[b]]&lt;&gt;"",Table26[[#This Row],[T-5]], 0)</f>
        <v>15.855825141072815</v>
      </c>
      <c r="AV487" s="13">
        <f>Table26[[#This Row],[Heating time]]+Table26[[#This Row],[Holding Time (min)]]</f>
        <v>75.855825141072813</v>
      </c>
      <c r="AW487" s="13">
        <v>360</v>
      </c>
      <c r="AY487" t="s">
        <v>503</v>
      </c>
      <c r="BA487" s="13">
        <v>22.5</v>
      </c>
      <c r="BE487" s="13">
        <v>48.000000000000007</v>
      </c>
      <c r="BQ487" s="13" t="s">
        <v>506</v>
      </c>
      <c r="CV487" s="13">
        <v>0</v>
      </c>
    </row>
    <row r="488" spans="1:100" x14ac:dyDescent="0.25">
      <c r="A488" t="s">
        <v>379</v>
      </c>
      <c r="B488" t="s">
        <v>334</v>
      </c>
      <c r="C488">
        <v>2020</v>
      </c>
      <c r="D488" s="9" t="s">
        <v>381</v>
      </c>
      <c r="E488">
        <v>0</v>
      </c>
      <c r="F488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12.237583205325141</v>
      </c>
      <c r="G488" s="13">
        <f>1.25/2.25*Algae!$F$384</f>
        <v>12.237583205325141</v>
      </c>
      <c r="K488" s="13">
        <f>1.25/2.25*Algae!$I$384</f>
        <v>35.995903737839228</v>
      </c>
      <c r="L488" s="13">
        <f>1.25/2.25*Algae!$J$384</f>
        <v>2.96979006656426</v>
      </c>
      <c r="M488" s="13">
        <f>100/2.25</f>
        <v>44.444444444444443</v>
      </c>
      <c r="N488" s="13">
        <f>1.25/2.25*Algae!$M$384</f>
        <v>4.7222222222222223</v>
      </c>
      <c r="O48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95.647721454173066</v>
      </c>
      <c r="AB488" s="13">
        <v>53.033333333333331</v>
      </c>
      <c r="AC488" s="13">
        <v>6.7666666666666666</v>
      </c>
      <c r="AD488" s="13">
        <v>34.362222222222222</v>
      </c>
      <c r="AE488" s="13">
        <v>5.9444444444444446</v>
      </c>
      <c r="AF488" s="13">
        <v>0</v>
      </c>
      <c r="AH488" s="13">
        <v>20.544444444444444</v>
      </c>
      <c r="AI488" s="13">
        <v>0.05</v>
      </c>
      <c r="AL488" s="13">
        <v>10</v>
      </c>
      <c r="AM488" s="13">
        <v>10</v>
      </c>
      <c r="AP488" s="13">
        <v>0.14499999999999999</v>
      </c>
      <c r="AS488" s="13">
        <v>40</v>
      </c>
      <c r="AT488" s="13">
        <f>LN(25/Table26[[#This Row],[Temperature (C)]]/(1-SQRT((Table26[[#This Row],[Temperature (C)]]-5)/Table26[[#This Row],[Temperature (C)]])))/Table26[[#This Row],[b]]</f>
        <v>15.85440124478308</v>
      </c>
      <c r="AU488" s="13">
        <f>IF(Table26[[#This Row],[b]]&lt;&gt;"",Table26[[#This Row],[T-5]], 0)</f>
        <v>15.85440124478308</v>
      </c>
      <c r="AV488" s="13">
        <f>Table26[[#This Row],[Heating time]]+Table26[[#This Row],[Holding Time (min)]]</f>
        <v>55.854401244783077</v>
      </c>
      <c r="AW488" s="13">
        <v>340</v>
      </c>
      <c r="AY488" t="s">
        <v>503</v>
      </c>
      <c r="BA488" s="13">
        <v>27.7</v>
      </c>
      <c r="BE488" s="13">
        <v>50.5</v>
      </c>
      <c r="BQ488" s="13" t="s">
        <v>506</v>
      </c>
      <c r="CV488" s="13">
        <v>0</v>
      </c>
    </row>
    <row r="489" spans="1:100" x14ac:dyDescent="0.25">
      <c r="A489" t="s">
        <v>379</v>
      </c>
      <c r="B489" t="s">
        <v>334</v>
      </c>
      <c r="C489">
        <v>2020</v>
      </c>
      <c r="D489" s="9" t="s">
        <v>382</v>
      </c>
      <c r="E489">
        <v>0</v>
      </c>
      <c r="F489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14.685099846390168</v>
      </c>
      <c r="G489" s="13">
        <f>2/3*Algae!$F$384</f>
        <v>14.685099846390168</v>
      </c>
      <c r="K489" s="13">
        <f>2/3*Algae!$I$384</f>
        <v>43.195084485407065</v>
      </c>
      <c r="L489" s="13">
        <f>2/3*Algae!$J$384</f>
        <v>3.563748079877112</v>
      </c>
      <c r="M489" s="13">
        <f>100/2</f>
        <v>50</v>
      </c>
      <c r="N489" s="13">
        <f>2/3*Algae!$M$384</f>
        <v>5.6666666666666661</v>
      </c>
      <c r="O48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111.44393241167435</v>
      </c>
      <c r="AB489" s="13">
        <v>51.5</v>
      </c>
      <c r="AC489" s="13">
        <v>6.7999999999999989</v>
      </c>
      <c r="AD489" s="13">
        <v>34.646666666666661</v>
      </c>
      <c r="AE489" s="13">
        <v>7.1333333333333329</v>
      </c>
      <c r="AF489" s="13">
        <v>0</v>
      </c>
      <c r="AH489" s="13">
        <v>20.033333333333331</v>
      </c>
      <c r="AI489" s="13">
        <v>0.05</v>
      </c>
      <c r="AL489" s="13">
        <v>10</v>
      </c>
      <c r="AM489" s="13">
        <v>10</v>
      </c>
      <c r="AP489" s="13">
        <v>0.14499999999999999</v>
      </c>
      <c r="AS489" s="13">
        <v>20</v>
      </c>
      <c r="AT489" s="13">
        <f>LN(25/Table26[[#This Row],[Temperature (C)]]/(1-SQRT((Table26[[#This Row],[Temperature (C)]]-5)/Table26[[#This Row],[Temperature (C)]])))/Table26[[#This Row],[b]]</f>
        <v>15.85440124478308</v>
      </c>
      <c r="AU489" s="13">
        <f>IF(Table26[[#This Row],[b]]&lt;&gt;"",Table26[[#This Row],[T-5]], 0)</f>
        <v>15.85440124478308</v>
      </c>
      <c r="AV489" s="13">
        <f>Table26[[#This Row],[Heating time]]+Table26[[#This Row],[Holding Time (min)]]</f>
        <v>35.854401244783077</v>
      </c>
      <c r="AW489" s="13">
        <v>340</v>
      </c>
      <c r="AY489" t="s">
        <v>503</v>
      </c>
      <c r="BA489" s="13">
        <v>28.3</v>
      </c>
      <c r="BE489" s="13">
        <v>52.1</v>
      </c>
      <c r="BQ489" s="13" t="s">
        <v>506</v>
      </c>
      <c r="CV489" s="13">
        <v>0</v>
      </c>
    </row>
    <row r="490" spans="1:100" x14ac:dyDescent="0.25">
      <c r="A490" t="s">
        <v>379</v>
      </c>
      <c r="B490" t="s">
        <v>334</v>
      </c>
      <c r="C490">
        <v>2020</v>
      </c>
      <c r="D490" s="9" t="s">
        <v>383</v>
      </c>
      <c r="E490">
        <v>0</v>
      </c>
      <c r="F490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7.3425499231950839</v>
      </c>
      <c r="G490" s="13">
        <f>0.5/1.5*Algae!$F$384</f>
        <v>7.3425499231950839</v>
      </c>
      <c r="K490" s="13">
        <f>0.5/1.5*Algae!$I$384</f>
        <v>21.597542242703533</v>
      </c>
      <c r="L490" s="13">
        <f>0.5/1.5*Algae!$J$384</f>
        <v>1.781874039938556</v>
      </c>
      <c r="M490" s="13">
        <f>100/1.5</f>
        <v>66.666666666666671</v>
      </c>
      <c r="N490" s="13">
        <f>0.5/1.5*Algae!$M$384</f>
        <v>2.833333333333333</v>
      </c>
      <c r="O49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97.388632872503848</v>
      </c>
      <c r="AB490" s="13">
        <v>56.1</v>
      </c>
      <c r="AC490" s="13">
        <v>6.6999999999999993</v>
      </c>
      <c r="AD490" s="13">
        <v>33.793333333333329</v>
      </c>
      <c r="AE490" s="13">
        <v>3.5666666666666664</v>
      </c>
      <c r="AF490" s="13">
        <v>0</v>
      </c>
      <c r="AH490" s="13">
        <v>21.566666666666666</v>
      </c>
      <c r="AI490" s="13">
        <v>0.05</v>
      </c>
      <c r="AL490" s="13">
        <v>10</v>
      </c>
      <c r="AM490" s="13">
        <v>10</v>
      </c>
      <c r="AP490" s="13">
        <v>0.14499999999999999</v>
      </c>
      <c r="AS490" s="13">
        <v>60</v>
      </c>
      <c r="AT490" s="13">
        <f>LN(25/Table26[[#This Row],[Temperature (C)]]/(1-SQRT((Table26[[#This Row],[Temperature (C)]]-5)/Table26[[#This Row],[Temperature (C)]])))/Table26[[#This Row],[b]]</f>
        <v>15.85440124478308</v>
      </c>
      <c r="AU490" s="13">
        <f>IF(Table26[[#This Row],[b]]&lt;&gt;"",Table26[[#This Row],[T-5]], 0)</f>
        <v>15.85440124478308</v>
      </c>
      <c r="AV490" s="13">
        <f>Table26[[#This Row],[Heating time]]+Table26[[#This Row],[Holding Time (min)]]</f>
        <v>75.854401244783077</v>
      </c>
      <c r="AW490" s="13">
        <v>340</v>
      </c>
      <c r="AY490" t="s">
        <v>503</v>
      </c>
      <c r="BA490" s="13">
        <v>26.7</v>
      </c>
      <c r="BE490" s="13">
        <v>12.399999999999986</v>
      </c>
      <c r="BQ490" s="13" t="s">
        <v>506</v>
      </c>
      <c r="CV490" s="13">
        <v>0</v>
      </c>
    </row>
    <row r="491" spans="1:100" x14ac:dyDescent="0.25">
      <c r="A491" t="s">
        <v>379</v>
      </c>
      <c r="B491" t="s">
        <v>334</v>
      </c>
      <c r="C491">
        <v>2020</v>
      </c>
      <c r="D491" s="9" t="s">
        <v>381</v>
      </c>
      <c r="E491">
        <v>0</v>
      </c>
      <c r="F491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12.237583205325141</v>
      </c>
      <c r="G491" s="13">
        <f>1.25/2.25*Algae!$F$384</f>
        <v>12.237583205325141</v>
      </c>
      <c r="K491" s="13">
        <f>1.25/2.25*Algae!$I$384</f>
        <v>35.995903737839228</v>
      </c>
      <c r="L491" s="13">
        <f>1.25/2.25*Algae!$J$384</f>
        <v>2.96979006656426</v>
      </c>
      <c r="M491" s="13">
        <f>100/2.25</f>
        <v>44.444444444444443</v>
      </c>
      <c r="N491" s="13">
        <f>1.25/2.25*Algae!$M$384</f>
        <v>4.7222222222222223</v>
      </c>
      <c r="O49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95.647721454173066</v>
      </c>
      <c r="AB491" s="13">
        <v>53.033333333333331</v>
      </c>
      <c r="AC491" s="13">
        <v>6.7666666666666666</v>
      </c>
      <c r="AD491" s="13">
        <v>34.362222222222222</v>
      </c>
      <c r="AE491" s="13">
        <v>5.9444444444444446</v>
      </c>
      <c r="AF491" s="13">
        <v>0</v>
      </c>
      <c r="AH491" s="13">
        <v>20.544444444444444</v>
      </c>
      <c r="AI491" s="13">
        <v>0.05</v>
      </c>
      <c r="AL491" s="13">
        <v>10</v>
      </c>
      <c r="AM491" s="13">
        <v>10</v>
      </c>
      <c r="AP491" s="13">
        <v>0.14499999999999999</v>
      </c>
      <c r="AS491" s="13">
        <v>40</v>
      </c>
      <c r="AT491" s="13">
        <f>LN(25/Table26[[#This Row],[Temperature (C)]]/(1-SQRT((Table26[[#This Row],[Temperature (C)]]-5)/Table26[[#This Row],[Temperature (C)]])))/Table26[[#This Row],[b]]</f>
        <v>15.85440124478308</v>
      </c>
      <c r="AU491" s="13">
        <f>IF(Table26[[#This Row],[b]]&lt;&gt;"",Table26[[#This Row],[T-5]], 0)</f>
        <v>15.85440124478308</v>
      </c>
      <c r="AV491" s="13">
        <f>Table26[[#This Row],[Heating time]]+Table26[[#This Row],[Holding Time (min)]]</f>
        <v>55.854401244783077</v>
      </c>
      <c r="AW491" s="13">
        <v>340</v>
      </c>
      <c r="AY491" t="s">
        <v>503</v>
      </c>
      <c r="BA491" s="13">
        <v>26.9</v>
      </c>
      <c r="BE491" s="13">
        <v>27.599999999999991</v>
      </c>
      <c r="BQ491" s="13" t="s">
        <v>506</v>
      </c>
      <c r="CV491" s="13">
        <v>0</v>
      </c>
    </row>
    <row r="492" spans="1:100" x14ac:dyDescent="0.25">
      <c r="A492" t="s">
        <v>379</v>
      </c>
      <c r="B492" t="s">
        <v>334</v>
      </c>
      <c r="C492">
        <v>2020</v>
      </c>
      <c r="D492" s="9" t="s">
        <v>382</v>
      </c>
      <c r="E492">
        <v>0</v>
      </c>
      <c r="F492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14.685099846390168</v>
      </c>
      <c r="G492" s="13">
        <f>2/3*Algae!$F$384</f>
        <v>14.685099846390168</v>
      </c>
      <c r="K492" s="13">
        <f>2/3*Algae!$I$384</f>
        <v>43.195084485407065</v>
      </c>
      <c r="L492" s="13">
        <f>2/3*Algae!$J$384</f>
        <v>3.563748079877112</v>
      </c>
      <c r="M492" s="13">
        <f>100/2</f>
        <v>50</v>
      </c>
      <c r="N492" s="13">
        <f>2/3*Algae!$M$384</f>
        <v>5.6666666666666661</v>
      </c>
      <c r="O49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111.44393241167435</v>
      </c>
      <c r="AB492" s="13">
        <v>51.5</v>
      </c>
      <c r="AC492" s="13">
        <v>6.7999999999999989</v>
      </c>
      <c r="AD492" s="13">
        <v>34.646666666666661</v>
      </c>
      <c r="AE492" s="13">
        <v>7.1333333333333329</v>
      </c>
      <c r="AF492" s="13">
        <v>0</v>
      </c>
      <c r="AH492" s="13">
        <v>20.033333333333331</v>
      </c>
      <c r="AI492" s="13">
        <v>0.05</v>
      </c>
      <c r="AL492" s="13">
        <v>10</v>
      </c>
      <c r="AM492" s="13">
        <v>10</v>
      </c>
      <c r="AP492" s="13">
        <v>0.14499999999999999</v>
      </c>
      <c r="AS492" s="13">
        <v>60</v>
      </c>
      <c r="AT492" s="13">
        <f>LN(25/Table26[[#This Row],[Temperature (C)]]/(1-SQRT((Table26[[#This Row],[Temperature (C)]]-5)/Table26[[#This Row],[Temperature (C)]])))/Table26[[#This Row],[b]]</f>
        <v>15.85440124478308</v>
      </c>
      <c r="AU492" s="13">
        <f>IF(Table26[[#This Row],[b]]&lt;&gt;"",Table26[[#This Row],[T-5]], 0)</f>
        <v>15.85440124478308</v>
      </c>
      <c r="AV492" s="13">
        <f>Table26[[#This Row],[Heating time]]+Table26[[#This Row],[Holding Time (min)]]</f>
        <v>75.854401244783077</v>
      </c>
      <c r="AW492" s="13">
        <v>340</v>
      </c>
      <c r="AY492" t="s">
        <v>503</v>
      </c>
      <c r="BA492" s="13">
        <v>27.5</v>
      </c>
      <c r="BE492" s="13">
        <v>35.099999999999994</v>
      </c>
      <c r="BQ492" s="13" t="s">
        <v>506</v>
      </c>
      <c r="CV492" s="13">
        <v>0</v>
      </c>
    </row>
    <row r="493" spans="1:100" x14ac:dyDescent="0.25">
      <c r="A493" t="s">
        <v>379</v>
      </c>
      <c r="B493" t="s">
        <v>334</v>
      </c>
      <c r="C493">
        <v>2020</v>
      </c>
      <c r="D493" s="9" t="s">
        <v>382</v>
      </c>
      <c r="E493">
        <v>0</v>
      </c>
      <c r="F493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14.685099846390168</v>
      </c>
      <c r="G493" s="13">
        <f>2/3*Algae!$F$384</f>
        <v>14.685099846390168</v>
      </c>
      <c r="K493" s="13">
        <f>2/3*Algae!$I$384</f>
        <v>43.195084485407065</v>
      </c>
      <c r="L493" s="13">
        <f>2/3*Algae!$J$384</f>
        <v>3.563748079877112</v>
      </c>
      <c r="M493" s="13">
        <f>100/2</f>
        <v>50</v>
      </c>
      <c r="N493" s="13">
        <f>2/3*Algae!$M$384</f>
        <v>5.6666666666666661</v>
      </c>
      <c r="O49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111.44393241167435</v>
      </c>
      <c r="AB493" s="13">
        <v>51.5</v>
      </c>
      <c r="AC493" s="13">
        <v>6.7999999999999989</v>
      </c>
      <c r="AD493" s="13">
        <v>34.646666666666661</v>
      </c>
      <c r="AE493" s="13">
        <v>7.1333333333333329</v>
      </c>
      <c r="AF493" s="13">
        <v>0</v>
      </c>
      <c r="AH493" s="13">
        <v>20.033333333333331</v>
      </c>
      <c r="AI493" s="13">
        <v>0.05</v>
      </c>
      <c r="AL493" s="13">
        <v>10</v>
      </c>
      <c r="AM493" s="13">
        <v>10</v>
      </c>
      <c r="AP493" s="13">
        <v>0.14499999999999999</v>
      </c>
      <c r="AS493" s="13">
        <v>40</v>
      </c>
      <c r="AT493" s="13">
        <f>LN(25/Table26[[#This Row],[Temperature (C)]]/(1-SQRT((Table26[[#This Row],[Temperature (C)]]-5)/Table26[[#This Row],[Temperature (C)]])))/Table26[[#This Row],[b]]</f>
        <v>15.852798303916169</v>
      </c>
      <c r="AU493" s="13">
        <f>IF(Table26[[#This Row],[b]]&lt;&gt;"",Table26[[#This Row],[T-5]], 0)</f>
        <v>15.852798303916169</v>
      </c>
      <c r="AV493" s="13">
        <f>Table26[[#This Row],[Heating time]]+Table26[[#This Row],[Holding Time (min)]]</f>
        <v>55.852798303916167</v>
      </c>
      <c r="AW493" s="13">
        <v>320</v>
      </c>
      <c r="AY493" t="s">
        <v>503</v>
      </c>
      <c r="BA493" s="13">
        <v>21.9</v>
      </c>
      <c r="BE493" s="13">
        <v>38.70000000000001</v>
      </c>
      <c r="BQ493" s="13" t="s">
        <v>506</v>
      </c>
      <c r="CV493" s="13">
        <v>0</v>
      </c>
    </row>
    <row r="494" spans="1:100" x14ac:dyDescent="0.25">
      <c r="A494" t="s">
        <v>379</v>
      </c>
      <c r="B494" t="s">
        <v>334</v>
      </c>
      <c r="C494">
        <v>2020</v>
      </c>
      <c r="D494" s="9" t="s">
        <v>381</v>
      </c>
      <c r="E494">
        <v>0</v>
      </c>
      <c r="F494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12.237583205325141</v>
      </c>
      <c r="G494" s="13">
        <f>1.25/2.25*Algae!$F$384</f>
        <v>12.237583205325141</v>
      </c>
      <c r="K494" s="13">
        <f>1.25/2.25*Algae!$I$384</f>
        <v>35.995903737839228</v>
      </c>
      <c r="L494" s="13">
        <f>1.25/2.25*Algae!$J$384</f>
        <v>2.96979006656426</v>
      </c>
      <c r="M494" s="13">
        <f>100/2.25</f>
        <v>44.444444444444443</v>
      </c>
      <c r="N494" s="13">
        <f>1.25/2.25*Algae!$M$384</f>
        <v>4.7222222222222223</v>
      </c>
      <c r="O49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95.647721454173066</v>
      </c>
      <c r="AB494" s="13">
        <v>53.033333333333331</v>
      </c>
      <c r="AC494" s="13">
        <v>6.7666666666666666</v>
      </c>
      <c r="AD494" s="13">
        <v>34.362222222222222</v>
      </c>
      <c r="AE494" s="13">
        <v>5.9444444444444446</v>
      </c>
      <c r="AF494" s="13">
        <v>0</v>
      </c>
      <c r="AH494" s="13">
        <v>20.544444444444444</v>
      </c>
      <c r="AI494" s="13">
        <v>0.05</v>
      </c>
      <c r="AL494" s="13">
        <v>10</v>
      </c>
      <c r="AM494" s="13">
        <v>10</v>
      </c>
      <c r="AP494" s="13">
        <v>0.14499999999999999</v>
      </c>
      <c r="AS494" s="13">
        <v>40</v>
      </c>
      <c r="AT494" s="13">
        <f>LN(25/Table26[[#This Row],[Temperature (C)]]/(1-SQRT((Table26[[#This Row],[Temperature (C)]]-5)/Table26[[#This Row],[Temperature (C)]])))/Table26[[#This Row],[b]]</f>
        <v>15.85440124478308</v>
      </c>
      <c r="AU494" s="13">
        <f>IF(Table26[[#This Row],[b]]&lt;&gt;"",Table26[[#This Row],[T-5]], 0)</f>
        <v>15.85440124478308</v>
      </c>
      <c r="AV494" s="13">
        <f>Table26[[#This Row],[Heating time]]+Table26[[#This Row],[Holding Time (min)]]</f>
        <v>55.854401244783077</v>
      </c>
      <c r="AW494" s="13">
        <v>340</v>
      </c>
      <c r="AY494" t="s">
        <v>503</v>
      </c>
      <c r="BA494" s="13">
        <v>27.1</v>
      </c>
      <c r="BE494" s="13">
        <v>44.199999999999996</v>
      </c>
      <c r="BQ494" s="13" t="s">
        <v>506</v>
      </c>
      <c r="CV494" s="13">
        <v>0</v>
      </c>
    </row>
    <row r="495" spans="1:100" x14ac:dyDescent="0.25">
      <c r="A495" t="s">
        <v>379</v>
      </c>
      <c r="B495" t="s">
        <v>334</v>
      </c>
      <c r="C495">
        <v>2020</v>
      </c>
      <c r="D495" s="9" t="s">
        <v>381</v>
      </c>
      <c r="E495">
        <v>0</v>
      </c>
      <c r="F495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12.237583205325141</v>
      </c>
      <c r="G495" s="13">
        <f>1.25/2.25*Algae!$F$384</f>
        <v>12.237583205325141</v>
      </c>
      <c r="K495" s="13">
        <f>1.25/2.25*Algae!$I$384</f>
        <v>35.995903737839228</v>
      </c>
      <c r="L495" s="13">
        <f>1.25/2.25*Algae!$J$384</f>
        <v>2.96979006656426</v>
      </c>
      <c r="M495" s="13">
        <f>100/2.25</f>
        <v>44.444444444444443</v>
      </c>
      <c r="N495" s="13">
        <f>1.25/2.25*Algae!$M$384</f>
        <v>4.7222222222222223</v>
      </c>
      <c r="O49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95.647721454173066</v>
      </c>
      <c r="AB495" s="13">
        <v>53.033333333333331</v>
      </c>
      <c r="AC495" s="13">
        <v>6.7666666666666666</v>
      </c>
      <c r="AD495" s="13">
        <v>34.362222222222222</v>
      </c>
      <c r="AE495" s="13">
        <v>5.9444444444444446</v>
      </c>
      <c r="AF495" s="13">
        <v>0</v>
      </c>
      <c r="AH495" s="13">
        <v>20.544444444444444</v>
      </c>
      <c r="AI495" s="13">
        <v>0.05</v>
      </c>
      <c r="AL495" s="13">
        <v>10</v>
      </c>
      <c r="AM495" s="13">
        <v>10</v>
      </c>
      <c r="AP495" s="13">
        <v>0.14499999999999999</v>
      </c>
      <c r="AS495" s="13">
        <v>60</v>
      </c>
      <c r="AT495" s="13">
        <f>LN(25/Table26[[#This Row],[Temperature (C)]]/(1-SQRT((Table26[[#This Row],[Temperature (C)]]-5)/Table26[[#This Row],[Temperature (C)]])))/Table26[[#This Row],[b]]</f>
        <v>15.852798303916169</v>
      </c>
      <c r="AU495" s="13">
        <f>IF(Table26[[#This Row],[b]]&lt;&gt;"",Table26[[#This Row],[T-5]], 0)</f>
        <v>15.852798303916169</v>
      </c>
      <c r="AV495" s="13">
        <f>Table26[[#This Row],[Heating time]]+Table26[[#This Row],[Holding Time (min)]]</f>
        <v>75.852798303916174</v>
      </c>
      <c r="AW495" s="13">
        <v>320</v>
      </c>
      <c r="AY495" t="s">
        <v>503</v>
      </c>
      <c r="BA495" s="13">
        <v>16.7</v>
      </c>
      <c r="BE495" s="13">
        <v>50</v>
      </c>
      <c r="BQ495" s="13" t="s">
        <v>506</v>
      </c>
      <c r="CV495" s="13">
        <v>0</v>
      </c>
    </row>
    <row r="496" spans="1:100" x14ac:dyDescent="0.25">
      <c r="A496" t="s">
        <v>379</v>
      </c>
      <c r="B496" t="s">
        <v>334</v>
      </c>
      <c r="C496">
        <v>2020</v>
      </c>
      <c r="D496" s="9" t="s">
        <v>383</v>
      </c>
      <c r="E496">
        <v>0</v>
      </c>
      <c r="F496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7.3425499231950839</v>
      </c>
      <c r="G496" s="13">
        <f>0.5/1.5*Algae!$F$384</f>
        <v>7.3425499231950839</v>
      </c>
      <c r="K496" s="13">
        <f>0.5/1.5*Algae!$I$384</f>
        <v>21.597542242703533</v>
      </c>
      <c r="L496" s="13">
        <f>0.5/1.5*Algae!$J$384</f>
        <v>1.781874039938556</v>
      </c>
      <c r="M496" s="13">
        <f>100/1.5</f>
        <v>66.666666666666671</v>
      </c>
      <c r="N496" s="13">
        <f>0.5/1.5*Algae!$M$384</f>
        <v>2.833333333333333</v>
      </c>
      <c r="O49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97.388632872503848</v>
      </c>
      <c r="AB496" s="13">
        <v>56.1</v>
      </c>
      <c r="AC496" s="13">
        <v>6.6999999999999993</v>
      </c>
      <c r="AD496" s="13">
        <v>33.793333333333329</v>
      </c>
      <c r="AE496" s="13">
        <v>3.5666666666666664</v>
      </c>
      <c r="AF496" s="13">
        <v>0</v>
      </c>
      <c r="AH496" s="13">
        <v>21.566666666666666</v>
      </c>
      <c r="AI496" s="13">
        <v>0.05</v>
      </c>
      <c r="AL496" s="13">
        <v>10</v>
      </c>
      <c r="AM496" s="13">
        <v>10</v>
      </c>
      <c r="AP496" s="13">
        <v>0.14499999999999999</v>
      </c>
      <c r="AS496" s="13">
        <v>40</v>
      </c>
      <c r="AT496" s="13">
        <f>LN(25/Table26[[#This Row],[Temperature (C)]]/(1-SQRT((Table26[[#This Row],[Temperature (C)]]-5)/Table26[[#This Row],[Temperature (C)]])))/Table26[[#This Row],[b]]</f>
        <v>15.855825141072815</v>
      </c>
      <c r="AU496" s="13">
        <f>IF(Table26[[#This Row],[b]]&lt;&gt;"",Table26[[#This Row],[T-5]], 0)</f>
        <v>15.855825141072815</v>
      </c>
      <c r="AV496" s="13">
        <f>Table26[[#This Row],[Heating time]]+Table26[[#This Row],[Holding Time (min)]]</f>
        <v>55.855825141072813</v>
      </c>
      <c r="AW496" s="13">
        <v>360</v>
      </c>
      <c r="AY496" t="s">
        <v>503</v>
      </c>
      <c r="BA496" s="13">
        <v>22.7</v>
      </c>
      <c r="BE496" s="13">
        <v>54.5</v>
      </c>
      <c r="BQ496" s="13" t="s">
        <v>506</v>
      </c>
      <c r="CV496" s="13">
        <v>0</v>
      </c>
    </row>
    <row r="497" spans="1:100" x14ac:dyDescent="0.25">
      <c r="A497" t="s">
        <v>379</v>
      </c>
      <c r="B497" t="s">
        <v>334</v>
      </c>
      <c r="C497">
        <v>2020</v>
      </c>
      <c r="D497" s="9" t="s">
        <v>381</v>
      </c>
      <c r="E497">
        <v>0</v>
      </c>
      <c r="F49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12.237583205325141</v>
      </c>
      <c r="G497" s="13">
        <f>1.25/2.25*Algae!$F$384</f>
        <v>12.237583205325141</v>
      </c>
      <c r="K497" s="13">
        <f>1.25/2.25*Algae!$I$384</f>
        <v>35.995903737839228</v>
      </c>
      <c r="L497" s="13">
        <f>1.25/2.25*Algae!$J$384</f>
        <v>2.96979006656426</v>
      </c>
      <c r="M497" s="13">
        <f>100/2.25</f>
        <v>44.444444444444443</v>
      </c>
      <c r="N497" s="13">
        <f>1.25/2.25*Algae!$M$384</f>
        <v>4.7222222222222223</v>
      </c>
      <c r="O49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95.647721454173066</v>
      </c>
      <c r="AB497" s="13">
        <v>53.033333333333331</v>
      </c>
      <c r="AC497" s="13">
        <v>6.7666666666666666</v>
      </c>
      <c r="AD497" s="13">
        <v>34.362222222222222</v>
      </c>
      <c r="AE497" s="13">
        <v>5.9444444444444446</v>
      </c>
      <c r="AF497" s="13">
        <v>0</v>
      </c>
      <c r="AH497" s="13">
        <v>20.544444444444444</v>
      </c>
      <c r="AI497" s="13">
        <v>0.05</v>
      </c>
      <c r="AL497" s="13">
        <v>10</v>
      </c>
      <c r="AM497" s="13">
        <v>10</v>
      </c>
      <c r="AP497" s="13">
        <v>0.14499999999999999</v>
      </c>
      <c r="AS497" s="13">
        <v>20</v>
      </c>
      <c r="AT497" s="13">
        <f>LN(25/Table26[[#This Row],[Temperature (C)]]/(1-SQRT((Table26[[#This Row],[Temperature (C)]]-5)/Table26[[#This Row],[Temperature (C)]])))/Table26[[#This Row],[b]]</f>
        <v>15.852798303916169</v>
      </c>
      <c r="AU497" s="13">
        <f>IF(Table26[[#This Row],[b]]&lt;&gt;"",Table26[[#This Row],[T-5]], 0)</f>
        <v>15.852798303916169</v>
      </c>
      <c r="AV497" s="13">
        <f>Table26[[#This Row],[Heating time]]+Table26[[#This Row],[Holding Time (min)]]</f>
        <v>35.852798303916167</v>
      </c>
      <c r="AW497" s="13">
        <v>320</v>
      </c>
      <c r="AY497" t="s">
        <v>503</v>
      </c>
      <c r="BA497" s="13">
        <v>13.6</v>
      </c>
      <c r="BE497" s="13">
        <v>56.20000000000001</v>
      </c>
      <c r="BQ497" s="13" t="s">
        <v>506</v>
      </c>
      <c r="CV497" s="13">
        <v>0</v>
      </c>
    </row>
    <row r="498" spans="1:100" x14ac:dyDescent="0.25">
      <c r="A498" t="s">
        <v>379</v>
      </c>
      <c r="B498" t="s">
        <v>334</v>
      </c>
      <c r="C498">
        <v>2020</v>
      </c>
      <c r="D498" s="9" t="s">
        <v>381</v>
      </c>
      <c r="E498">
        <v>0</v>
      </c>
      <c r="F498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12.237583205325141</v>
      </c>
      <c r="G498" s="13">
        <f>1.25/2.25*Algae!$F$384</f>
        <v>12.237583205325141</v>
      </c>
      <c r="K498" s="13">
        <f>1.25/2.25*Algae!$I$384</f>
        <v>35.995903737839228</v>
      </c>
      <c r="L498" s="13">
        <f>1.25/2.25*Algae!$J$384</f>
        <v>2.96979006656426</v>
      </c>
      <c r="M498" s="13">
        <f>100/2.25</f>
        <v>44.444444444444443</v>
      </c>
      <c r="N498" s="13">
        <f>1.25/2.25*Algae!$M$384</f>
        <v>4.7222222222222223</v>
      </c>
      <c r="O49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95.647721454173066</v>
      </c>
      <c r="AB498" s="13">
        <v>53.033333333333331</v>
      </c>
      <c r="AC498" s="13">
        <v>6.7666666666666666</v>
      </c>
      <c r="AD498" s="13">
        <v>34.362222222222222</v>
      </c>
      <c r="AE498" s="13">
        <v>5.9444444444444446</v>
      </c>
      <c r="AF498" s="13">
        <v>0</v>
      </c>
      <c r="AH498" s="13">
        <v>20.544444444444444</v>
      </c>
      <c r="AI498" s="13">
        <v>0.05</v>
      </c>
      <c r="AL498" s="13">
        <v>10</v>
      </c>
      <c r="AM498" s="13">
        <v>10</v>
      </c>
      <c r="AP498" s="13">
        <v>0.14499999999999999</v>
      </c>
      <c r="AS498" s="13">
        <v>40</v>
      </c>
      <c r="AT498" s="13">
        <f>LN(25/Table26[[#This Row],[Temperature (C)]]/(1-SQRT((Table26[[#This Row],[Temperature (C)]]-5)/Table26[[#This Row],[Temperature (C)]])))/Table26[[#This Row],[b]]</f>
        <v>15.85440124478308</v>
      </c>
      <c r="AU498" s="13">
        <f>IF(Table26[[#This Row],[b]]&lt;&gt;"",Table26[[#This Row],[T-5]], 0)</f>
        <v>15.85440124478308</v>
      </c>
      <c r="AV498" s="13">
        <f>Table26[[#This Row],[Heating time]]+Table26[[#This Row],[Holding Time (min)]]</f>
        <v>55.854401244783077</v>
      </c>
      <c r="AW498" s="13">
        <v>340</v>
      </c>
      <c r="AY498" t="s">
        <v>503</v>
      </c>
      <c r="BA498" s="13">
        <v>25.9</v>
      </c>
      <c r="BE498" s="13">
        <v>59.000000000000007</v>
      </c>
      <c r="BQ498" s="13" t="s">
        <v>506</v>
      </c>
      <c r="CV498" s="13">
        <v>0</v>
      </c>
    </row>
    <row r="499" spans="1:100" x14ac:dyDescent="0.25">
      <c r="A499" t="s">
        <v>379</v>
      </c>
      <c r="B499" t="s">
        <v>334</v>
      </c>
      <c r="C499">
        <v>2020</v>
      </c>
      <c r="D499" s="9" t="s">
        <v>383</v>
      </c>
      <c r="E499">
        <v>0</v>
      </c>
      <c r="F499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7.3425499231950839</v>
      </c>
      <c r="G499" s="13">
        <f>0.5/1.5*Algae!$F$384</f>
        <v>7.3425499231950839</v>
      </c>
      <c r="K499" s="13">
        <f>0.5/1.5*Algae!$I$384</f>
        <v>21.597542242703533</v>
      </c>
      <c r="L499" s="13">
        <f>0.5/1.5*Algae!$J$384</f>
        <v>1.781874039938556</v>
      </c>
      <c r="M499" s="13">
        <f>100/1.5</f>
        <v>66.666666666666671</v>
      </c>
      <c r="N499" s="13">
        <f>0.5/1.5*Algae!$M$384</f>
        <v>2.833333333333333</v>
      </c>
      <c r="O49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97.388632872503848</v>
      </c>
      <c r="AB499" s="13">
        <v>56.1</v>
      </c>
      <c r="AC499" s="13">
        <v>6.6999999999999993</v>
      </c>
      <c r="AD499" s="13">
        <v>33.793333333333329</v>
      </c>
      <c r="AE499" s="13">
        <v>3.5666666666666664</v>
      </c>
      <c r="AF499" s="13">
        <v>0</v>
      </c>
      <c r="AH499" s="13">
        <v>21.566666666666666</v>
      </c>
      <c r="AI499" s="13">
        <v>0.05</v>
      </c>
      <c r="AL499" s="13">
        <v>10</v>
      </c>
      <c r="AM499" s="13">
        <v>10</v>
      </c>
      <c r="AP499" s="13">
        <v>0.14499999999999999</v>
      </c>
      <c r="AS499" s="13">
        <v>20</v>
      </c>
      <c r="AT499" s="13">
        <f>LN(25/Table26[[#This Row],[Temperature (C)]]/(1-SQRT((Table26[[#This Row],[Temperature (C)]]-5)/Table26[[#This Row],[Temperature (C)]])))/Table26[[#This Row],[b]]</f>
        <v>15.85440124478308</v>
      </c>
      <c r="AU499" s="13">
        <f>IF(Table26[[#This Row],[b]]&lt;&gt;"",Table26[[#This Row],[T-5]], 0)</f>
        <v>15.85440124478308</v>
      </c>
      <c r="AV499" s="13">
        <f>Table26[[#This Row],[Heating time]]+Table26[[#This Row],[Holding Time (min)]]</f>
        <v>35.854401244783077</v>
      </c>
      <c r="AW499" s="13">
        <v>340</v>
      </c>
      <c r="AY499" t="s">
        <v>503</v>
      </c>
      <c r="BA499" s="13">
        <v>17.3</v>
      </c>
      <c r="BE499" s="13">
        <v>40.800000000000004</v>
      </c>
      <c r="BQ499" s="13" t="s">
        <v>506</v>
      </c>
      <c r="CV499" s="13">
        <v>0</v>
      </c>
    </row>
    <row r="500" spans="1:100" x14ac:dyDescent="0.25">
      <c r="A500" t="s">
        <v>379</v>
      </c>
      <c r="B500" t="s">
        <v>334</v>
      </c>
      <c r="C500">
        <v>2020</v>
      </c>
      <c r="D500" s="9" t="s">
        <v>382</v>
      </c>
      <c r="E500">
        <v>0</v>
      </c>
      <c r="F500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14.685099846390168</v>
      </c>
      <c r="G500" s="13">
        <f>2/3*Algae!$F$384</f>
        <v>14.685099846390168</v>
      </c>
      <c r="K500" s="13">
        <f>2/3*Algae!$I$384</f>
        <v>43.195084485407065</v>
      </c>
      <c r="L500" s="13">
        <f>2/3*Algae!$J$384</f>
        <v>3.563748079877112</v>
      </c>
      <c r="M500" s="13">
        <f>100/2</f>
        <v>50</v>
      </c>
      <c r="N500" s="13">
        <f>2/3*Algae!$M$384</f>
        <v>5.6666666666666661</v>
      </c>
      <c r="O50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111.44393241167435</v>
      </c>
      <c r="AB500" s="13">
        <v>51.5</v>
      </c>
      <c r="AC500" s="13">
        <v>6.7999999999999989</v>
      </c>
      <c r="AD500" s="13">
        <v>34.646666666666661</v>
      </c>
      <c r="AE500" s="13">
        <v>7.1333333333333329</v>
      </c>
      <c r="AF500" s="13">
        <v>0</v>
      </c>
      <c r="AH500" s="13">
        <v>20.033333333333331</v>
      </c>
      <c r="AI500" s="13">
        <v>0.05</v>
      </c>
      <c r="AL500" s="13">
        <v>10</v>
      </c>
      <c r="AM500" s="13">
        <v>10</v>
      </c>
      <c r="AP500" s="13">
        <v>0.14499999999999999</v>
      </c>
      <c r="AS500" s="13">
        <v>40</v>
      </c>
      <c r="AT500" s="13">
        <f>LN(25/Table26[[#This Row],[Temperature (C)]]/(1-SQRT((Table26[[#This Row],[Temperature (C)]]-5)/Table26[[#This Row],[Temperature (C)]])))/Table26[[#This Row],[b]]</f>
        <v>15.855825141072815</v>
      </c>
      <c r="AU500" s="13">
        <f>IF(Table26[[#This Row],[b]]&lt;&gt;"",Table26[[#This Row],[T-5]], 0)</f>
        <v>15.855825141072815</v>
      </c>
      <c r="AV500" s="13">
        <f>Table26[[#This Row],[Heating time]]+Table26[[#This Row],[Holding Time (min)]]</f>
        <v>55.855825141072813</v>
      </c>
      <c r="AW500" s="13">
        <v>360</v>
      </c>
      <c r="AY500" t="s">
        <v>503</v>
      </c>
      <c r="BA500" s="13">
        <v>27.3</v>
      </c>
      <c r="BE500" s="13">
        <v>60.3</v>
      </c>
      <c r="BQ500" s="13" t="s">
        <v>506</v>
      </c>
      <c r="CV500" s="13">
        <v>0</v>
      </c>
    </row>
    <row r="501" spans="1:100" x14ac:dyDescent="0.25">
      <c r="A501" t="s">
        <v>379</v>
      </c>
      <c r="B501" t="s">
        <v>334</v>
      </c>
      <c r="C501">
        <v>2020</v>
      </c>
      <c r="D501" s="9" t="s">
        <v>383</v>
      </c>
      <c r="E501">
        <v>0</v>
      </c>
      <c r="F501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7.3425499231950839</v>
      </c>
      <c r="G501" s="13">
        <f>0.5/1.5*Algae!$F$384</f>
        <v>7.3425499231950839</v>
      </c>
      <c r="K501" s="13">
        <f>0.5/1.5*Algae!$I$384</f>
        <v>21.597542242703533</v>
      </c>
      <c r="L501" s="13">
        <f>0.5/1.5*Algae!$J$384</f>
        <v>1.781874039938556</v>
      </c>
      <c r="M501" s="13">
        <f>100/1.5</f>
        <v>66.666666666666671</v>
      </c>
      <c r="N501" s="13">
        <f>0.5/1.5*Algae!$M$384</f>
        <v>2.833333333333333</v>
      </c>
      <c r="O50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97.388632872503848</v>
      </c>
      <c r="AB501" s="13">
        <v>56.1</v>
      </c>
      <c r="AC501" s="13">
        <v>6.6999999999999993</v>
      </c>
      <c r="AD501" s="13">
        <v>33.793333333333329</v>
      </c>
      <c r="AE501" s="13">
        <v>3.5666666666666664</v>
      </c>
      <c r="AF501" s="13">
        <v>0</v>
      </c>
      <c r="AH501" s="13">
        <v>21.566666666666666</v>
      </c>
      <c r="AI501" s="13">
        <v>0.05</v>
      </c>
      <c r="AL501" s="13">
        <v>10</v>
      </c>
      <c r="AM501" s="13">
        <v>10</v>
      </c>
      <c r="AP501" s="13">
        <v>0.14499999999999999</v>
      </c>
      <c r="AS501" s="13">
        <v>40</v>
      </c>
      <c r="AT501" s="13">
        <f>LN(25/Table26[[#This Row],[Temperature (C)]]/(1-SQRT((Table26[[#This Row],[Temperature (C)]]-5)/Table26[[#This Row],[Temperature (C)]])))/Table26[[#This Row],[b]]</f>
        <v>15.852798303916169</v>
      </c>
      <c r="AU501" s="13">
        <f>IF(Table26[[#This Row],[b]]&lt;&gt;"",Table26[[#This Row],[T-5]], 0)</f>
        <v>15.852798303916169</v>
      </c>
      <c r="AV501" s="13">
        <f>Table26[[#This Row],[Heating time]]+Table26[[#This Row],[Holding Time (min)]]</f>
        <v>55.852798303916167</v>
      </c>
      <c r="AW501" s="13">
        <v>320</v>
      </c>
      <c r="AY501" t="s">
        <v>503</v>
      </c>
      <c r="BA501" s="13">
        <v>16.2</v>
      </c>
      <c r="BE501" s="13">
        <v>65.400000000000006</v>
      </c>
      <c r="BQ501" s="13" t="s">
        <v>506</v>
      </c>
      <c r="CV501" s="13">
        <v>0</v>
      </c>
    </row>
    <row r="502" spans="1:100" x14ac:dyDescent="0.25">
      <c r="A502" t="s">
        <v>379</v>
      </c>
      <c r="B502" t="s">
        <v>334</v>
      </c>
      <c r="C502">
        <v>2020</v>
      </c>
      <c r="D502" s="9" t="s">
        <v>382</v>
      </c>
      <c r="E502">
        <v>0</v>
      </c>
      <c r="F502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14.685099846390168</v>
      </c>
      <c r="G502" s="13">
        <f>2/3*Algae!$F$384</f>
        <v>14.685099846390168</v>
      </c>
      <c r="K502" s="13">
        <f>2/3*Algae!$I$384</f>
        <v>43.195084485407065</v>
      </c>
      <c r="L502" s="13">
        <f>2/3*Algae!$J$384</f>
        <v>3.563748079877112</v>
      </c>
      <c r="M502" s="13">
        <f>100/2</f>
        <v>50</v>
      </c>
      <c r="N502" s="13">
        <f>2/3*Algae!$M$384</f>
        <v>5.6666666666666661</v>
      </c>
      <c r="O50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111.44393241167435</v>
      </c>
      <c r="AB502" s="13">
        <v>51.5</v>
      </c>
      <c r="AC502" s="13">
        <v>6.7999999999999989</v>
      </c>
      <c r="AD502" s="13">
        <v>34.646666666666661</v>
      </c>
      <c r="AE502" s="13">
        <v>7.1333333333333329</v>
      </c>
      <c r="AF502" s="13">
        <v>0</v>
      </c>
      <c r="AH502" s="13">
        <v>20.033333333333331</v>
      </c>
      <c r="AI502" s="13">
        <v>0.05</v>
      </c>
      <c r="AL502" s="13">
        <v>10</v>
      </c>
      <c r="AM502" s="13">
        <v>10</v>
      </c>
      <c r="AP502" s="13">
        <v>0.14499999999999999</v>
      </c>
      <c r="AS502" s="13">
        <v>40</v>
      </c>
      <c r="AT502" s="13">
        <f>LN(25/Table26[[#This Row],[Temperature (C)]]/(1-SQRT((Table26[[#This Row],[Temperature (C)]]-5)/Table26[[#This Row],[Temperature (C)]])))/Table26[[#This Row],[b]]</f>
        <v>15.85440124478308</v>
      </c>
      <c r="AU502" s="13">
        <f>IF(Table26[[#This Row],[b]]&lt;&gt;"",Table26[[#This Row],[T-5]], 0)</f>
        <v>15.85440124478308</v>
      </c>
      <c r="AV502" s="13">
        <f>Table26[[#This Row],[Heating time]]+Table26[[#This Row],[Holding Time (min)]]</f>
        <v>55.854401244783077</v>
      </c>
      <c r="AW502" s="13">
        <v>340</v>
      </c>
      <c r="AY502" t="s">
        <v>503</v>
      </c>
      <c r="BA502" s="13">
        <v>31.3</v>
      </c>
      <c r="BE502" s="13">
        <v>68.5</v>
      </c>
      <c r="BQ502" s="13" t="s">
        <v>506</v>
      </c>
      <c r="CV502" s="13">
        <v>0</v>
      </c>
    </row>
    <row r="503" spans="1:100" x14ac:dyDescent="0.25">
      <c r="A503" t="s">
        <v>379</v>
      </c>
      <c r="B503" t="s">
        <v>334</v>
      </c>
      <c r="C503">
        <v>2020</v>
      </c>
      <c r="D503" s="9" t="s">
        <v>382</v>
      </c>
      <c r="E503">
        <v>0</v>
      </c>
      <c r="F503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14.685099846390168</v>
      </c>
      <c r="G503" s="13">
        <f>2/3*Algae!$F$384</f>
        <v>14.685099846390168</v>
      </c>
      <c r="K503" s="13">
        <f>2/3*Algae!$I$384</f>
        <v>43.195084485407065</v>
      </c>
      <c r="L503" s="13">
        <f>2/3*Algae!$J$384</f>
        <v>3.563748079877112</v>
      </c>
      <c r="M503" s="13">
        <f>100/2</f>
        <v>50</v>
      </c>
      <c r="N503" s="13">
        <f>2/3*Algae!$M$384</f>
        <v>5.6666666666666661</v>
      </c>
      <c r="O50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111.44393241167435</v>
      </c>
      <c r="AB503" s="13">
        <v>51.5</v>
      </c>
      <c r="AC503" s="13">
        <v>6.7999999999999989</v>
      </c>
      <c r="AD503" s="13">
        <v>34.646666666666661</v>
      </c>
      <c r="AE503" s="13">
        <v>7.1333333333333329</v>
      </c>
      <c r="AF503" s="13">
        <v>0</v>
      </c>
      <c r="AH503" s="13">
        <v>20.033333333333331</v>
      </c>
      <c r="AI503" s="13">
        <v>0.05</v>
      </c>
      <c r="AL503" s="13">
        <v>10</v>
      </c>
      <c r="AM503" s="13">
        <v>10</v>
      </c>
      <c r="AP503" s="13">
        <v>0.14499999999999999</v>
      </c>
      <c r="AS503" s="13">
        <v>40</v>
      </c>
      <c r="AT503" s="13">
        <f>LN(25/Table26[[#This Row],[Temperature (C)]]/(1-SQRT((Table26[[#This Row],[Temperature (C)]]-5)/Table26[[#This Row],[Temperature (C)]])))/Table26[[#This Row],[b]]</f>
        <v>15.85440124478308</v>
      </c>
      <c r="AU503" s="13">
        <f>IF(Table26[[#This Row],[b]]&lt;&gt;"",Table26[[#This Row],[T-5]], 0)</f>
        <v>15.85440124478308</v>
      </c>
      <c r="AV503" s="13">
        <f>Table26[[#This Row],[Heating time]]+Table26[[#This Row],[Holding Time (min)]]</f>
        <v>55.854401244783077</v>
      </c>
      <c r="AW503" s="13">
        <v>340</v>
      </c>
      <c r="AY503" t="s">
        <v>503</v>
      </c>
      <c r="BA503" s="13">
        <v>32.700000000000003</v>
      </c>
      <c r="BE503" s="13">
        <v>71.900000000000006</v>
      </c>
      <c r="BQ503" s="13" t="s">
        <v>506</v>
      </c>
      <c r="CV503" s="13">
        <v>0</v>
      </c>
    </row>
    <row r="504" spans="1:100" x14ac:dyDescent="0.25">
      <c r="A504" t="s">
        <v>379</v>
      </c>
      <c r="B504" t="s">
        <v>334</v>
      </c>
      <c r="C504">
        <v>2020</v>
      </c>
      <c r="D504" s="9" t="s">
        <v>382</v>
      </c>
      <c r="E504">
        <v>0</v>
      </c>
      <c r="F504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14.685099846390168</v>
      </c>
      <c r="G504" s="13">
        <f>2/3*Algae!$F$384</f>
        <v>14.685099846390168</v>
      </c>
      <c r="K504" s="13">
        <f>2/3*Algae!$I$384</f>
        <v>43.195084485407065</v>
      </c>
      <c r="L504" s="13">
        <f>2/3*Algae!$J$384</f>
        <v>3.563748079877112</v>
      </c>
      <c r="M504" s="13">
        <f>100/2</f>
        <v>50</v>
      </c>
      <c r="N504" s="13">
        <f>2/3*Algae!$M$384</f>
        <v>5.6666666666666661</v>
      </c>
      <c r="O50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111.44393241167435</v>
      </c>
      <c r="AB504" s="13">
        <v>51.5</v>
      </c>
      <c r="AC504" s="13">
        <v>6.7999999999999989</v>
      </c>
      <c r="AD504" s="13">
        <v>34.646666666666661</v>
      </c>
      <c r="AE504" s="13">
        <v>7.1333333333333329</v>
      </c>
      <c r="AF504" s="13">
        <v>0</v>
      </c>
      <c r="AH504" s="13">
        <v>20.033333333333331</v>
      </c>
      <c r="AI504" s="13">
        <v>0.05</v>
      </c>
      <c r="AL504" s="13">
        <v>10</v>
      </c>
      <c r="AM504" s="13">
        <v>10</v>
      </c>
      <c r="AP504" s="13">
        <v>0.14499999999999999</v>
      </c>
      <c r="AS504" s="13">
        <v>40</v>
      </c>
      <c r="AT504" s="13">
        <f>LN(25/Table26[[#This Row],[Temperature (C)]]/(1-SQRT((Table26[[#This Row],[Temperature (C)]]-5)/Table26[[#This Row],[Temperature (C)]])))/Table26[[#This Row],[b]]</f>
        <v>15.85440124478308</v>
      </c>
      <c r="AU504" s="13">
        <f>IF(Table26[[#This Row],[b]]&lt;&gt;"",Table26[[#This Row],[T-5]], 0)</f>
        <v>15.85440124478308</v>
      </c>
      <c r="AV504" s="13">
        <f>Table26[[#This Row],[Heating time]]+Table26[[#This Row],[Holding Time (min)]]</f>
        <v>55.854401244783077</v>
      </c>
      <c r="AW504" s="13">
        <v>340</v>
      </c>
      <c r="AY504" t="s">
        <v>503</v>
      </c>
      <c r="BA504" s="13">
        <v>33.1</v>
      </c>
      <c r="BE504" s="13">
        <v>77.099999999999994</v>
      </c>
      <c r="BQ504" s="13" t="s">
        <v>506</v>
      </c>
      <c r="CV504" s="13">
        <v>0</v>
      </c>
    </row>
    <row r="505" spans="1:100" x14ac:dyDescent="0.25">
      <c r="A505" t="s">
        <v>387</v>
      </c>
      <c r="B505" t="s">
        <v>389</v>
      </c>
      <c r="C505">
        <v>2019</v>
      </c>
      <c r="D505" t="s">
        <v>384</v>
      </c>
      <c r="E505">
        <v>1</v>
      </c>
      <c r="F505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505" s="13">
        <v>4.3</v>
      </c>
      <c r="O505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505" s="13">
        <v>49.8</v>
      </c>
      <c r="AB505" s="13">
        <v>39.299999999999997</v>
      </c>
      <c r="AC505" s="13">
        <v>8.5</v>
      </c>
      <c r="AD505" s="13">
        <v>44.8</v>
      </c>
      <c r="AE505" s="13">
        <v>3.1</v>
      </c>
      <c r="AH505" s="13">
        <v>14.2</v>
      </c>
      <c r="AJ505" s="13">
        <v>94</v>
      </c>
      <c r="AL505" s="13">
        <v>50</v>
      </c>
      <c r="AR505" s="13">
        <v>16.900000000000002</v>
      </c>
      <c r="AS505" s="13">
        <v>15</v>
      </c>
      <c r="AT505" s="13" t="e">
        <f>LN(25/Table26[[#This Row],[Temperature (C)]]/(1-SQRT((Table26[[#This Row],[Temperature (C)]]-5)/Table26[[#This Row],[Temperature (C)]])))/Table26[[#This Row],[b]]</f>
        <v>#DIV/0!</v>
      </c>
      <c r="AU505" s="13">
        <f>IF(Table26[[#This Row],[b]]&lt;&gt;"",Table26[[#This Row],[T-5]], 0)</f>
        <v>0</v>
      </c>
      <c r="AV505" s="13">
        <f>Table26[[#This Row],[Heating time]]+Table26[[#This Row],[Holding Time (min)]]</f>
        <v>15</v>
      </c>
      <c r="AW505" s="13">
        <v>290</v>
      </c>
      <c r="AY505" t="s">
        <v>503</v>
      </c>
      <c r="AZ505" s="13">
        <v>19.100000000000001</v>
      </c>
      <c r="BA505" s="13">
        <v>56.1</v>
      </c>
      <c r="BB505" s="13">
        <v>20.8</v>
      </c>
      <c r="BC505" s="13">
        <v>5.7</v>
      </c>
      <c r="BE505" s="13">
        <v>82.3</v>
      </c>
      <c r="BQ505" s="13" t="s">
        <v>506</v>
      </c>
      <c r="CV505" s="13">
        <v>0</v>
      </c>
    </row>
    <row r="506" spans="1:100" x14ac:dyDescent="0.25">
      <c r="A506" t="s">
        <v>387</v>
      </c>
      <c r="B506" t="s">
        <v>389</v>
      </c>
      <c r="C506">
        <v>2019</v>
      </c>
      <c r="D506" t="s">
        <v>384</v>
      </c>
      <c r="E506">
        <v>1</v>
      </c>
      <c r="F506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506" s="13">
        <v>4.3</v>
      </c>
      <c r="O506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506" s="13">
        <v>49.8</v>
      </c>
      <c r="AB506" s="13">
        <v>39.299999999999997</v>
      </c>
      <c r="AC506" s="13">
        <v>8.5</v>
      </c>
      <c r="AD506" s="13">
        <v>44.8</v>
      </c>
      <c r="AE506" s="13">
        <v>3.1</v>
      </c>
      <c r="AH506" s="13">
        <v>14.2</v>
      </c>
      <c r="AJ506" s="13">
        <v>95</v>
      </c>
      <c r="AL506" s="13">
        <v>50</v>
      </c>
      <c r="AR506" s="13">
        <v>12</v>
      </c>
      <c r="AS506" s="13">
        <v>15</v>
      </c>
      <c r="AT506" s="13" t="e">
        <f>LN(25/Table26[[#This Row],[Temperature (C)]]/(1-SQRT((Table26[[#This Row],[Temperature (C)]]-5)/Table26[[#This Row],[Temperature (C)]])))/Table26[[#This Row],[b]]</f>
        <v>#DIV/0!</v>
      </c>
      <c r="AU506" s="13">
        <f>IF(Table26[[#This Row],[b]]&lt;&gt;"",Table26[[#This Row],[T-5]], 0)</f>
        <v>0</v>
      </c>
      <c r="AV506" s="13">
        <f>Table26[[#This Row],[Heating time]]+Table26[[#This Row],[Holding Time (min)]]</f>
        <v>15</v>
      </c>
      <c r="AW506" s="13">
        <v>290</v>
      </c>
      <c r="AY506" t="s">
        <v>503</v>
      </c>
      <c r="AZ506" s="13">
        <v>26.8</v>
      </c>
      <c r="BA506" s="13">
        <v>55.6</v>
      </c>
      <c r="BB506" s="13">
        <v>15.7</v>
      </c>
      <c r="BC506" s="13">
        <v>1.6</v>
      </c>
      <c r="BE506" s="13">
        <v>85.1</v>
      </c>
      <c r="BQ506" s="13" t="s">
        <v>506</v>
      </c>
      <c r="CV506" s="13">
        <v>0</v>
      </c>
    </row>
    <row r="507" spans="1:100" x14ac:dyDescent="0.25">
      <c r="A507" t="s">
        <v>387</v>
      </c>
      <c r="B507" t="s">
        <v>389</v>
      </c>
      <c r="C507">
        <v>2019</v>
      </c>
      <c r="D507" t="s">
        <v>384</v>
      </c>
      <c r="E507">
        <v>1</v>
      </c>
      <c r="F507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507" s="13">
        <v>4.3</v>
      </c>
      <c r="O507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507" s="13">
        <v>49.8</v>
      </c>
      <c r="AB507" s="13">
        <v>39.299999999999997</v>
      </c>
      <c r="AC507" s="13">
        <v>8.5</v>
      </c>
      <c r="AD507" s="13">
        <v>44.8</v>
      </c>
      <c r="AE507" s="13">
        <v>3.1</v>
      </c>
      <c r="AH507" s="13">
        <v>14.2</v>
      </c>
      <c r="AJ507" s="13">
        <v>95</v>
      </c>
      <c r="AL507" s="13">
        <v>50</v>
      </c>
      <c r="AR507" s="13">
        <v>15</v>
      </c>
      <c r="AS507" s="13">
        <v>5</v>
      </c>
      <c r="AT507" s="13" t="e">
        <f>LN(25/Table26[[#This Row],[Temperature (C)]]/(1-SQRT((Table26[[#This Row],[Temperature (C)]]-5)/Table26[[#This Row],[Temperature (C)]])))/Table26[[#This Row],[b]]</f>
        <v>#DIV/0!</v>
      </c>
      <c r="AU507" s="13">
        <f>IF(Table26[[#This Row],[b]]&lt;&gt;"",Table26[[#This Row],[T-5]], 0)</f>
        <v>0</v>
      </c>
      <c r="AV507" s="13">
        <f>Table26[[#This Row],[Heating time]]+Table26[[#This Row],[Holding Time (min)]]</f>
        <v>5</v>
      </c>
      <c r="AW507" s="13">
        <v>290</v>
      </c>
      <c r="AY507" t="s">
        <v>503</v>
      </c>
      <c r="AZ507" s="13">
        <v>16.100000000000001</v>
      </c>
      <c r="BA507" s="13">
        <v>59.9</v>
      </c>
      <c r="BB507" s="13">
        <v>20.9</v>
      </c>
      <c r="BC507" s="13">
        <v>2.7</v>
      </c>
      <c r="BE507" s="13">
        <v>84.9</v>
      </c>
      <c r="BQ507" s="13" t="s">
        <v>506</v>
      </c>
      <c r="CV507" s="13">
        <v>0</v>
      </c>
    </row>
    <row r="508" spans="1:100" x14ac:dyDescent="0.25">
      <c r="A508" t="s">
        <v>387</v>
      </c>
      <c r="B508" t="s">
        <v>389</v>
      </c>
      <c r="C508">
        <v>2019</v>
      </c>
      <c r="D508" t="s">
        <v>384</v>
      </c>
      <c r="E508">
        <v>1</v>
      </c>
      <c r="F508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508" s="13">
        <v>4.3</v>
      </c>
      <c r="O508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508" s="13">
        <v>49.8</v>
      </c>
      <c r="AB508" s="13">
        <v>39.299999999999997</v>
      </c>
      <c r="AC508" s="13">
        <v>8.5</v>
      </c>
      <c r="AD508" s="13">
        <v>44.8</v>
      </c>
      <c r="AE508" s="13">
        <v>3.1</v>
      </c>
      <c r="AH508" s="13">
        <v>14.2</v>
      </c>
      <c r="AJ508" s="13">
        <v>80</v>
      </c>
      <c r="AL508" s="13">
        <v>50</v>
      </c>
      <c r="AR508" s="13">
        <v>12.100000000000001</v>
      </c>
      <c r="AS508" s="13">
        <v>5</v>
      </c>
      <c r="AT508" s="13" t="e">
        <f>LN(25/Table26[[#This Row],[Temperature (C)]]/(1-SQRT((Table26[[#This Row],[Temperature (C)]]-5)/Table26[[#This Row],[Temperature (C)]])))/Table26[[#This Row],[b]]</f>
        <v>#DIV/0!</v>
      </c>
      <c r="AU508" s="13">
        <f>IF(Table26[[#This Row],[b]]&lt;&gt;"",Table26[[#This Row],[T-5]], 0)</f>
        <v>0</v>
      </c>
      <c r="AV508" s="13">
        <f>Table26[[#This Row],[Heating time]]+Table26[[#This Row],[Holding Time (min)]]</f>
        <v>5</v>
      </c>
      <c r="AW508" s="13">
        <v>290</v>
      </c>
      <c r="AY508" t="s">
        <v>503</v>
      </c>
      <c r="AZ508" s="13">
        <v>14.6</v>
      </c>
      <c r="BA508" s="13">
        <v>63.6</v>
      </c>
      <c r="BB508" s="13">
        <v>19.899999999999999</v>
      </c>
      <c r="BC508" s="13">
        <v>1.7</v>
      </c>
      <c r="BE508" s="13">
        <v>50.5</v>
      </c>
      <c r="BQ508" s="13" t="s">
        <v>506</v>
      </c>
      <c r="CV508" s="13">
        <v>0</v>
      </c>
    </row>
    <row r="509" spans="1:100" x14ac:dyDescent="0.25">
      <c r="A509" t="s">
        <v>387</v>
      </c>
      <c r="B509" t="s">
        <v>389</v>
      </c>
      <c r="C509">
        <v>2019</v>
      </c>
      <c r="D509" t="s">
        <v>384</v>
      </c>
      <c r="E509">
        <v>1</v>
      </c>
      <c r="F509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509" s="13">
        <v>4.3</v>
      </c>
      <c r="O509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509" s="13">
        <v>49.8</v>
      </c>
      <c r="AB509" s="13">
        <v>39.299999999999997</v>
      </c>
      <c r="AC509" s="13">
        <v>8.5</v>
      </c>
      <c r="AD509" s="13">
        <v>44.8</v>
      </c>
      <c r="AE509" s="13">
        <v>3.1</v>
      </c>
      <c r="AH509" s="13">
        <v>14.2</v>
      </c>
      <c r="AJ509" s="13">
        <v>80</v>
      </c>
      <c r="AL509" s="13">
        <v>50</v>
      </c>
      <c r="AR509" s="13">
        <v>11</v>
      </c>
      <c r="AS509" s="13">
        <v>5</v>
      </c>
      <c r="AT509" s="13" t="e">
        <f>LN(25/Table26[[#This Row],[Temperature (C)]]/(1-SQRT((Table26[[#This Row],[Temperature (C)]]-5)/Table26[[#This Row],[Temperature (C)]])))/Table26[[#This Row],[b]]</f>
        <v>#DIV/0!</v>
      </c>
      <c r="AU509" s="13">
        <f>IF(Table26[[#This Row],[b]]&lt;&gt;"",Table26[[#This Row],[T-5]], 0)</f>
        <v>0</v>
      </c>
      <c r="AV509" s="13">
        <f>Table26[[#This Row],[Heating time]]+Table26[[#This Row],[Holding Time (min)]]</f>
        <v>5</v>
      </c>
      <c r="AW509" s="13">
        <v>290</v>
      </c>
      <c r="AY509" t="s">
        <v>503</v>
      </c>
      <c r="AZ509" s="13">
        <v>18.899999999999999</v>
      </c>
      <c r="BA509" s="13">
        <v>67.099999999999994</v>
      </c>
      <c r="BB509" s="13">
        <v>13.4</v>
      </c>
      <c r="BC509" s="13">
        <v>1.9</v>
      </c>
      <c r="BE509" s="13">
        <v>72.2</v>
      </c>
      <c r="BQ509" s="13" t="s">
        <v>506</v>
      </c>
      <c r="CV509" s="13">
        <v>0</v>
      </c>
    </row>
    <row r="510" spans="1:100" x14ac:dyDescent="0.25">
      <c r="A510" t="s">
        <v>387</v>
      </c>
      <c r="B510" t="s">
        <v>389</v>
      </c>
      <c r="C510">
        <v>2019</v>
      </c>
      <c r="D510" t="s">
        <v>384</v>
      </c>
      <c r="E510">
        <v>1</v>
      </c>
      <c r="F510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510" s="13">
        <v>4.3</v>
      </c>
      <c r="O510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510" s="13">
        <v>49.8</v>
      </c>
      <c r="AB510" s="13">
        <v>39.299999999999997</v>
      </c>
      <c r="AC510" s="13">
        <v>8.5</v>
      </c>
      <c r="AD510" s="13">
        <v>44.8</v>
      </c>
      <c r="AE510" s="13">
        <v>3.1</v>
      </c>
      <c r="AH510" s="13">
        <v>14.2</v>
      </c>
      <c r="AJ510" s="13">
        <v>80</v>
      </c>
      <c r="AL510" s="13">
        <v>20</v>
      </c>
      <c r="AR510" s="13">
        <v>11.200000000000001</v>
      </c>
      <c r="AS510" s="13">
        <v>5</v>
      </c>
      <c r="AT510" s="13" t="e">
        <f>LN(25/Table26[[#This Row],[Temperature (C)]]/(1-SQRT((Table26[[#This Row],[Temperature (C)]]-5)/Table26[[#This Row],[Temperature (C)]])))/Table26[[#This Row],[b]]</f>
        <v>#DIV/0!</v>
      </c>
      <c r="AU510" s="13">
        <f>IF(Table26[[#This Row],[b]]&lt;&gt;"",Table26[[#This Row],[T-5]], 0)</f>
        <v>0</v>
      </c>
      <c r="AV510" s="13">
        <f>Table26[[#This Row],[Heating time]]+Table26[[#This Row],[Holding Time (min)]]</f>
        <v>5</v>
      </c>
      <c r="AW510" s="13">
        <v>290</v>
      </c>
      <c r="AY510" t="s">
        <v>503</v>
      </c>
      <c r="AZ510" s="13">
        <v>18.100000000000001</v>
      </c>
      <c r="BA510" s="13">
        <v>60.2</v>
      </c>
      <c r="BB510" s="13">
        <v>20.100000000000001</v>
      </c>
      <c r="BC510" s="13">
        <v>2</v>
      </c>
      <c r="BE510" s="13">
        <v>76.600000000000009</v>
      </c>
      <c r="BQ510" s="13" t="s">
        <v>506</v>
      </c>
      <c r="CV510" s="13">
        <v>0</v>
      </c>
    </row>
    <row r="511" spans="1:100" x14ac:dyDescent="0.25">
      <c r="A511" t="s">
        <v>388</v>
      </c>
      <c r="B511" t="s">
        <v>389</v>
      </c>
      <c r="C511">
        <v>2019</v>
      </c>
      <c r="D511" t="s">
        <v>385</v>
      </c>
      <c r="E511">
        <v>1</v>
      </c>
      <c r="F511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511" s="13">
        <v>4.8</v>
      </c>
      <c r="O511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511" s="13">
        <v>26.7</v>
      </c>
      <c r="AB511" s="13">
        <v>41.9</v>
      </c>
      <c r="AC511" s="13">
        <v>9.3000000000000007</v>
      </c>
      <c r="AD511" s="13">
        <v>41.3</v>
      </c>
      <c r="AE511" s="13">
        <v>2.7</v>
      </c>
      <c r="AH511" s="13">
        <v>15.7</v>
      </c>
      <c r="AJ511" s="13">
        <v>80</v>
      </c>
      <c r="AL511" s="13">
        <v>20</v>
      </c>
      <c r="AR511" s="13">
        <v>7.3</v>
      </c>
      <c r="AS511" s="13">
        <v>5</v>
      </c>
      <c r="AT511" s="13" t="e">
        <f>LN(25/Table26[[#This Row],[Temperature (C)]]/(1-SQRT((Table26[[#This Row],[Temperature (C)]]-5)/Table26[[#This Row],[Temperature (C)]])))/Table26[[#This Row],[b]]</f>
        <v>#DIV/0!</v>
      </c>
      <c r="AU511" s="13">
        <f>IF(Table26[[#This Row],[b]]&lt;&gt;"",Table26[[#This Row],[T-5]], 0)</f>
        <v>0</v>
      </c>
      <c r="AV511" s="13">
        <f>Table26[[#This Row],[Heating time]]+Table26[[#This Row],[Holding Time (min)]]</f>
        <v>5</v>
      </c>
      <c r="AW511" s="13">
        <v>250</v>
      </c>
      <c r="AY511" t="s">
        <v>503</v>
      </c>
      <c r="AZ511" s="13">
        <v>11.5</v>
      </c>
      <c r="BA511" s="13">
        <v>73.5</v>
      </c>
      <c r="BB511" s="13">
        <v>12.5</v>
      </c>
      <c r="BC511" s="13">
        <v>1.1000000000000001</v>
      </c>
      <c r="BE511" s="13">
        <v>82.100000000000009</v>
      </c>
      <c r="BQ511" s="13" t="s">
        <v>506</v>
      </c>
      <c r="CV511" s="13">
        <v>0</v>
      </c>
    </row>
    <row r="512" spans="1:100" x14ac:dyDescent="0.25">
      <c r="A512" t="s">
        <v>386</v>
      </c>
      <c r="B512" t="s">
        <v>389</v>
      </c>
      <c r="C512">
        <v>2019</v>
      </c>
      <c r="D512" t="s">
        <v>390</v>
      </c>
      <c r="E512">
        <v>1</v>
      </c>
      <c r="F512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512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AJ512" s="13">
        <v>80</v>
      </c>
      <c r="AL512" s="13">
        <v>50</v>
      </c>
      <c r="AR512" s="13">
        <v>13.2</v>
      </c>
      <c r="AS512" s="13">
        <v>5</v>
      </c>
      <c r="AT512" s="13" t="e">
        <f>LN(25/Table26[[#This Row],[Temperature (C)]]/(1-SQRT((Table26[[#This Row],[Temperature (C)]]-5)/Table26[[#This Row],[Temperature (C)]])))/Table26[[#This Row],[b]]</f>
        <v>#DIV/0!</v>
      </c>
      <c r="AU512" s="13">
        <f>IF(Table26[[#This Row],[b]]&lt;&gt;"",Table26[[#This Row],[T-5]], 0)</f>
        <v>0</v>
      </c>
      <c r="AV512" s="13">
        <f>Table26[[#This Row],[Heating time]]+Table26[[#This Row],[Holding Time (min)]]</f>
        <v>5</v>
      </c>
      <c r="AW512" s="13">
        <v>290</v>
      </c>
      <c r="AY512" t="s">
        <v>503</v>
      </c>
      <c r="AZ512" s="13">
        <v>15</v>
      </c>
      <c r="BA512" s="13">
        <v>44.9</v>
      </c>
      <c r="BB512" s="13">
        <v>35.4</v>
      </c>
      <c r="BC512" s="13">
        <v>3.8</v>
      </c>
      <c r="BE512" s="13">
        <v>84.1</v>
      </c>
      <c r="BQ512" s="13" t="s">
        <v>506</v>
      </c>
      <c r="CV512" s="13">
        <v>0</v>
      </c>
    </row>
    <row r="513" spans="1:100" x14ac:dyDescent="0.25">
      <c r="A513" t="s">
        <v>391</v>
      </c>
      <c r="B513" t="s">
        <v>317</v>
      </c>
      <c r="C513">
        <v>2020</v>
      </c>
      <c r="D513" t="s">
        <v>392</v>
      </c>
      <c r="E513">
        <v>1</v>
      </c>
      <c r="F513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L513" s="13">
        <v>100</v>
      </c>
      <c r="O51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13" s="13">
        <v>0</v>
      </c>
      <c r="W513" s="13">
        <v>0</v>
      </c>
      <c r="X513" s="13">
        <v>100</v>
      </c>
      <c r="Y513" s="13">
        <v>0</v>
      </c>
      <c r="AI513" s="13">
        <v>1.0999999999999999E-2</v>
      </c>
      <c r="AL513" s="13">
        <v>30</v>
      </c>
      <c r="AM513" s="13">
        <v>125</v>
      </c>
      <c r="AP513" s="13">
        <v>1.6160000000000001</v>
      </c>
      <c r="AT513" s="13">
        <f>LN(25/Table26[[#This Row],[Temperature (C)]]/(1-SQRT((Table26[[#This Row],[Temperature (C)]]-5)/Table26[[#This Row],[Temperature (C)]])))/Table26[[#This Row],[b]]</f>
        <v>1.421749486867983</v>
      </c>
      <c r="AU513" s="13">
        <f>IF(Table26[[#This Row],[b]]&lt;&gt;"",Table26[[#This Row],[T-5]], 0)</f>
        <v>1.421749486867983</v>
      </c>
      <c r="AV513" s="13">
        <v>5</v>
      </c>
      <c r="AW513" s="13">
        <v>250</v>
      </c>
      <c r="AY513" t="s">
        <v>503</v>
      </c>
      <c r="AZ513" s="13">
        <v>6.0149148057612596</v>
      </c>
      <c r="BA513" s="13">
        <v>72.1601662024093</v>
      </c>
      <c r="BB513" s="13">
        <v>16.0705740081344</v>
      </c>
      <c r="BC513" s="13">
        <v>6.90835611553549</v>
      </c>
      <c r="BE513" s="13">
        <v>84.2</v>
      </c>
      <c r="BQ513" s="13" t="s">
        <v>506</v>
      </c>
      <c r="CV513" s="13">
        <v>0</v>
      </c>
    </row>
    <row r="514" spans="1:100" x14ac:dyDescent="0.25">
      <c r="A514" t="s">
        <v>391</v>
      </c>
      <c r="B514" t="s">
        <v>317</v>
      </c>
      <c r="C514">
        <v>2020</v>
      </c>
      <c r="D514" t="s">
        <v>392</v>
      </c>
      <c r="E514">
        <v>1</v>
      </c>
      <c r="F514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L514" s="13">
        <v>100</v>
      </c>
      <c r="O51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14" s="13">
        <v>0</v>
      </c>
      <c r="W514" s="13">
        <v>0</v>
      </c>
      <c r="X514" s="13">
        <v>100</v>
      </c>
      <c r="Y514" s="13">
        <v>0</v>
      </c>
      <c r="AI514" s="13">
        <v>1.0999999999999999E-2</v>
      </c>
      <c r="AL514" s="13">
        <v>30</v>
      </c>
      <c r="AM514" s="13">
        <v>125</v>
      </c>
      <c r="AP514" s="13">
        <v>1.6160000000000001</v>
      </c>
      <c r="AT514" s="13">
        <f>LN(25/Table26[[#This Row],[Temperature (C)]]/(1-SQRT((Table26[[#This Row],[Temperature (C)]]-5)/Table26[[#This Row],[Temperature (C)]])))/Table26[[#This Row],[b]]</f>
        <v>1.421749486867983</v>
      </c>
      <c r="AU514" s="13">
        <f>IF(Table26[[#This Row],[b]]&lt;&gt;"",Table26[[#This Row],[T-5]], 0)</f>
        <v>1.421749486867983</v>
      </c>
      <c r="AV514" s="13">
        <v>10</v>
      </c>
      <c r="AW514" s="13">
        <v>250</v>
      </c>
      <c r="AY514" t="s">
        <v>503</v>
      </c>
      <c r="AZ514" s="13">
        <v>10.689254208032001</v>
      </c>
      <c r="BA514" s="13">
        <v>57.6168352291226</v>
      </c>
      <c r="BB514" s="13">
        <v>25.325918996997402</v>
      </c>
      <c r="BC514" s="13">
        <v>7.5603491490912198</v>
      </c>
      <c r="BE514" s="13">
        <v>85.1</v>
      </c>
      <c r="BQ514" s="13" t="s">
        <v>506</v>
      </c>
      <c r="CV514" s="13">
        <v>0</v>
      </c>
    </row>
    <row r="515" spans="1:100" x14ac:dyDescent="0.25">
      <c r="A515" t="s">
        <v>391</v>
      </c>
      <c r="B515" t="s">
        <v>317</v>
      </c>
      <c r="C515">
        <v>2020</v>
      </c>
      <c r="D515" t="s">
        <v>392</v>
      </c>
      <c r="E515">
        <v>1</v>
      </c>
      <c r="F515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L515" s="13">
        <v>100</v>
      </c>
      <c r="O51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15" s="13">
        <v>0</v>
      </c>
      <c r="W515" s="13">
        <v>0</v>
      </c>
      <c r="X515" s="13">
        <v>100</v>
      </c>
      <c r="Y515" s="13">
        <v>0</v>
      </c>
      <c r="AI515" s="13">
        <v>1.0999999999999999E-2</v>
      </c>
      <c r="AL515" s="13">
        <v>30</v>
      </c>
      <c r="AM515" s="13">
        <v>125</v>
      </c>
      <c r="AP515" s="13">
        <v>1.6160000000000001</v>
      </c>
      <c r="AT515" s="13">
        <f>LN(25/Table26[[#This Row],[Temperature (C)]]/(1-SQRT((Table26[[#This Row],[Temperature (C)]]-5)/Table26[[#This Row],[Temperature (C)]])))/Table26[[#This Row],[b]]</f>
        <v>1.421749486867983</v>
      </c>
      <c r="AU515" s="13">
        <f>IF(Table26[[#This Row],[b]]&lt;&gt;"",Table26[[#This Row],[T-5]], 0)</f>
        <v>1.421749486867983</v>
      </c>
      <c r="AV515" s="13">
        <v>20</v>
      </c>
      <c r="AW515" s="13">
        <v>250</v>
      </c>
      <c r="AY515" t="s">
        <v>503</v>
      </c>
      <c r="AZ515" s="13">
        <v>3.6127318487434201</v>
      </c>
      <c r="BA515" s="13">
        <v>61.378301696649601</v>
      </c>
      <c r="BB515" s="13">
        <v>30.763569837570198</v>
      </c>
      <c r="BC515" s="13">
        <v>5.06524581522386</v>
      </c>
      <c r="BE515" s="13">
        <v>85.5</v>
      </c>
      <c r="BQ515" s="13" t="s">
        <v>506</v>
      </c>
      <c r="CV515" s="13">
        <v>0</v>
      </c>
    </row>
    <row r="516" spans="1:100" x14ac:dyDescent="0.25">
      <c r="A516" t="s">
        <v>391</v>
      </c>
      <c r="B516" t="s">
        <v>317</v>
      </c>
      <c r="C516">
        <v>2020</v>
      </c>
      <c r="D516" t="s">
        <v>392</v>
      </c>
      <c r="E516">
        <v>1</v>
      </c>
      <c r="F516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L516" s="13">
        <v>100</v>
      </c>
      <c r="O51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16" s="13">
        <v>0</v>
      </c>
      <c r="W516" s="13">
        <v>0</v>
      </c>
      <c r="X516" s="13">
        <v>100</v>
      </c>
      <c r="Y516" s="13">
        <v>0</v>
      </c>
      <c r="AI516" s="13">
        <v>1.0999999999999999E-2</v>
      </c>
      <c r="AL516" s="13">
        <v>30</v>
      </c>
      <c r="AM516" s="13">
        <v>125</v>
      </c>
      <c r="AP516" s="13">
        <v>1.6160000000000001</v>
      </c>
      <c r="AT516" s="13">
        <f>LN(25/Table26[[#This Row],[Temperature (C)]]/(1-SQRT((Table26[[#This Row],[Temperature (C)]]-5)/Table26[[#This Row],[Temperature (C)]])))/Table26[[#This Row],[b]]</f>
        <v>1.421749486867983</v>
      </c>
      <c r="AU516" s="13">
        <f>IF(Table26[[#This Row],[b]]&lt;&gt;"",Table26[[#This Row],[T-5]], 0)</f>
        <v>1.421749486867983</v>
      </c>
      <c r="AV516" s="13">
        <v>30</v>
      </c>
      <c r="AW516" s="13">
        <v>250</v>
      </c>
      <c r="AY516" t="s">
        <v>503</v>
      </c>
      <c r="AZ516" s="13">
        <v>6.7042206936469801</v>
      </c>
      <c r="BA516" s="13">
        <v>63.240120103979798</v>
      </c>
      <c r="BB516" s="13">
        <v>19.2177737352647</v>
      </c>
      <c r="BC516" s="13">
        <v>11.731946935126199</v>
      </c>
      <c r="BE516" s="13">
        <v>84.6</v>
      </c>
      <c r="BQ516" s="13" t="s">
        <v>506</v>
      </c>
      <c r="CV516" s="13">
        <v>0</v>
      </c>
    </row>
    <row r="517" spans="1:100" x14ac:dyDescent="0.25">
      <c r="A517" t="s">
        <v>391</v>
      </c>
      <c r="B517" t="s">
        <v>317</v>
      </c>
      <c r="C517">
        <v>2020</v>
      </c>
      <c r="D517" t="s">
        <v>392</v>
      </c>
      <c r="E517">
        <v>1</v>
      </c>
      <c r="F517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L517" s="13">
        <v>100</v>
      </c>
      <c r="O51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17" s="13">
        <v>0</v>
      </c>
      <c r="W517" s="13">
        <v>0</v>
      </c>
      <c r="X517" s="13">
        <v>100</v>
      </c>
      <c r="Y517" s="13">
        <v>0</v>
      </c>
      <c r="AI517" s="13">
        <v>1.0999999999999999E-2</v>
      </c>
      <c r="AL517" s="13">
        <v>30</v>
      </c>
      <c r="AM517" s="13">
        <v>125</v>
      </c>
      <c r="AP517" s="13">
        <v>1.6160000000000001</v>
      </c>
      <c r="AT517" s="13">
        <f>LN(25/Table26[[#This Row],[Temperature (C)]]/(1-SQRT((Table26[[#This Row],[Temperature (C)]]-5)/Table26[[#This Row],[Temperature (C)]])))/Table26[[#This Row],[b]]</f>
        <v>1.421749486867983</v>
      </c>
      <c r="AU517" s="13">
        <f>IF(Table26[[#This Row],[b]]&lt;&gt;"",Table26[[#This Row],[T-5]], 0)</f>
        <v>1.421749486867983</v>
      </c>
      <c r="AV517" s="13">
        <v>60</v>
      </c>
      <c r="AW517" s="13">
        <v>250</v>
      </c>
      <c r="AY517" t="s">
        <v>503</v>
      </c>
      <c r="AZ517" s="13">
        <v>0.335195530726281</v>
      </c>
      <c r="BA517" s="13">
        <v>66.480446927374302</v>
      </c>
      <c r="BB517" s="13">
        <v>27.8208156114502</v>
      </c>
      <c r="BC517" s="13">
        <v>6.1452513966480398</v>
      </c>
      <c r="BE517" s="13" t="s">
        <v>506</v>
      </c>
      <c r="BQ517" s="13" t="s">
        <v>506</v>
      </c>
      <c r="CV517" s="13">
        <v>0</v>
      </c>
    </row>
    <row r="518" spans="1:100" x14ac:dyDescent="0.25">
      <c r="A518" t="s">
        <v>391</v>
      </c>
      <c r="B518" t="s">
        <v>317</v>
      </c>
      <c r="C518">
        <v>2020</v>
      </c>
      <c r="D518" t="s">
        <v>392</v>
      </c>
      <c r="E518">
        <v>1</v>
      </c>
      <c r="F518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L518" s="13">
        <v>100</v>
      </c>
      <c r="O51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18" s="13">
        <v>0</v>
      </c>
      <c r="W518" s="13">
        <v>0</v>
      </c>
      <c r="X518" s="13">
        <v>100</v>
      </c>
      <c r="Y518" s="13">
        <v>0</v>
      </c>
      <c r="AI518" s="13">
        <v>1.0999999999999999E-2</v>
      </c>
      <c r="AL518" s="13">
        <v>30</v>
      </c>
      <c r="AM518" s="13">
        <v>125</v>
      </c>
      <c r="AP518" s="13">
        <v>1.6160000000000001</v>
      </c>
      <c r="AT518" s="13">
        <f>LN(25/Table26[[#This Row],[Temperature (C)]]/(1-SQRT((Table26[[#This Row],[Temperature (C)]]-5)/Table26[[#This Row],[Temperature (C)]])))/Table26[[#This Row],[b]]</f>
        <v>1.4222723643965234</v>
      </c>
      <c r="AU518" s="13">
        <f>IF(Table26[[#This Row],[b]]&lt;&gt;"",Table26[[#This Row],[T-5]], 0)</f>
        <v>1.4222723643965234</v>
      </c>
      <c r="AV518" s="13">
        <v>5</v>
      </c>
      <c r="AW518" s="13">
        <v>300</v>
      </c>
      <c r="AY518" t="s">
        <v>503</v>
      </c>
      <c r="BA518" s="13">
        <v>51.567041564190298</v>
      </c>
      <c r="BB518" s="13">
        <v>41.994847295753303</v>
      </c>
      <c r="BC518" s="13">
        <v>6.8596400901722401</v>
      </c>
      <c r="BE518" s="13" t="s">
        <v>506</v>
      </c>
      <c r="BQ518" s="13" t="s">
        <v>506</v>
      </c>
      <c r="CV518" s="13">
        <v>0</v>
      </c>
    </row>
    <row r="519" spans="1:100" x14ac:dyDescent="0.25">
      <c r="A519" t="s">
        <v>391</v>
      </c>
      <c r="B519" t="s">
        <v>317</v>
      </c>
      <c r="C519">
        <v>2020</v>
      </c>
      <c r="D519" t="s">
        <v>392</v>
      </c>
      <c r="E519">
        <v>1</v>
      </c>
      <c r="F519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L519" s="13">
        <v>100</v>
      </c>
      <c r="O51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19" s="13">
        <v>0</v>
      </c>
      <c r="W519" s="13">
        <v>0</v>
      </c>
      <c r="X519" s="13">
        <v>100</v>
      </c>
      <c r="Y519" s="13">
        <v>0</v>
      </c>
      <c r="AI519" s="13">
        <v>1.0999999999999999E-2</v>
      </c>
      <c r="AL519" s="13">
        <v>30</v>
      </c>
      <c r="AM519" s="13">
        <v>125</v>
      </c>
      <c r="AP519" s="13">
        <v>1.6160000000000001</v>
      </c>
      <c r="AT519" s="13">
        <f>LN(25/Table26[[#This Row],[Temperature (C)]]/(1-SQRT((Table26[[#This Row],[Temperature (C)]]-5)/Table26[[#This Row],[Temperature (C)]])))/Table26[[#This Row],[b]]</f>
        <v>1.4222723643965234</v>
      </c>
      <c r="AU519" s="13">
        <f>IF(Table26[[#This Row],[b]]&lt;&gt;"",Table26[[#This Row],[T-5]], 0)</f>
        <v>1.4222723643965234</v>
      </c>
      <c r="AV519" s="13">
        <v>10</v>
      </c>
      <c r="AW519" s="13">
        <v>300</v>
      </c>
      <c r="AY519" t="s">
        <v>503</v>
      </c>
      <c r="BA519" s="13">
        <v>52.345998346703901</v>
      </c>
      <c r="BB519" s="13">
        <v>41.422552516763602</v>
      </c>
      <c r="BC519" s="13">
        <v>6.5124684366095797</v>
      </c>
      <c r="BE519" s="13" t="s">
        <v>506</v>
      </c>
      <c r="BQ519" s="13" t="s">
        <v>506</v>
      </c>
      <c r="CV519" s="13">
        <v>0</v>
      </c>
    </row>
    <row r="520" spans="1:100" x14ac:dyDescent="0.25">
      <c r="A520" t="s">
        <v>391</v>
      </c>
      <c r="B520" t="s">
        <v>317</v>
      </c>
      <c r="C520">
        <v>2020</v>
      </c>
      <c r="D520" t="s">
        <v>392</v>
      </c>
      <c r="E520">
        <v>1</v>
      </c>
      <c r="F520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L520" s="13">
        <v>100</v>
      </c>
      <c r="O52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20" s="13">
        <v>0</v>
      </c>
      <c r="W520" s="13">
        <v>0</v>
      </c>
      <c r="X520" s="13">
        <v>100</v>
      </c>
      <c r="Y520" s="13">
        <v>0</v>
      </c>
      <c r="AI520" s="13">
        <v>1.0999999999999999E-2</v>
      </c>
      <c r="AL520" s="13">
        <v>30</v>
      </c>
      <c r="AM520" s="13">
        <v>125</v>
      </c>
      <c r="AP520" s="13">
        <v>1.6160000000000001</v>
      </c>
      <c r="AT520" s="13">
        <f>LN(25/Table26[[#This Row],[Temperature (C)]]/(1-SQRT((Table26[[#This Row],[Temperature (C)]]-5)/Table26[[#This Row],[Temperature (C)]])))/Table26[[#This Row],[b]]</f>
        <v>1.4222723643965234</v>
      </c>
      <c r="AU520" s="13">
        <f>IF(Table26[[#This Row],[b]]&lt;&gt;"",Table26[[#This Row],[T-5]], 0)</f>
        <v>1.4222723643965234</v>
      </c>
      <c r="AV520" s="13">
        <v>20</v>
      </c>
      <c r="AW520" s="13">
        <v>300</v>
      </c>
      <c r="AY520" t="s">
        <v>503</v>
      </c>
      <c r="BA520" s="13">
        <v>54.354260724373297</v>
      </c>
      <c r="BB520" s="13">
        <v>43.430814894433098</v>
      </c>
      <c r="BC520" s="13">
        <v>2.3270244158592499</v>
      </c>
      <c r="BE520" s="13" t="s">
        <v>506</v>
      </c>
      <c r="BQ520" s="13" t="s">
        <v>506</v>
      </c>
      <c r="CV520" s="13">
        <v>0</v>
      </c>
    </row>
    <row r="521" spans="1:100" x14ac:dyDescent="0.25">
      <c r="A521" t="s">
        <v>391</v>
      </c>
      <c r="B521" t="s">
        <v>317</v>
      </c>
      <c r="C521">
        <v>2020</v>
      </c>
      <c r="D521" t="s">
        <v>392</v>
      </c>
      <c r="E521">
        <v>1</v>
      </c>
      <c r="F521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L521" s="13">
        <v>100</v>
      </c>
      <c r="O52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21" s="13">
        <v>0</v>
      </c>
      <c r="W521" s="13">
        <v>0</v>
      </c>
      <c r="X521" s="13">
        <v>100</v>
      </c>
      <c r="Y521" s="13">
        <v>0</v>
      </c>
      <c r="AI521" s="13">
        <v>1.0999999999999999E-2</v>
      </c>
      <c r="AL521" s="13">
        <v>30</v>
      </c>
      <c r="AM521" s="13">
        <v>125</v>
      </c>
      <c r="AP521" s="13">
        <v>1.6160000000000001</v>
      </c>
      <c r="AT521" s="13">
        <f>LN(25/Table26[[#This Row],[Temperature (C)]]/(1-SQRT((Table26[[#This Row],[Temperature (C)]]-5)/Table26[[#This Row],[Temperature (C)]])))/Table26[[#This Row],[b]]</f>
        <v>1.4222723643965234</v>
      </c>
      <c r="AU521" s="13">
        <f>IF(Table26[[#This Row],[b]]&lt;&gt;"",Table26[[#This Row],[T-5]], 0)</f>
        <v>1.4222723643965234</v>
      </c>
      <c r="AV521" s="13">
        <v>30</v>
      </c>
      <c r="AW521" s="13">
        <v>300</v>
      </c>
      <c r="AY521" t="s">
        <v>503</v>
      </c>
      <c r="BA521" s="13">
        <v>61.430203626174503</v>
      </c>
      <c r="BB521" s="13">
        <v>30.799612726687101</v>
      </c>
      <c r="BC521" s="13">
        <v>8.0516131943688798</v>
      </c>
      <c r="BE521" s="13" t="s">
        <v>506</v>
      </c>
      <c r="BQ521" s="13" t="s">
        <v>506</v>
      </c>
      <c r="CV521" s="13">
        <v>0</v>
      </c>
    </row>
    <row r="522" spans="1:100" x14ac:dyDescent="0.25">
      <c r="A522" t="s">
        <v>391</v>
      </c>
      <c r="B522" t="s">
        <v>317</v>
      </c>
      <c r="C522">
        <v>2020</v>
      </c>
      <c r="D522" t="s">
        <v>392</v>
      </c>
      <c r="E522">
        <v>1</v>
      </c>
      <c r="F522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L522" s="13">
        <v>100</v>
      </c>
      <c r="O52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22" s="13">
        <v>0</v>
      </c>
      <c r="W522" s="13">
        <v>0</v>
      </c>
      <c r="X522" s="13">
        <v>100</v>
      </c>
      <c r="Y522" s="13">
        <v>0</v>
      </c>
      <c r="AI522" s="13">
        <v>1.0999999999999999E-2</v>
      </c>
      <c r="AL522" s="13">
        <v>30</v>
      </c>
      <c r="AM522" s="13">
        <v>125</v>
      </c>
      <c r="AP522" s="13">
        <v>1.6160000000000001</v>
      </c>
      <c r="AT522" s="13">
        <f>LN(25/Table26[[#This Row],[Temperature (C)]]/(1-SQRT((Table26[[#This Row],[Temperature (C)]]-5)/Table26[[#This Row],[Temperature (C)]])))/Table26[[#This Row],[b]]</f>
        <v>1.4222723643965234</v>
      </c>
      <c r="AU522" s="13">
        <f>IF(Table26[[#This Row],[b]]&lt;&gt;"",Table26[[#This Row],[T-5]], 0)</f>
        <v>1.4222723643965234</v>
      </c>
      <c r="AV522" s="13">
        <v>60</v>
      </c>
      <c r="AW522" s="13">
        <v>300</v>
      </c>
      <c r="AY522" t="s">
        <v>503</v>
      </c>
      <c r="BA522" s="13">
        <v>69.932678442127397</v>
      </c>
      <c r="BB522" s="13">
        <v>14.0767080127422</v>
      </c>
      <c r="BC522" s="13">
        <v>15.8785135104643</v>
      </c>
      <c r="BE522" s="13" t="s">
        <v>506</v>
      </c>
      <c r="BQ522" s="13" t="s">
        <v>506</v>
      </c>
      <c r="CV522" s="13">
        <v>0</v>
      </c>
    </row>
    <row r="523" spans="1:100" x14ac:dyDescent="0.25">
      <c r="A523" t="s">
        <v>391</v>
      </c>
      <c r="B523" t="s">
        <v>317</v>
      </c>
      <c r="C523">
        <v>2020</v>
      </c>
      <c r="D523" t="s">
        <v>392</v>
      </c>
      <c r="E523">
        <v>1</v>
      </c>
      <c r="F523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L523" s="13">
        <v>100</v>
      </c>
      <c r="O52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23" s="13">
        <v>0</v>
      </c>
      <c r="W523" s="13">
        <v>0</v>
      </c>
      <c r="X523" s="13">
        <v>100</v>
      </c>
      <c r="Y523" s="13">
        <v>0</v>
      </c>
      <c r="AI523" s="13">
        <v>1.0999999999999999E-2</v>
      </c>
      <c r="AL523" s="13">
        <v>30</v>
      </c>
      <c r="AM523" s="13">
        <v>125</v>
      </c>
      <c r="AP523" s="13">
        <v>1.6160000000000001</v>
      </c>
      <c r="AT523" s="13">
        <f>LN(25/Table26[[#This Row],[Temperature (C)]]/(1-SQRT((Table26[[#This Row],[Temperature (C)]]-5)/Table26[[#This Row],[Temperature (C)]])))/Table26[[#This Row],[b]]</f>
        <v>1.4226450361910576</v>
      </c>
      <c r="AU523" s="13">
        <f>IF(Table26[[#This Row],[b]]&lt;&gt;"",Table26[[#This Row],[T-5]], 0)</f>
        <v>1.4226450361910576</v>
      </c>
      <c r="AV523" s="13">
        <v>5</v>
      </c>
      <c r="AW523" s="13">
        <v>350</v>
      </c>
      <c r="AY523" t="s">
        <v>503</v>
      </c>
      <c r="AZ523" s="13">
        <v>0.11312217194569001</v>
      </c>
      <c r="BA523" s="13">
        <v>73.303167420814404</v>
      </c>
      <c r="BB523" s="13">
        <v>23.755656108597201</v>
      </c>
      <c r="BC523" s="13">
        <v>3.2805429864253299</v>
      </c>
      <c r="BE523" s="13" t="s">
        <v>506</v>
      </c>
      <c r="BQ523" s="13" t="s">
        <v>506</v>
      </c>
      <c r="CV523" s="13">
        <v>0</v>
      </c>
    </row>
    <row r="524" spans="1:100" x14ac:dyDescent="0.25">
      <c r="A524" t="s">
        <v>391</v>
      </c>
      <c r="B524" t="s">
        <v>317</v>
      </c>
      <c r="C524">
        <v>2020</v>
      </c>
      <c r="D524" t="s">
        <v>392</v>
      </c>
      <c r="E524">
        <v>1</v>
      </c>
      <c r="F524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L524" s="13">
        <v>100</v>
      </c>
      <c r="O52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24" s="13">
        <v>0</v>
      </c>
      <c r="W524" s="13">
        <v>0</v>
      </c>
      <c r="X524" s="13">
        <v>100</v>
      </c>
      <c r="Y524" s="13">
        <v>0</v>
      </c>
      <c r="AI524" s="13">
        <v>1.0999999999999999E-2</v>
      </c>
      <c r="AL524" s="13">
        <v>30</v>
      </c>
      <c r="AM524" s="13">
        <v>125</v>
      </c>
      <c r="AP524" s="13">
        <v>1.6160000000000001</v>
      </c>
      <c r="AT524" s="13">
        <f>LN(25/Table26[[#This Row],[Temperature (C)]]/(1-SQRT((Table26[[#This Row],[Temperature (C)]]-5)/Table26[[#This Row],[Temperature (C)]])))/Table26[[#This Row],[b]]</f>
        <v>1.4226450361910576</v>
      </c>
      <c r="AU524" s="13">
        <f>IF(Table26[[#This Row],[b]]&lt;&gt;"",Table26[[#This Row],[T-5]], 0)</f>
        <v>1.4226450361910576</v>
      </c>
      <c r="AV524" s="13">
        <v>10</v>
      </c>
      <c r="AW524" s="13">
        <v>350</v>
      </c>
      <c r="AY524" t="s">
        <v>503</v>
      </c>
      <c r="AZ524" s="13">
        <v>0.11312217194569001</v>
      </c>
      <c r="BA524" s="13">
        <v>69.004524886877704</v>
      </c>
      <c r="BB524" s="13">
        <v>24.434389140271399</v>
      </c>
      <c r="BC524" s="13">
        <v>6.7873303167420698</v>
      </c>
      <c r="BE524" s="13" t="s">
        <v>506</v>
      </c>
      <c r="BQ524" s="13" t="s">
        <v>506</v>
      </c>
      <c r="CV524" s="13">
        <v>0</v>
      </c>
    </row>
    <row r="525" spans="1:100" x14ac:dyDescent="0.25">
      <c r="A525" t="s">
        <v>391</v>
      </c>
      <c r="B525" t="s">
        <v>317</v>
      </c>
      <c r="C525">
        <v>2020</v>
      </c>
      <c r="D525" t="s">
        <v>392</v>
      </c>
      <c r="E525">
        <v>1</v>
      </c>
      <c r="F525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L525" s="13">
        <v>100</v>
      </c>
      <c r="O52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25" s="13">
        <v>0</v>
      </c>
      <c r="W525" s="13">
        <v>0</v>
      </c>
      <c r="X525" s="13">
        <v>100</v>
      </c>
      <c r="Y525" s="13">
        <v>0</v>
      </c>
      <c r="AI525" s="13">
        <v>1.0999999999999999E-2</v>
      </c>
      <c r="AL525" s="13">
        <v>30</v>
      </c>
      <c r="AM525" s="13">
        <v>125</v>
      </c>
      <c r="AP525" s="13">
        <v>1.6160000000000001</v>
      </c>
      <c r="AT525" s="13">
        <f>LN(25/Table26[[#This Row],[Temperature (C)]]/(1-SQRT((Table26[[#This Row],[Temperature (C)]]-5)/Table26[[#This Row],[Temperature (C)]])))/Table26[[#This Row],[b]]</f>
        <v>1.4226450361910576</v>
      </c>
      <c r="AU525" s="13">
        <f>IF(Table26[[#This Row],[b]]&lt;&gt;"",Table26[[#This Row],[T-5]], 0)</f>
        <v>1.4226450361910576</v>
      </c>
      <c r="AV525" s="13">
        <v>20</v>
      </c>
      <c r="AW525" s="13">
        <v>350</v>
      </c>
      <c r="AY525" t="s">
        <v>503</v>
      </c>
      <c r="AZ525" s="13">
        <v>5.9954751131221498</v>
      </c>
      <c r="BA525" s="13">
        <v>64.479638009049694</v>
      </c>
      <c r="BB525" s="13">
        <v>24.0950226244343</v>
      </c>
      <c r="BC525" s="13">
        <v>5.9954751131221498</v>
      </c>
      <c r="BE525" s="13" t="s">
        <v>506</v>
      </c>
      <c r="BQ525" s="13" t="s">
        <v>506</v>
      </c>
      <c r="CV525" s="13">
        <v>0</v>
      </c>
    </row>
    <row r="526" spans="1:100" x14ac:dyDescent="0.25">
      <c r="A526" t="s">
        <v>391</v>
      </c>
      <c r="B526" t="s">
        <v>317</v>
      </c>
      <c r="C526">
        <v>2020</v>
      </c>
      <c r="D526" t="s">
        <v>392</v>
      </c>
      <c r="E526">
        <v>1</v>
      </c>
      <c r="F526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L526" s="13">
        <v>100</v>
      </c>
      <c r="O52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26" s="13">
        <v>0</v>
      </c>
      <c r="W526" s="13">
        <v>0</v>
      </c>
      <c r="X526" s="13">
        <v>100</v>
      </c>
      <c r="Y526" s="13">
        <v>0</v>
      </c>
      <c r="AI526" s="13">
        <v>1.0999999999999999E-2</v>
      </c>
      <c r="AL526" s="13">
        <v>30</v>
      </c>
      <c r="AM526" s="13">
        <v>125</v>
      </c>
      <c r="AP526" s="13">
        <v>1.6160000000000001</v>
      </c>
      <c r="AT526" s="13">
        <f>LN(25/Table26[[#This Row],[Temperature (C)]]/(1-SQRT((Table26[[#This Row],[Temperature (C)]]-5)/Table26[[#This Row],[Temperature (C)]])))/Table26[[#This Row],[b]]</f>
        <v>1.4226450361910576</v>
      </c>
      <c r="AU526" s="13">
        <f>IF(Table26[[#This Row],[b]]&lt;&gt;"",Table26[[#This Row],[T-5]], 0)</f>
        <v>1.4226450361910576</v>
      </c>
      <c r="AV526" s="13">
        <v>30</v>
      </c>
      <c r="AW526" s="13">
        <v>350</v>
      </c>
      <c r="AY526" t="s">
        <v>503</v>
      </c>
      <c r="AZ526" s="13">
        <v>3.1674208144796601</v>
      </c>
      <c r="BA526" s="13">
        <v>47.511312217194501</v>
      </c>
      <c r="BB526" s="13">
        <v>45.7013574660633</v>
      </c>
      <c r="BC526" s="13">
        <v>3.2805429864253499</v>
      </c>
      <c r="BE526" s="13" t="s">
        <v>506</v>
      </c>
      <c r="BQ526" s="13" t="s">
        <v>506</v>
      </c>
      <c r="CV526" s="13">
        <v>0</v>
      </c>
    </row>
    <row r="527" spans="1:100" x14ac:dyDescent="0.25">
      <c r="A527" t="s">
        <v>391</v>
      </c>
      <c r="B527" t="s">
        <v>317</v>
      </c>
      <c r="C527">
        <v>2020</v>
      </c>
      <c r="D527" t="s">
        <v>392</v>
      </c>
      <c r="E527">
        <v>1</v>
      </c>
      <c r="F527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L527" s="13">
        <v>100</v>
      </c>
      <c r="O52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27" s="13">
        <v>0</v>
      </c>
      <c r="W527" s="13">
        <v>0</v>
      </c>
      <c r="X527" s="13">
        <v>100</v>
      </c>
      <c r="Y527" s="13">
        <v>0</v>
      </c>
      <c r="AI527" s="13">
        <v>1.0999999999999999E-2</v>
      </c>
      <c r="AL527" s="13">
        <v>30</v>
      </c>
      <c r="AM527" s="13">
        <v>125</v>
      </c>
      <c r="AP527" s="13">
        <v>1.6160000000000001</v>
      </c>
      <c r="AT527" s="13">
        <f>LN(25/Table26[[#This Row],[Temperature (C)]]/(1-SQRT((Table26[[#This Row],[Temperature (C)]]-5)/Table26[[#This Row],[Temperature (C)]])))/Table26[[#This Row],[b]]</f>
        <v>1.4226450361910576</v>
      </c>
      <c r="AU527" s="13">
        <f>IF(Table26[[#This Row],[b]]&lt;&gt;"",Table26[[#This Row],[T-5]], 0)</f>
        <v>1.4226450361910576</v>
      </c>
      <c r="AV527" s="13">
        <v>60</v>
      </c>
      <c r="AW527" s="13">
        <v>350</v>
      </c>
      <c r="AY527" t="s">
        <v>503</v>
      </c>
      <c r="AZ527" s="13">
        <v>4.4117647058823701</v>
      </c>
      <c r="BA527" s="13">
        <v>53.393665158371</v>
      </c>
      <c r="BB527" s="13">
        <v>34.389140271493197</v>
      </c>
      <c r="BC527" s="13">
        <v>8.0316742081447998</v>
      </c>
      <c r="BE527" s="13" t="s">
        <v>506</v>
      </c>
      <c r="BQ527" s="13" t="s">
        <v>506</v>
      </c>
      <c r="CV527" s="13">
        <v>0</v>
      </c>
    </row>
    <row r="528" spans="1:100" x14ac:dyDescent="0.25">
      <c r="A528" t="s">
        <v>391</v>
      </c>
      <c r="B528" t="s">
        <v>317</v>
      </c>
      <c r="C528">
        <v>2020</v>
      </c>
      <c r="D528" t="s">
        <v>393</v>
      </c>
      <c r="E528">
        <v>1</v>
      </c>
      <c r="F528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G528" s="13">
        <v>100</v>
      </c>
      <c r="O52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28" s="13">
        <v>0</v>
      </c>
      <c r="W528" s="13">
        <v>45.129870129870099</v>
      </c>
      <c r="X528" s="13">
        <v>7.1428571428571299</v>
      </c>
      <c r="Y528" s="13">
        <v>48.268398268398201</v>
      </c>
      <c r="AI528" s="13">
        <v>1.0999999999999999E-2</v>
      </c>
      <c r="AL528" s="13">
        <v>30</v>
      </c>
      <c r="AM528" s="13">
        <v>125</v>
      </c>
      <c r="AP528" s="13">
        <v>1.6160000000000001</v>
      </c>
      <c r="AT528" s="13">
        <f>LN(25/Table26[[#This Row],[Temperature (C)]]/(1-SQRT((Table26[[#This Row],[Temperature (C)]]-5)/Table26[[#This Row],[Temperature (C)]])))/Table26[[#This Row],[b]]</f>
        <v>1.421749486867983</v>
      </c>
      <c r="AU528" s="13">
        <f>IF(Table26[[#This Row],[b]]&lt;&gt;"",Table26[[#This Row],[T-5]], 0)</f>
        <v>1.421749486867983</v>
      </c>
      <c r="AV528" s="13">
        <v>5</v>
      </c>
      <c r="AW528" s="13">
        <v>250</v>
      </c>
      <c r="AY528" t="s">
        <v>503</v>
      </c>
      <c r="AZ528" s="13">
        <v>26.2987012987012</v>
      </c>
      <c r="BA528" s="13">
        <v>3.8961038961038601</v>
      </c>
      <c r="BB528" s="13">
        <v>55.627705627705602</v>
      </c>
      <c r="BC528" s="13">
        <v>14.935064935064901</v>
      </c>
      <c r="BE528" s="13" t="s">
        <v>506</v>
      </c>
      <c r="BQ528" s="13" t="s">
        <v>506</v>
      </c>
      <c r="CV528" s="13">
        <v>0</v>
      </c>
    </row>
    <row r="529" spans="1:100" x14ac:dyDescent="0.25">
      <c r="A529" t="s">
        <v>391</v>
      </c>
      <c r="B529" t="s">
        <v>317</v>
      </c>
      <c r="C529">
        <v>2020</v>
      </c>
      <c r="D529" t="s">
        <v>393</v>
      </c>
      <c r="E529">
        <v>1</v>
      </c>
      <c r="F529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G529" s="13">
        <v>100</v>
      </c>
      <c r="O52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29" s="13">
        <v>0</v>
      </c>
      <c r="W529" s="13">
        <v>45.129870129870099</v>
      </c>
      <c r="X529" s="13">
        <v>7.1428571428571299</v>
      </c>
      <c r="Y529" s="13">
        <v>48.268398268398201</v>
      </c>
      <c r="AI529" s="13">
        <v>1.0999999999999999E-2</v>
      </c>
      <c r="AL529" s="13">
        <v>30</v>
      </c>
      <c r="AM529" s="13">
        <v>125</v>
      </c>
      <c r="AP529" s="13">
        <v>1.6160000000000001</v>
      </c>
      <c r="AT529" s="13">
        <f>LN(25/Table26[[#This Row],[Temperature (C)]]/(1-SQRT((Table26[[#This Row],[Temperature (C)]]-5)/Table26[[#This Row],[Temperature (C)]])))/Table26[[#This Row],[b]]</f>
        <v>1.421749486867983</v>
      </c>
      <c r="AU529" s="13">
        <f>IF(Table26[[#This Row],[b]]&lt;&gt;"",Table26[[#This Row],[T-5]], 0)</f>
        <v>1.421749486867983</v>
      </c>
      <c r="AV529" s="13">
        <v>10</v>
      </c>
      <c r="AW529" s="13">
        <v>250</v>
      </c>
      <c r="AY529" t="s">
        <v>503</v>
      </c>
      <c r="AZ529" s="13">
        <v>43.073593073593003</v>
      </c>
      <c r="BA529" s="13">
        <v>5.7359307359307303</v>
      </c>
      <c r="BB529" s="13">
        <v>48.160173160173102</v>
      </c>
      <c r="BC529" s="13">
        <v>4.3290043290042997</v>
      </c>
      <c r="BE529" s="13" t="s">
        <v>506</v>
      </c>
      <c r="BQ529" s="13" t="s">
        <v>506</v>
      </c>
      <c r="CV529" s="13">
        <v>0</v>
      </c>
    </row>
    <row r="530" spans="1:100" x14ac:dyDescent="0.25">
      <c r="A530" t="s">
        <v>391</v>
      </c>
      <c r="B530" t="s">
        <v>317</v>
      </c>
      <c r="C530">
        <v>2020</v>
      </c>
      <c r="D530" t="s">
        <v>393</v>
      </c>
      <c r="E530">
        <v>1</v>
      </c>
      <c r="F530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G530" s="13">
        <v>100</v>
      </c>
      <c r="O53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30" s="13">
        <v>0</v>
      </c>
      <c r="W530" s="13">
        <v>45.129870129870099</v>
      </c>
      <c r="X530" s="13">
        <v>7.1428571428571299</v>
      </c>
      <c r="Y530" s="13">
        <v>48.268398268398201</v>
      </c>
      <c r="AI530" s="13">
        <v>1.0999999999999999E-2</v>
      </c>
      <c r="AL530" s="13">
        <v>30</v>
      </c>
      <c r="AM530" s="13">
        <v>125</v>
      </c>
      <c r="AP530" s="13">
        <v>1.6160000000000001</v>
      </c>
      <c r="AT530" s="13">
        <f>LN(25/Table26[[#This Row],[Temperature (C)]]/(1-SQRT((Table26[[#This Row],[Temperature (C)]]-5)/Table26[[#This Row],[Temperature (C)]])))/Table26[[#This Row],[b]]</f>
        <v>1.421749486867983</v>
      </c>
      <c r="AU530" s="13">
        <f>IF(Table26[[#This Row],[b]]&lt;&gt;"",Table26[[#This Row],[T-5]], 0)</f>
        <v>1.421749486867983</v>
      </c>
      <c r="AV530" s="13">
        <v>20</v>
      </c>
      <c r="AW530" s="13">
        <v>250</v>
      </c>
      <c r="AY530" t="s">
        <v>503</v>
      </c>
      <c r="AZ530" s="13">
        <v>41.341991341991303</v>
      </c>
      <c r="BA530" s="13">
        <v>4.6536796536796396</v>
      </c>
      <c r="BB530" s="13">
        <v>28.463203463203399</v>
      </c>
      <c r="BC530" s="13">
        <v>25.974025974025899</v>
      </c>
      <c r="BE530" s="13" t="s">
        <v>506</v>
      </c>
      <c r="BQ530" s="13" t="s">
        <v>506</v>
      </c>
      <c r="CV530" s="13">
        <v>0</v>
      </c>
    </row>
    <row r="531" spans="1:100" x14ac:dyDescent="0.25">
      <c r="A531" t="s">
        <v>391</v>
      </c>
      <c r="B531" t="s">
        <v>317</v>
      </c>
      <c r="C531">
        <v>2020</v>
      </c>
      <c r="D531" t="s">
        <v>393</v>
      </c>
      <c r="E531">
        <v>1</v>
      </c>
      <c r="F531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G531" s="13">
        <v>100</v>
      </c>
      <c r="O53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31" s="13">
        <v>0</v>
      </c>
      <c r="W531" s="13">
        <v>45.129870129870099</v>
      </c>
      <c r="X531" s="13">
        <v>7.1428571428571299</v>
      </c>
      <c r="Y531" s="13">
        <v>48.268398268398201</v>
      </c>
      <c r="AI531" s="13">
        <v>1.0999999999999999E-2</v>
      </c>
      <c r="AL531" s="13">
        <v>30</v>
      </c>
      <c r="AM531" s="13">
        <v>125</v>
      </c>
      <c r="AP531" s="13">
        <v>1.6160000000000001</v>
      </c>
      <c r="AT531" s="13">
        <f>LN(25/Table26[[#This Row],[Temperature (C)]]/(1-SQRT((Table26[[#This Row],[Temperature (C)]]-5)/Table26[[#This Row],[Temperature (C)]])))/Table26[[#This Row],[b]]</f>
        <v>1.421749486867983</v>
      </c>
      <c r="AU531" s="13">
        <f>IF(Table26[[#This Row],[b]]&lt;&gt;"",Table26[[#This Row],[T-5]], 0)</f>
        <v>1.421749486867983</v>
      </c>
      <c r="AV531" s="13">
        <v>30</v>
      </c>
      <c r="AW531" s="13">
        <v>250</v>
      </c>
      <c r="AY531" t="s">
        <v>503</v>
      </c>
      <c r="AZ531" s="13">
        <v>27.9220779220779</v>
      </c>
      <c r="BA531" s="13">
        <v>3.3549783549783698</v>
      </c>
      <c r="BB531" s="13">
        <v>34.523809523809497</v>
      </c>
      <c r="BC531" s="13">
        <v>34.740259740259702</v>
      </c>
      <c r="BE531" s="13" t="s">
        <v>506</v>
      </c>
      <c r="BQ531" s="13" t="s">
        <v>506</v>
      </c>
      <c r="CV531" s="13">
        <v>0</v>
      </c>
    </row>
    <row r="532" spans="1:100" ht="15" customHeight="1" x14ac:dyDescent="0.25">
      <c r="A532" t="s">
        <v>391</v>
      </c>
      <c r="B532" t="s">
        <v>317</v>
      </c>
      <c r="C532">
        <v>2020</v>
      </c>
      <c r="D532" t="s">
        <v>393</v>
      </c>
      <c r="E532">
        <v>1</v>
      </c>
      <c r="F532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G532" s="13">
        <v>100</v>
      </c>
      <c r="O53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32" s="13">
        <v>0</v>
      </c>
      <c r="W532" s="13">
        <v>45.129870129870099</v>
      </c>
      <c r="X532" s="13">
        <v>7.1428571428571299</v>
      </c>
      <c r="Y532" s="13">
        <v>48.268398268398201</v>
      </c>
      <c r="AI532" s="13">
        <v>1.0999999999999999E-2</v>
      </c>
      <c r="AL532" s="13">
        <v>30</v>
      </c>
      <c r="AM532" s="13">
        <v>125</v>
      </c>
      <c r="AP532" s="13">
        <v>1.6160000000000001</v>
      </c>
      <c r="AT532" s="13">
        <f>LN(25/Table26[[#This Row],[Temperature (C)]]/(1-SQRT((Table26[[#This Row],[Temperature (C)]]-5)/Table26[[#This Row],[Temperature (C)]])))/Table26[[#This Row],[b]]</f>
        <v>1.421749486867983</v>
      </c>
      <c r="AU532" s="13">
        <f>IF(Table26[[#This Row],[b]]&lt;&gt;"",Table26[[#This Row],[T-5]], 0)</f>
        <v>1.421749486867983</v>
      </c>
      <c r="AV532" s="13">
        <v>60</v>
      </c>
      <c r="AW532" s="13">
        <v>250</v>
      </c>
      <c r="AY532" t="s">
        <v>503</v>
      </c>
      <c r="AZ532" s="13">
        <v>34.956709956709901</v>
      </c>
      <c r="BA532" s="13">
        <v>4.6536796536796503</v>
      </c>
      <c r="BB532" s="13">
        <v>52.922077922077897</v>
      </c>
      <c r="BC532" s="13">
        <v>8.4415584415584402</v>
      </c>
      <c r="BE532" s="13" t="s">
        <v>506</v>
      </c>
      <c r="BQ532" s="13" t="s">
        <v>506</v>
      </c>
      <c r="CV532" s="13">
        <v>0</v>
      </c>
    </row>
    <row r="533" spans="1:100" x14ac:dyDescent="0.25">
      <c r="A533" t="s">
        <v>391</v>
      </c>
      <c r="B533" t="s">
        <v>317</v>
      </c>
      <c r="C533">
        <v>2020</v>
      </c>
      <c r="D533" t="s">
        <v>393</v>
      </c>
      <c r="E533">
        <v>1</v>
      </c>
      <c r="F533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G533" s="13">
        <v>100</v>
      </c>
      <c r="O53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33" s="13">
        <v>0</v>
      </c>
      <c r="W533" s="13">
        <v>45.129870129870099</v>
      </c>
      <c r="X533" s="13">
        <v>7.1428571428571299</v>
      </c>
      <c r="Y533" s="13">
        <v>48.268398268398201</v>
      </c>
      <c r="AI533" s="13">
        <v>1.0999999999999999E-2</v>
      </c>
      <c r="AL533" s="13">
        <v>30</v>
      </c>
      <c r="AM533" s="13">
        <v>125</v>
      </c>
      <c r="AP533" s="13">
        <v>1.6160000000000001</v>
      </c>
      <c r="AT533" s="13">
        <f>LN(25/Table26[[#This Row],[Temperature (C)]]/(1-SQRT((Table26[[#This Row],[Temperature (C)]]-5)/Table26[[#This Row],[Temperature (C)]])))/Table26[[#This Row],[b]]</f>
        <v>1.4222723643965234</v>
      </c>
      <c r="AU533" s="13">
        <f>IF(Table26[[#This Row],[b]]&lt;&gt;"",Table26[[#This Row],[T-5]], 0)</f>
        <v>1.4222723643965234</v>
      </c>
      <c r="AV533" s="13">
        <v>5</v>
      </c>
      <c r="AW533" s="13">
        <v>300</v>
      </c>
      <c r="AY533" t="s">
        <v>503</v>
      </c>
      <c r="AZ533" s="13">
        <v>33.514099783080198</v>
      </c>
      <c r="BA533" s="13">
        <v>4.3383947939262502</v>
      </c>
      <c r="BB533" s="13">
        <v>35.5748373101952</v>
      </c>
      <c r="BC533" s="13">
        <v>27.114967462039001</v>
      </c>
      <c r="BE533" s="13" t="s">
        <v>506</v>
      </c>
      <c r="BQ533" s="13" t="s">
        <v>506</v>
      </c>
      <c r="CV533" s="13">
        <v>0</v>
      </c>
    </row>
    <row r="534" spans="1:100" x14ac:dyDescent="0.25">
      <c r="A534" t="s">
        <v>391</v>
      </c>
      <c r="B534" t="s">
        <v>317</v>
      </c>
      <c r="C534">
        <v>2020</v>
      </c>
      <c r="D534" t="s">
        <v>393</v>
      </c>
      <c r="E534">
        <v>1</v>
      </c>
      <c r="F534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G534" s="13">
        <v>100</v>
      </c>
      <c r="O53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34" s="13">
        <v>0</v>
      </c>
      <c r="W534" s="13">
        <v>45.129870129870099</v>
      </c>
      <c r="X534" s="13">
        <v>7.1428571428571299</v>
      </c>
      <c r="Y534" s="13">
        <v>48.268398268398201</v>
      </c>
      <c r="AI534" s="13">
        <v>1.0999999999999999E-2</v>
      </c>
      <c r="AL534" s="13">
        <v>30</v>
      </c>
      <c r="AM534" s="13">
        <v>125</v>
      </c>
      <c r="AP534" s="13">
        <v>1.6160000000000001</v>
      </c>
      <c r="AT534" s="13">
        <f>LN(25/Table26[[#This Row],[Temperature (C)]]/(1-SQRT((Table26[[#This Row],[Temperature (C)]]-5)/Table26[[#This Row],[Temperature (C)]])))/Table26[[#This Row],[b]]</f>
        <v>1.4222723643965234</v>
      </c>
      <c r="AU534" s="13">
        <f>IF(Table26[[#This Row],[b]]&lt;&gt;"",Table26[[#This Row],[T-5]], 0)</f>
        <v>1.4222723643965234</v>
      </c>
      <c r="AV534" s="13">
        <v>10</v>
      </c>
      <c r="AW534" s="13">
        <v>300</v>
      </c>
      <c r="AY534" t="s">
        <v>503</v>
      </c>
      <c r="AZ534" s="13">
        <v>36.984815618221198</v>
      </c>
      <c r="BA534" s="13">
        <v>4.9891540130151801</v>
      </c>
      <c r="BB534" s="13">
        <v>28.0911062906724</v>
      </c>
      <c r="BC534" s="13">
        <v>30.802603036876299</v>
      </c>
      <c r="BE534" s="13" t="s">
        <v>506</v>
      </c>
      <c r="BQ534" s="13" t="s">
        <v>506</v>
      </c>
      <c r="CV534" s="13">
        <v>0</v>
      </c>
    </row>
    <row r="535" spans="1:100" x14ac:dyDescent="0.25">
      <c r="A535" t="s">
        <v>391</v>
      </c>
      <c r="B535" t="s">
        <v>317</v>
      </c>
      <c r="C535">
        <v>2020</v>
      </c>
      <c r="D535" t="s">
        <v>393</v>
      </c>
      <c r="E535">
        <v>1</v>
      </c>
      <c r="F535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G535" s="13">
        <v>100</v>
      </c>
      <c r="O53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35" s="13">
        <v>0</v>
      </c>
      <c r="W535" s="13">
        <v>45.129870129870099</v>
      </c>
      <c r="X535" s="13">
        <v>7.1428571428571299</v>
      </c>
      <c r="Y535" s="13">
        <v>48.268398268398201</v>
      </c>
      <c r="AI535" s="13">
        <v>1.0999999999999999E-2</v>
      </c>
      <c r="AL535" s="13">
        <v>30</v>
      </c>
      <c r="AM535" s="13">
        <v>125</v>
      </c>
      <c r="AP535" s="13">
        <v>1.6160000000000001</v>
      </c>
      <c r="AT535" s="13">
        <f>LN(25/Table26[[#This Row],[Temperature (C)]]/(1-SQRT((Table26[[#This Row],[Temperature (C)]]-5)/Table26[[#This Row],[Temperature (C)]])))/Table26[[#This Row],[b]]</f>
        <v>1.4222723643965234</v>
      </c>
      <c r="AU535" s="13">
        <f>IF(Table26[[#This Row],[b]]&lt;&gt;"",Table26[[#This Row],[T-5]], 0)</f>
        <v>1.4222723643965234</v>
      </c>
      <c r="AV535" s="13">
        <v>20</v>
      </c>
      <c r="AW535" s="13">
        <v>300</v>
      </c>
      <c r="AY535" t="s">
        <v>503</v>
      </c>
      <c r="AZ535" s="13">
        <v>44.360086767895801</v>
      </c>
      <c r="BA535" s="13">
        <v>2.92841648590018</v>
      </c>
      <c r="BB535" s="13">
        <v>21.2581344902386</v>
      </c>
      <c r="BC535" s="13">
        <v>31.887201735357898</v>
      </c>
      <c r="BE535" s="13" t="s">
        <v>506</v>
      </c>
      <c r="BQ535" s="13" t="s">
        <v>506</v>
      </c>
      <c r="CV535" s="13">
        <v>0</v>
      </c>
    </row>
    <row r="536" spans="1:100" x14ac:dyDescent="0.25">
      <c r="A536" t="s">
        <v>391</v>
      </c>
      <c r="B536" t="s">
        <v>317</v>
      </c>
      <c r="C536">
        <v>2020</v>
      </c>
      <c r="D536" t="s">
        <v>393</v>
      </c>
      <c r="E536">
        <v>1</v>
      </c>
      <c r="F536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G536" s="13">
        <v>100</v>
      </c>
      <c r="O53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36" s="13">
        <v>0</v>
      </c>
      <c r="W536" s="13">
        <v>45.129870129870099</v>
      </c>
      <c r="X536" s="13">
        <v>7.1428571428571299</v>
      </c>
      <c r="Y536" s="13">
        <v>48.268398268398201</v>
      </c>
      <c r="AI536" s="13">
        <v>1.0999999999999999E-2</v>
      </c>
      <c r="AL536" s="13">
        <v>30</v>
      </c>
      <c r="AM536" s="13">
        <v>125</v>
      </c>
      <c r="AP536" s="13">
        <v>1.6160000000000001</v>
      </c>
      <c r="AT536" s="13">
        <f>LN(25/Table26[[#This Row],[Temperature (C)]]/(1-SQRT((Table26[[#This Row],[Temperature (C)]]-5)/Table26[[#This Row],[Temperature (C)]])))/Table26[[#This Row],[b]]</f>
        <v>1.4222723643965234</v>
      </c>
      <c r="AU536" s="13">
        <f>IF(Table26[[#This Row],[b]]&lt;&gt;"",Table26[[#This Row],[T-5]], 0)</f>
        <v>1.4222723643965234</v>
      </c>
      <c r="AV536" s="13">
        <v>30</v>
      </c>
      <c r="AW536" s="13">
        <v>300</v>
      </c>
      <c r="AY536" t="s">
        <v>503</v>
      </c>
      <c r="AZ536" s="13">
        <v>38.177874186550902</v>
      </c>
      <c r="BA536" s="13">
        <v>3.79609544468543</v>
      </c>
      <c r="BB536" s="13">
        <v>32.321041214750501</v>
      </c>
      <c r="BC536" s="13">
        <v>25.7049891540129</v>
      </c>
      <c r="BE536" s="13" t="s">
        <v>506</v>
      </c>
      <c r="BQ536" s="13" t="s">
        <v>506</v>
      </c>
      <c r="CV536" s="13">
        <v>0</v>
      </c>
    </row>
    <row r="537" spans="1:100" ht="15" customHeight="1" x14ac:dyDescent="0.25">
      <c r="A537" t="s">
        <v>391</v>
      </c>
      <c r="B537" t="s">
        <v>317</v>
      </c>
      <c r="C537">
        <v>2020</v>
      </c>
      <c r="D537" t="s">
        <v>393</v>
      </c>
      <c r="E537">
        <v>1</v>
      </c>
      <c r="F53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G537" s="13">
        <v>100</v>
      </c>
      <c r="O53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37" s="13">
        <v>0</v>
      </c>
      <c r="W537" s="13">
        <v>45.129870129870099</v>
      </c>
      <c r="X537" s="13">
        <v>7.1428571428571299</v>
      </c>
      <c r="Y537" s="13">
        <v>48.268398268398201</v>
      </c>
      <c r="AI537" s="13">
        <v>1.0999999999999999E-2</v>
      </c>
      <c r="AL537" s="13">
        <v>30</v>
      </c>
      <c r="AM537" s="13">
        <v>125</v>
      </c>
      <c r="AP537" s="13">
        <v>1.6160000000000001</v>
      </c>
      <c r="AT537" s="13">
        <f>LN(25/Table26[[#This Row],[Temperature (C)]]/(1-SQRT((Table26[[#This Row],[Temperature (C)]]-5)/Table26[[#This Row],[Temperature (C)]])))/Table26[[#This Row],[b]]</f>
        <v>1.4222723643965234</v>
      </c>
      <c r="AU537" s="13">
        <f>IF(Table26[[#This Row],[b]]&lt;&gt;"",Table26[[#This Row],[T-5]], 0)</f>
        <v>1.4222723643965234</v>
      </c>
      <c r="AV537" s="13">
        <v>60</v>
      </c>
      <c r="AW537" s="13">
        <v>300</v>
      </c>
      <c r="AY537" t="s">
        <v>503</v>
      </c>
      <c r="AZ537" s="13">
        <v>24.837310195227701</v>
      </c>
      <c r="BA537" s="13">
        <v>3.68763557483731</v>
      </c>
      <c r="BB537" s="13">
        <v>38.937093275488003</v>
      </c>
      <c r="BC537" s="13">
        <v>32.863340563991301</v>
      </c>
      <c r="BE537" s="13" t="s">
        <v>506</v>
      </c>
      <c r="BQ537" s="13" t="s">
        <v>506</v>
      </c>
      <c r="CV537" s="13">
        <v>0</v>
      </c>
    </row>
    <row r="538" spans="1:100" x14ac:dyDescent="0.25">
      <c r="A538" t="s">
        <v>391</v>
      </c>
      <c r="B538" t="s">
        <v>317</v>
      </c>
      <c r="C538">
        <v>2020</v>
      </c>
      <c r="D538" t="s">
        <v>393</v>
      </c>
      <c r="E538">
        <v>1</v>
      </c>
      <c r="F538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G538" s="13">
        <v>100</v>
      </c>
      <c r="O53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38" s="13">
        <v>0</v>
      </c>
      <c r="W538" s="13">
        <v>45.129870129870099</v>
      </c>
      <c r="X538" s="13">
        <v>7.1428571428571299</v>
      </c>
      <c r="Y538" s="13">
        <v>48.268398268398201</v>
      </c>
      <c r="AI538" s="13">
        <v>1.0999999999999999E-2</v>
      </c>
      <c r="AL538" s="13">
        <v>30</v>
      </c>
      <c r="AM538" s="13">
        <v>125</v>
      </c>
      <c r="AP538" s="13">
        <v>1.6160000000000001</v>
      </c>
      <c r="AT538" s="13">
        <f>LN(25/Table26[[#This Row],[Temperature (C)]]/(1-SQRT((Table26[[#This Row],[Temperature (C)]]-5)/Table26[[#This Row],[Temperature (C)]])))/Table26[[#This Row],[b]]</f>
        <v>1.4226450361910576</v>
      </c>
      <c r="AU538" s="13">
        <f>IF(Table26[[#This Row],[b]]&lt;&gt;"",Table26[[#This Row],[T-5]], 0)</f>
        <v>1.4226450361910576</v>
      </c>
      <c r="AV538" s="13">
        <v>5</v>
      </c>
      <c r="AW538" s="13">
        <v>350</v>
      </c>
      <c r="AY538" t="s">
        <v>503</v>
      </c>
      <c r="AZ538" s="13">
        <v>15.5943293347873</v>
      </c>
      <c r="BA538" s="13">
        <v>2.6172300981460799</v>
      </c>
      <c r="BB538" s="13">
        <v>56.924754634678301</v>
      </c>
      <c r="BC538" s="13">
        <v>25.736095965103502</v>
      </c>
      <c r="BE538" s="13" t="s">
        <v>506</v>
      </c>
      <c r="BQ538" s="13" t="s">
        <v>506</v>
      </c>
      <c r="CV538" s="13">
        <v>0</v>
      </c>
    </row>
    <row r="539" spans="1:100" x14ac:dyDescent="0.25">
      <c r="A539" t="s">
        <v>391</v>
      </c>
      <c r="B539" t="s">
        <v>317</v>
      </c>
      <c r="C539">
        <v>2020</v>
      </c>
      <c r="D539" t="s">
        <v>393</v>
      </c>
      <c r="E539">
        <v>1</v>
      </c>
      <c r="F539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G539" s="13">
        <v>100</v>
      </c>
      <c r="O53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39" s="13">
        <v>0</v>
      </c>
      <c r="W539" s="13">
        <v>45.129870129870099</v>
      </c>
      <c r="X539" s="13">
        <v>7.1428571428571299</v>
      </c>
      <c r="Y539" s="13">
        <v>48.268398268398201</v>
      </c>
      <c r="AI539" s="13">
        <v>1.0999999999999999E-2</v>
      </c>
      <c r="AL539" s="13">
        <v>30</v>
      </c>
      <c r="AM539" s="13">
        <v>125</v>
      </c>
      <c r="AP539" s="13">
        <v>1.6160000000000001</v>
      </c>
      <c r="AT539" s="13">
        <f>LN(25/Table26[[#This Row],[Temperature (C)]]/(1-SQRT((Table26[[#This Row],[Temperature (C)]]-5)/Table26[[#This Row],[Temperature (C)]])))/Table26[[#This Row],[b]]</f>
        <v>1.4226450361910576</v>
      </c>
      <c r="AU539" s="13">
        <f>IF(Table26[[#This Row],[b]]&lt;&gt;"",Table26[[#This Row],[T-5]], 0)</f>
        <v>1.4226450361910576</v>
      </c>
      <c r="AV539" s="13">
        <v>10</v>
      </c>
      <c r="AW539" s="13">
        <v>350</v>
      </c>
      <c r="AY539" t="s">
        <v>503</v>
      </c>
      <c r="AZ539" s="13">
        <v>21.5921483097055</v>
      </c>
      <c r="BA539" s="13">
        <v>4.1439476553979899</v>
      </c>
      <c r="BB539" s="13">
        <v>59.105779716466699</v>
      </c>
      <c r="BC539" s="13">
        <v>15.7033805888767</v>
      </c>
      <c r="BE539" s="13" t="s">
        <v>506</v>
      </c>
      <c r="BQ539" s="13" t="s">
        <v>506</v>
      </c>
      <c r="CV539" s="13">
        <v>0</v>
      </c>
    </row>
    <row r="540" spans="1:100" x14ac:dyDescent="0.25">
      <c r="A540" t="s">
        <v>391</v>
      </c>
      <c r="B540" t="s">
        <v>317</v>
      </c>
      <c r="C540">
        <v>2020</v>
      </c>
      <c r="D540" t="s">
        <v>393</v>
      </c>
      <c r="E540">
        <v>1</v>
      </c>
      <c r="F540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G540" s="13">
        <v>100</v>
      </c>
      <c r="O54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40" s="13">
        <v>0</v>
      </c>
      <c r="W540" s="13">
        <v>45.129870129870099</v>
      </c>
      <c r="X540" s="13">
        <v>7.1428571428571299</v>
      </c>
      <c r="Y540" s="13">
        <v>48.268398268398201</v>
      </c>
      <c r="AI540" s="13">
        <v>1.0999999999999999E-2</v>
      </c>
      <c r="AL540" s="13">
        <v>30</v>
      </c>
      <c r="AM540" s="13">
        <v>125</v>
      </c>
      <c r="AP540" s="13">
        <v>1.6160000000000001</v>
      </c>
      <c r="AT540" s="13">
        <f>LN(25/Table26[[#This Row],[Temperature (C)]]/(1-SQRT((Table26[[#This Row],[Temperature (C)]]-5)/Table26[[#This Row],[Temperature (C)]])))/Table26[[#This Row],[b]]</f>
        <v>1.4226450361910576</v>
      </c>
      <c r="AU540" s="13">
        <f>IF(Table26[[#This Row],[b]]&lt;&gt;"",Table26[[#This Row],[T-5]], 0)</f>
        <v>1.4226450361910576</v>
      </c>
      <c r="AV540" s="13">
        <v>20</v>
      </c>
      <c r="AW540" s="13">
        <v>350</v>
      </c>
      <c r="AY540" t="s">
        <v>503</v>
      </c>
      <c r="AZ540" s="13">
        <v>19.1930207197382</v>
      </c>
      <c r="BA540" s="13">
        <v>5.5616139585604802</v>
      </c>
      <c r="BB540" s="13">
        <v>39.258451472191901</v>
      </c>
      <c r="BC540" s="13">
        <v>37.5136314067611</v>
      </c>
      <c r="BE540" s="13" t="s">
        <v>506</v>
      </c>
      <c r="BQ540" s="13" t="s">
        <v>506</v>
      </c>
      <c r="CV540" s="13">
        <v>0</v>
      </c>
    </row>
    <row r="541" spans="1:100" x14ac:dyDescent="0.25">
      <c r="A541" t="s">
        <v>391</v>
      </c>
      <c r="B541" t="s">
        <v>317</v>
      </c>
      <c r="C541">
        <v>2020</v>
      </c>
      <c r="D541" t="s">
        <v>393</v>
      </c>
      <c r="E541">
        <v>1</v>
      </c>
      <c r="F541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G541" s="13">
        <v>100</v>
      </c>
      <c r="O54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41" s="13">
        <v>0</v>
      </c>
      <c r="W541" s="13">
        <v>45.129870129870099</v>
      </c>
      <c r="X541" s="13">
        <v>7.1428571428571299</v>
      </c>
      <c r="Y541" s="13">
        <v>48.268398268398201</v>
      </c>
      <c r="AI541" s="13">
        <v>1.0999999999999999E-2</v>
      </c>
      <c r="AL541" s="13">
        <v>30</v>
      </c>
      <c r="AM541" s="13">
        <v>125</v>
      </c>
      <c r="AP541" s="13">
        <v>1.6160000000000001</v>
      </c>
      <c r="AT541" s="13">
        <f>LN(25/Table26[[#This Row],[Temperature (C)]]/(1-SQRT((Table26[[#This Row],[Temperature (C)]]-5)/Table26[[#This Row],[Temperature (C)]])))/Table26[[#This Row],[b]]</f>
        <v>1.4226450361910576</v>
      </c>
      <c r="AU541" s="13">
        <f>IF(Table26[[#This Row],[b]]&lt;&gt;"",Table26[[#This Row],[T-5]], 0)</f>
        <v>1.4226450361910576</v>
      </c>
      <c r="AV541" s="13">
        <v>30</v>
      </c>
      <c r="AW541" s="13">
        <v>350</v>
      </c>
      <c r="AY541" t="s">
        <v>503</v>
      </c>
      <c r="AZ541" s="13">
        <v>24.7546346782987</v>
      </c>
      <c r="BA541" s="13">
        <v>4.4711014176662696</v>
      </c>
      <c r="BB541" s="13">
        <v>45.147219193020703</v>
      </c>
      <c r="BC541" s="13">
        <v>26.3904034896401</v>
      </c>
      <c r="BE541" s="13" t="s">
        <v>506</v>
      </c>
      <c r="BQ541" s="13" t="s">
        <v>506</v>
      </c>
      <c r="CV541" s="13">
        <v>0</v>
      </c>
    </row>
    <row r="542" spans="1:100" x14ac:dyDescent="0.25">
      <c r="A542" t="s">
        <v>391</v>
      </c>
      <c r="B542" t="s">
        <v>317</v>
      </c>
      <c r="C542">
        <v>2020</v>
      </c>
      <c r="D542" t="s">
        <v>393</v>
      </c>
      <c r="E542">
        <v>1</v>
      </c>
      <c r="F542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G542" s="13">
        <v>100</v>
      </c>
      <c r="O54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42" s="13">
        <v>0</v>
      </c>
      <c r="W542" s="13">
        <v>45.129870129870099</v>
      </c>
      <c r="X542" s="13">
        <v>7.1428571428571299</v>
      </c>
      <c r="Y542" s="13">
        <v>48.268398268398201</v>
      </c>
      <c r="AI542" s="13">
        <v>1.0999999999999999E-2</v>
      </c>
      <c r="AL542" s="13">
        <v>30</v>
      </c>
      <c r="AM542" s="13">
        <v>125</v>
      </c>
      <c r="AP542" s="13">
        <v>1.6160000000000001</v>
      </c>
      <c r="AT542" s="13">
        <f>LN(25/Table26[[#This Row],[Temperature (C)]]/(1-SQRT((Table26[[#This Row],[Temperature (C)]]-5)/Table26[[#This Row],[Temperature (C)]])))/Table26[[#This Row],[b]]</f>
        <v>1.4226450361910576</v>
      </c>
      <c r="AU542" s="13">
        <f>IF(Table26[[#This Row],[b]]&lt;&gt;"",Table26[[#This Row],[T-5]], 0)</f>
        <v>1.4226450361910576</v>
      </c>
      <c r="AV542" s="13">
        <v>60</v>
      </c>
      <c r="AW542" s="13">
        <v>350</v>
      </c>
      <c r="AY542" t="s">
        <v>503</v>
      </c>
      <c r="AZ542" s="13">
        <v>16.248636859323799</v>
      </c>
      <c r="BA542" s="13">
        <v>5.1254089422027702</v>
      </c>
      <c r="BB542" s="13">
        <v>40.894220283533201</v>
      </c>
      <c r="BC542" s="13">
        <v>38.276990185387099</v>
      </c>
      <c r="BE542" s="13" t="s">
        <v>506</v>
      </c>
      <c r="BQ542" s="13" t="s">
        <v>506</v>
      </c>
      <c r="CV542" s="13">
        <v>0</v>
      </c>
    </row>
    <row r="543" spans="1:100" x14ac:dyDescent="0.25">
      <c r="A543" t="s">
        <v>391</v>
      </c>
      <c r="B543" t="s">
        <v>317</v>
      </c>
      <c r="C543">
        <v>2020</v>
      </c>
      <c r="D543" t="s">
        <v>394</v>
      </c>
      <c r="E543">
        <v>1</v>
      </c>
      <c r="F543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543" s="13">
        <v>100</v>
      </c>
      <c r="O54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43" s="13">
        <v>0</v>
      </c>
      <c r="W543" s="13">
        <v>63.076923076923002</v>
      </c>
      <c r="X543" s="13">
        <v>0</v>
      </c>
      <c r="Y543" s="13">
        <v>37.032967032967001</v>
      </c>
      <c r="AI543" s="13">
        <v>1.0999999999999999E-2</v>
      </c>
      <c r="AL543" s="13">
        <v>30</v>
      </c>
      <c r="AM543" s="13">
        <v>125</v>
      </c>
      <c r="AP543" s="13">
        <v>1.6160000000000001</v>
      </c>
      <c r="AT543" s="13">
        <f>LN(25/Table26[[#This Row],[Temperature (C)]]/(1-SQRT((Table26[[#This Row],[Temperature (C)]]-5)/Table26[[#This Row],[Temperature (C)]])))/Table26[[#This Row],[b]]</f>
        <v>1.421749486867983</v>
      </c>
      <c r="AU543" s="13">
        <f>IF(Table26[[#This Row],[b]]&lt;&gt;"",Table26[[#This Row],[T-5]], 0)</f>
        <v>1.421749486867983</v>
      </c>
      <c r="AV543" s="13">
        <v>5</v>
      </c>
      <c r="AW543" s="13">
        <v>250</v>
      </c>
      <c r="AY543" t="s">
        <v>503</v>
      </c>
      <c r="AZ543" s="13">
        <v>24.615384615384599</v>
      </c>
      <c r="BA543" s="13">
        <v>0.54945054945054805</v>
      </c>
      <c r="BB543" s="13">
        <v>65.824175824175796</v>
      </c>
      <c r="BC543" s="13">
        <v>9.1208791208790991</v>
      </c>
      <c r="BE543" s="13">
        <v>30.089820359281401</v>
      </c>
      <c r="BQ543" s="13" t="s">
        <v>506</v>
      </c>
      <c r="CV543" s="13">
        <v>0</v>
      </c>
    </row>
    <row r="544" spans="1:100" x14ac:dyDescent="0.25">
      <c r="A544" t="s">
        <v>391</v>
      </c>
      <c r="B544" t="s">
        <v>317</v>
      </c>
      <c r="C544">
        <v>2020</v>
      </c>
      <c r="D544" t="s">
        <v>394</v>
      </c>
      <c r="E544">
        <v>1</v>
      </c>
      <c r="F544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544" s="13">
        <v>100</v>
      </c>
      <c r="O54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44" s="13">
        <v>0</v>
      </c>
      <c r="W544" s="13">
        <v>63.076923076923002</v>
      </c>
      <c r="X544" s="13">
        <v>0</v>
      </c>
      <c r="Y544" s="13">
        <v>37.032967032967001</v>
      </c>
      <c r="AI544" s="13">
        <v>1.0999999999999999E-2</v>
      </c>
      <c r="AL544" s="13">
        <v>30</v>
      </c>
      <c r="AM544" s="13">
        <v>125</v>
      </c>
      <c r="AP544" s="13">
        <v>1.6160000000000001</v>
      </c>
      <c r="AT544" s="13">
        <f>LN(25/Table26[[#This Row],[Temperature (C)]]/(1-SQRT((Table26[[#This Row],[Temperature (C)]]-5)/Table26[[#This Row],[Temperature (C)]])))/Table26[[#This Row],[b]]</f>
        <v>1.421749486867983</v>
      </c>
      <c r="AU544" s="13">
        <f>IF(Table26[[#This Row],[b]]&lt;&gt;"",Table26[[#This Row],[T-5]], 0)</f>
        <v>1.421749486867983</v>
      </c>
      <c r="AV544" s="13">
        <v>10</v>
      </c>
      <c r="AW544" s="13">
        <v>250</v>
      </c>
      <c r="AY544" t="s">
        <v>503</v>
      </c>
      <c r="AZ544" s="13">
        <v>27.4725274725274</v>
      </c>
      <c r="BA544" s="13">
        <v>0.659340659340653</v>
      </c>
      <c r="BB544" s="13">
        <v>62.417582417582402</v>
      </c>
      <c r="BC544" s="13">
        <v>9.6703296703296608</v>
      </c>
      <c r="BE544" s="13">
        <v>36.197604790419099</v>
      </c>
      <c r="BQ544" s="13" t="s">
        <v>506</v>
      </c>
      <c r="CV544" s="13">
        <v>0</v>
      </c>
    </row>
    <row r="545" spans="1:100" x14ac:dyDescent="0.25">
      <c r="A545" t="s">
        <v>391</v>
      </c>
      <c r="B545" t="s">
        <v>317</v>
      </c>
      <c r="C545">
        <v>2020</v>
      </c>
      <c r="D545" t="s">
        <v>394</v>
      </c>
      <c r="E545">
        <v>1</v>
      </c>
      <c r="F545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545" s="13">
        <v>100</v>
      </c>
      <c r="O54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45" s="13">
        <v>0</v>
      </c>
      <c r="W545" s="13">
        <v>63.076923076923002</v>
      </c>
      <c r="X545" s="13">
        <v>0</v>
      </c>
      <c r="Y545" s="13">
        <v>37.032967032967001</v>
      </c>
      <c r="AI545" s="13">
        <v>1.0999999999999999E-2</v>
      </c>
      <c r="AL545" s="13">
        <v>30</v>
      </c>
      <c r="AM545" s="13">
        <v>125</v>
      </c>
      <c r="AP545" s="13">
        <v>1.6160000000000001</v>
      </c>
      <c r="AT545" s="13">
        <f>LN(25/Table26[[#This Row],[Temperature (C)]]/(1-SQRT((Table26[[#This Row],[Temperature (C)]]-5)/Table26[[#This Row],[Temperature (C)]])))/Table26[[#This Row],[b]]</f>
        <v>1.421749486867983</v>
      </c>
      <c r="AU545" s="13">
        <f>IF(Table26[[#This Row],[b]]&lt;&gt;"",Table26[[#This Row],[T-5]], 0)</f>
        <v>1.421749486867983</v>
      </c>
      <c r="AV545" s="13">
        <v>20</v>
      </c>
      <c r="AW545" s="13">
        <v>250</v>
      </c>
      <c r="AY545" t="s">
        <v>503</v>
      </c>
      <c r="AZ545" s="13">
        <v>11.9780219780219</v>
      </c>
      <c r="BA545" s="13">
        <v>2.1978021978022002</v>
      </c>
      <c r="BB545" s="13">
        <v>58.681318681318601</v>
      </c>
      <c r="BC545" s="13">
        <v>27.362637362637301</v>
      </c>
      <c r="BE545" s="13">
        <v>40.598802395209503</v>
      </c>
      <c r="BQ545" s="13" t="s">
        <v>506</v>
      </c>
      <c r="CV545" s="13">
        <v>0</v>
      </c>
    </row>
    <row r="546" spans="1:100" x14ac:dyDescent="0.25">
      <c r="A546" t="s">
        <v>391</v>
      </c>
      <c r="B546" t="s">
        <v>317</v>
      </c>
      <c r="C546">
        <v>2020</v>
      </c>
      <c r="D546" t="s">
        <v>394</v>
      </c>
      <c r="E546">
        <v>1</v>
      </c>
      <c r="F546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546" s="13">
        <v>100</v>
      </c>
      <c r="O54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46" s="13">
        <v>0</v>
      </c>
      <c r="W546" s="13">
        <v>63.076923076923002</v>
      </c>
      <c r="X546" s="13">
        <v>0</v>
      </c>
      <c r="Y546" s="13">
        <v>37.032967032967001</v>
      </c>
      <c r="AI546" s="13">
        <v>1.0999999999999999E-2</v>
      </c>
      <c r="AL546" s="13">
        <v>30</v>
      </c>
      <c r="AM546" s="13">
        <v>125</v>
      </c>
      <c r="AP546" s="13">
        <v>1.6160000000000001</v>
      </c>
      <c r="AT546" s="13">
        <f>LN(25/Table26[[#This Row],[Temperature (C)]]/(1-SQRT((Table26[[#This Row],[Temperature (C)]]-5)/Table26[[#This Row],[Temperature (C)]])))/Table26[[#This Row],[b]]</f>
        <v>1.421749486867983</v>
      </c>
      <c r="AU546" s="13">
        <f>IF(Table26[[#This Row],[b]]&lt;&gt;"",Table26[[#This Row],[T-5]], 0)</f>
        <v>1.421749486867983</v>
      </c>
      <c r="AV546" s="13">
        <v>30</v>
      </c>
      <c r="AW546" s="13">
        <v>250</v>
      </c>
      <c r="AY546" t="s">
        <v>503</v>
      </c>
      <c r="AZ546" s="13">
        <v>16.1538461538461</v>
      </c>
      <c r="BA546" s="13">
        <v>8.7912087912087706</v>
      </c>
      <c r="BB546" s="13">
        <v>61.208791208791197</v>
      </c>
      <c r="BC546" s="13">
        <v>14.3956043956043</v>
      </c>
      <c r="BE546" s="13">
        <v>37.095808383233503</v>
      </c>
      <c r="BQ546" s="13" t="s">
        <v>506</v>
      </c>
      <c r="CV546" s="13">
        <v>0</v>
      </c>
    </row>
    <row r="547" spans="1:100" x14ac:dyDescent="0.25">
      <c r="A547" t="s">
        <v>391</v>
      </c>
      <c r="B547" t="s">
        <v>317</v>
      </c>
      <c r="C547">
        <v>2020</v>
      </c>
      <c r="D547" t="s">
        <v>394</v>
      </c>
      <c r="E547">
        <v>1</v>
      </c>
      <c r="F547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547" s="13">
        <v>100</v>
      </c>
      <c r="O54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47" s="13">
        <v>0</v>
      </c>
      <c r="W547" s="13">
        <v>63.076923076923002</v>
      </c>
      <c r="X547" s="13">
        <v>0</v>
      </c>
      <c r="Y547" s="13">
        <v>37.032967032967001</v>
      </c>
      <c r="AI547" s="13">
        <v>1.0999999999999999E-2</v>
      </c>
      <c r="AL547" s="13">
        <v>30</v>
      </c>
      <c r="AM547" s="13">
        <v>125</v>
      </c>
      <c r="AP547" s="13">
        <v>1.6160000000000001</v>
      </c>
      <c r="AT547" s="13">
        <f>LN(25/Table26[[#This Row],[Temperature (C)]]/(1-SQRT((Table26[[#This Row],[Temperature (C)]]-5)/Table26[[#This Row],[Temperature (C)]])))/Table26[[#This Row],[b]]</f>
        <v>1.421749486867983</v>
      </c>
      <c r="AU547" s="13">
        <f>IF(Table26[[#This Row],[b]]&lt;&gt;"",Table26[[#This Row],[T-5]], 0)</f>
        <v>1.421749486867983</v>
      </c>
      <c r="AV547" s="13">
        <v>60</v>
      </c>
      <c r="AW547" s="13">
        <v>250</v>
      </c>
      <c r="AY547" t="s">
        <v>503</v>
      </c>
      <c r="BA547" s="13">
        <v>2.9670329670329298</v>
      </c>
      <c r="BB547" s="13">
        <v>64.945054945054906</v>
      </c>
      <c r="BC547" s="13">
        <v>31.9780219780219</v>
      </c>
      <c r="BE547" s="13">
        <v>39.341317365269397</v>
      </c>
      <c r="BQ547" s="13" t="s">
        <v>506</v>
      </c>
      <c r="CV547" s="13">
        <v>0</v>
      </c>
    </row>
    <row r="548" spans="1:100" x14ac:dyDescent="0.25">
      <c r="A548" t="s">
        <v>391</v>
      </c>
      <c r="B548" t="s">
        <v>317</v>
      </c>
      <c r="C548">
        <v>2020</v>
      </c>
      <c r="D548" t="s">
        <v>394</v>
      </c>
      <c r="E548">
        <v>1</v>
      </c>
      <c r="F548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548" s="13">
        <v>100</v>
      </c>
      <c r="O54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48" s="13">
        <v>0</v>
      </c>
      <c r="W548" s="13">
        <v>63.076923076923002</v>
      </c>
      <c r="X548" s="13">
        <v>0</v>
      </c>
      <c r="Y548" s="13">
        <v>37.032967032967001</v>
      </c>
      <c r="AI548" s="13">
        <v>1.0999999999999999E-2</v>
      </c>
      <c r="AL548" s="13">
        <v>30</v>
      </c>
      <c r="AM548" s="13">
        <v>125</v>
      </c>
      <c r="AP548" s="13">
        <v>1.6160000000000001</v>
      </c>
      <c r="AT548" s="13">
        <f>LN(25/Table26[[#This Row],[Temperature (C)]]/(1-SQRT((Table26[[#This Row],[Temperature (C)]]-5)/Table26[[#This Row],[Temperature (C)]])))/Table26[[#This Row],[b]]</f>
        <v>1.4222723643965234</v>
      </c>
      <c r="AU548" s="13">
        <f>IF(Table26[[#This Row],[b]]&lt;&gt;"",Table26[[#This Row],[T-5]], 0)</f>
        <v>1.4222723643965234</v>
      </c>
      <c r="AV548" s="13">
        <v>5</v>
      </c>
      <c r="AW548" s="13">
        <v>300</v>
      </c>
      <c r="AY548" t="s">
        <v>503</v>
      </c>
      <c r="AZ548" s="13">
        <v>5.8628318584070804</v>
      </c>
      <c r="BA548" s="13">
        <v>0.77433628318585501</v>
      </c>
      <c r="BB548" s="13">
        <v>55.752212389380503</v>
      </c>
      <c r="BC548" s="13">
        <v>0.442477876106186</v>
      </c>
      <c r="BE548" s="13">
        <v>36.377245508982</v>
      </c>
      <c r="BQ548" s="13" t="s">
        <v>506</v>
      </c>
      <c r="CV548" s="13">
        <v>0</v>
      </c>
    </row>
    <row r="549" spans="1:100" x14ac:dyDescent="0.25">
      <c r="A549" t="s">
        <v>391</v>
      </c>
      <c r="B549" t="s">
        <v>317</v>
      </c>
      <c r="C549">
        <v>2020</v>
      </c>
      <c r="D549" t="s">
        <v>394</v>
      </c>
      <c r="E549">
        <v>1</v>
      </c>
      <c r="F549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549" s="13">
        <v>100</v>
      </c>
      <c r="O54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49" s="13">
        <v>0</v>
      </c>
      <c r="W549" s="13">
        <v>63.076923076923002</v>
      </c>
      <c r="X549" s="13">
        <v>0</v>
      </c>
      <c r="Y549" s="13">
        <v>37.032967032967001</v>
      </c>
      <c r="AI549" s="13">
        <v>1.0999999999999999E-2</v>
      </c>
      <c r="AL549" s="13">
        <v>30</v>
      </c>
      <c r="AM549" s="13">
        <v>125</v>
      </c>
      <c r="AP549" s="13">
        <v>1.6160000000000001</v>
      </c>
      <c r="AT549" s="13">
        <f>LN(25/Table26[[#This Row],[Temperature (C)]]/(1-SQRT((Table26[[#This Row],[Temperature (C)]]-5)/Table26[[#This Row],[Temperature (C)]])))/Table26[[#This Row],[b]]</f>
        <v>1.4222723643965234</v>
      </c>
      <c r="AU549" s="13">
        <f>IF(Table26[[#This Row],[b]]&lt;&gt;"",Table26[[#This Row],[T-5]], 0)</f>
        <v>1.4222723643965234</v>
      </c>
      <c r="AV549" s="13">
        <v>10</v>
      </c>
      <c r="AW549" s="13">
        <v>300</v>
      </c>
      <c r="AY549" t="s">
        <v>503</v>
      </c>
      <c r="AZ549" s="13">
        <v>4.7566371681415802</v>
      </c>
      <c r="BA549" s="13">
        <v>2.54424778761061</v>
      </c>
      <c r="BB549" s="13">
        <v>78.0973451327433</v>
      </c>
      <c r="BC549" s="13">
        <v>15.044247787610599</v>
      </c>
      <c r="BE549" s="13">
        <v>41.227544910179603</v>
      </c>
      <c r="BQ549" s="13" t="s">
        <v>506</v>
      </c>
      <c r="CV549" s="13">
        <v>0</v>
      </c>
    </row>
    <row r="550" spans="1:100" x14ac:dyDescent="0.25">
      <c r="A550" t="s">
        <v>391</v>
      </c>
      <c r="B550" t="s">
        <v>317</v>
      </c>
      <c r="C550">
        <v>2020</v>
      </c>
      <c r="D550" t="s">
        <v>394</v>
      </c>
      <c r="E550">
        <v>1</v>
      </c>
      <c r="F550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550" s="13">
        <v>100</v>
      </c>
      <c r="O55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50" s="13">
        <v>0</v>
      </c>
      <c r="W550" s="13">
        <v>63.076923076923002</v>
      </c>
      <c r="X550" s="13">
        <v>0</v>
      </c>
      <c r="Y550" s="13">
        <v>37.032967032967001</v>
      </c>
      <c r="AI550" s="13">
        <v>1.0999999999999999E-2</v>
      </c>
      <c r="AL550" s="13">
        <v>30</v>
      </c>
      <c r="AM550" s="13">
        <v>125</v>
      </c>
      <c r="AP550" s="13">
        <v>1.6160000000000001</v>
      </c>
      <c r="AT550" s="13">
        <f>LN(25/Table26[[#This Row],[Temperature (C)]]/(1-SQRT((Table26[[#This Row],[Temperature (C)]]-5)/Table26[[#This Row],[Temperature (C)]])))/Table26[[#This Row],[b]]</f>
        <v>1.4222723643965234</v>
      </c>
      <c r="AU550" s="13">
        <f>IF(Table26[[#This Row],[b]]&lt;&gt;"",Table26[[#This Row],[T-5]], 0)</f>
        <v>1.4222723643965234</v>
      </c>
      <c r="AV550" s="13">
        <v>20</v>
      </c>
      <c r="AW550" s="13">
        <v>300</v>
      </c>
      <c r="AY550" t="s">
        <v>503</v>
      </c>
      <c r="AZ550" s="13">
        <v>1.54867256637168</v>
      </c>
      <c r="BA550" s="13">
        <v>5.0884955752212297</v>
      </c>
      <c r="BB550" s="13">
        <v>59.623893805309699</v>
      </c>
      <c r="BC550" s="13">
        <v>34.181415929203503</v>
      </c>
      <c r="BE550" s="13">
        <v>38.712574850299397</v>
      </c>
      <c r="BQ550" s="13" t="s">
        <v>506</v>
      </c>
      <c r="CV550" s="13">
        <v>0</v>
      </c>
    </row>
    <row r="551" spans="1:100" x14ac:dyDescent="0.25">
      <c r="A551" t="s">
        <v>391</v>
      </c>
      <c r="B551" t="s">
        <v>317</v>
      </c>
      <c r="C551">
        <v>2020</v>
      </c>
      <c r="D551" t="s">
        <v>394</v>
      </c>
      <c r="E551">
        <v>1</v>
      </c>
      <c r="F551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551" s="13">
        <v>100</v>
      </c>
      <c r="O55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51" s="13">
        <v>0</v>
      </c>
      <c r="W551" s="13">
        <v>63.076923076923002</v>
      </c>
      <c r="X551" s="13">
        <v>0</v>
      </c>
      <c r="Y551" s="13">
        <v>37.032967032967001</v>
      </c>
      <c r="AI551" s="13">
        <v>1.0999999999999999E-2</v>
      </c>
      <c r="AL551" s="13">
        <v>30</v>
      </c>
      <c r="AM551" s="13">
        <v>125</v>
      </c>
      <c r="AP551" s="13">
        <v>1.6160000000000001</v>
      </c>
      <c r="AT551" s="13">
        <f>LN(25/Table26[[#This Row],[Temperature (C)]]/(1-SQRT((Table26[[#This Row],[Temperature (C)]]-5)/Table26[[#This Row],[Temperature (C)]])))/Table26[[#This Row],[b]]</f>
        <v>1.4222723643965234</v>
      </c>
      <c r="AU551" s="13">
        <f>IF(Table26[[#This Row],[b]]&lt;&gt;"",Table26[[#This Row],[T-5]], 0)</f>
        <v>1.4222723643965234</v>
      </c>
      <c r="AV551" s="13">
        <v>30</v>
      </c>
      <c r="AW551" s="13">
        <v>300</v>
      </c>
      <c r="AY551" t="s">
        <v>503</v>
      </c>
      <c r="AZ551" s="13">
        <v>6.9690265486725496</v>
      </c>
      <c r="BA551" s="13">
        <v>3.6504424778761102</v>
      </c>
      <c r="BB551" s="13">
        <v>75.221238938053105</v>
      </c>
      <c r="BC551" s="13">
        <v>14.159292035398201</v>
      </c>
      <c r="BE551" s="13">
        <v>35.029940119760397</v>
      </c>
      <c r="BQ551" s="13" t="s">
        <v>506</v>
      </c>
      <c r="CV551" s="13">
        <v>0</v>
      </c>
    </row>
    <row r="552" spans="1:100" x14ac:dyDescent="0.25">
      <c r="A552" t="s">
        <v>391</v>
      </c>
      <c r="B552" t="s">
        <v>317</v>
      </c>
      <c r="C552">
        <v>2020</v>
      </c>
      <c r="D552" t="s">
        <v>394</v>
      </c>
      <c r="E552">
        <v>1</v>
      </c>
      <c r="F552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552" s="13">
        <v>100</v>
      </c>
      <c r="O55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52" s="13">
        <v>0</v>
      </c>
      <c r="W552" s="13">
        <v>63.076923076923002</v>
      </c>
      <c r="X552" s="13">
        <v>0</v>
      </c>
      <c r="Y552" s="13">
        <v>37.032967032967001</v>
      </c>
      <c r="AI552" s="13">
        <v>1.0999999999999999E-2</v>
      </c>
      <c r="AL552" s="13">
        <v>30</v>
      </c>
      <c r="AM552" s="13">
        <v>125</v>
      </c>
      <c r="AP552" s="13">
        <v>1.6160000000000001</v>
      </c>
      <c r="AT552" s="13">
        <f>LN(25/Table26[[#This Row],[Temperature (C)]]/(1-SQRT((Table26[[#This Row],[Temperature (C)]]-5)/Table26[[#This Row],[Temperature (C)]])))/Table26[[#This Row],[b]]</f>
        <v>1.4222723643965234</v>
      </c>
      <c r="AU552" s="13">
        <f>IF(Table26[[#This Row],[b]]&lt;&gt;"",Table26[[#This Row],[T-5]], 0)</f>
        <v>1.4222723643965234</v>
      </c>
      <c r="AV552" s="13">
        <v>60</v>
      </c>
      <c r="AW552" s="13">
        <v>300</v>
      </c>
      <c r="AY552" t="s">
        <v>503</v>
      </c>
      <c r="BA552" s="13">
        <v>1.9911504424778701</v>
      </c>
      <c r="BB552" s="13">
        <v>37.942477876106203</v>
      </c>
      <c r="BC552" s="13">
        <v>18.9159292035398</v>
      </c>
      <c r="BE552" s="13" t="s">
        <v>506</v>
      </c>
      <c r="BQ552" s="13" t="s">
        <v>506</v>
      </c>
      <c r="CV552" s="13">
        <v>0</v>
      </c>
    </row>
    <row r="553" spans="1:100" x14ac:dyDescent="0.25">
      <c r="A553" t="s">
        <v>391</v>
      </c>
      <c r="B553" t="s">
        <v>317</v>
      </c>
      <c r="C553">
        <v>2020</v>
      </c>
      <c r="D553" t="s">
        <v>394</v>
      </c>
      <c r="E553">
        <v>1</v>
      </c>
      <c r="F553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553" s="13">
        <v>100</v>
      </c>
      <c r="O55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53" s="13">
        <v>0</v>
      </c>
      <c r="W553" s="13">
        <v>63.076923076923002</v>
      </c>
      <c r="X553" s="13">
        <v>0</v>
      </c>
      <c r="Y553" s="13">
        <v>37.032967032967001</v>
      </c>
      <c r="AI553" s="13">
        <v>1.0999999999999999E-2</v>
      </c>
      <c r="AL553" s="13">
        <v>30</v>
      </c>
      <c r="AM553" s="13">
        <v>125</v>
      </c>
      <c r="AP553" s="13">
        <v>1.6160000000000001</v>
      </c>
      <c r="AT553" s="13">
        <f>LN(25/Table26[[#This Row],[Temperature (C)]]/(1-SQRT((Table26[[#This Row],[Temperature (C)]]-5)/Table26[[#This Row],[Temperature (C)]])))/Table26[[#This Row],[b]]</f>
        <v>1.4226450361910576</v>
      </c>
      <c r="AU553" s="13">
        <f>IF(Table26[[#This Row],[b]]&lt;&gt;"",Table26[[#This Row],[T-5]], 0)</f>
        <v>1.4226450361910576</v>
      </c>
      <c r="AV553" s="13">
        <v>5</v>
      </c>
      <c r="AW553" s="13">
        <v>350</v>
      </c>
      <c r="AY553" t="s">
        <v>503</v>
      </c>
      <c r="AZ553" s="13">
        <v>0.328227571115907</v>
      </c>
      <c r="BA553" s="13">
        <v>6.34573304157552</v>
      </c>
      <c r="BB553" s="13">
        <v>80.306345733041496</v>
      </c>
      <c r="BC553" s="13">
        <v>14.2231947483588</v>
      </c>
      <c r="BE553" s="13" t="s">
        <v>506</v>
      </c>
      <c r="BQ553" s="13" t="s">
        <v>506</v>
      </c>
      <c r="CV553" s="13">
        <v>0</v>
      </c>
    </row>
    <row r="554" spans="1:100" x14ac:dyDescent="0.25">
      <c r="A554" t="s">
        <v>391</v>
      </c>
      <c r="B554" t="s">
        <v>317</v>
      </c>
      <c r="C554">
        <v>2020</v>
      </c>
      <c r="D554" t="s">
        <v>394</v>
      </c>
      <c r="E554">
        <v>1</v>
      </c>
      <c r="F554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554" s="13">
        <v>100</v>
      </c>
      <c r="O55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54" s="13">
        <v>0</v>
      </c>
      <c r="W554" s="13">
        <v>63.076923076923002</v>
      </c>
      <c r="X554" s="13">
        <v>0</v>
      </c>
      <c r="Y554" s="13">
        <v>37.032967032967001</v>
      </c>
      <c r="AI554" s="13">
        <v>1.0999999999999999E-2</v>
      </c>
      <c r="AL554" s="13">
        <v>30</v>
      </c>
      <c r="AM554" s="13">
        <v>125</v>
      </c>
      <c r="AP554" s="13">
        <v>1.6160000000000001</v>
      </c>
      <c r="AT554" s="13">
        <f>LN(25/Table26[[#This Row],[Temperature (C)]]/(1-SQRT((Table26[[#This Row],[Temperature (C)]]-5)/Table26[[#This Row],[Temperature (C)]])))/Table26[[#This Row],[b]]</f>
        <v>1.4226450361910576</v>
      </c>
      <c r="AU554" s="13">
        <f>IF(Table26[[#This Row],[b]]&lt;&gt;"",Table26[[#This Row],[T-5]], 0)</f>
        <v>1.4226450361910576</v>
      </c>
      <c r="AV554" s="13">
        <v>10</v>
      </c>
      <c r="AW554" s="13">
        <v>350</v>
      </c>
      <c r="AY554" t="s">
        <v>503</v>
      </c>
      <c r="AZ554" s="13">
        <v>0.218818380743972</v>
      </c>
      <c r="BA554" s="13">
        <v>2.8446389496717801</v>
      </c>
      <c r="BB554" s="13">
        <v>80.306345733041496</v>
      </c>
      <c r="BC554" s="13">
        <v>17.614879649890501</v>
      </c>
      <c r="BE554" s="13" t="s">
        <v>506</v>
      </c>
      <c r="BQ554" s="13" t="s">
        <v>506</v>
      </c>
      <c r="CV554" s="13">
        <v>0</v>
      </c>
    </row>
    <row r="555" spans="1:100" x14ac:dyDescent="0.25">
      <c r="A555" t="s">
        <v>391</v>
      </c>
      <c r="B555" t="s">
        <v>317</v>
      </c>
      <c r="C555">
        <v>2020</v>
      </c>
      <c r="D555" t="s">
        <v>394</v>
      </c>
      <c r="E555">
        <v>1</v>
      </c>
      <c r="F555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555" s="13">
        <v>100</v>
      </c>
      <c r="O55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55" s="13">
        <v>0</v>
      </c>
      <c r="W555" s="13">
        <v>63.076923076923002</v>
      </c>
      <c r="X555" s="13">
        <v>0</v>
      </c>
      <c r="Y555" s="13">
        <v>37.032967032967001</v>
      </c>
      <c r="AI555" s="13">
        <v>1.0999999999999999E-2</v>
      </c>
      <c r="AL555" s="13">
        <v>30</v>
      </c>
      <c r="AM555" s="13">
        <v>125</v>
      </c>
      <c r="AP555" s="13">
        <v>1.6160000000000001</v>
      </c>
      <c r="AT555" s="13">
        <f>LN(25/Table26[[#This Row],[Temperature (C)]]/(1-SQRT((Table26[[#This Row],[Temperature (C)]]-5)/Table26[[#This Row],[Temperature (C)]])))/Table26[[#This Row],[b]]</f>
        <v>1.4226450361910576</v>
      </c>
      <c r="AU555" s="13">
        <f>IF(Table26[[#This Row],[b]]&lt;&gt;"",Table26[[#This Row],[T-5]], 0)</f>
        <v>1.4226450361910576</v>
      </c>
      <c r="AV555" s="13">
        <v>20</v>
      </c>
      <c r="AW555" s="13">
        <v>350</v>
      </c>
      <c r="AY555" t="s">
        <v>503</v>
      </c>
      <c r="AZ555" s="13">
        <v>1.85995623632381</v>
      </c>
      <c r="BA555" s="13">
        <v>3.3916849015317099</v>
      </c>
      <c r="BB555" s="13">
        <v>68.161925601750497</v>
      </c>
      <c r="BC555" s="13">
        <v>27.789934354485698</v>
      </c>
      <c r="BE555" s="13" t="s">
        <v>506</v>
      </c>
      <c r="BQ555" s="13" t="s">
        <v>506</v>
      </c>
      <c r="CV555" s="13">
        <v>0</v>
      </c>
    </row>
    <row r="556" spans="1:100" x14ac:dyDescent="0.25">
      <c r="A556" t="s">
        <v>391</v>
      </c>
      <c r="B556" t="s">
        <v>317</v>
      </c>
      <c r="C556">
        <v>2020</v>
      </c>
      <c r="D556" t="s">
        <v>394</v>
      </c>
      <c r="E556">
        <v>1</v>
      </c>
      <c r="F556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556" s="13">
        <v>100</v>
      </c>
      <c r="O55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56" s="13">
        <v>0</v>
      </c>
      <c r="W556" s="13">
        <v>63.076923076923002</v>
      </c>
      <c r="X556" s="13">
        <v>0</v>
      </c>
      <c r="Y556" s="13">
        <v>37.032967032967001</v>
      </c>
      <c r="AI556" s="13">
        <v>1.0999999999999999E-2</v>
      </c>
      <c r="AL556" s="13">
        <v>30</v>
      </c>
      <c r="AM556" s="13">
        <v>125</v>
      </c>
      <c r="AP556" s="13">
        <v>1.6160000000000001</v>
      </c>
      <c r="AT556" s="13">
        <f>LN(25/Table26[[#This Row],[Temperature (C)]]/(1-SQRT((Table26[[#This Row],[Temperature (C)]]-5)/Table26[[#This Row],[Temperature (C)]])))/Table26[[#This Row],[b]]</f>
        <v>1.4226450361910576</v>
      </c>
      <c r="AU556" s="13">
        <f>IF(Table26[[#This Row],[b]]&lt;&gt;"",Table26[[#This Row],[T-5]], 0)</f>
        <v>1.4226450361910576</v>
      </c>
      <c r="AV556" s="13">
        <v>30</v>
      </c>
      <c r="AW556" s="13">
        <v>350</v>
      </c>
      <c r="AY556" t="s">
        <v>503</v>
      </c>
      <c r="AZ556" s="13">
        <v>9.6280087527351998</v>
      </c>
      <c r="BA556" s="13">
        <v>1.6411378555798399</v>
      </c>
      <c r="BB556" s="13">
        <v>67.9431072210065</v>
      </c>
      <c r="BC556" s="13">
        <v>21.772428884026201</v>
      </c>
      <c r="BE556" s="13" t="s">
        <v>506</v>
      </c>
      <c r="BQ556" s="13" t="s">
        <v>506</v>
      </c>
      <c r="CV556" s="13">
        <v>0</v>
      </c>
    </row>
    <row r="557" spans="1:100" x14ac:dyDescent="0.25">
      <c r="A557" t="s">
        <v>391</v>
      </c>
      <c r="B557" t="s">
        <v>317</v>
      </c>
      <c r="C557">
        <v>2020</v>
      </c>
      <c r="D557" t="s">
        <v>394</v>
      </c>
      <c r="E557">
        <v>1</v>
      </c>
      <c r="F557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557" s="13">
        <v>100</v>
      </c>
      <c r="O55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57" s="13">
        <v>0</v>
      </c>
      <c r="W557" s="13">
        <v>63.076923076923002</v>
      </c>
      <c r="X557" s="13">
        <v>0</v>
      </c>
      <c r="Y557" s="13">
        <v>37.032967032967001</v>
      </c>
      <c r="AI557" s="13">
        <v>1.0999999999999999E-2</v>
      </c>
      <c r="AL557" s="13">
        <v>30</v>
      </c>
      <c r="AM557" s="13">
        <v>125</v>
      </c>
      <c r="AP557" s="13">
        <v>1.6160000000000001</v>
      </c>
      <c r="AT557" s="13">
        <f>LN(25/Table26[[#This Row],[Temperature (C)]]/(1-SQRT((Table26[[#This Row],[Temperature (C)]]-5)/Table26[[#This Row],[Temperature (C)]])))/Table26[[#This Row],[b]]</f>
        <v>1.4226450361910576</v>
      </c>
      <c r="AU557" s="13">
        <f>IF(Table26[[#This Row],[b]]&lt;&gt;"",Table26[[#This Row],[T-5]], 0)</f>
        <v>1.4226450361910576</v>
      </c>
      <c r="AV557" s="13">
        <v>60</v>
      </c>
      <c r="AW557" s="13">
        <v>350</v>
      </c>
      <c r="AY557" t="s">
        <v>503</v>
      </c>
      <c r="AZ557" s="13">
        <v>1.31291028446388</v>
      </c>
      <c r="BA557" s="13">
        <v>3.3916849015317099</v>
      </c>
      <c r="BB557" s="13">
        <v>78.008752735229706</v>
      </c>
      <c r="BC557" s="13">
        <v>18.271334792122499</v>
      </c>
      <c r="BE557" s="13" t="s">
        <v>506</v>
      </c>
      <c r="BQ557" s="13" t="s">
        <v>506</v>
      </c>
      <c r="CV557" s="13">
        <v>0</v>
      </c>
    </row>
    <row r="558" spans="1:100" x14ac:dyDescent="0.25">
      <c r="A558" t="s">
        <v>391</v>
      </c>
      <c r="B558" t="s">
        <v>317</v>
      </c>
      <c r="C558">
        <v>2020</v>
      </c>
      <c r="D558" t="s">
        <v>395</v>
      </c>
      <c r="E558">
        <v>1</v>
      </c>
      <c r="F558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M558" s="13">
        <v>100</v>
      </c>
      <c r="O55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58" s="13">
        <v>0</v>
      </c>
      <c r="W558" s="13">
        <v>0</v>
      </c>
      <c r="X558" s="13">
        <v>62.962962962962898</v>
      </c>
      <c r="Y558" s="13">
        <v>36.8125701459034</v>
      </c>
      <c r="AI558" s="13">
        <v>1.0999999999999999E-2</v>
      </c>
      <c r="AL558" s="13">
        <v>30</v>
      </c>
      <c r="AM558" s="13">
        <v>125</v>
      </c>
      <c r="AP558" s="13">
        <v>1.6160000000000001</v>
      </c>
      <c r="AT558" s="13">
        <f>LN(25/Table26[[#This Row],[Temperature (C)]]/(1-SQRT((Table26[[#This Row],[Temperature (C)]]-5)/Table26[[#This Row],[Temperature (C)]])))/Table26[[#This Row],[b]]</f>
        <v>1.421749486867983</v>
      </c>
      <c r="AU558" s="13">
        <f>IF(Table26[[#This Row],[b]]&lt;&gt;"",Table26[[#This Row],[T-5]], 0)</f>
        <v>1.421749486867983</v>
      </c>
      <c r="AV558" s="13">
        <v>5</v>
      </c>
      <c r="AW558" s="13">
        <v>250</v>
      </c>
      <c r="AY558" t="s">
        <v>503</v>
      </c>
      <c r="BA558" s="13">
        <v>57.912457912457903</v>
      </c>
      <c r="BB558" s="13">
        <v>38.720538720538698</v>
      </c>
      <c r="BC558" s="13">
        <v>3.2547699214365702</v>
      </c>
      <c r="BE558" s="13" t="s">
        <v>506</v>
      </c>
      <c r="BQ558" s="13" t="s">
        <v>506</v>
      </c>
      <c r="CV558" s="13">
        <v>0</v>
      </c>
    </row>
    <row r="559" spans="1:100" x14ac:dyDescent="0.25">
      <c r="A559" t="s">
        <v>391</v>
      </c>
      <c r="B559" t="s">
        <v>317</v>
      </c>
      <c r="C559">
        <v>2020</v>
      </c>
      <c r="D559" t="s">
        <v>395</v>
      </c>
      <c r="E559">
        <v>1</v>
      </c>
      <c r="F559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M559" s="13">
        <v>100</v>
      </c>
      <c r="O55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59" s="13">
        <v>0</v>
      </c>
      <c r="W559" s="13">
        <v>0</v>
      </c>
      <c r="X559" s="13">
        <v>62.962962962962898</v>
      </c>
      <c r="Y559" s="13">
        <v>36.8125701459034</v>
      </c>
      <c r="AI559" s="13">
        <v>1.0999999999999999E-2</v>
      </c>
      <c r="AL559" s="13">
        <v>30</v>
      </c>
      <c r="AM559" s="13">
        <v>125</v>
      </c>
      <c r="AP559" s="13">
        <v>1.6160000000000001</v>
      </c>
      <c r="AT559" s="13">
        <f>LN(25/Table26[[#This Row],[Temperature (C)]]/(1-SQRT((Table26[[#This Row],[Temperature (C)]]-5)/Table26[[#This Row],[Temperature (C)]])))/Table26[[#This Row],[b]]</f>
        <v>1.421749486867983</v>
      </c>
      <c r="AU559" s="13">
        <f>IF(Table26[[#This Row],[b]]&lt;&gt;"",Table26[[#This Row],[T-5]], 0)</f>
        <v>1.421749486867983</v>
      </c>
      <c r="AV559" s="13">
        <v>10</v>
      </c>
      <c r="AW559" s="13">
        <v>250</v>
      </c>
      <c r="AY559" t="s">
        <v>503</v>
      </c>
      <c r="BA559" s="13">
        <v>57.687991021324301</v>
      </c>
      <c r="BB559" s="13">
        <v>33.557800224466902</v>
      </c>
      <c r="BC559" s="13">
        <v>8.6419753086419693</v>
      </c>
      <c r="BE559" s="13" t="s">
        <v>506</v>
      </c>
      <c r="BQ559" s="13" t="s">
        <v>506</v>
      </c>
      <c r="CV559" s="13">
        <v>0</v>
      </c>
    </row>
    <row r="560" spans="1:100" x14ac:dyDescent="0.25">
      <c r="A560" t="s">
        <v>391</v>
      </c>
      <c r="B560" t="s">
        <v>317</v>
      </c>
      <c r="C560">
        <v>2020</v>
      </c>
      <c r="D560" t="s">
        <v>395</v>
      </c>
      <c r="E560">
        <v>1</v>
      </c>
      <c r="F560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M560" s="13">
        <v>100</v>
      </c>
      <c r="O56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60" s="13">
        <v>0</v>
      </c>
      <c r="W560" s="13">
        <v>0</v>
      </c>
      <c r="X560" s="13">
        <v>62.962962962962898</v>
      </c>
      <c r="Y560" s="13">
        <v>36.8125701459034</v>
      </c>
      <c r="AI560" s="13">
        <v>1.0999999999999999E-2</v>
      </c>
      <c r="AL560" s="13">
        <v>30</v>
      </c>
      <c r="AM560" s="13">
        <v>125</v>
      </c>
      <c r="AP560" s="13">
        <v>1.6160000000000001</v>
      </c>
      <c r="AT560" s="13">
        <f>LN(25/Table26[[#This Row],[Temperature (C)]]/(1-SQRT((Table26[[#This Row],[Temperature (C)]]-5)/Table26[[#This Row],[Temperature (C)]])))/Table26[[#This Row],[b]]</f>
        <v>1.421749486867983</v>
      </c>
      <c r="AU560" s="13">
        <f>IF(Table26[[#This Row],[b]]&lt;&gt;"",Table26[[#This Row],[T-5]], 0)</f>
        <v>1.421749486867983</v>
      </c>
      <c r="AV560" s="13">
        <v>20</v>
      </c>
      <c r="AW560" s="13">
        <v>250</v>
      </c>
      <c r="AY560" t="s">
        <v>503</v>
      </c>
      <c r="BA560" s="13">
        <v>60.493827160493801</v>
      </c>
      <c r="BB560" s="13">
        <v>37.149270482603796</v>
      </c>
      <c r="BC560" s="13">
        <v>2.5813692480359101</v>
      </c>
      <c r="BE560" s="13" t="s">
        <v>506</v>
      </c>
      <c r="BQ560" s="13" t="s">
        <v>506</v>
      </c>
      <c r="CV560" s="13">
        <v>0</v>
      </c>
    </row>
    <row r="561" spans="1:100" x14ac:dyDescent="0.25">
      <c r="A561" t="s">
        <v>391</v>
      </c>
      <c r="B561" t="s">
        <v>317</v>
      </c>
      <c r="C561">
        <v>2020</v>
      </c>
      <c r="D561" t="s">
        <v>395</v>
      </c>
      <c r="E561">
        <v>1</v>
      </c>
      <c r="F561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M561" s="13">
        <v>100</v>
      </c>
      <c r="O56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61" s="13">
        <v>0</v>
      </c>
      <c r="W561" s="13">
        <v>0</v>
      </c>
      <c r="X561" s="13">
        <v>62.962962962962898</v>
      </c>
      <c r="Y561" s="13">
        <v>36.8125701459034</v>
      </c>
      <c r="AI561" s="13">
        <v>1.0999999999999999E-2</v>
      </c>
      <c r="AL561" s="13">
        <v>30</v>
      </c>
      <c r="AM561" s="13">
        <v>125</v>
      </c>
      <c r="AP561" s="13">
        <v>1.6160000000000001</v>
      </c>
      <c r="AT561" s="13">
        <f>LN(25/Table26[[#This Row],[Temperature (C)]]/(1-SQRT((Table26[[#This Row],[Temperature (C)]]-5)/Table26[[#This Row],[Temperature (C)]])))/Table26[[#This Row],[b]]</f>
        <v>1.421749486867983</v>
      </c>
      <c r="AU561" s="13">
        <f>IF(Table26[[#This Row],[b]]&lt;&gt;"",Table26[[#This Row],[T-5]], 0)</f>
        <v>1.421749486867983</v>
      </c>
      <c r="AV561" s="13">
        <v>30</v>
      </c>
      <c r="AW561" s="13">
        <v>250</v>
      </c>
      <c r="AY561" t="s">
        <v>503</v>
      </c>
      <c r="BA561" s="13">
        <v>54.2087542087542</v>
      </c>
      <c r="BB561" s="13">
        <v>35.914702581369198</v>
      </c>
      <c r="BC561" s="13">
        <v>9.7643097643097594</v>
      </c>
      <c r="BE561" s="13" t="s">
        <v>506</v>
      </c>
      <c r="BQ561" s="13" t="s">
        <v>506</v>
      </c>
      <c r="CV561" s="13">
        <v>0</v>
      </c>
    </row>
    <row r="562" spans="1:100" x14ac:dyDescent="0.25">
      <c r="A562" t="s">
        <v>391</v>
      </c>
      <c r="B562" t="s">
        <v>317</v>
      </c>
      <c r="C562">
        <v>2020</v>
      </c>
      <c r="D562" t="s">
        <v>395</v>
      </c>
      <c r="E562">
        <v>1</v>
      </c>
      <c r="F562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M562" s="13">
        <v>100</v>
      </c>
      <c r="O56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62" s="13">
        <v>0</v>
      </c>
      <c r="W562" s="13">
        <v>0</v>
      </c>
      <c r="X562" s="13">
        <v>62.962962962962898</v>
      </c>
      <c r="Y562" s="13">
        <v>36.8125701459034</v>
      </c>
      <c r="AI562" s="13">
        <v>1.0999999999999999E-2</v>
      </c>
      <c r="AL562" s="13">
        <v>30</v>
      </c>
      <c r="AM562" s="13">
        <v>125</v>
      </c>
      <c r="AP562" s="13">
        <v>1.6160000000000001</v>
      </c>
      <c r="AT562" s="13">
        <f>LN(25/Table26[[#This Row],[Temperature (C)]]/(1-SQRT((Table26[[#This Row],[Temperature (C)]]-5)/Table26[[#This Row],[Temperature (C)]])))/Table26[[#This Row],[b]]</f>
        <v>1.421749486867983</v>
      </c>
      <c r="AU562" s="13">
        <f>IF(Table26[[#This Row],[b]]&lt;&gt;"",Table26[[#This Row],[T-5]], 0)</f>
        <v>1.421749486867983</v>
      </c>
      <c r="AV562" s="13">
        <v>60</v>
      </c>
      <c r="AW562" s="13">
        <v>250</v>
      </c>
      <c r="AY562" t="s">
        <v>503</v>
      </c>
      <c r="BA562" s="13">
        <v>63.1874298540965</v>
      </c>
      <c r="BB562" s="13">
        <v>31.088664421997699</v>
      </c>
      <c r="BC562" s="13">
        <v>5.6116722783389497</v>
      </c>
      <c r="BE562" s="13" t="s">
        <v>506</v>
      </c>
      <c r="BQ562" s="13" t="s">
        <v>506</v>
      </c>
      <c r="CV562" s="13">
        <v>0</v>
      </c>
    </row>
    <row r="563" spans="1:100" x14ac:dyDescent="0.25">
      <c r="A563" t="s">
        <v>391</v>
      </c>
      <c r="B563" t="s">
        <v>317</v>
      </c>
      <c r="C563">
        <v>2020</v>
      </c>
      <c r="D563" t="s">
        <v>395</v>
      </c>
      <c r="E563">
        <v>1</v>
      </c>
      <c r="F563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M563" s="13">
        <v>100</v>
      </c>
      <c r="O56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63" s="13">
        <v>0</v>
      </c>
      <c r="W563" s="13">
        <v>0</v>
      </c>
      <c r="X563" s="13">
        <v>62.962962962962898</v>
      </c>
      <c r="Y563" s="13">
        <v>36.8125701459034</v>
      </c>
      <c r="AI563" s="13">
        <v>1.0999999999999999E-2</v>
      </c>
      <c r="AL563" s="13">
        <v>30</v>
      </c>
      <c r="AM563" s="13">
        <v>125</v>
      </c>
      <c r="AP563" s="13">
        <v>1.6160000000000001</v>
      </c>
      <c r="AT563" s="13">
        <f>LN(25/Table26[[#This Row],[Temperature (C)]]/(1-SQRT((Table26[[#This Row],[Temperature (C)]]-5)/Table26[[#This Row],[Temperature (C)]])))/Table26[[#This Row],[b]]</f>
        <v>1.4222723643965234</v>
      </c>
      <c r="AU563" s="13">
        <f>IF(Table26[[#This Row],[b]]&lt;&gt;"",Table26[[#This Row],[T-5]], 0)</f>
        <v>1.4222723643965234</v>
      </c>
      <c r="AV563" s="13">
        <v>5</v>
      </c>
      <c r="AW563" s="13">
        <v>300</v>
      </c>
      <c r="AY563" t="s">
        <v>503</v>
      </c>
      <c r="AZ563" s="13">
        <v>0.112233445566776</v>
      </c>
      <c r="BA563" s="13">
        <v>63.411896745230003</v>
      </c>
      <c r="BB563" s="13">
        <v>22.109988776655399</v>
      </c>
      <c r="BC563" s="13">
        <v>15.2637485970819</v>
      </c>
      <c r="BE563" s="13" t="s">
        <v>506</v>
      </c>
      <c r="BQ563" s="13" t="s">
        <v>506</v>
      </c>
      <c r="CV563" s="13">
        <v>0</v>
      </c>
    </row>
    <row r="564" spans="1:100" x14ac:dyDescent="0.25">
      <c r="A564" t="s">
        <v>391</v>
      </c>
      <c r="B564" t="s">
        <v>317</v>
      </c>
      <c r="C564">
        <v>2020</v>
      </c>
      <c r="D564" t="s">
        <v>395</v>
      </c>
      <c r="E564">
        <v>1</v>
      </c>
      <c r="F564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M564" s="13">
        <v>100</v>
      </c>
      <c r="O56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64" s="13">
        <v>0</v>
      </c>
      <c r="W564" s="13">
        <v>0</v>
      </c>
      <c r="X564" s="13">
        <v>62.962962962962898</v>
      </c>
      <c r="Y564" s="13">
        <v>36.8125701459034</v>
      </c>
      <c r="AI564" s="13">
        <v>1.0999999999999999E-2</v>
      </c>
      <c r="AL564" s="13">
        <v>30</v>
      </c>
      <c r="AM564" s="13">
        <v>125</v>
      </c>
      <c r="AP564" s="13">
        <v>1.6160000000000001</v>
      </c>
      <c r="AT564" s="13">
        <f>LN(25/Table26[[#This Row],[Temperature (C)]]/(1-SQRT((Table26[[#This Row],[Temperature (C)]]-5)/Table26[[#This Row],[Temperature (C)]])))/Table26[[#This Row],[b]]</f>
        <v>1.4222723643965234</v>
      </c>
      <c r="AU564" s="13">
        <f>IF(Table26[[#This Row],[b]]&lt;&gt;"",Table26[[#This Row],[T-5]], 0)</f>
        <v>1.4222723643965234</v>
      </c>
      <c r="AV564" s="13">
        <v>10</v>
      </c>
      <c r="AW564" s="13">
        <v>300</v>
      </c>
      <c r="AY564" t="s">
        <v>503</v>
      </c>
      <c r="AZ564" s="13">
        <v>0.224466891133553</v>
      </c>
      <c r="BA564" s="13">
        <v>61.279461279461202</v>
      </c>
      <c r="BB564" s="13">
        <v>31.088664421997699</v>
      </c>
      <c r="BC564" s="13">
        <v>7.9685746352412998</v>
      </c>
      <c r="BE564" s="13" t="s">
        <v>506</v>
      </c>
      <c r="BQ564" s="13" t="s">
        <v>506</v>
      </c>
      <c r="CV564" s="13">
        <v>0</v>
      </c>
    </row>
    <row r="565" spans="1:100" x14ac:dyDescent="0.25">
      <c r="A565" t="s">
        <v>391</v>
      </c>
      <c r="B565" t="s">
        <v>317</v>
      </c>
      <c r="C565">
        <v>2020</v>
      </c>
      <c r="D565" t="s">
        <v>395</v>
      </c>
      <c r="E565">
        <v>1</v>
      </c>
      <c r="F565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M565" s="13">
        <v>100</v>
      </c>
      <c r="O56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65" s="13">
        <v>0</v>
      </c>
      <c r="W565" s="13">
        <v>0</v>
      </c>
      <c r="X565" s="13">
        <v>62.962962962962898</v>
      </c>
      <c r="Y565" s="13">
        <v>36.8125701459034</v>
      </c>
      <c r="AI565" s="13">
        <v>1.0999999999999999E-2</v>
      </c>
      <c r="AL565" s="13">
        <v>30</v>
      </c>
      <c r="AM565" s="13">
        <v>125</v>
      </c>
      <c r="AP565" s="13">
        <v>1.6160000000000001</v>
      </c>
      <c r="AT565" s="13">
        <f>LN(25/Table26[[#This Row],[Temperature (C)]]/(1-SQRT((Table26[[#This Row],[Temperature (C)]]-5)/Table26[[#This Row],[Temperature (C)]])))/Table26[[#This Row],[b]]</f>
        <v>1.4222723643965234</v>
      </c>
      <c r="AU565" s="13">
        <f>IF(Table26[[#This Row],[b]]&lt;&gt;"",Table26[[#This Row],[T-5]], 0)</f>
        <v>1.4222723643965234</v>
      </c>
      <c r="AV565" s="13">
        <v>20</v>
      </c>
      <c r="AW565" s="13">
        <v>300</v>
      </c>
      <c r="AY565" t="s">
        <v>503</v>
      </c>
      <c r="AZ565" s="13">
        <v>0.22446689113356499</v>
      </c>
      <c r="BA565" s="13">
        <v>58.136924803591398</v>
      </c>
      <c r="BB565" s="13">
        <v>34.904601571268202</v>
      </c>
      <c r="BC565" s="13">
        <v>7.6318742985409704</v>
      </c>
      <c r="BE565" s="13" t="s">
        <v>506</v>
      </c>
      <c r="BQ565" s="13" t="s">
        <v>506</v>
      </c>
      <c r="CV565" s="13">
        <v>0</v>
      </c>
    </row>
    <row r="566" spans="1:100" x14ac:dyDescent="0.25">
      <c r="A566" t="s">
        <v>391</v>
      </c>
      <c r="B566" t="s">
        <v>317</v>
      </c>
      <c r="C566">
        <v>2020</v>
      </c>
      <c r="D566" t="s">
        <v>395</v>
      </c>
      <c r="E566">
        <v>1</v>
      </c>
      <c r="F566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M566" s="13">
        <v>100</v>
      </c>
      <c r="O56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66" s="13">
        <v>0</v>
      </c>
      <c r="W566" s="13">
        <v>0</v>
      </c>
      <c r="X566" s="13">
        <v>62.962962962962898</v>
      </c>
      <c r="Y566" s="13">
        <v>36.8125701459034</v>
      </c>
      <c r="AI566" s="13">
        <v>1.0999999999999999E-2</v>
      </c>
      <c r="AL566" s="13">
        <v>30</v>
      </c>
      <c r="AM566" s="13">
        <v>125</v>
      </c>
      <c r="AP566" s="13">
        <v>1.6160000000000001</v>
      </c>
      <c r="AT566" s="13">
        <f>LN(25/Table26[[#This Row],[Temperature (C)]]/(1-SQRT((Table26[[#This Row],[Temperature (C)]]-5)/Table26[[#This Row],[Temperature (C)]])))/Table26[[#This Row],[b]]</f>
        <v>1.4222723643965234</v>
      </c>
      <c r="AU566" s="13">
        <f>IF(Table26[[#This Row],[b]]&lt;&gt;"",Table26[[#This Row],[T-5]], 0)</f>
        <v>1.4222723643965234</v>
      </c>
      <c r="AV566" s="13">
        <v>30</v>
      </c>
      <c r="AW566" s="13">
        <v>300</v>
      </c>
      <c r="AY566" t="s">
        <v>503</v>
      </c>
      <c r="AZ566" s="13">
        <v>0.224466891133553</v>
      </c>
      <c r="BA566" s="13">
        <v>44.107744107744097</v>
      </c>
      <c r="BB566" s="13">
        <v>49.943883277216599</v>
      </c>
      <c r="BC566" s="13">
        <v>6.3973063973063997</v>
      </c>
      <c r="BE566" s="13" t="s">
        <v>506</v>
      </c>
      <c r="BQ566" s="13" t="s">
        <v>506</v>
      </c>
      <c r="CV566" s="13">
        <v>0</v>
      </c>
    </row>
    <row r="567" spans="1:100" x14ac:dyDescent="0.25">
      <c r="A567" t="s">
        <v>391</v>
      </c>
      <c r="B567" t="s">
        <v>317</v>
      </c>
      <c r="C567">
        <v>2020</v>
      </c>
      <c r="D567" t="s">
        <v>395</v>
      </c>
      <c r="E567">
        <v>1</v>
      </c>
      <c r="F567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M567" s="13">
        <v>100</v>
      </c>
      <c r="O56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67" s="13">
        <v>0</v>
      </c>
      <c r="W567" s="13">
        <v>0</v>
      </c>
      <c r="X567" s="13">
        <v>62.962962962962898</v>
      </c>
      <c r="Y567" s="13">
        <v>36.8125701459034</v>
      </c>
      <c r="AI567" s="13">
        <v>1.0999999999999999E-2</v>
      </c>
      <c r="AL567" s="13">
        <v>30</v>
      </c>
      <c r="AM567" s="13">
        <v>125</v>
      </c>
      <c r="AP567" s="13">
        <v>1.6160000000000001</v>
      </c>
      <c r="AT567" s="13">
        <f>LN(25/Table26[[#This Row],[Temperature (C)]]/(1-SQRT((Table26[[#This Row],[Temperature (C)]]-5)/Table26[[#This Row],[Temperature (C)]])))/Table26[[#This Row],[b]]</f>
        <v>1.4222723643965234</v>
      </c>
      <c r="AU567" s="13">
        <f>IF(Table26[[#This Row],[b]]&lt;&gt;"",Table26[[#This Row],[T-5]], 0)</f>
        <v>1.4222723643965234</v>
      </c>
      <c r="AV567" s="13">
        <v>60</v>
      </c>
      <c r="AW567" s="13">
        <v>300</v>
      </c>
      <c r="AY567" t="s">
        <v>503</v>
      </c>
      <c r="AZ567" s="13">
        <v>0.224466891133553</v>
      </c>
      <c r="BA567" s="13">
        <v>53.198653198653197</v>
      </c>
      <c r="BB567" s="13">
        <v>39.169472502805803</v>
      </c>
      <c r="BC567" s="13">
        <v>7.8563411896745201</v>
      </c>
      <c r="BE567" s="13" t="s">
        <v>506</v>
      </c>
      <c r="BQ567" s="13" t="s">
        <v>506</v>
      </c>
      <c r="CV567" s="13">
        <v>0</v>
      </c>
    </row>
    <row r="568" spans="1:100" x14ac:dyDescent="0.25">
      <c r="A568" t="s">
        <v>391</v>
      </c>
      <c r="B568" t="s">
        <v>317</v>
      </c>
      <c r="C568">
        <v>2020</v>
      </c>
      <c r="D568" t="s">
        <v>395</v>
      </c>
      <c r="E568">
        <v>1</v>
      </c>
      <c r="F568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M568" s="13">
        <v>100</v>
      </c>
      <c r="O56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68" s="13">
        <v>0</v>
      </c>
      <c r="W568" s="13">
        <v>0</v>
      </c>
      <c r="X568" s="13">
        <v>62.962962962962898</v>
      </c>
      <c r="Y568" s="13">
        <v>36.8125701459034</v>
      </c>
      <c r="AI568" s="13">
        <v>1.0999999999999999E-2</v>
      </c>
      <c r="AL568" s="13">
        <v>30</v>
      </c>
      <c r="AM568" s="13">
        <v>125</v>
      </c>
      <c r="AP568" s="13">
        <v>1.6160000000000001</v>
      </c>
      <c r="AT568" s="13">
        <f>LN(25/Table26[[#This Row],[Temperature (C)]]/(1-SQRT((Table26[[#This Row],[Temperature (C)]]-5)/Table26[[#This Row],[Temperature (C)]])))/Table26[[#This Row],[b]]</f>
        <v>1.4226450361910576</v>
      </c>
      <c r="AU568" s="13">
        <f>IF(Table26[[#This Row],[b]]&lt;&gt;"",Table26[[#This Row],[T-5]], 0)</f>
        <v>1.4226450361910576</v>
      </c>
      <c r="AV568" s="13">
        <v>5</v>
      </c>
      <c r="AW568" s="13">
        <v>350</v>
      </c>
      <c r="AY568" t="s">
        <v>503</v>
      </c>
      <c r="BA568" s="13">
        <v>54.279279279279201</v>
      </c>
      <c r="BB568" s="13">
        <v>39.301801801801702</v>
      </c>
      <c r="BC568" s="13">
        <v>6.3063063063063298</v>
      </c>
      <c r="BE568" s="13" t="s">
        <v>506</v>
      </c>
      <c r="BQ568" s="13" t="s">
        <v>506</v>
      </c>
      <c r="CV568" s="13">
        <v>0</v>
      </c>
    </row>
    <row r="569" spans="1:100" x14ac:dyDescent="0.25">
      <c r="A569" t="s">
        <v>391</v>
      </c>
      <c r="B569" t="s">
        <v>317</v>
      </c>
      <c r="C569">
        <v>2020</v>
      </c>
      <c r="D569" t="s">
        <v>395</v>
      </c>
      <c r="E569">
        <v>1</v>
      </c>
      <c r="F569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M569" s="13">
        <v>100</v>
      </c>
      <c r="O56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69" s="13">
        <v>0</v>
      </c>
      <c r="W569" s="13">
        <v>0</v>
      </c>
      <c r="X569" s="13">
        <v>62.962962962962898</v>
      </c>
      <c r="Y569" s="13">
        <v>36.8125701459034</v>
      </c>
      <c r="AI569" s="13">
        <v>1.0999999999999999E-2</v>
      </c>
      <c r="AL569" s="13">
        <v>30</v>
      </c>
      <c r="AM569" s="13">
        <v>125</v>
      </c>
      <c r="AP569" s="13">
        <v>1.6160000000000001</v>
      </c>
      <c r="AT569" s="13">
        <f>LN(25/Table26[[#This Row],[Temperature (C)]]/(1-SQRT((Table26[[#This Row],[Temperature (C)]]-5)/Table26[[#This Row],[Temperature (C)]])))/Table26[[#This Row],[b]]</f>
        <v>1.4226450361910576</v>
      </c>
      <c r="AU569" s="13">
        <f>IF(Table26[[#This Row],[b]]&lt;&gt;"",Table26[[#This Row],[T-5]], 0)</f>
        <v>1.4226450361910576</v>
      </c>
      <c r="AV569" s="13">
        <v>10</v>
      </c>
      <c r="AW569" s="13">
        <v>350</v>
      </c>
      <c r="AY569" t="s">
        <v>503</v>
      </c>
      <c r="AZ569" s="13">
        <v>0.112612612612622</v>
      </c>
      <c r="BA569" s="13">
        <v>62.5</v>
      </c>
      <c r="BB569" s="13">
        <v>21.959459459459399</v>
      </c>
      <c r="BC569" s="13">
        <v>15.4279279279279</v>
      </c>
      <c r="BE569" s="13">
        <v>1</v>
      </c>
      <c r="BQ569" s="13" t="s">
        <v>506</v>
      </c>
      <c r="CV569" s="13">
        <v>0</v>
      </c>
    </row>
    <row r="570" spans="1:100" x14ac:dyDescent="0.25">
      <c r="A570" t="s">
        <v>391</v>
      </c>
      <c r="B570" t="s">
        <v>317</v>
      </c>
      <c r="C570">
        <v>2020</v>
      </c>
      <c r="D570" t="s">
        <v>395</v>
      </c>
      <c r="E570">
        <v>1</v>
      </c>
      <c r="F570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M570" s="13">
        <v>100</v>
      </c>
      <c r="O57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70" s="13">
        <v>0</v>
      </c>
      <c r="W570" s="13">
        <v>0</v>
      </c>
      <c r="X570" s="13">
        <v>62.962962962962898</v>
      </c>
      <c r="Y570" s="13">
        <v>36.8125701459034</v>
      </c>
      <c r="AI570" s="13">
        <v>1.0999999999999999E-2</v>
      </c>
      <c r="AL570" s="13">
        <v>30</v>
      </c>
      <c r="AM570" s="13">
        <v>125</v>
      </c>
      <c r="AP570" s="13">
        <v>1.6160000000000001</v>
      </c>
      <c r="AT570" s="13">
        <f>LN(25/Table26[[#This Row],[Temperature (C)]]/(1-SQRT((Table26[[#This Row],[Temperature (C)]]-5)/Table26[[#This Row],[Temperature (C)]])))/Table26[[#This Row],[b]]</f>
        <v>1.4226450361910576</v>
      </c>
      <c r="AU570" s="13">
        <f>IF(Table26[[#This Row],[b]]&lt;&gt;"",Table26[[#This Row],[T-5]], 0)</f>
        <v>1.4226450361910576</v>
      </c>
      <c r="AV570" s="13">
        <v>20</v>
      </c>
      <c r="AW570" s="13">
        <v>350</v>
      </c>
      <c r="AY570" t="s">
        <v>503</v>
      </c>
      <c r="AZ570" s="13">
        <v>0.112612612612622</v>
      </c>
      <c r="BA570" s="13">
        <v>57.545045045044901</v>
      </c>
      <c r="BB570" s="13">
        <v>32.207207207207098</v>
      </c>
      <c r="BC570" s="13">
        <v>10.3603603603603</v>
      </c>
      <c r="BE570" s="13">
        <v>1.2</v>
      </c>
      <c r="BQ570" s="13" t="s">
        <v>506</v>
      </c>
      <c r="CV570" s="13">
        <v>0</v>
      </c>
    </row>
    <row r="571" spans="1:100" x14ac:dyDescent="0.25">
      <c r="A571" t="s">
        <v>391</v>
      </c>
      <c r="B571" t="s">
        <v>317</v>
      </c>
      <c r="C571">
        <v>2020</v>
      </c>
      <c r="D571" t="s">
        <v>395</v>
      </c>
      <c r="E571">
        <v>1</v>
      </c>
      <c r="F571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M571" s="13">
        <v>100</v>
      </c>
      <c r="O57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71" s="13">
        <v>0</v>
      </c>
      <c r="W571" s="13">
        <v>0</v>
      </c>
      <c r="X571" s="13">
        <v>62.962962962962898</v>
      </c>
      <c r="Y571" s="13">
        <v>36.8125701459034</v>
      </c>
      <c r="AI571" s="13">
        <v>1.0999999999999999E-2</v>
      </c>
      <c r="AL571" s="13">
        <v>30</v>
      </c>
      <c r="AM571" s="13">
        <v>125</v>
      </c>
      <c r="AP571" s="13">
        <v>1.6160000000000001</v>
      </c>
      <c r="AT571" s="13">
        <f>LN(25/Table26[[#This Row],[Temperature (C)]]/(1-SQRT((Table26[[#This Row],[Temperature (C)]]-5)/Table26[[#This Row],[Temperature (C)]])))/Table26[[#This Row],[b]]</f>
        <v>1.4226450361910576</v>
      </c>
      <c r="AU571" s="13">
        <f>IF(Table26[[#This Row],[b]]&lt;&gt;"",Table26[[#This Row],[T-5]], 0)</f>
        <v>1.4226450361910576</v>
      </c>
      <c r="AV571" s="13">
        <v>30</v>
      </c>
      <c r="AW571" s="13">
        <v>350</v>
      </c>
      <c r="AY571" t="s">
        <v>503</v>
      </c>
      <c r="BA571" s="13">
        <v>61.373873873873798</v>
      </c>
      <c r="BB571" s="13">
        <v>36.599099099099</v>
      </c>
      <c r="BC571" s="13">
        <v>2.3648648648648298</v>
      </c>
      <c r="BE571" s="13">
        <v>3.8</v>
      </c>
      <c r="BQ571" s="13" t="s">
        <v>506</v>
      </c>
      <c r="CV571" s="13">
        <v>0</v>
      </c>
    </row>
    <row r="572" spans="1:100" x14ac:dyDescent="0.25">
      <c r="A572" t="s">
        <v>391</v>
      </c>
      <c r="B572" t="s">
        <v>317</v>
      </c>
      <c r="C572">
        <v>2020</v>
      </c>
      <c r="D572" t="s">
        <v>395</v>
      </c>
      <c r="E572">
        <v>1</v>
      </c>
      <c r="F572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M572" s="13">
        <v>100</v>
      </c>
      <c r="O57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R572" s="13">
        <v>0</v>
      </c>
      <c r="W572" s="13">
        <v>0</v>
      </c>
      <c r="X572" s="13">
        <v>62.962962962962898</v>
      </c>
      <c r="Y572" s="13">
        <v>36.8125701459034</v>
      </c>
      <c r="AI572" s="13">
        <v>1.0999999999999999E-2</v>
      </c>
      <c r="AL572" s="13">
        <v>30</v>
      </c>
      <c r="AM572" s="13">
        <v>125</v>
      </c>
      <c r="AP572" s="13">
        <v>1.6160000000000001</v>
      </c>
      <c r="AT572" s="13">
        <f>LN(25/Table26[[#This Row],[Temperature (C)]]/(1-SQRT((Table26[[#This Row],[Temperature (C)]]-5)/Table26[[#This Row],[Temperature (C)]])))/Table26[[#This Row],[b]]</f>
        <v>1.4226450361910576</v>
      </c>
      <c r="AU572" s="13">
        <f>IF(Table26[[#This Row],[b]]&lt;&gt;"",Table26[[#This Row],[T-5]], 0)</f>
        <v>1.4226450361910576</v>
      </c>
      <c r="AV572" s="13">
        <v>60</v>
      </c>
      <c r="AW572" s="13">
        <v>350</v>
      </c>
      <c r="AY572" t="s">
        <v>503</v>
      </c>
      <c r="BA572" s="13">
        <v>18.581081081080999</v>
      </c>
      <c r="BB572" s="13">
        <v>65.878378378378201</v>
      </c>
      <c r="BC572" s="13">
        <v>15.090090090089999</v>
      </c>
      <c r="BE572" s="13">
        <v>1</v>
      </c>
      <c r="BQ572" s="13" t="s">
        <v>506</v>
      </c>
      <c r="CV572" s="13">
        <v>0</v>
      </c>
    </row>
    <row r="573" spans="1:100" x14ac:dyDescent="0.25">
      <c r="A573" t="s">
        <v>396</v>
      </c>
      <c r="B573" t="s">
        <v>158</v>
      </c>
      <c r="C573">
        <v>2019</v>
      </c>
      <c r="D573" t="s">
        <v>397</v>
      </c>
      <c r="E573">
        <v>1</v>
      </c>
      <c r="F573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573" s="13">
        <v>100</v>
      </c>
      <c r="O57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573" s="13">
        <v>0.1</v>
      </c>
      <c r="AL573" s="13">
        <v>12</v>
      </c>
      <c r="AM573" s="13">
        <v>10</v>
      </c>
      <c r="AP573" s="13">
        <v>0.14499999999999999</v>
      </c>
      <c r="AS573" s="13">
        <v>5</v>
      </c>
      <c r="AT573" s="13">
        <f>LN(25/Table26[[#This Row],[Temperature (C)]]/(1-SQRT((Table26[[#This Row],[Temperature (C)]]-5)/Table26[[#This Row],[Temperature (C)]])))/Table26[[#This Row],[b]]</f>
        <v>15.847744678076944</v>
      </c>
      <c r="AU573" s="13">
        <f>IF(Table26[[#This Row],[b]]&lt;&gt;"",Table26[[#This Row],[T-5]], 0)</f>
        <v>15.847744678076944</v>
      </c>
      <c r="AV573" s="13">
        <f>Table26[[#This Row],[Heating time]]+Table26[[#This Row],[Holding Time (min)]]</f>
        <v>20.847744678076943</v>
      </c>
      <c r="AW573" s="13">
        <v>270</v>
      </c>
      <c r="AY573" t="s">
        <v>503</v>
      </c>
      <c r="AZ573" s="13">
        <v>5</v>
      </c>
      <c r="BA573" s="13">
        <v>10.8</v>
      </c>
      <c r="BE573" s="13">
        <v>1.9</v>
      </c>
      <c r="BQ573" s="13" t="s">
        <v>506</v>
      </c>
      <c r="CV573" s="13">
        <v>0</v>
      </c>
    </row>
    <row r="574" spans="1:100" x14ac:dyDescent="0.25">
      <c r="A574" t="s">
        <v>396</v>
      </c>
      <c r="B574" t="s">
        <v>158</v>
      </c>
      <c r="C574">
        <v>2019</v>
      </c>
      <c r="D574" t="s">
        <v>397</v>
      </c>
      <c r="E574">
        <v>1</v>
      </c>
      <c r="F574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G574" s="13">
        <v>100</v>
      </c>
      <c r="O57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574" s="13">
        <v>0.1</v>
      </c>
      <c r="AL574" s="13">
        <v>12</v>
      </c>
      <c r="AM574" s="13">
        <v>10</v>
      </c>
      <c r="AP574" s="13">
        <v>0.14499999999999999</v>
      </c>
      <c r="AS574" s="13">
        <v>5</v>
      </c>
      <c r="AT574" s="13">
        <f>LN(25/Table26[[#This Row],[Temperature (C)]]/(1-SQRT((Table26[[#This Row],[Temperature (C)]]-5)/Table26[[#This Row],[Temperature (C)]])))/Table26[[#This Row],[b]]</f>
        <v>15.847744678076944</v>
      </c>
      <c r="AU574" s="13">
        <f>IF(Table26[[#This Row],[b]]&lt;&gt;"",Table26[[#This Row],[T-5]], 0)</f>
        <v>15.847744678076944</v>
      </c>
      <c r="AV574" s="13">
        <f>Table26[[#This Row],[Heating time]]+Table26[[#This Row],[Holding Time (min)]]</f>
        <v>20.847744678076943</v>
      </c>
      <c r="AW574" s="13">
        <v>270</v>
      </c>
      <c r="AY574" t="s">
        <v>503</v>
      </c>
      <c r="AZ574" s="13">
        <v>20</v>
      </c>
      <c r="BA574" s="13">
        <v>11.3</v>
      </c>
      <c r="BE574" s="13" t="s">
        <v>506</v>
      </c>
      <c r="BQ574" s="13" t="s">
        <v>506</v>
      </c>
      <c r="CV574" s="13">
        <v>0</v>
      </c>
    </row>
    <row r="575" spans="1:100" x14ac:dyDescent="0.25">
      <c r="A575" t="s">
        <v>396</v>
      </c>
      <c r="B575" t="s">
        <v>158</v>
      </c>
      <c r="C575">
        <v>2019</v>
      </c>
      <c r="D575" t="s">
        <v>397</v>
      </c>
      <c r="E575">
        <v>1</v>
      </c>
      <c r="F575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M575" s="13">
        <v>100</v>
      </c>
      <c r="O57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575" s="13">
        <v>0.1</v>
      </c>
      <c r="AL575" s="13">
        <v>12</v>
      </c>
      <c r="AM575" s="13">
        <v>10</v>
      </c>
      <c r="AP575" s="13">
        <v>0.14499999999999999</v>
      </c>
      <c r="AS575" s="13">
        <v>5</v>
      </c>
      <c r="AT575" s="13">
        <f>LN(25/Table26[[#This Row],[Temperature (C)]]/(1-SQRT((Table26[[#This Row],[Temperature (C)]]-5)/Table26[[#This Row],[Temperature (C)]])))/Table26[[#This Row],[b]]</f>
        <v>15.847744678076944</v>
      </c>
      <c r="AU575" s="13">
        <f>IF(Table26[[#This Row],[b]]&lt;&gt;"",Table26[[#This Row],[T-5]], 0)</f>
        <v>15.847744678076944</v>
      </c>
      <c r="AV575" s="13">
        <f>Table26[[#This Row],[Heating time]]+Table26[[#This Row],[Holding Time (min)]]</f>
        <v>20.847744678076943</v>
      </c>
      <c r="AW575" s="13">
        <v>270</v>
      </c>
      <c r="AY575" t="s">
        <v>503</v>
      </c>
      <c r="AZ575" s="13">
        <v>23.9</v>
      </c>
      <c r="BA575" s="13">
        <v>2.1</v>
      </c>
      <c r="BE575" s="13">
        <v>0.3</v>
      </c>
      <c r="BQ575" s="13" t="s">
        <v>506</v>
      </c>
      <c r="CV575" s="13">
        <v>0</v>
      </c>
    </row>
    <row r="576" spans="1:100" x14ac:dyDescent="0.25">
      <c r="A576" t="s">
        <v>396</v>
      </c>
      <c r="B576" t="s">
        <v>158</v>
      </c>
      <c r="C576">
        <v>2019</v>
      </c>
      <c r="D576" t="s">
        <v>397</v>
      </c>
      <c r="E576">
        <v>1</v>
      </c>
      <c r="F576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L576" s="13">
        <v>100</v>
      </c>
      <c r="O57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576" s="13">
        <v>0.1</v>
      </c>
      <c r="AL576" s="13">
        <v>12</v>
      </c>
      <c r="AM576" s="13">
        <v>10</v>
      </c>
      <c r="AP576" s="13">
        <v>0.14499999999999999</v>
      </c>
      <c r="AS576" s="13">
        <v>5</v>
      </c>
      <c r="AT576" s="13">
        <f>LN(25/Table26[[#This Row],[Temperature (C)]]/(1-SQRT((Table26[[#This Row],[Temperature (C)]]-5)/Table26[[#This Row],[Temperature (C)]])))/Table26[[#This Row],[b]]</f>
        <v>15.847744678076944</v>
      </c>
      <c r="AU576" s="13">
        <f>IF(Table26[[#This Row],[b]]&lt;&gt;"",Table26[[#This Row],[T-5]], 0)</f>
        <v>15.847744678076944</v>
      </c>
      <c r="AV576" s="13">
        <f>Table26[[#This Row],[Heating time]]+Table26[[#This Row],[Holding Time (min)]]</f>
        <v>20.847744678076943</v>
      </c>
      <c r="AW576" s="13">
        <v>270</v>
      </c>
      <c r="AY576" t="s">
        <v>503</v>
      </c>
      <c r="AZ576" s="13">
        <v>0.4</v>
      </c>
      <c r="BA576" s="13">
        <v>99.8</v>
      </c>
      <c r="BE576" s="13">
        <v>1.7</v>
      </c>
      <c r="BQ576" s="13" t="s">
        <v>506</v>
      </c>
      <c r="CV576" s="13">
        <v>0</v>
      </c>
    </row>
    <row r="577" spans="1:100" x14ac:dyDescent="0.25">
      <c r="A577" t="s">
        <v>396</v>
      </c>
      <c r="B577" t="s">
        <v>158</v>
      </c>
      <c r="C577">
        <v>2019</v>
      </c>
      <c r="D577" t="s">
        <v>397</v>
      </c>
      <c r="E577">
        <v>1</v>
      </c>
      <c r="F57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50</v>
      </c>
      <c r="G577" s="13">
        <v>50</v>
      </c>
      <c r="K577" s="13">
        <v>50</v>
      </c>
      <c r="O57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577" s="13">
        <v>0.1</v>
      </c>
      <c r="AL577" s="13">
        <v>12</v>
      </c>
      <c r="AM577" s="13">
        <v>10</v>
      </c>
      <c r="AP577" s="13">
        <v>0.14499999999999999</v>
      </c>
      <c r="AS577" s="13">
        <v>5</v>
      </c>
      <c r="AT577" s="13">
        <f>LN(25/Table26[[#This Row],[Temperature (C)]]/(1-SQRT((Table26[[#This Row],[Temperature (C)]]-5)/Table26[[#This Row],[Temperature (C)]])))/Table26[[#This Row],[b]]</f>
        <v>15.847744678076944</v>
      </c>
      <c r="AU577" s="13">
        <f>IF(Table26[[#This Row],[b]]&lt;&gt;"",Table26[[#This Row],[T-5]], 0)</f>
        <v>15.847744678076944</v>
      </c>
      <c r="AV577" s="13">
        <f>Table26[[#This Row],[Heating time]]+Table26[[#This Row],[Holding Time (min)]]</f>
        <v>20.847744678076943</v>
      </c>
      <c r="AW577" s="13">
        <v>270</v>
      </c>
      <c r="AY577" t="s">
        <v>503</v>
      </c>
      <c r="AZ577" s="13">
        <v>21.2</v>
      </c>
      <c r="BA577" s="13">
        <v>9.8000000000000007</v>
      </c>
      <c r="BE577" s="13">
        <v>1.8</v>
      </c>
      <c r="BQ577" s="13" t="s">
        <v>506</v>
      </c>
      <c r="CV577" s="13">
        <v>0</v>
      </c>
    </row>
    <row r="578" spans="1:100" x14ac:dyDescent="0.25">
      <c r="A578" t="s">
        <v>396</v>
      </c>
      <c r="B578" t="s">
        <v>158</v>
      </c>
      <c r="C578">
        <v>2019</v>
      </c>
      <c r="D578" t="s">
        <v>397</v>
      </c>
      <c r="E578">
        <v>1</v>
      </c>
      <c r="F578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578" s="13">
        <v>50</v>
      </c>
      <c r="M578" s="13">
        <v>50</v>
      </c>
      <c r="O57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578" s="13">
        <v>0.1</v>
      </c>
      <c r="AL578" s="13">
        <v>12</v>
      </c>
      <c r="AM578" s="13">
        <v>10</v>
      </c>
      <c r="AP578" s="13">
        <v>0.14499999999999999</v>
      </c>
      <c r="AS578" s="13">
        <v>5</v>
      </c>
      <c r="AT578" s="13">
        <f>LN(25/Table26[[#This Row],[Temperature (C)]]/(1-SQRT((Table26[[#This Row],[Temperature (C)]]-5)/Table26[[#This Row],[Temperature (C)]])))/Table26[[#This Row],[b]]</f>
        <v>15.847744678076944</v>
      </c>
      <c r="AU578" s="13">
        <f>IF(Table26[[#This Row],[b]]&lt;&gt;"",Table26[[#This Row],[T-5]], 0)</f>
        <v>15.847744678076944</v>
      </c>
      <c r="AV578" s="13">
        <f>Table26[[#This Row],[Heating time]]+Table26[[#This Row],[Holding Time (min)]]</f>
        <v>20.847744678076943</v>
      </c>
      <c r="AW578" s="13">
        <v>270</v>
      </c>
      <c r="AY578" t="s">
        <v>503</v>
      </c>
      <c r="AZ578" s="13">
        <v>31</v>
      </c>
      <c r="BA578" s="13">
        <v>2.9</v>
      </c>
      <c r="BE578" s="13">
        <v>6.9</v>
      </c>
      <c r="BQ578" s="13" t="s">
        <v>506</v>
      </c>
      <c r="CV578" s="13">
        <v>0</v>
      </c>
    </row>
    <row r="579" spans="1:100" x14ac:dyDescent="0.25">
      <c r="A579" t="s">
        <v>396</v>
      </c>
      <c r="B579" t="s">
        <v>158</v>
      </c>
      <c r="C579">
        <v>2019</v>
      </c>
      <c r="D579" t="s">
        <v>397</v>
      </c>
      <c r="E579">
        <v>1</v>
      </c>
      <c r="F579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579" s="13">
        <v>50</v>
      </c>
      <c r="L579" s="13">
        <v>50</v>
      </c>
      <c r="O57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579" s="13">
        <v>0.1</v>
      </c>
      <c r="AL579" s="13">
        <v>12</v>
      </c>
      <c r="AM579" s="13">
        <v>10</v>
      </c>
      <c r="AP579" s="13">
        <v>0.14499999999999999</v>
      </c>
      <c r="AS579" s="13">
        <v>5</v>
      </c>
      <c r="AT579" s="13">
        <f>LN(25/Table26[[#This Row],[Temperature (C)]]/(1-SQRT((Table26[[#This Row],[Temperature (C)]]-5)/Table26[[#This Row],[Temperature (C)]])))/Table26[[#This Row],[b]]</f>
        <v>15.847744678076944</v>
      </c>
      <c r="AU579" s="13">
        <f>IF(Table26[[#This Row],[b]]&lt;&gt;"",Table26[[#This Row],[T-5]], 0)</f>
        <v>15.847744678076944</v>
      </c>
      <c r="AV579" s="13">
        <f>Table26[[#This Row],[Heating time]]+Table26[[#This Row],[Holding Time (min)]]</f>
        <v>20.847744678076943</v>
      </c>
      <c r="AW579" s="13">
        <v>270</v>
      </c>
      <c r="AY579" t="s">
        <v>503</v>
      </c>
      <c r="AZ579" s="13">
        <v>3</v>
      </c>
      <c r="BA579" s="13">
        <v>40</v>
      </c>
      <c r="BE579" s="13">
        <v>4</v>
      </c>
      <c r="BQ579" s="13" t="s">
        <v>506</v>
      </c>
      <c r="CV579" s="13">
        <v>0</v>
      </c>
    </row>
    <row r="580" spans="1:100" x14ac:dyDescent="0.25">
      <c r="A580" t="s">
        <v>396</v>
      </c>
      <c r="B580" t="s">
        <v>158</v>
      </c>
      <c r="C580">
        <v>2019</v>
      </c>
      <c r="D580" t="s">
        <v>397</v>
      </c>
      <c r="E580">
        <v>1</v>
      </c>
      <c r="F580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50</v>
      </c>
      <c r="G580" s="13">
        <v>50</v>
      </c>
      <c r="M580" s="13">
        <v>50</v>
      </c>
      <c r="O58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580" s="13">
        <v>0.1</v>
      </c>
      <c r="AL580" s="13">
        <v>12</v>
      </c>
      <c r="AM580" s="13">
        <v>10</v>
      </c>
      <c r="AP580" s="13">
        <v>0.14499999999999999</v>
      </c>
      <c r="AS580" s="13">
        <v>5</v>
      </c>
      <c r="AT580" s="13">
        <f>LN(25/Table26[[#This Row],[Temperature (C)]]/(1-SQRT((Table26[[#This Row],[Temperature (C)]]-5)/Table26[[#This Row],[Temperature (C)]])))/Table26[[#This Row],[b]]</f>
        <v>15.847744678076944</v>
      </c>
      <c r="AU580" s="13">
        <f>IF(Table26[[#This Row],[b]]&lt;&gt;"",Table26[[#This Row],[T-5]], 0)</f>
        <v>15.847744678076944</v>
      </c>
      <c r="AV580" s="13">
        <f>Table26[[#This Row],[Heating time]]+Table26[[#This Row],[Holding Time (min)]]</f>
        <v>20.847744678076943</v>
      </c>
      <c r="AW580" s="13">
        <v>270</v>
      </c>
      <c r="AY580" t="s">
        <v>503</v>
      </c>
      <c r="AZ580" s="13">
        <v>30.5</v>
      </c>
      <c r="BA580" s="13">
        <v>5</v>
      </c>
      <c r="BE580" s="13">
        <v>4</v>
      </c>
      <c r="BQ580" s="13" t="s">
        <v>506</v>
      </c>
      <c r="CV580" s="13">
        <v>0</v>
      </c>
    </row>
    <row r="581" spans="1:100" x14ac:dyDescent="0.25">
      <c r="A581" t="s">
        <v>396</v>
      </c>
      <c r="B581" t="s">
        <v>158</v>
      </c>
      <c r="C581">
        <v>2019</v>
      </c>
      <c r="D581" t="s">
        <v>397</v>
      </c>
      <c r="E581">
        <v>1</v>
      </c>
      <c r="F581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50</v>
      </c>
      <c r="G581" s="13">
        <v>50</v>
      </c>
      <c r="L581" s="13">
        <v>50</v>
      </c>
      <c r="O58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581" s="13">
        <v>0.1</v>
      </c>
      <c r="AL581" s="13">
        <v>12</v>
      </c>
      <c r="AM581" s="13">
        <v>10</v>
      </c>
      <c r="AP581" s="13">
        <v>0.14499999999999999</v>
      </c>
      <c r="AS581" s="13">
        <v>5</v>
      </c>
      <c r="AT581" s="13">
        <f>LN(25/Table26[[#This Row],[Temperature (C)]]/(1-SQRT((Table26[[#This Row],[Temperature (C)]]-5)/Table26[[#This Row],[Temperature (C)]])))/Table26[[#This Row],[b]]</f>
        <v>15.847744678076944</v>
      </c>
      <c r="AU581" s="13">
        <f>IF(Table26[[#This Row],[b]]&lt;&gt;"",Table26[[#This Row],[T-5]], 0)</f>
        <v>15.847744678076944</v>
      </c>
      <c r="AV581" s="13">
        <f>Table26[[#This Row],[Heating time]]+Table26[[#This Row],[Holding Time (min)]]</f>
        <v>20.847744678076943</v>
      </c>
      <c r="AW581" s="13">
        <v>270</v>
      </c>
      <c r="AY581" t="s">
        <v>503</v>
      </c>
      <c r="AZ581" s="13">
        <v>5.4</v>
      </c>
      <c r="BA581" s="13">
        <v>59</v>
      </c>
      <c r="BE581" s="13">
        <v>5</v>
      </c>
      <c r="BQ581" s="13">
        <v>13.354480570975417</v>
      </c>
      <c r="CV581" s="13">
        <v>0</v>
      </c>
    </row>
    <row r="582" spans="1:100" x14ac:dyDescent="0.25">
      <c r="A582" t="s">
        <v>396</v>
      </c>
      <c r="B582" t="s">
        <v>158</v>
      </c>
      <c r="C582">
        <v>2019</v>
      </c>
      <c r="D582" t="s">
        <v>397</v>
      </c>
      <c r="E582">
        <v>1</v>
      </c>
      <c r="F582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L582" s="13">
        <v>50</v>
      </c>
      <c r="M582" s="13">
        <v>50</v>
      </c>
      <c r="O58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582" s="13">
        <v>0.1</v>
      </c>
      <c r="AL582" s="13">
        <v>12</v>
      </c>
      <c r="AM582" s="13">
        <v>10</v>
      </c>
      <c r="AP582" s="13">
        <v>0.14499999999999999</v>
      </c>
      <c r="AS582" s="13">
        <v>5</v>
      </c>
      <c r="AT582" s="13">
        <f>LN(25/Table26[[#This Row],[Temperature (C)]]/(1-SQRT((Table26[[#This Row],[Temperature (C)]]-5)/Table26[[#This Row],[Temperature (C)]])))/Table26[[#This Row],[b]]</f>
        <v>15.847744678076944</v>
      </c>
      <c r="AU582" s="13">
        <f>IF(Table26[[#This Row],[b]]&lt;&gt;"",Table26[[#This Row],[T-5]], 0)</f>
        <v>15.847744678076944</v>
      </c>
      <c r="AV582" s="13">
        <f>Table26[[#This Row],[Heating time]]+Table26[[#This Row],[Holding Time (min)]]</f>
        <v>20.847744678076943</v>
      </c>
      <c r="AW582" s="13">
        <v>270</v>
      </c>
      <c r="AY582" t="s">
        <v>503</v>
      </c>
      <c r="AZ582" s="13">
        <v>12.3</v>
      </c>
      <c r="BA582" s="13">
        <v>32.6</v>
      </c>
      <c r="BE582" s="13">
        <v>8</v>
      </c>
      <c r="BQ582" s="13">
        <v>13.401442307692307</v>
      </c>
      <c r="CV582" s="13">
        <v>0</v>
      </c>
    </row>
    <row r="583" spans="1:100" x14ac:dyDescent="0.25">
      <c r="A583" t="s">
        <v>396</v>
      </c>
      <c r="B583" t="s">
        <v>158</v>
      </c>
      <c r="C583">
        <v>2019</v>
      </c>
      <c r="D583" t="s">
        <v>397</v>
      </c>
      <c r="E583">
        <v>1</v>
      </c>
      <c r="F583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33</v>
      </c>
      <c r="G583" s="13">
        <v>33</v>
      </c>
      <c r="K583" s="13">
        <v>33</v>
      </c>
      <c r="M583" s="13">
        <v>33</v>
      </c>
      <c r="O58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</v>
      </c>
      <c r="AI583" s="13">
        <v>0.1</v>
      </c>
      <c r="AL583" s="13">
        <v>12</v>
      </c>
      <c r="AM583" s="13">
        <v>10</v>
      </c>
      <c r="AP583" s="13">
        <v>0.14499999999999999</v>
      </c>
      <c r="AS583" s="13">
        <v>5</v>
      </c>
      <c r="AT583" s="13">
        <f>LN(25/Table26[[#This Row],[Temperature (C)]]/(1-SQRT((Table26[[#This Row],[Temperature (C)]]-5)/Table26[[#This Row],[Temperature (C)]])))/Table26[[#This Row],[b]]</f>
        <v>15.847744678076944</v>
      </c>
      <c r="AU583" s="13">
        <f>IF(Table26[[#This Row],[b]]&lt;&gt;"",Table26[[#This Row],[T-5]], 0)</f>
        <v>15.847744678076944</v>
      </c>
      <c r="AV583" s="13">
        <f>Table26[[#This Row],[Heating time]]+Table26[[#This Row],[Holding Time (min)]]</f>
        <v>20.847744678076943</v>
      </c>
      <c r="AW583" s="13">
        <v>270</v>
      </c>
      <c r="AY583" t="s">
        <v>503</v>
      </c>
      <c r="AZ583" s="13">
        <v>29</v>
      </c>
      <c r="BA583" s="13">
        <v>3.2</v>
      </c>
      <c r="BE583" s="13">
        <v>7</v>
      </c>
      <c r="BQ583" s="13">
        <v>13.498414615733051</v>
      </c>
      <c r="CV583" s="13">
        <v>0</v>
      </c>
    </row>
    <row r="584" spans="1:100" x14ac:dyDescent="0.25">
      <c r="A584" t="s">
        <v>396</v>
      </c>
      <c r="B584" t="s">
        <v>158</v>
      </c>
      <c r="C584">
        <v>2019</v>
      </c>
      <c r="D584" t="s">
        <v>397</v>
      </c>
      <c r="E584">
        <v>1</v>
      </c>
      <c r="F584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33</v>
      </c>
      <c r="G584" s="13">
        <v>33</v>
      </c>
      <c r="K584" s="13">
        <v>33</v>
      </c>
      <c r="L584" s="13">
        <v>33</v>
      </c>
      <c r="O58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</v>
      </c>
      <c r="AI584" s="13">
        <v>0.1</v>
      </c>
      <c r="AL584" s="13">
        <v>12</v>
      </c>
      <c r="AM584" s="13">
        <v>10</v>
      </c>
      <c r="AP584" s="13">
        <v>0.14499999999999999</v>
      </c>
      <c r="AS584" s="13">
        <v>5</v>
      </c>
      <c r="AT584" s="13">
        <f>LN(25/Table26[[#This Row],[Temperature (C)]]/(1-SQRT((Table26[[#This Row],[Temperature (C)]]-5)/Table26[[#This Row],[Temperature (C)]])))/Table26[[#This Row],[b]]</f>
        <v>15.847744678076944</v>
      </c>
      <c r="AU584" s="13">
        <f>IF(Table26[[#This Row],[b]]&lt;&gt;"",Table26[[#This Row],[T-5]], 0)</f>
        <v>15.847744678076944</v>
      </c>
      <c r="AV584" s="13">
        <f>Table26[[#This Row],[Heating time]]+Table26[[#This Row],[Holding Time (min)]]</f>
        <v>20.847744678076943</v>
      </c>
      <c r="AW584" s="13">
        <v>270</v>
      </c>
      <c r="AY584" t="s">
        <v>503</v>
      </c>
      <c r="AZ584" s="13">
        <v>13</v>
      </c>
      <c r="BA584" s="13">
        <v>41.4</v>
      </c>
      <c r="BE584" s="13">
        <v>8</v>
      </c>
      <c r="BQ584" s="13">
        <v>13.113542282672977</v>
      </c>
      <c r="CV584" s="13">
        <v>0</v>
      </c>
    </row>
    <row r="585" spans="1:100" x14ac:dyDescent="0.25">
      <c r="A585" t="s">
        <v>396</v>
      </c>
      <c r="B585" t="s">
        <v>158</v>
      </c>
      <c r="C585">
        <v>2019</v>
      </c>
      <c r="D585" t="s">
        <v>397</v>
      </c>
      <c r="E585">
        <v>1</v>
      </c>
      <c r="F585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585" s="13">
        <v>33</v>
      </c>
      <c r="L585" s="13">
        <v>33</v>
      </c>
      <c r="M585" s="13">
        <v>33</v>
      </c>
      <c r="O58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</v>
      </c>
      <c r="AI585" s="13">
        <v>0.1</v>
      </c>
      <c r="AL585" s="13">
        <v>12</v>
      </c>
      <c r="AM585" s="13">
        <v>10</v>
      </c>
      <c r="AP585" s="13">
        <v>0.14499999999999999</v>
      </c>
      <c r="AS585" s="13">
        <v>5</v>
      </c>
      <c r="AT585" s="13">
        <f>LN(25/Table26[[#This Row],[Temperature (C)]]/(1-SQRT((Table26[[#This Row],[Temperature (C)]]-5)/Table26[[#This Row],[Temperature (C)]])))/Table26[[#This Row],[b]]</f>
        <v>15.847744678076944</v>
      </c>
      <c r="AU585" s="13">
        <f>IF(Table26[[#This Row],[b]]&lt;&gt;"",Table26[[#This Row],[T-5]], 0)</f>
        <v>15.847744678076944</v>
      </c>
      <c r="AV585" s="13">
        <f>Table26[[#This Row],[Heating time]]+Table26[[#This Row],[Holding Time (min)]]</f>
        <v>20.847744678076943</v>
      </c>
      <c r="AW585" s="13">
        <v>270</v>
      </c>
      <c r="AY585" t="s">
        <v>503</v>
      </c>
      <c r="AZ585" s="13">
        <v>14</v>
      </c>
      <c r="BA585" s="13">
        <v>29.3</v>
      </c>
      <c r="BE585" s="13">
        <v>13</v>
      </c>
      <c r="BQ585" s="13">
        <v>12.992870653280953</v>
      </c>
      <c r="CV585" s="13">
        <v>0</v>
      </c>
    </row>
    <row r="586" spans="1:100" x14ac:dyDescent="0.25">
      <c r="A586" t="s">
        <v>396</v>
      </c>
      <c r="B586" t="s">
        <v>158</v>
      </c>
      <c r="C586">
        <v>2019</v>
      </c>
      <c r="D586" t="s">
        <v>397</v>
      </c>
      <c r="E586">
        <v>1</v>
      </c>
      <c r="F586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33</v>
      </c>
      <c r="G586" s="13">
        <v>33</v>
      </c>
      <c r="L586" s="13">
        <v>33</v>
      </c>
      <c r="M586" s="13">
        <v>33</v>
      </c>
      <c r="O58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</v>
      </c>
      <c r="AI586" s="13">
        <v>0.1</v>
      </c>
      <c r="AL586" s="13">
        <v>12</v>
      </c>
      <c r="AM586" s="13">
        <v>10</v>
      </c>
      <c r="AP586" s="13">
        <v>0.14499999999999999</v>
      </c>
      <c r="AS586" s="13">
        <v>5</v>
      </c>
      <c r="AT586" s="13">
        <f>LN(25/Table26[[#This Row],[Temperature (C)]]/(1-SQRT((Table26[[#This Row],[Temperature (C)]]-5)/Table26[[#This Row],[Temperature (C)]])))/Table26[[#This Row],[b]]</f>
        <v>15.847744678076944</v>
      </c>
      <c r="AU586" s="13">
        <f>IF(Table26[[#This Row],[b]]&lt;&gt;"",Table26[[#This Row],[T-5]], 0)</f>
        <v>15.847744678076944</v>
      </c>
      <c r="AV586" s="13">
        <f>Table26[[#This Row],[Heating time]]+Table26[[#This Row],[Holding Time (min)]]</f>
        <v>20.847744678076943</v>
      </c>
      <c r="AW586" s="13">
        <v>270</v>
      </c>
      <c r="AY586" t="s">
        <v>503</v>
      </c>
      <c r="AZ586" s="13">
        <v>14</v>
      </c>
      <c r="BA586" s="13">
        <v>42.7</v>
      </c>
      <c r="BE586" s="13">
        <v>3</v>
      </c>
      <c r="BQ586" s="13" t="s">
        <v>506</v>
      </c>
      <c r="CV586" s="13">
        <v>0</v>
      </c>
    </row>
    <row r="587" spans="1:100" x14ac:dyDescent="0.25">
      <c r="A587" t="s">
        <v>396</v>
      </c>
      <c r="B587" t="s">
        <v>158</v>
      </c>
      <c r="C587">
        <v>2019</v>
      </c>
      <c r="D587" t="s">
        <v>397</v>
      </c>
      <c r="E587">
        <v>1</v>
      </c>
      <c r="F58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25</v>
      </c>
      <c r="G587" s="13">
        <v>25</v>
      </c>
      <c r="K587" s="13">
        <v>25</v>
      </c>
      <c r="L587" s="13">
        <v>25</v>
      </c>
      <c r="M587" s="13">
        <v>25</v>
      </c>
      <c r="O58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587" s="13">
        <v>0.1</v>
      </c>
      <c r="AL587" s="13">
        <v>12</v>
      </c>
      <c r="AM587" s="13">
        <v>10</v>
      </c>
      <c r="AP587" s="13">
        <v>0.14499999999999999</v>
      </c>
      <c r="AS587" s="13">
        <v>5</v>
      </c>
      <c r="AT587" s="13">
        <f>LN(25/Table26[[#This Row],[Temperature (C)]]/(1-SQRT((Table26[[#This Row],[Temperature (C)]]-5)/Table26[[#This Row],[Temperature (C)]])))/Table26[[#This Row],[b]]</f>
        <v>15.847744678076944</v>
      </c>
      <c r="AU587" s="13">
        <f>IF(Table26[[#This Row],[b]]&lt;&gt;"",Table26[[#This Row],[T-5]], 0)</f>
        <v>15.847744678076944</v>
      </c>
      <c r="AV587" s="13">
        <f>Table26[[#This Row],[Heating time]]+Table26[[#This Row],[Holding Time (min)]]</f>
        <v>20.847744678076943</v>
      </c>
      <c r="AW587" s="13">
        <v>270</v>
      </c>
      <c r="AY587" t="s">
        <v>503</v>
      </c>
      <c r="AZ587" s="13">
        <v>15.9</v>
      </c>
      <c r="BA587" s="13">
        <v>35.799999999999997</v>
      </c>
      <c r="BE587" s="13">
        <v>4</v>
      </c>
      <c r="BQ587" s="13" t="s">
        <v>506</v>
      </c>
      <c r="CV587" s="13">
        <v>0</v>
      </c>
    </row>
    <row r="588" spans="1:100" x14ac:dyDescent="0.25">
      <c r="A588" t="s">
        <v>396</v>
      </c>
      <c r="B588" t="s">
        <v>158</v>
      </c>
      <c r="C588">
        <v>2019</v>
      </c>
      <c r="D588" t="s">
        <v>397</v>
      </c>
      <c r="E588">
        <v>1</v>
      </c>
      <c r="F588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13</v>
      </c>
      <c r="G588" s="13">
        <v>13</v>
      </c>
      <c r="K588" s="13">
        <v>63</v>
      </c>
      <c r="L588" s="13">
        <v>13</v>
      </c>
      <c r="M588" s="13">
        <v>13</v>
      </c>
      <c r="O58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102</v>
      </c>
      <c r="AI588" s="13">
        <v>0.1</v>
      </c>
      <c r="AL588" s="13">
        <v>12</v>
      </c>
      <c r="AM588" s="13">
        <v>10</v>
      </c>
      <c r="AP588" s="13">
        <v>0.14499999999999999</v>
      </c>
      <c r="AS588" s="13">
        <v>5</v>
      </c>
      <c r="AT588" s="13">
        <f>LN(25/Table26[[#This Row],[Temperature (C)]]/(1-SQRT((Table26[[#This Row],[Temperature (C)]]-5)/Table26[[#This Row],[Temperature (C)]])))/Table26[[#This Row],[b]]</f>
        <v>15.847744678076944</v>
      </c>
      <c r="AU588" s="13">
        <f>IF(Table26[[#This Row],[b]]&lt;&gt;"",Table26[[#This Row],[T-5]], 0)</f>
        <v>15.847744678076944</v>
      </c>
      <c r="AV588" s="13">
        <f>Table26[[#This Row],[Heating time]]+Table26[[#This Row],[Holding Time (min)]]</f>
        <v>20.847744678076943</v>
      </c>
      <c r="AW588" s="13">
        <v>270</v>
      </c>
      <c r="AY588" t="s">
        <v>503</v>
      </c>
      <c r="AZ588" s="13">
        <v>15</v>
      </c>
      <c r="BA588" s="13">
        <v>16.399999999999999</v>
      </c>
      <c r="BE588" s="13">
        <v>5</v>
      </c>
      <c r="BQ588" s="13">
        <v>13.583542713567837</v>
      </c>
      <c r="CV588" s="13">
        <v>0</v>
      </c>
    </row>
    <row r="589" spans="1:100" x14ac:dyDescent="0.25">
      <c r="A589" t="s">
        <v>396</v>
      </c>
      <c r="B589" t="s">
        <v>158</v>
      </c>
      <c r="C589">
        <v>2019</v>
      </c>
      <c r="D589" t="s">
        <v>397</v>
      </c>
      <c r="E589">
        <v>1</v>
      </c>
      <c r="F589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63</v>
      </c>
      <c r="G589" s="13">
        <v>63</v>
      </c>
      <c r="K589" s="13">
        <v>13</v>
      </c>
      <c r="L589" s="13">
        <v>13</v>
      </c>
      <c r="M589" s="13">
        <v>13</v>
      </c>
      <c r="O58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102</v>
      </c>
      <c r="AI589" s="13">
        <v>0.1</v>
      </c>
      <c r="AL589" s="13">
        <v>12</v>
      </c>
      <c r="AM589" s="13">
        <v>10</v>
      </c>
      <c r="AP589" s="13">
        <v>0.14499999999999999</v>
      </c>
      <c r="AS589" s="13">
        <v>5</v>
      </c>
      <c r="AT589" s="13">
        <f>LN(25/Table26[[#This Row],[Temperature (C)]]/(1-SQRT((Table26[[#This Row],[Temperature (C)]]-5)/Table26[[#This Row],[Temperature (C)]])))/Table26[[#This Row],[b]]</f>
        <v>15.847744678076944</v>
      </c>
      <c r="AU589" s="13">
        <f>IF(Table26[[#This Row],[b]]&lt;&gt;"",Table26[[#This Row],[T-5]], 0)</f>
        <v>15.847744678076944</v>
      </c>
      <c r="AV589" s="13">
        <f>Table26[[#This Row],[Heating time]]+Table26[[#This Row],[Holding Time (min)]]</f>
        <v>20.847744678076943</v>
      </c>
      <c r="AW589" s="13">
        <v>270</v>
      </c>
      <c r="AY589" t="s">
        <v>503</v>
      </c>
      <c r="AZ589" s="13">
        <v>28.9</v>
      </c>
      <c r="BA589" s="13">
        <v>21.4</v>
      </c>
      <c r="BE589" s="13">
        <v>6</v>
      </c>
      <c r="BQ589" s="13">
        <v>13.257215350459878</v>
      </c>
      <c r="CV589" s="13">
        <v>0</v>
      </c>
    </row>
    <row r="590" spans="1:100" x14ac:dyDescent="0.25">
      <c r="A590" t="s">
        <v>396</v>
      </c>
      <c r="B590" t="s">
        <v>158</v>
      </c>
      <c r="C590">
        <v>2019</v>
      </c>
      <c r="D590" t="s">
        <v>397</v>
      </c>
      <c r="E590">
        <v>1</v>
      </c>
      <c r="F590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13</v>
      </c>
      <c r="G590" s="13">
        <v>13</v>
      </c>
      <c r="K590" s="13">
        <v>13</v>
      </c>
      <c r="L590" s="13">
        <v>13</v>
      </c>
      <c r="M590" s="13">
        <v>63</v>
      </c>
      <c r="O59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102</v>
      </c>
      <c r="AI590" s="13">
        <v>0.1</v>
      </c>
      <c r="AL590" s="13">
        <v>12</v>
      </c>
      <c r="AM590" s="13">
        <v>10</v>
      </c>
      <c r="AP590" s="13">
        <v>0.14499999999999999</v>
      </c>
      <c r="AS590" s="13">
        <v>5</v>
      </c>
      <c r="AT590" s="13">
        <f>LN(25/Table26[[#This Row],[Temperature (C)]]/(1-SQRT((Table26[[#This Row],[Temperature (C)]]-5)/Table26[[#This Row],[Temperature (C)]])))/Table26[[#This Row],[b]]</f>
        <v>15.847744678076944</v>
      </c>
      <c r="AU590" s="13">
        <f>IF(Table26[[#This Row],[b]]&lt;&gt;"",Table26[[#This Row],[T-5]], 0)</f>
        <v>15.847744678076944</v>
      </c>
      <c r="AV590" s="13">
        <f>Table26[[#This Row],[Heating time]]+Table26[[#This Row],[Holding Time (min)]]</f>
        <v>20.847744678076943</v>
      </c>
      <c r="AW590" s="13">
        <v>270</v>
      </c>
      <c r="AY590" t="s">
        <v>503</v>
      </c>
      <c r="AZ590" s="13">
        <v>19.2</v>
      </c>
      <c r="BA590" s="13">
        <v>14.2</v>
      </c>
      <c r="BE590" s="13">
        <v>9</v>
      </c>
      <c r="BQ590" s="13">
        <v>14.135954135954137</v>
      </c>
      <c r="CV590" s="13">
        <v>0</v>
      </c>
    </row>
    <row r="591" spans="1:100" x14ac:dyDescent="0.25">
      <c r="A591" t="s">
        <v>396</v>
      </c>
      <c r="B591" t="s">
        <v>158</v>
      </c>
      <c r="C591">
        <v>2019</v>
      </c>
      <c r="D591" t="s">
        <v>397</v>
      </c>
      <c r="E591">
        <v>1</v>
      </c>
      <c r="F591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13</v>
      </c>
      <c r="G591" s="13">
        <v>13</v>
      </c>
      <c r="K591" s="13">
        <v>13</v>
      </c>
      <c r="L591" s="13">
        <v>63</v>
      </c>
      <c r="M591" s="13">
        <v>13</v>
      </c>
      <c r="O59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102</v>
      </c>
      <c r="AI591" s="13">
        <v>0.1</v>
      </c>
      <c r="AL591" s="13">
        <v>12</v>
      </c>
      <c r="AM591" s="13">
        <v>10</v>
      </c>
      <c r="AP591" s="13">
        <v>0.14499999999999999</v>
      </c>
      <c r="AS591" s="13">
        <v>5</v>
      </c>
      <c r="AT591" s="13">
        <f>LN(25/Table26[[#This Row],[Temperature (C)]]/(1-SQRT((Table26[[#This Row],[Temperature (C)]]-5)/Table26[[#This Row],[Temperature (C)]])))/Table26[[#This Row],[b]]</f>
        <v>15.847744678076944</v>
      </c>
      <c r="AU591" s="13">
        <f>IF(Table26[[#This Row],[b]]&lt;&gt;"",Table26[[#This Row],[T-5]], 0)</f>
        <v>15.847744678076944</v>
      </c>
      <c r="AV591" s="13">
        <f>Table26[[#This Row],[Heating time]]+Table26[[#This Row],[Holding Time (min)]]</f>
        <v>20.847744678076943</v>
      </c>
      <c r="AW591" s="13">
        <v>270</v>
      </c>
      <c r="AY591" t="s">
        <v>503</v>
      </c>
      <c r="AZ591" s="13">
        <v>6.2</v>
      </c>
      <c r="BA591" s="13">
        <v>73</v>
      </c>
      <c r="BE591" s="13">
        <v>11</v>
      </c>
      <c r="BQ591" s="13">
        <v>13.33842627960275</v>
      </c>
      <c r="CV591" s="13">
        <v>0</v>
      </c>
    </row>
    <row r="592" spans="1:100" x14ac:dyDescent="0.25">
      <c r="A592" t="s">
        <v>396</v>
      </c>
      <c r="B592" t="s">
        <v>158</v>
      </c>
      <c r="C592">
        <v>2019</v>
      </c>
      <c r="D592" t="s">
        <v>397</v>
      </c>
      <c r="E592">
        <v>1</v>
      </c>
      <c r="F592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25</v>
      </c>
      <c r="G592" s="13">
        <v>25</v>
      </c>
      <c r="K592" s="13">
        <v>25</v>
      </c>
      <c r="L592" s="13">
        <v>25</v>
      </c>
      <c r="M592" s="13">
        <v>25</v>
      </c>
      <c r="O59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592" s="13">
        <v>0.1</v>
      </c>
      <c r="AL592" s="13">
        <v>12</v>
      </c>
      <c r="AM592" s="13">
        <v>10</v>
      </c>
      <c r="AP592" s="13">
        <v>0.14499999999999999</v>
      </c>
      <c r="AS592" s="13">
        <v>5</v>
      </c>
      <c r="AT592" s="13">
        <f>LN(25/Table26[[#This Row],[Temperature (C)]]/(1-SQRT((Table26[[#This Row],[Temperature (C)]]-5)/Table26[[#This Row],[Temperature (C)]])))/Table26[[#This Row],[b]]</f>
        <v>15.847744678076944</v>
      </c>
      <c r="AU592" s="13">
        <f>IF(Table26[[#This Row],[b]]&lt;&gt;"",Table26[[#This Row],[T-5]], 0)</f>
        <v>15.847744678076944</v>
      </c>
      <c r="AV592" s="13">
        <f>Table26[[#This Row],[Heating time]]+Table26[[#This Row],[Holding Time (min)]]</f>
        <v>20.847744678076943</v>
      </c>
      <c r="AW592" s="13">
        <v>270</v>
      </c>
      <c r="AY592" t="s">
        <v>503</v>
      </c>
      <c r="AZ592" s="13">
        <v>17.100000000000001</v>
      </c>
      <c r="BA592" s="13">
        <v>30.3</v>
      </c>
      <c r="BE592" s="13">
        <v>12</v>
      </c>
      <c r="BQ592" s="13">
        <v>13.554530575807169</v>
      </c>
      <c r="CV592" s="13">
        <v>0</v>
      </c>
    </row>
    <row r="593" spans="1:100" x14ac:dyDescent="0.25">
      <c r="A593" t="s">
        <v>396</v>
      </c>
      <c r="B593" t="s">
        <v>158</v>
      </c>
      <c r="C593">
        <v>2019</v>
      </c>
      <c r="D593" t="s">
        <v>397</v>
      </c>
      <c r="E593">
        <v>1</v>
      </c>
      <c r="F593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593" s="13">
        <v>100</v>
      </c>
      <c r="O59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593" s="13">
        <v>0.1</v>
      </c>
      <c r="AL593" s="13">
        <v>6</v>
      </c>
      <c r="AM593" s="13">
        <v>10</v>
      </c>
      <c r="AP593" s="13">
        <v>0.14499999999999999</v>
      </c>
      <c r="AS593" s="13">
        <v>5</v>
      </c>
      <c r="AT593" s="13">
        <f>LN(25/Table26[[#This Row],[Temperature (C)]]/(1-SQRT((Table26[[#This Row],[Temperature (C)]]-5)/Table26[[#This Row],[Temperature (C)]])))/Table26[[#This Row],[b]]</f>
        <v>15.852798303916169</v>
      </c>
      <c r="AU593" s="13">
        <f>IF(Table26[[#This Row],[b]]&lt;&gt;"",Table26[[#This Row],[T-5]], 0)</f>
        <v>15.852798303916169</v>
      </c>
      <c r="AV593" s="13">
        <f>Table26[[#This Row],[Heating time]]+Table26[[#This Row],[Holding Time (min)]]</f>
        <v>20.852798303916167</v>
      </c>
      <c r="AW593" s="13">
        <v>320</v>
      </c>
      <c r="AY593" t="s">
        <v>503</v>
      </c>
      <c r="AZ593" s="13">
        <v>5.2</v>
      </c>
      <c r="BA593" s="13">
        <v>25.3</v>
      </c>
      <c r="BE593" s="13">
        <v>15</v>
      </c>
      <c r="BQ593" s="13">
        <v>13.035819142689373</v>
      </c>
      <c r="CV593" s="13">
        <v>0</v>
      </c>
    </row>
    <row r="594" spans="1:100" x14ac:dyDescent="0.25">
      <c r="A594" t="s">
        <v>396</v>
      </c>
      <c r="B594" t="s">
        <v>158</v>
      </c>
      <c r="C594">
        <v>2019</v>
      </c>
      <c r="D594" t="s">
        <v>397</v>
      </c>
      <c r="E594">
        <v>1</v>
      </c>
      <c r="F594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G594" s="13">
        <v>100</v>
      </c>
      <c r="O59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594" s="13">
        <v>0.1</v>
      </c>
      <c r="AL594" s="13">
        <v>6</v>
      </c>
      <c r="AM594" s="13">
        <v>10</v>
      </c>
      <c r="AP594" s="13">
        <v>0.14499999999999999</v>
      </c>
      <c r="AS594" s="13">
        <v>5</v>
      </c>
      <c r="AT594" s="13">
        <f>LN(25/Table26[[#This Row],[Temperature (C)]]/(1-SQRT((Table26[[#This Row],[Temperature (C)]]-5)/Table26[[#This Row],[Temperature (C)]])))/Table26[[#This Row],[b]]</f>
        <v>15.852798303916169</v>
      </c>
      <c r="AU594" s="13">
        <f>IF(Table26[[#This Row],[b]]&lt;&gt;"",Table26[[#This Row],[T-5]], 0)</f>
        <v>15.852798303916169</v>
      </c>
      <c r="AV594" s="13">
        <f>Table26[[#This Row],[Heating time]]+Table26[[#This Row],[Holding Time (min)]]</f>
        <v>20.852798303916167</v>
      </c>
      <c r="AW594" s="13">
        <v>320</v>
      </c>
      <c r="AY594" t="s">
        <v>503</v>
      </c>
      <c r="AZ594" s="13">
        <v>37.5</v>
      </c>
      <c r="BA594" s="13">
        <v>8.3000000000000007</v>
      </c>
      <c r="BE594" s="13">
        <v>16</v>
      </c>
      <c r="BQ594" s="13">
        <v>12.984218077474893</v>
      </c>
      <c r="CV594" s="13">
        <v>0</v>
      </c>
    </row>
    <row r="595" spans="1:100" x14ac:dyDescent="0.25">
      <c r="A595" t="s">
        <v>396</v>
      </c>
      <c r="B595" t="s">
        <v>158</v>
      </c>
      <c r="C595">
        <v>2019</v>
      </c>
      <c r="D595" t="s">
        <v>397</v>
      </c>
      <c r="E595">
        <v>1</v>
      </c>
      <c r="F595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M595" s="13">
        <v>100</v>
      </c>
      <c r="O59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595" s="13">
        <v>0.1</v>
      </c>
      <c r="AL595" s="13">
        <v>6</v>
      </c>
      <c r="AM595" s="13">
        <v>10</v>
      </c>
      <c r="AP595" s="13">
        <v>0.14499999999999999</v>
      </c>
      <c r="AS595" s="13">
        <v>5</v>
      </c>
      <c r="AT595" s="13">
        <f>LN(25/Table26[[#This Row],[Temperature (C)]]/(1-SQRT((Table26[[#This Row],[Temperature (C)]]-5)/Table26[[#This Row],[Temperature (C)]])))/Table26[[#This Row],[b]]</f>
        <v>15.852798303916169</v>
      </c>
      <c r="AU595" s="13">
        <f>IF(Table26[[#This Row],[b]]&lt;&gt;"",Table26[[#This Row],[T-5]], 0)</f>
        <v>15.852798303916169</v>
      </c>
      <c r="AV595" s="13">
        <f>Table26[[#This Row],[Heating time]]+Table26[[#This Row],[Holding Time (min)]]</f>
        <v>20.852798303916167</v>
      </c>
      <c r="AW595" s="13">
        <v>320</v>
      </c>
      <c r="AY595" t="s">
        <v>503</v>
      </c>
      <c r="AZ595" s="13">
        <v>42.2</v>
      </c>
      <c r="BA595" s="13">
        <v>4.4000000000000004</v>
      </c>
      <c r="BE595" s="13">
        <v>4</v>
      </c>
      <c r="BQ595" s="13" t="s">
        <v>506</v>
      </c>
      <c r="CV595" s="13">
        <v>0</v>
      </c>
    </row>
    <row r="596" spans="1:100" x14ac:dyDescent="0.25">
      <c r="A596" t="s">
        <v>396</v>
      </c>
      <c r="B596" t="s">
        <v>158</v>
      </c>
      <c r="C596">
        <v>2019</v>
      </c>
      <c r="D596" t="s">
        <v>397</v>
      </c>
      <c r="E596">
        <v>1</v>
      </c>
      <c r="F596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L596" s="13">
        <v>100</v>
      </c>
      <c r="O59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596" s="13">
        <v>0.1</v>
      </c>
      <c r="AL596" s="13">
        <v>6</v>
      </c>
      <c r="AM596" s="13">
        <v>10</v>
      </c>
      <c r="AP596" s="13">
        <v>0.14499999999999999</v>
      </c>
      <c r="AS596" s="13">
        <v>5</v>
      </c>
      <c r="AT596" s="13">
        <f>LN(25/Table26[[#This Row],[Temperature (C)]]/(1-SQRT((Table26[[#This Row],[Temperature (C)]]-5)/Table26[[#This Row],[Temperature (C)]])))/Table26[[#This Row],[b]]</f>
        <v>15.852798303916169</v>
      </c>
      <c r="AU596" s="13">
        <f>IF(Table26[[#This Row],[b]]&lt;&gt;"",Table26[[#This Row],[T-5]], 0)</f>
        <v>15.852798303916169</v>
      </c>
      <c r="AV596" s="13">
        <f>Table26[[#This Row],[Heating time]]+Table26[[#This Row],[Holding Time (min)]]</f>
        <v>20.852798303916167</v>
      </c>
      <c r="AW596" s="13">
        <v>320</v>
      </c>
      <c r="AY596" t="s">
        <v>503</v>
      </c>
      <c r="AZ596" s="13">
        <v>1.3</v>
      </c>
      <c r="BA596" s="13">
        <v>98.5</v>
      </c>
      <c r="BE596" s="13">
        <v>5</v>
      </c>
      <c r="BQ596" s="13">
        <v>13.424093715371221</v>
      </c>
      <c r="CV596" s="13">
        <v>0</v>
      </c>
    </row>
    <row r="597" spans="1:100" x14ac:dyDescent="0.25">
      <c r="A597" t="s">
        <v>396</v>
      </c>
      <c r="B597" t="s">
        <v>158</v>
      </c>
      <c r="C597">
        <v>2019</v>
      </c>
      <c r="D597" t="s">
        <v>397</v>
      </c>
      <c r="E597">
        <v>1</v>
      </c>
      <c r="F59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50</v>
      </c>
      <c r="G597" s="13">
        <v>50</v>
      </c>
      <c r="K597" s="13">
        <v>50</v>
      </c>
      <c r="O59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597" s="13">
        <v>0.1</v>
      </c>
      <c r="AL597" s="13">
        <v>6</v>
      </c>
      <c r="AM597" s="13">
        <v>10</v>
      </c>
      <c r="AP597" s="13">
        <v>0.14499999999999999</v>
      </c>
      <c r="AS597" s="13">
        <v>5</v>
      </c>
      <c r="AT597" s="13">
        <f>LN(25/Table26[[#This Row],[Temperature (C)]]/(1-SQRT((Table26[[#This Row],[Temperature (C)]]-5)/Table26[[#This Row],[Temperature (C)]])))/Table26[[#This Row],[b]]</f>
        <v>15.852798303916169</v>
      </c>
      <c r="AU597" s="13">
        <f>IF(Table26[[#This Row],[b]]&lt;&gt;"",Table26[[#This Row],[T-5]], 0)</f>
        <v>15.852798303916169</v>
      </c>
      <c r="AV597" s="13">
        <f>Table26[[#This Row],[Heating time]]+Table26[[#This Row],[Holding Time (min)]]</f>
        <v>20.852798303916167</v>
      </c>
      <c r="AW597" s="13">
        <v>320</v>
      </c>
      <c r="AY597" t="s">
        <v>503</v>
      </c>
      <c r="AZ597" s="13">
        <v>10.4</v>
      </c>
      <c r="BA597" s="13">
        <v>20.5</v>
      </c>
      <c r="BE597" s="13">
        <v>6</v>
      </c>
      <c r="BQ597" s="13">
        <v>14.121876069839095</v>
      </c>
      <c r="CV597" s="13">
        <v>0</v>
      </c>
    </row>
    <row r="598" spans="1:100" x14ac:dyDescent="0.25">
      <c r="A598" t="s">
        <v>396</v>
      </c>
      <c r="B598" t="s">
        <v>158</v>
      </c>
      <c r="C598">
        <v>2019</v>
      </c>
      <c r="D598" t="s">
        <v>397</v>
      </c>
      <c r="E598">
        <v>1</v>
      </c>
      <c r="F598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598" s="13">
        <v>50</v>
      </c>
      <c r="M598" s="13">
        <v>50</v>
      </c>
      <c r="O59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598" s="13">
        <v>0.1</v>
      </c>
      <c r="AL598" s="13">
        <v>6</v>
      </c>
      <c r="AM598" s="13">
        <v>10</v>
      </c>
      <c r="AP598" s="13">
        <v>0.14499999999999999</v>
      </c>
      <c r="AS598" s="13">
        <v>5</v>
      </c>
      <c r="AT598" s="13">
        <f>LN(25/Table26[[#This Row],[Temperature (C)]]/(1-SQRT((Table26[[#This Row],[Temperature (C)]]-5)/Table26[[#This Row],[Temperature (C)]])))/Table26[[#This Row],[b]]</f>
        <v>15.852798303916169</v>
      </c>
      <c r="AU598" s="13">
        <f>IF(Table26[[#This Row],[b]]&lt;&gt;"",Table26[[#This Row],[T-5]], 0)</f>
        <v>15.852798303916169</v>
      </c>
      <c r="AV598" s="13">
        <f>Table26[[#This Row],[Heating time]]+Table26[[#This Row],[Holding Time (min)]]</f>
        <v>20.852798303916167</v>
      </c>
      <c r="AW598" s="13">
        <v>320</v>
      </c>
      <c r="AY598" t="s">
        <v>503</v>
      </c>
      <c r="AZ598" s="13">
        <v>26.9</v>
      </c>
      <c r="BA598" s="13">
        <v>16.8</v>
      </c>
      <c r="BE598" s="13">
        <v>10</v>
      </c>
      <c r="BQ598" s="13">
        <v>13.204930662557782</v>
      </c>
      <c r="CV598" s="13">
        <v>0</v>
      </c>
    </row>
    <row r="599" spans="1:100" x14ac:dyDescent="0.25">
      <c r="A599" t="s">
        <v>396</v>
      </c>
      <c r="B599" t="s">
        <v>158</v>
      </c>
      <c r="C599">
        <v>2019</v>
      </c>
      <c r="D599" t="s">
        <v>397</v>
      </c>
      <c r="E599">
        <v>1</v>
      </c>
      <c r="F599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599" s="13">
        <v>50</v>
      </c>
      <c r="L599" s="13">
        <v>50</v>
      </c>
      <c r="O59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599" s="13">
        <v>0.1</v>
      </c>
      <c r="AL599" s="13">
        <v>6</v>
      </c>
      <c r="AM599" s="13">
        <v>10</v>
      </c>
      <c r="AP599" s="13">
        <v>0.14499999999999999</v>
      </c>
      <c r="AS599" s="13">
        <v>5</v>
      </c>
      <c r="AT599" s="13">
        <f>LN(25/Table26[[#This Row],[Temperature (C)]]/(1-SQRT((Table26[[#This Row],[Temperature (C)]]-5)/Table26[[#This Row],[Temperature (C)]])))/Table26[[#This Row],[b]]</f>
        <v>15.852798303916169</v>
      </c>
      <c r="AU599" s="13">
        <f>IF(Table26[[#This Row],[b]]&lt;&gt;"",Table26[[#This Row],[T-5]], 0)</f>
        <v>15.852798303916169</v>
      </c>
      <c r="AV599" s="13">
        <f>Table26[[#This Row],[Heating time]]+Table26[[#This Row],[Holding Time (min)]]</f>
        <v>20.852798303916167</v>
      </c>
      <c r="AW599" s="13">
        <v>320</v>
      </c>
      <c r="AY599" t="s">
        <v>503</v>
      </c>
      <c r="AZ599" s="13">
        <v>2.5</v>
      </c>
      <c r="BA599" s="13">
        <v>62.2</v>
      </c>
      <c r="BE599" s="13">
        <v>12</v>
      </c>
      <c r="BQ599" s="13">
        <v>13.437165979538857</v>
      </c>
      <c r="CV599" s="13">
        <v>0</v>
      </c>
    </row>
    <row r="600" spans="1:100" x14ac:dyDescent="0.25">
      <c r="A600" t="s">
        <v>396</v>
      </c>
      <c r="B600" t="s">
        <v>158</v>
      </c>
      <c r="C600">
        <v>2019</v>
      </c>
      <c r="D600" t="s">
        <v>397</v>
      </c>
      <c r="E600">
        <v>1</v>
      </c>
      <c r="F600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50</v>
      </c>
      <c r="G600" s="13">
        <v>50</v>
      </c>
      <c r="M600" s="13">
        <v>50</v>
      </c>
      <c r="O60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600" s="13">
        <v>0.1</v>
      </c>
      <c r="AL600" s="13">
        <v>6</v>
      </c>
      <c r="AM600" s="13">
        <v>10</v>
      </c>
      <c r="AP600" s="13">
        <v>0.14499999999999999</v>
      </c>
      <c r="AS600" s="13">
        <v>5</v>
      </c>
      <c r="AT600" s="13">
        <f>LN(25/Table26[[#This Row],[Temperature (C)]]/(1-SQRT((Table26[[#This Row],[Temperature (C)]]-5)/Table26[[#This Row],[Temperature (C)]])))/Table26[[#This Row],[b]]</f>
        <v>15.852798303916169</v>
      </c>
      <c r="AU600" s="13">
        <f>IF(Table26[[#This Row],[b]]&lt;&gt;"",Table26[[#This Row],[T-5]], 0)</f>
        <v>15.852798303916169</v>
      </c>
      <c r="AV600" s="13">
        <f>Table26[[#This Row],[Heating time]]+Table26[[#This Row],[Holding Time (min)]]</f>
        <v>20.852798303916167</v>
      </c>
      <c r="AW600" s="13">
        <v>320</v>
      </c>
      <c r="AY600" t="s">
        <v>503</v>
      </c>
      <c r="AZ600" s="13">
        <v>16</v>
      </c>
      <c r="BA600" s="13">
        <v>14.2</v>
      </c>
      <c r="BE600" s="13">
        <v>15</v>
      </c>
      <c r="BQ600" s="13">
        <v>12.845363807319545</v>
      </c>
      <c r="CV600" s="13">
        <v>0</v>
      </c>
    </row>
    <row r="601" spans="1:100" x14ac:dyDescent="0.25">
      <c r="A601" t="s">
        <v>396</v>
      </c>
      <c r="B601" t="s">
        <v>158</v>
      </c>
      <c r="C601">
        <v>2019</v>
      </c>
      <c r="D601" t="s">
        <v>397</v>
      </c>
      <c r="E601">
        <v>1</v>
      </c>
      <c r="F601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50</v>
      </c>
      <c r="G601" s="13">
        <v>50</v>
      </c>
      <c r="L601" s="13">
        <v>50</v>
      </c>
      <c r="O60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601" s="13">
        <v>0.1</v>
      </c>
      <c r="AL601" s="13">
        <v>6</v>
      </c>
      <c r="AM601" s="13">
        <v>10</v>
      </c>
      <c r="AP601" s="13">
        <v>0.14499999999999999</v>
      </c>
      <c r="AS601" s="13">
        <v>5</v>
      </c>
      <c r="AT601" s="13">
        <f>LN(25/Table26[[#This Row],[Temperature (C)]]/(1-SQRT((Table26[[#This Row],[Temperature (C)]]-5)/Table26[[#This Row],[Temperature (C)]])))/Table26[[#This Row],[b]]</f>
        <v>15.852798303916169</v>
      </c>
      <c r="AU601" s="13">
        <f>IF(Table26[[#This Row],[b]]&lt;&gt;"",Table26[[#This Row],[T-5]], 0)</f>
        <v>15.852798303916169</v>
      </c>
      <c r="AV601" s="13">
        <f>Table26[[#This Row],[Heating time]]+Table26[[#This Row],[Holding Time (min)]]</f>
        <v>20.852798303916167</v>
      </c>
      <c r="AW601" s="13">
        <v>320</v>
      </c>
      <c r="AY601" t="s">
        <v>503</v>
      </c>
      <c r="AZ601" s="13">
        <v>12.2</v>
      </c>
      <c r="BA601" s="13">
        <v>66</v>
      </c>
      <c r="BE601" s="13">
        <v>18</v>
      </c>
      <c r="BQ601" s="13">
        <v>11.112770724421209</v>
      </c>
      <c r="CV601" s="13">
        <v>0</v>
      </c>
    </row>
    <row r="602" spans="1:100" x14ac:dyDescent="0.25">
      <c r="A602" t="s">
        <v>396</v>
      </c>
      <c r="B602" t="s">
        <v>158</v>
      </c>
      <c r="C602">
        <v>2019</v>
      </c>
      <c r="D602" t="s">
        <v>397</v>
      </c>
      <c r="E602">
        <v>1</v>
      </c>
      <c r="F602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L602" s="13">
        <v>50</v>
      </c>
      <c r="M602" s="13">
        <v>50</v>
      </c>
      <c r="O60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602" s="13">
        <v>0.1</v>
      </c>
      <c r="AL602" s="13">
        <v>6</v>
      </c>
      <c r="AM602" s="13">
        <v>10</v>
      </c>
      <c r="AP602" s="13">
        <v>0.14499999999999999</v>
      </c>
      <c r="AS602" s="13">
        <v>5</v>
      </c>
      <c r="AT602" s="13">
        <f>LN(25/Table26[[#This Row],[Temperature (C)]]/(1-SQRT((Table26[[#This Row],[Temperature (C)]]-5)/Table26[[#This Row],[Temperature (C)]])))/Table26[[#This Row],[b]]</f>
        <v>15.852798303916169</v>
      </c>
      <c r="AU602" s="13">
        <f>IF(Table26[[#This Row],[b]]&lt;&gt;"",Table26[[#This Row],[T-5]], 0)</f>
        <v>15.852798303916169</v>
      </c>
      <c r="AV602" s="13">
        <f>Table26[[#This Row],[Heating time]]+Table26[[#This Row],[Holding Time (min)]]</f>
        <v>20.852798303916167</v>
      </c>
      <c r="AW602" s="13">
        <v>320</v>
      </c>
      <c r="AY602" t="s">
        <v>503</v>
      </c>
      <c r="AZ602" s="13">
        <v>28.4</v>
      </c>
      <c r="BA602" s="13">
        <v>16.2</v>
      </c>
      <c r="BE602" s="13">
        <v>22</v>
      </c>
      <c r="BQ602" s="13">
        <v>10.539994224660699</v>
      </c>
      <c r="CV602" s="13">
        <v>0</v>
      </c>
    </row>
    <row r="603" spans="1:100" x14ac:dyDescent="0.25">
      <c r="A603" t="s">
        <v>396</v>
      </c>
      <c r="B603" t="s">
        <v>158</v>
      </c>
      <c r="C603">
        <v>2019</v>
      </c>
      <c r="D603" t="s">
        <v>397</v>
      </c>
      <c r="E603">
        <v>1</v>
      </c>
      <c r="F603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33</v>
      </c>
      <c r="G603" s="13">
        <v>33</v>
      </c>
      <c r="K603" s="13">
        <v>33</v>
      </c>
      <c r="M603" s="13">
        <v>33</v>
      </c>
      <c r="O60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</v>
      </c>
      <c r="AI603" s="13">
        <v>0.1</v>
      </c>
      <c r="AL603" s="13">
        <v>6</v>
      </c>
      <c r="AM603" s="13">
        <v>10</v>
      </c>
      <c r="AP603" s="13">
        <v>0.14499999999999999</v>
      </c>
      <c r="AS603" s="13">
        <v>5</v>
      </c>
      <c r="AT603" s="13">
        <f>LN(25/Table26[[#This Row],[Temperature (C)]]/(1-SQRT((Table26[[#This Row],[Temperature (C)]]-5)/Table26[[#This Row],[Temperature (C)]])))/Table26[[#This Row],[b]]</f>
        <v>15.852798303916169</v>
      </c>
      <c r="AU603" s="13">
        <f>IF(Table26[[#This Row],[b]]&lt;&gt;"",Table26[[#This Row],[T-5]], 0)</f>
        <v>15.852798303916169</v>
      </c>
      <c r="AV603" s="13">
        <f>Table26[[#This Row],[Heating time]]+Table26[[#This Row],[Holding Time (min)]]</f>
        <v>20.852798303916167</v>
      </c>
      <c r="AW603" s="13">
        <v>320</v>
      </c>
      <c r="AY603" t="s">
        <v>503</v>
      </c>
      <c r="AZ603" s="13">
        <v>25.5</v>
      </c>
      <c r="BA603" s="13">
        <v>13.2</v>
      </c>
      <c r="BE603" s="13">
        <v>4.2874044533066904</v>
      </c>
      <c r="BQ603" s="13" t="s">
        <v>506</v>
      </c>
      <c r="CV603" s="13">
        <v>0</v>
      </c>
    </row>
    <row r="604" spans="1:100" x14ac:dyDescent="0.25">
      <c r="A604" t="s">
        <v>396</v>
      </c>
      <c r="B604" t="s">
        <v>158</v>
      </c>
      <c r="C604">
        <v>2019</v>
      </c>
      <c r="D604" t="s">
        <v>397</v>
      </c>
      <c r="E604">
        <v>1</v>
      </c>
      <c r="F604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33</v>
      </c>
      <c r="G604" s="13">
        <v>33</v>
      </c>
      <c r="K604" s="13">
        <v>33</v>
      </c>
      <c r="L604" s="13">
        <v>33</v>
      </c>
      <c r="O60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</v>
      </c>
      <c r="AI604" s="13">
        <v>0.1</v>
      </c>
      <c r="AL604" s="13">
        <v>6</v>
      </c>
      <c r="AM604" s="13">
        <v>10</v>
      </c>
      <c r="AP604" s="13">
        <v>0.14499999999999999</v>
      </c>
      <c r="AS604" s="13">
        <v>5</v>
      </c>
      <c r="AT604" s="13">
        <f>LN(25/Table26[[#This Row],[Temperature (C)]]/(1-SQRT((Table26[[#This Row],[Temperature (C)]]-5)/Table26[[#This Row],[Temperature (C)]])))/Table26[[#This Row],[b]]</f>
        <v>15.852798303916169</v>
      </c>
      <c r="AU604" s="13">
        <f>IF(Table26[[#This Row],[b]]&lt;&gt;"",Table26[[#This Row],[T-5]], 0)</f>
        <v>15.852798303916169</v>
      </c>
      <c r="AV604" s="13">
        <f>Table26[[#This Row],[Heating time]]+Table26[[#This Row],[Holding Time (min)]]</f>
        <v>20.852798303916167</v>
      </c>
      <c r="AW604" s="13">
        <v>320</v>
      </c>
      <c r="AY604" t="s">
        <v>503</v>
      </c>
      <c r="AZ604" s="13">
        <v>5.0999999999999996</v>
      </c>
      <c r="BA604" s="13">
        <v>58.1</v>
      </c>
      <c r="BE604" s="13">
        <v>2.10834164174139</v>
      </c>
      <c r="BQ604" s="13" t="s">
        <v>506</v>
      </c>
      <c r="CV604" s="13">
        <v>0</v>
      </c>
    </row>
    <row r="605" spans="1:100" x14ac:dyDescent="0.25">
      <c r="A605" t="s">
        <v>396</v>
      </c>
      <c r="B605" t="s">
        <v>158</v>
      </c>
      <c r="C605">
        <v>2019</v>
      </c>
      <c r="D605" t="s">
        <v>397</v>
      </c>
      <c r="E605">
        <v>1</v>
      </c>
      <c r="F605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605" s="13">
        <v>33</v>
      </c>
      <c r="L605" s="13">
        <v>33</v>
      </c>
      <c r="M605" s="13">
        <v>33</v>
      </c>
      <c r="O60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</v>
      </c>
      <c r="AI605" s="13">
        <v>0.1</v>
      </c>
      <c r="AL605" s="13">
        <v>6</v>
      </c>
      <c r="AM605" s="13">
        <v>10</v>
      </c>
      <c r="AP605" s="13">
        <v>0.14499999999999999</v>
      </c>
      <c r="AS605" s="13">
        <v>5</v>
      </c>
      <c r="AT605" s="13">
        <f>LN(25/Table26[[#This Row],[Temperature (C)]]/(1-SQRT((Table26[[#This Row],[Temperature (C)]]-5)/Table26[[#This Row],[Temperature (C)]])))/Table26[[#This Row],[b]]</f>
        <v>15.852798303916169</v>
      </c>
      <c r="AU605" s="13">
        <f>IF(Table26[[#This Row],[b]]&lt;&gt;"",Table26[[#This Row],[T-5]], 0)</f>
        <v>15.852798303916169</v>
      </c>
      <c r="AV605" s="13">
        <f>Table26[[#This Row],[Heating time]]+Table26[[#This Row],[Holding Time (min)]]</f>
        <v>20.852798303916167</v>
      </c>
      <c r="AW605" s="13">
        <v>320</v>
      </c>
      <c r="AY605" t="s">
        <v>503</v>
      </c>
      <c r="AZ605" s="13">
        <v>17.5</v>
      </c>
      <c r="BA605" s="13">
        <v>34.1</v>
      </c>
      <c r="BE605" s="13">
        <v>4.7930874044533001</v>
      </c>
      <c r="BQ605" s="13" t="s">
        <v>506</v>
      </c>
      <c r="CV605" s="13">
        <v>0</v>
      </c>
    </row>
    <row r="606" spans="1:100" x14ac:dyDescent="0.25">
      <c r="A606" t="s">
        <v>396</v>
      </c>
      <c r="B606" t="s">
        <v>158</v>
      </c>
      <c r="C606">
        <v>2019</v>
      </c>
      <c r="D606" t="s">
        <v>397</v>
      </c>
      <c r="E606">
        <v>1</v>
      </c>
      <c r="F606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33</v>
      </c>
      <c r="G606" s="13">
        <v>33</v>
      </c>
      <c r="L606" s="13">
        <v>33</v>
      </c>
      <c r="M606" s="13">
        <v>33</v>
      </c>
      <c r="O60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</v>
      </c>
      <c r="AI606" s="13">
        <v>0.1</v>
      </c>
      <c r="AL606" s="13">
        <v>6</v>
      </c>
      <c r="AM606" s="13">
        <v>10</v>
      </c>
      <c r="AP606" s="13">
        <v>0.14499999999999999</v>
      </c>
      <c r="AS606" s="13">
        <v>5</v>
      </c>
      <c r="AT606" s="13">
        <f>LN(25/Table26[[#This Row],[Temperature (C)]]/(1-SQRT((Table26[[#This Row],[Temperature (C)]]-5)/Table26[[#This Row],[Temperature (C)]])))/Table26[[#This Row],[b]]</f>
        <v>15.852798303916169</v>
      </c>
      <c r="AU606" s="13">
        <f>IF(Table26[[#This Row],[b]]&lt;&gt;"",Table26[[#This Row],[T-5]], 0)</f>
        <v>15.852798303916169</v>
      </c>
      <c r="AV606" s="13">
        <f>Table26[[#This Row],[Heating time]]+Table26[[#This Row],[Holding Time (min)]]</f>
        <v>20.852798303916167</v>
      </c>
      <c r="AW606" s="13">
        <v>320</v>
      </c>
      <c r="AY606" t="s">
        <v>503</v>
      </c>
      <c r="AZ606" s="13">
        <v>14.3</v>
      </c>
      <c r="BA606" s="13">
        <v>43.6</v>
      </c>
      <c r="BE606" s="13">
        <v>5.4553672316383697</v>
      </c>
      <c r="BQ606" s="13" t="s">
        <v>506</v>
      </c>
      <c r="CV606" s="13">
        <v>0</v>
      </c>
    </row>
    <row r="607" spans="1:100" x14ac:dyDescent="0.25">
      <c r="A607" t="s">
        <v>396</v>
      </c>
      <c r="B607" t="s">
        <v>158</v>
      </c>
      <c r="C607">
        <v>2019</v>
      </c>
      <c r="D607" t="s">
        <v>397</v>
      </c>
      <c r="E607">
        <v>1</v>
      </c>
      <c r="F60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25</v>
      </c>
      <c r="G607" s="13">
        <v>25</v>
      </c>
      <c r="K607" s="13">
        <v>25</v>
      </c>
      <c r="L607" s="13">
        <v>25</v>
      </c>
      <c r="M607" s="13">
        <v>25</v>
      </c>
      <c r="O60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607" s="13">
        <v>0.1</v>
      </c>
      <c r="AL607" s="13">
        <v>6</v>
      </c>
      <c r="AM607" s="13">
        <v>10</v>
      </c>
      <c r="AP607" s="13">
        <v>0.14499999999999999</v>
      </c>
      <c r="AS607" s="13">
        <v>5</v>
      </c>
      <c r="AT607" s="13">
        <f>LN(25/Table26[[#This Row],[Temperature (C)]]/(1-SQRT((Table26[[#This Row],[Temperature (C)]]-5)/Table26[[#This Row],[Temperature (C)]])))/Table26[[#This Row],[b]]</f>
        <v>15.852798303916169</v>
      </c>
      <c r="AU607" s="13">
        <f>IF(Table26[[#This Row],[b]]&lt;&gt;"",Table26[[#This Row],[T-5]], 0)</f>
        <v>15.852798303916169</v>
      </c>
      <c r="AV607" s="13">
        <f>Table26[[#This Row],[Heating time]]+Table26[[#This Row],[Holding Time (min)]]</f>
        <v>20.852798303916167</v>
      </c>
      <c r="AW607" s="13">
        <v>320</v>
      </c>
      <c r="AY607" t="s">
        <v>503</v>
      </c>
      <c r="AZ607" s="13">
        <v>15.4</v>
      </c>
      <c r="BA607" s="13">
        <v>33.200000000000003</v>
      </c>
      <c r="BE607" s="13">
        <v>7.3736124958457401</v>
      </c>
      <c r="BQ607" s="13" t="s">
        <v>506</v>
      </c>
      <c r="CV607" s="13">
        <v>0</v>
      </c>
    </row>
    <row r="608" spans="1:100" x14ac:dyDescent="0.25">
      <c r="A608" t="s">
        <v>396</v>
      </c>
      <c r="B608" t="s">
        <v>158</v>
      </c>
      <c r="C608">
        <v>2019</v>
      </c>
      <c r="D608" t="s">
        <v>397</v>
      </c>
      <c r="E608">
        <v>1</v>
      </c>
      <c r="F608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13</v>
      </c>
      <c r="G608" s="13">
        <v>13</v>
      </c>
      <c r="K608" s="13">
        <v>63</v>
      </c>
      <c r="L608" s="13">
        <v>13</v>
      </c>
      <c r="M608" s="13">
        <v>13</v>
      </c>
      <c r="O60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102</v>
      </c>
      <c r="AI608" s="13">
        <v>0.1</v>
      </c>
      <c r="AL608" s="13">
        <v>6</v>
      </c>
      <c r="AM608" s="13">
        <v>10</v>
      </c>
      <c r="AP608" s="13">
        <v>0.14499999999999999</v>
      </c>
      <c r="AS608" s="13">
        <v>5</v>
      </c>
      <c r="AT608" s="13">
        <f>LN(25/Table26[[#This Row],[Temperature (C)]]/(1-SQRT((Table26[[#This Row],[Temperature (C)]]-5)/Table26[[#This Row],[Temperature (C)]])))/Table26[[#This Row],[b]]</f>
        <v>15.852798303916169</v>
      </c>
      <c r="AU608" s="13">
        <f>IF(Table26[[#This Row],[b]]&lt;&gt;"",Table26[[#This Row],[T-5]], 0)</f>
        <v>15.852798303916169</v>
      </c>
      <c r="AV608" s="13">
        <f>Table26[[#This Row],[Heating time]]+Table26[[#This Row],[Holding Time (min)]]</f>
        <v>20.852798303916167</v>
      </c>
      <c r="AW608" s="13">
        <v>320</v>
      </c>
      <c r="AY608" t="s">
        <v>503</v>
      </c>
      <c r="AZ608" s="13">
        <v>10.6</v>
      </c>
      <c r="BA608" s="13">
        <v>31.6</v>
      </c>
      <c r="BE608" s="13">
        <v>68.9145895646394</v>
      </c>
      <c r="BQ608" s="13">
        <v>10.80669710806697</v>
      </c>
      <c r="CV608" s="13">
        <v>0</v>
      </c>
    </row>
    <row r="609" spans="1:100" x14ac:dyDescent="0.25">
      <c r="A609" t="s">
        <v>396</v>
      </c>
      <c r="B609" t="s">
        <v>158</v>
      </c>
      <c r="C609">
        <v>2019</v>
      </c>
      <c r="D609" t="s">
        <v>397</v>
      </c>
      <c r="E609">
        <v>1</v>
      </c>
      <c r="F609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63</v>
      </c>
      <c r="G609" s="13">
        <v>63</v>
      </c>
      <c r="K609" s="13">
        <v>13</v>
      </c>
      <c r="L609" s="13">
        <v>13</v>
      </c>
      <c r="M609" s="13">
        <v>13</v>
      </c>
      <c r="O60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102</v>
      </c>
      <c r="AI609" s="13">
        <v>0.1</v>
      </c>
      <c r="AL609" s="13">
        <v>6</v>
      </c>
      <c r="AM609" s="13">
        <v>10</v>
      </c>
      <c r="AP609" s="13">
        <v>0.14499999999999999</v>
      </c>
      <c r="AS609" s="13">
        <v>5</v>
      </c>
      <c r="AT609" s="13">
        <f>LN(25/Table26[[#This Row],[Temperature (C)]]/(1-SQRT((Table26[[#This Row],[Temperature (C)]]-5)/Table26[[#This Row],[Temperature (C)]])))/Table26[[#This Row],[b]]</f>
        <v>15.852798303916169</v>
      </c>
      <c r="AU609" s="13">
        <f>IF(Table26[[#This Row],[b]]&lt;&gt;"",Table26[[#This Row],[T-5]], 0)</f>
        <v>15.852798303916169</v>
      </c>
      <c r="AV609" s="13">
        <f>Table26[[#This Row],[Heating time]]+Table26[[#This Row],[Holding Time (min)]]</f>
        <v>20.852798303916167</v>
      </c>
      <c r="AW609" s="13">
        <v>320</v>
      </c>
      <c r="AY609" t="s">
        <v>503</v>
      </c>
      <c r="AZ609" s="13">
        <v>20.9</v>
      </c>
      <c r="BA609" s="13">
        <v>27.6</v>
      </c>
      <c r="BE609" s="13">
        <v>56.696576935858999</v>
      </c>
      <c r="BQ609" s="13">
        <v>10.603829160530191</v>
      </c>
      <c r="CV609" s="13">
        <v>0</v>
      </c>
    </row>
    <row r="610" spans="1:100" x14ac:dyDescent="0.25">
      <c r="A610" t="s">
        <v>396</v>
      </c>
      <c r="B610" t="s">
        <v>158</v>
      </c>
      <c r="C610">
        <v>2019</v>
      </c>
      <c r="D610" t="s">
        <v>397</v>
      </c>
      <c r="E610">
        <v>1</v>
      </c>
      <c r="F610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13</v>
      </c>
      <c r="G610" s="13">
        <v>13</v>
      </c>
      <c r="K610" s="13">
        <v>13</v>
      </c>
      <c r="L610" s="13">
        <v>13</v>
      </c>
      <c r="M610" s="13">
        <v>63</v>
      </c>
      <c r="O61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102</v>
      </c>
      <c r="AI610" s="13">
        <v>0.1</v>
      </c>
      <c r="AL610" s="13">
        <v>6</v>
      </c>
      <c r="AM610" s="13">
        <v>10</v>
      </c>
      <c r="AP610" s="13">
        <v>0.14499999999999999</v>
      </c>
      <c r="AS610" s="13">
        <v>5</v>
      </c>
      <c r="AT610" s="13">
        <f>LN(25/Table26[[#This Row],[Temperature (C)]]/(1-SQRT((Table26[[#This Row],[Temperature (C)]]-5)/Table26[[#This Row],[Temperature (C)]])))/Table26[[#This Row],[b]]</f>
        <v>15.852798303916169</v>
      </c>
      <c r="AU610" s="13">
        <f>IF(Table26[[#This Row],[b]]&lt;&gt;"",Table26[[#This Row],[T-5]], 0)</f>
        <v>15.852798303916169</v>
      </c>
      <c r="AV610" s="13">
        <f>Table26[[#This Row],[Heating time]]+Table26[[#This Row],[Holding Time (min)]]</f>
        <v>20.852798303916167</v>
      </c>
      <c r="AW610" s="13">
        <v>320</v>
      </c>
      <c r="AY610" t="s">
        <v>503</v>
      </c>
      <c r="AZ610" s="13">
        <v>33.6</v>
      </c>
      <c r="BA610" s="13">
        <v>12.2</v>
      </c>
      <c r="BE610" s="13">
        <v>60.949684280491802</v>
      </c>
      <c r="BQ610" s="13">
        <v>10.570236439499304</v>
      </c>
      <c r="CV610" s="13">
        <v>0</v>
      </c>
    </row>
    <row r="611" spans="1:100" x14ac:dyDescent="0.25">
      <c r="A611" t="s">
        <v>396</v>
      </c>
      <c r="B611" t="s">
        <v>158</v>
      </c>
      <c r="C611">
        <v>2019</v>
      </c>
      <c r="D611" t="s">
        <v>397</v>
      </c>
      <c r="E611">
        <v>1</v>
      </c>
      <c r="F611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13</v>
      </c>
      <c r="G611" s="13">
        <v>13</v>
      </c>
      <c r="K611" s="13">
        <v>13</v>
      </c>
      <c r="L611" s="13">
        <v>63</v>
      </c>
      <c r="M611" s="13">
        <v>13</v>
      </c>
      <c r="O61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102</v>
      </c>
      <c r="AI611" s="13">
        <v>0.1</v>
      </c>
      <c r="AL611" s="13">
        <v>6</v>
      </c>
      <c r="AM611" s="13">
        <v>10</v>
      </c>
      <c r="AP611" s="13">
        <v>0.14499999999999999</v>
      </c>
      <c r="AS611" s="13">
        <v>5</v>
      </c>
      <c r="AT611" s="13">
        <f>LN(25/Table26[[#This Row],[Temperature (C)]]/(1-SQRT((Table26[[#This Row],[Temperature (C)]]-5)/Table26[[#This Row],[Temperature (C)]])))/Table26[[#This Row],[b]]</f>
        <v>15.852798303916169</v>
      </c>
      <c r="AU611" s="13">
        <f>IF(Table26[[#This Row],[b]]&lt;&gt;"",Table26[[#This Row],[T-5]], 0)</f>
        <v>15.852798303916169</v>
      </c>
      <c r="AV611" s="13">
        <f>Table26[[#This Row],[Heating time]]+Table26[[#This Row],[Holding Time (min)]]</f>
        <v>20.852798303916167</v>
      </c>
      <c r="AW611" s="13">
        <v>320</v>
      </c>
      <c r="AY611" t="s">
        <v>503</v>
      </c>
      <c r="AZ611" s="13">
        <v>8.3000000000000007</v>
      </c>
      <c r="BA611" s="13">
        <v>70.8</v>
      </c>
      <c r="BE611" s="13">
        <v>64.749750747756707</v>
      </c>
      <c r="BQ611" s="13">
        <v>11.140939597315437</v>
      </c>
      <c r="CV611" s="13">
        <v>0</v>
      </c>
    </row>
    <row r="612" spans="1:100" x14ac:dyDescent="0.25">
      <c r="A612" t="s">
        <v>396</v>
      </c>
      <c r="B612" t="s">
        <v>158</v>
      </c>
      <c r="C612">
        <v>2019</v>
      </c>
      <c r="D612" t="s">
        <v>397</v>
      </c>
      <c r="E612">
        <v>1</v>
      </c>
      <c r="F612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25</v>
      </c>
      <c r="G612" s="13">
        <v>25</v>
      </c>
      <c r="K612" s="13">
        <v>25</v>
      </c>
      <c r="L612" s="13">
        <v>25</v>
      </c>
      <c r="M612" s="13">
        <v>25</v>
      </c>
      <c r="O61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612" s="13">
        <v>0.1</v>
      </c>
      <c r="AL612" s="13">
        <v>6</v>
      </c>
      <c r="AM612" s="13">
        <v>10</v>
      </c>
      <c r="AP612" s="13">
        <v>0.14499999999999999</v>
      </c>
      <c r="AS612" s="13">
        <v>5</v>
      </c>
      <c r="AT612" s="13">
        <f>LN(25/Table26[[#This Row],[Temperature (C)]]/(1-SQRT((Table26[[#This Row],[Temperature (C)]]-5)/Table26[[#This Row],[Temperature (C)]])))/Table26[[#This Row],[b]]</f>
        <v>15.852798303916169</v>
      </c>
      <c r="AU612" s="13">
        <f>IF(Table26[[#This Row],[b]]&lt;&gt;"",Table26[[#This Row],[T-5]], 0)</f>
        <v>15.852798303916169</v>
      </c>
      <c r="AV612" s="13">
        <f>Table26[[#This Row],[Heating time]]+Table26[[#This Row],[Holding Time (min)]]</f>
        <v>20.852798303916167</v>
      </c>
      <c r="AW612" s="13">
        <v>320</v>
      </c>
      <c r="AY612" t="s">
        <v>503</v>
      </c>
      <c r="AZ612" s="13">
        <v>14</v>
      </c>
      <c r="BA612" s="13">
        <v>36.5</v>
      </c>
      <c r="BE612" s="13">
        <v>70.902758391492199</v>
      </c>
      <c r="BQ612" s="13">
        <v>11.424731182795698</v>
      </c>
      <c r="CV612" s="13">
        <v>0</v>
      </c>
    </row>
    <row r="613" spans="1:100" x14ac:dyDescent="0.25">
      <c r="A613" t="s">
        <v>396</v>
      </c>
      <c r="B613" t="s">
        <v>158</v>
      </c>
      <c r="C613">
        <v>2019</v>
      </c>
      <c r="D613" t="s">
        <v>397</v>
      </c>
      <c r="E613">
        <v>1</v>
      </c>
      <c r="F613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613" s="13">
        <v>100</v>
      </c>
      <c r="O61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613" s="13">
        <v>0.1</v>
      </c>
      <c r="AL613" s="13">
        <v>6</v>
      </c>
      <c r="AM613" s="13">
        <v>10</v>
      </c>
      <c r="AP613" s="13">
        <v>0.14499999999999999</v>
      </c>
      <c r="AS613" s="13">
        <v>20</v>
      </c>
      <c r="AT613" s="13">
        <f>LN(25/Table26[[#This Row],[Temperature (C)]]/(1-SQRT((Table26[[#This Row],[Temperature (C)]]-5)/Table26[[#This Row],[Temperature (C)]])))/Table26[[#This Row],[b]]</f>
        <v>15.847744678076944</v>
      </c>
      <c r="AU613" s="13">
        <f>IF(Table26[[#This Row],[b]]&lt;&gt;"",Table26[[#This Row],[T-5]], 0)</f>
        <v>15.847744678076944</v>
      </c>
      <c r="AV613" s="13">
        <f>Table26[[#This Row],[Heating time]]+Table26[[#This Row],[Holding Time (min)]]</f>
        <v>35.847744678076943</v>
      </c>
      <c r="AW613" s="13">
        <v>270</v>
      </c>
      <c r="AY613" t="s">
        <v>503</v>
      </c>
      <c r="AZ613" s="13">
        <v>5</v>
      </c>
      <c r="BA613" s="13">
        <v>18</v>
      </c>
      <c r="BE613" s="13">
        <v>17.271385842472501</v>
      </c>
      <c r="BQ613" s="13" t="s">
        <v>506</v>
      </c>
      <c r="CV613" s="13">
        <v>0</v>
      </c>
    </row>
    <row r="614" spans="1:100" x14ac:dyDescent="0.25">
      <c r="A614" t="s">
        <v>396</v>
      </c>
      <c r="B614" t="s">
        <v>158</v>
      </c>
      <c r="C614">
        <v>2019</v>
      </c>
      <c r="D614" t="s">
        <v>397</v>
      </c>
      <c r="E614">
        <v>1</v>
      </c>
      <c r="F614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G614" s="13">
        <v>100</v>
      </c>
      <c r="O61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614" s="13">
        <v>0.1</v>
      </c>
      <c r="AL614" s="13">
        <v>6</v>
      </c>
      <c r="AM614" s="13">
        <v>10</v>
      </c>
      <c r="AP614" s="13">
        <v>0.14499999999999999</v>
      </c>
      <c r="AS614" s="13">
        <v>20</v>
      </c>
      <c r="AT614" s="13">
        <f>LN(25/Table26[[#This Row],[Temperature (C)]]/(1-SQRT((Table26[[#This Row],[Temperature (C)]]-5)/Table26[[#This Row],[Temperature (C)]])))/Table26[[#This Row],[b]]</f>
        <v>15.847744678076944</v>
      </c>
      <c r="AU614" s="13">
        <f>IF(Table26[[#This Row],[b]]&lt;&gt;"",Table26[[#This Row],[T-5]], 0)</f>
        <v>15.847744678076944</v>
      </c>
      <c r="AV614" s="13">
        <f>Table26[[#This Row],[Heating time]]+Table26[[#This Row],[Holding Time (min)]]</f>
        <v>35.847744678076943</v>
      </c>
      <c r="AW614" s="13">
        <v>270</v>
      </c>
      <c r="AY614" t="s">
        <v>503</v>
      </c>
      <c r="AZ614" s="13">
        <v>36.9</v>
      </c>
      <c r="BA614" s="13">
        <v>10.8</v>
      </c>
      <c r="BE614" s="13">
        <v>53.8560319042871</v>
      </c>
      <c r="BQ614" s="13" t="s">
        <v>506</v>
      </c>
      <c r="CV614" s="13">
        <v>0</v>
      </c>
    </row>
    <row r="615" spans="1:100" x14ac:dyDescent="0.25">
      <c r="A615" t="s">
        <v>396</v>
      </c>
      <c r="B615" t="s">
        <v>158</v>
      </c>
      <c r="C615">
        <v>2019</v>
      </c>
      <c r="D615" t="s">
        <v>397</v>
      </c>
      <c r="E615">
        <v>1</v>
      </c>
      <c r="F615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M615" s="13">
        <v>100</v>
      </c>
      <c r="O61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615" s="13">
        <v>0.1</v>
      </c>
      <c r="AL615" s="13">
        <v>6</v>
      </c>
      <c r="AM615" s="13">
        <v>10</v>
      </c>
      <c r="AP615" s="13">
        <v>0.14499999999999999</v>
      </c>
      <c r="AS615" s="13">
        <v>20</v>
      </c>
      <c r="AT615" s="13">
        <f>LN(25/Table26[[#This Row],[Temperature (C)]]/(1-SQRT((Table26[[#This Row],[Temperature (C)]]-5)/Table26[[#This Row],[Temperature (C)]])))/Table26[[#This Row],[b]]</f>
        <v>15.847744678076944</v>
      </c>
      <c r="AU615" s="13">
        <f>IF(Table26[[#This Row],[b]]&lt;&gt;"",Table26[[#This Row],[T-5]], 0)</f>
        <v>15.847744678076944</v>
      </c>
      <c r="AV615" s="13">
        <f>Table26[[#This Row],[Heating time]]+Table26[[#This Row],[Holding Time (min)]]</f>
        <v>35.847744678076943</v>
      </c>
      <c r="AW615" s="13">
        <v>270</v>
      </c>
      <c r="AY615" t="s">
        <v>503</v>
      </c>
      <c r="AZ615" s="13">
        <v>26</v>
      </c>
      <c r="BA615" s="13">
        <v>1</v>
      </c>
      <c r="BE615" s="13">
        <v>61.716716517115302</v>
      </c>
      <c r="BQ615" s="13" t="s">
        <v>506</v>
      </c>
      <c r="CV615" s="13">
        <v>0</v>
      </c>
    </row>
    <row r="616" spans="1:100" x14ac:dyDescent="0.25">
      <c r="A616" t="s">
        <v>396</v>
      </c>
      <c r="B616" t="s">
        <v>158</v>
      </c>
      <c r="C616">
        <v>2019</v>
      </c>
      <c r="D616" t="s">
        <v>397</v>
      </c>
      <c r="E616">
        <v>1</v>
      </c>
      <c r="F616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L616" s="13">
        <v>100</v>
      </c>
      <c r="O61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616" s="13">
        <v>0.1</v>
      </c>
      <c r="AL616" s="13">
        <v>6</v>
      </c>
      <c r="AM616" s="13">
        <v>10</v>
      </c>
      <c r="AP616" s="13">
        <v>0.14499999999999999</v>
      </c>
      <c r="AS616" s="13">
        <v>20</v>
      </c>
      <c r="AT616" s="13">
        <f>LN(25/Table26[[#This Row],[Temperature (C)]]/(1-SQRT((Table26[[#This Row],[Temperature (C)]]-5)/Table26[[#This Row],[Temperature (C)]])))/Table26[[#This Row],[b]]</f>
        <v>15.847744678076944</v>
      </c>
      <c r="AU616" s="13">
        <f>IF(Table26[[#This Row],[b]]&lt;&gt;"",Table26[[#This Row],[T-5]], 0)</f>
        <v>15.847744678076944</v>
      </c>
      <c r="AV616" s="13">
        <f>Table26[[#This Row],[Heating time]]+Table26[[#This Row],[Holding Time (min)]]</f>
        <v>35.847744678076943</v>
      </c>
      <c r="AW616" s="13">
        <v>270</v>
      </c>
      <c r="AY616" t="s">
        <v>503</v>
      </c>
      <c r="AZ616" s="13">
        <v>0.7</v>
      </c>
      <c r="BA616" s="13">
        <v>99.7</v>
      </c>
      <c r="BE616" s="13">
        <v>65.178065802592201</v>
      </c>
      <c r="BQ616" s="13" t="s">
        <v>506</v>
      </c>
      <c r="CV616" s="13">
        <v>0</v>
      </c>
    </row>
    <row r="617" spans="1:100" x14ac:dyDescent="0.25">
      <c r="A617" t="s">
        <v>396</v>
      </c>
      <c r="B617" t="s">
        <v>158</v>
      </c>
      <c r="C617">
        <v>2019</v>
      </c>
      <c r="D617" t="s">
        <v>397</v>
      </c>
      <c r="E617">
        <v>1</v>
      </c>
      <c r="F61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50</v>
      </c>
      <c r="G617" s="13">
        <v>50</v>
      </c>
      <c r="K617" s="13">
        <v>50</v>
      </c>
      <c r="O61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617" s="13">
        <v>0.1</v>
      </c>
      <c r="AL617" s="13">
        <v>6</v>
      </c>
      <c r="AM617" s="13">
        <v>10</v>
      </c>
      <c r="AP617" s="13">
        <v>0.14499999999999999</v>
      </c>
      <c r="AS617" s="13">
        <v>20</v>
      </c>
      <c r="AT617" s="13">
        <f>LN(25/Table26[[#This Row],[Temperature (C)]]/(1-SQRT((Table26[[#This Row],[Temperature (C)]]-5)/Table26[[#This Row],[Temperature (C)]])))/Table26[[#This Row],[b]]</f>
        <v>15.847744678076944</v>
      </c>
      <c r="AU617" s="13">
        <f>IF(Table26[[#This Row],[b]]&lt;&gt;"",Table26[[#This Row],[T-5]], 0)</f>
        <v>15.847744678076944</v>
      </c>
      <c r="AV617" s="13">
        <f>Table26[[#This Row],[Heating time]]+Table26[[#This Row],[Holding Time (min)]]</f>
        <v>35.847744678076943</v>
      </c>
      <c r="AW617" s="13">
        <v>270</v>
      </c>
      <c r="AY617" t="s">
        <v>503</v>
      </c>
      <c r="AZ617" s="13">
        <v>15.3</v>
      </c>
      <c r="BA617" s="13">
        <v>14.6</v>
      </c>
      <c r="BE617" s="13">
        <v>65.655832502492501</v>
      </c>
      <c r="BQ617" s="13" t="s">
        <v>506</v>
      </c>
      <c r="CV617" s="13">
        <v>0</v>
      </c>
    </row>
    <row r="618" spans="1:100" x14ac:dyDescent="0.25">
      <c r="A618" t="s">
        <v>396</v>
      </c>
      <c r="B618" t="s">
        <v>158</v>
      </c>
      <c r="C618">
        <v>2019</v>
      </c>
      <c r="D618" t="s">
        <v>397</v>
      </c>
      <c r="E618">
        <v>1</v>
      </c>
      <c r="F618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618" s="13">
        <v>50</v>
      </c>
      <c r="M618" s="13">
        <v>50</v>
      </c>
      <c r="O61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618" s="13">
        <v>0.1</v>
      </c>
      <c r="AL618" s="13">
        <v>6</v>
      </c>
      <c r="AM618" s="13">
        <v>10</v>
      </c>
      <c r="AP618" s="13">
        <v>0.14499999999999999</v>
      </c>
      <c r="AS618" s="13">
        <v>20</v>
      </c>
      <c r="AT618" s="13">
        <f>LN(25/Table26[[#This Row],[Temperature (C)]]/(1-SQRT((Table26[[#This Row],[Temperature (C)]]-5)/Table26[[#This Row],[Temperature (C)]])))/Table26[[#This Row],[b]]</f>
        <v>15.847744678076944</v>
      </c>
      <c r="AU618" s="13">
        <f>IF(Table26[[#This Row],[b]]&lt;&gt;"",Table26[[#This Row],[T-5]], 0)</f>
        <v>15.847744678076944</v>
      </c>
      <c r="AV618" s="13">
        <f>Table26[[#This Row],[Heating time]]+Table26[[#This Row],[Holding Time (min)]]</f>
        <v>35.847744678076943</v>
      </c>
      <c r="AW618" s="13">
        <v>270</v>
      </c>
      <c r="AY618" t="s">
        <v>503</v>
      </c>
      <c r="AZ618" s="13">
        <v>33.9</v>
      </c>
      <c r="BA618" s="13">
        <v>8.8000000000000007</v>
      </c>
      <c r="BE618" s="13">
        <v>61.506945829179102</v>
      </c>
      <c r="BQ618" s="13" t="s">
        <v>506</v>
      </c>
      <c r="CV618" s="13">
        <v>0</v>
      </c>
    </row>
    <row r="619" spans="1:100" x14ac:dyDescent="0.25">
      <c r="A619" t="s">
        <v>396</v>
      </c>
      <c r="B619" t="s">
        <v>158</v>
      </c>
      <c r="C619">
        <v>2019</v>
      </c>
      <c r="D619" t="s">
        <v>397</v>
      </c>
      <c r="E619">
        <v>1</v>
      </c>
      <c r="F619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619" s="13">
        <v>50</v>
      </c>
      <c r="L619" s="13">
        <v>50</v>
      </c>
      <c r="O61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619" s="13">
        <v>0.1</v>
      </c>
      <c r="AL619" s="13">
        <v>6</v>
      </c>
      <c r="AM619" s="13">
        <v>10</v>
      </c>
      <c r="AP619" s="13">
        <v>0.14499999999999999</v>
      </c>
      <c r="AS619" s="13">
        <v>20</v>
      </c>
      <c r="AT619" s="13">
        <f>LN(25/Table26[[#This Row],[Temperature (C)]]/(1-SQRT((Table26[[#This Row],[Temperature (C)]]-5)/Table26[[#This Row],[Temperature (C)]])))/Table26[[#This Row],[b]]</f>
        <v>15.847744678076944</v>
      </c>
      <c r="AU619" s="13">
        <f>IF(Table26[[#This Row],[b]]&lt;&gt;"",Table26[[#This Row],[T-5]], 0)</f>
        <v>15.847744678076944</v>
      </c>
      <c r="AV619" s="13">
        <f>Table26[[#This Row],[Heating time]]+Table26[[#This Row],[Holding Time (min)]]</f>
        <v>35.847744678076943</v>
      </c>
      <c r="AW619" s="13">
        <v>270</v>
      </c>
      <c r="AY619" t="s">
        <v>503</v>
      </c>
      <c r="AZ619" s="13">
        <v>4.0999999999999996</v>
      </c>
      <c r="BA619" s="13">
        <v>45.8</v>
      </c>
      <c r="BE619" s="13">
        <v>56.522964440013197</v>
      </c>
      <c r="BQ619" s="13" t="s">
        <v>506</v>
      </c>
      <c r="CV619" s="13">
        <v>0</v>
      </c>
    </row>
    <row r="620" spans="1:100" x14ac:dyDescent="0.25">
      <c r="A620" t="s">
        <v>396</v>
      </c>
      <c r="B620" t="s">
        <v>158</v>
      </c>
      <c r="C620">
        <v>2019</v>
      </c>
      <c r="D620" t="s">
        <v>397</v>
      </c>
      <c r="E620">
        <v>1</v>
      </c>
      <c r="F620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50</v>
      </c>
      <c r="G620" s="13">
        <v>50</v>
      </c>
      <c r="M620" s="13">
        <v>50</v>
      </c>
      <c r="O62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620" s="13">
        <v>0.1</v>
      </c>
      <c r="AL620" s="13">
        <v>6</v>
      </c>
      <c r="AM620" s="13">
        <v>10</v>
      </c>
      <c r="AP620" s="13">
        <v>0.14499999999999999</v>
      </c>
      <c r="AS620" s="13">
        <v>20</v>
      </c>
      <c r="AT620" s="13">
        <f>LN(25/Table26[[#This Row],[Temperature (C)]]/(1-SQRT((Table26[[#This Row],[Temperature (C)]]-5)/Table26[[#This Row],[Temperature (C)]])))/Table26[[#This Row],[b]]</f>
        <v>15.847744678076944</v>
      </c>
      <c r="AU620" s="13">
        <f>IF(Table26[[#This Row],[b]]&lt;&gt;"",Table26[[#This Row],[T-5]], 0)</f>
        <v>15.847744678076944</v>
      </c>
      <c r="AV620" s="13">
        <f>Table26[[#This Row],[Heating time]]+Table26[[#This Row],[Holding Time (min)]]</f>
        <v>35.847744678076943</v>
      </c>
      <c r="AW620" s="13">
        <v>270</v>
      </c>
      <c r="AY620" t="s">
        <v>503</v>
      </c>
      <c r="AZ620" s="13">
        <v>36.5</v>
      </c>
      <c r="BA620" s="13">
        <v>4.9000000000000004</v>
      </c>
      <c r="BE620" s="13">
        <v>67.520372216683199</v>
      </c>
      <c r="BQ620" s="13" t="s">
        <v>506</v>
      </c>
      <c r="CV620" s="13">
        <v>0</v>
      </c>
    </row>
    <row r="621" spans="1:100" x14ac:dyDescent="0.25">
      <c r="A621" t="s">
        <v>396</v>
      </c>
      <c r="B621" t="s">
        <v>158</v>
      </c>
      <c r="C621">
        <v>2019</v>
      </c>
      <c r="D621" t="s">
        <v>397</v>
      </c>
      <c r="E621">
        <v>1</v>
      </c>
      <c r="F621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50</v>
      </c>
      <c r="G621" s="13">
        <v>50</v>
      </c>
      <c r="L621" s="13">
        <v>50</v>
      </c>
      <c r="O62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621" s="13">
        <v>0.1</v>
      </c>
      <c r="AL621" s="13">
        <v>6</v>
      </c>
      <c r="AM621" s="13">
        <v>10</v>
      </c>
      <c r="AP621" s="13">
        <v>0.14499999999999999</v>
      </c>
      <c r="AS621" s="13">
        <v>20</v>
      </c>
      <c r="AT621" s="13">
        <f>LN(25/Table26[[#This Row],[Temperature (C)]]/(1-SQRT((Table26[[#This Row],[Temperature (C)]]-5)/Table26[[#This Row],[Temperature (C)]])))/Table26[[#This Row],[b]]</f>
        <v>15.847744678076944</v>
      </c>
      <c r="AU621" s="13">
        <f>IF(Table26[[#This Row],[b]]&lt;&gt;"",Table26[[#This Row],[T-5]], 0)</f>
        <v>15.847744678076944</v>
      </c>
      <c r="AV621" s="13">
        <f>Table26[[#This Row],[Heating time]]+Table26[[#This Row],[Holding Time (min)]]</f>
        <v>35.847744678076943</v>
      </c>
      <c r="AW621" s="13">
        <v>270</v>
      </c>
      <c r="AY621" t="s">
        <v>503</v>
      </c>
      <c r="AZ621" s="13">
        <v>13.1</v>
      </c>
      <c r="BA621" s="13">
        <v>65.2</v>
      </c>
      <c r="BE621" s="13">
        <v>73.334662678630707</v>
      </c>
      <c r="BQ621" s="13" t="s">
        <v>506</v>
      </c>
      <c r="CV621" s="13">
        <v>0</v>
      </c>
    </row>
    <row r="622" spans="1:100" x14ac:dyDescent="0.25">
      <c r="A622" t="s">
        <v>396</v>
      </c>
      <c r="B622" t="s">
        <v>158</v>
      </c>
      <c r="C622">
        <v>2019</v>
      </c>
      <c r="D622" t="s">
        <v>397</v>
      </c>
      <c r="E622">
        <v>1</v>
      </c>
      <c r="F622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L622" s="13">
        <v>50</v>
      </c>
      <c r="M622" s="13">
        <v>50</v>
      </c>
      <c r="O62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622" s="13">
        <v>0.1</v>
      </c>
      <c r="AL622" s="13">
        <v>6</v>
      </c>
      <c r="AM622" s="13">
        <v>10</v>
      </c>
      <c r="AP622" s="13">
        <v>0.14499999999999999</v>
      </c>
      <c r="AS622" s="13">
        <v>20</v>
      </c>
      <c r="AT622" s="13">
        <f>LN(25/Table26[[#This Row],[Temperature (C)]]/(1-SQRT((Table26[[#This Row],[Temperature (C)]]-5)/Table26[[#This Row],[Temperature (C)]])))/Table26[[#This Row],[b]]</f>
        <v>15.847744678076944</v>
      </c>
      <c r="AU622" s="13">
        <f>IF(Table26[[#This Row],[b]]&lt;&gt;"",Table26[[#This Row],[T-5]], 0)</f>
        <v>15.847744678076944</v>
      </c>
      <c r="AV622" s="13">
        <f>Table26[[#This Row],[Heating time]]+Table26[[#This Row],[Holding Time (min)]]</f>
        <v>35.847744678076943</v>
      </c>
      <c r="AW622" s="13">
        <v>270</v>
      </c>
      <c r="AY622" t="s">
        <v>503</v>
      </c>
      <c r="AZ622" s="13">
        <v>18.600000000000001</v>
      </c>
      <c r="BA622" s="13">
        <v>38.4</v>
      </c>
      <c r="BE622" s="13">
        <v>76.949950149551299</v>
      </c>
      <c r="BQ622" s="13" t="s">
        <v>506</v>
      </c>
      <c r="CV622" s="13">
        <v>0</v>
      </c>
    </row>
    <row r="623" spans="1:100" x14ac:dyDescent="0.25">
      <c r="A623" t="s">
        <v>396</v>
      </c>
      <c r="B623" t="s">
        <v>158</v>
      </c>
      <c r="C623">
        <v>2019</v>
      </c>
      <c r="D623" t="s">
        <v>397</v>
      </c>
      <c r="E623">
        <v>1</v>
      </c>
      <c r="F623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33</v>
      </c>
      <c r="G623" s="13">
        <v>33</v>
      </c>
      <c r="K623" s="13">
        <v>33</v>
      </c>
      <c r="M623" s="13">
        <v>33</v>
      </c>
      <c r="O62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</v>
      </c>
      <c r="AI623" s="13">
        <v>0.1</v>
      </c>
      <c r="AL623" s="13">
        <v>6</v>
      </c>
      <c r="AM623" s="13">
        <v>10</v>
      </c>
      <c r="AP623" s="13">
        <v>0.14499999999999999</v>
      </c>
      <c r="AS623" s="13">
        <v>20</v>
      </c>
      <c r="AT623" s="13">
        <f>LN(25/Table26[[#This Row],[Temperature (C)]]/(1-SQRT((Table26[[#This Row],[Temperature (C)]]-5)/Table26[[#This Row],[Temperature (C)]])))/Table26[[#This Row],[b]]</f>
        <v>15.847744678076944</v>
      </c>
      <c r="AU623" s="13">
        <f>IF(Table26[[#This Row],[b]]&lt;&gt;"",Table26[[#This Row],[T-5]], 0)</f>
        <v>15.847744678076944</v>
      </c>
      <c r="AV623" s="13">
        <f>Table26[[#This Row],[Heating time]]+Table26[[#This Row],[Holding Time (min)]]</f>
        <v>35.847744678076943</v>
      </c>
      <c r="AW623" s="13">
        <v>270</v>
      </c>
      <c r="AY623" t="s">
        <v>503</v>
      </c>
      <c r="AZ623" s="13">
        <v>24.4</v>
      </c>
      <c r="BA623" s="13">
        <v>9.1999999999999993</v>
      </c>
      <c r="BE623" s="13">
        <v>49.114523097374502</v>
      </c>
      <c r="BQ623" s="13">
        <v>11.424731182795698</v>
      </c>
      <c r="CV623" s="13">
        <v>0</v>
      </c>
    </row>
    <row r="624" spans="1:100" x14ac:dyDescent="0.25">
      <c r="A624" t="s">
        <v>396</v>
      </c>
      <c r="B624" t="s">
        <v>158</v>
      </c>
      <c r="C624">
        <v>2019</v>
      </c>
      <c r="D624" t="s">
        <v>397</v>
      </c>
      <c r="E624">
        <v>1</v>
      </c>
      <c r="F624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33</v>
      </c>
      <c r="G624" s="13">
        <v>33</v>
      </c>
      <c r="K624" s="13">
        <v>33</v>
      </c>
      <c r="L624" s="13">
        <v>33</v>
      </c>
      <c r="O62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</v>
      </c>
      <c r="AI624" s="13">
        <v>0.1</v>
      </c>
      <c r="AL624" s="13">
        <v>6</v>
      </c>
      <c r="AM624" s="13">
        <v>10</v>
      </c>
      <c r="AP624" s="13">
        <v>0.14499999999999999</v>
      </c>
      <c r="AS624" s="13">
        <v>20</v>
      </c>
      <c r="AT624" s="13">
        <f>LN(25/Table26[[#This Row],[Temperature (C)]]/(1-SQRT((Table26[[#This Row],[Temperature (C)]]-5)/Table26[[#This Row],[Temperature (C)]])))/Table26[[#This Row],[b]]</f>
        <v>15.847744678076944</v>
      </c>
      <c r="AU624" s="13">
        <f>IF(Table26[[#This Row],[b]]&lt;&gt;"",Table26[[#This Row],[T-5]], 0)</f>
        <v>15.847744678076944</v>
      </c>
      <c r="AV624" s="13">
        <f>Table26[[#This Row],[Heating time]]+Table26[[#This Row],[Holding Time (min)]]</f>
        <v>35.847744678076943</v>
      </c>
      <c r="AW624" s="13">
        <v>270</v>
      </c>
      <c r="AY624" t="s">
        <v>503</v>
      </c>
      <c r="AZ624" s="13">
        <v>7.9</v>
      </c>
      <c r="BA624" s="13">
        <v>46.7</v>
      </c>
      <c r="BE624" s="13">
        <v>70.640611498836805</v>
      </c>
      <c r="BQ624" s="13">
        <v>12.038303693570453</v>
      </c>
      <c r="CV624" s="13">
        <v>0</v>
      </c>
    </row>
    <row r="625" spans="1:100" x14ac:dyDescent="0.25">
      <c r="A625" t="s">
        <v>396</v>
      </c>
      <c r="B625" t="s">
        <v>158</v>
      </c>
      <c r="C625">
        <v>2019</v>
      </c>
      <c r="D625" t="s">
        <v>397</v>
      </c>
      <c r="E625">
        <v>1</v>
      </c>
      <c r="F625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625" s="13">
        <v>33</v>
      </c>
      <c r="L625" s="13">
        <v>33</v>
      </c>
      <c r="M625" s="13">
        <v>33</v>
      </c>
      <c r="O62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</v>
      </c>
      <c r="AI625" s="13">
        <v>0.1</v>
      </c>
      <c r="AL625" s="13">
        <v>6</v>
      </c>
      <c r="AM625" s="13">
        <v>10</v>
      </c>
      <c r="AP625" s="13">
        <v>0.14499999999999999</v>
      </c>
      <c r="AS625" s="13">
        <v>20</v>
      </c>
      <c r="AT625" s="13">
        <f>LN(25/Table26[[#This Row],[Temperature (C)]]/(1-SQRT((Table26[[#This Row],[Temperature (C)]]-5)/Table26[[#This Row],[Temperature (C)]])))/Table26[[#This Row],[b]]</f>
        <v>15.847744678076944</v>
      </c>
      <c r="AU625" s="13">
        <f>IF(Table26[[#This Row],[b]]&lt;&gt;"",Table26[[#This Row],[T-5]], 0)</f>
        <v>15.847744678076944</v>
      </c>
      <c r="AV625" s="13">
        <f>Table26[[#This Row],[Heating time]]+Table26[[#This Row],[Holding Time (min)]]</f>
        <v>35.847744678076943</v>
      </c>
      <c r="AW625" s="13">
        <v>270</v>
      </c>
      <c r="AY625" t="s">
        <v>503</v>
      </c>
      <c r="AZ625" s="13">
        <v>17.8</v>
      </c>
      <c r="BA625" s="13">
        <v>40.1</v>
      </c>
      <c r="BE625" s="13">
        <v>76.618411432369498</v>
      </c>
      <c r="BQ625" s="13">
        <v>12.208504801097392</v>
      </c>
      <c r="CV625" s="13">
        <v>0</v>
      </c>
    </row>
    <row r="626" spans="1:100" x14ac:dyDescent="0.25">
      <c r="A626" t="s">
        <v>396</v>
      </c>
      <c r="B626" t="s">
        <v>158</v>
      </c>
      <c r="C626">
        <v>2019</v>
      </c>
      <c r="D626" t="s">
        <v>397</v>
      </c>
      <c r="E626">
        <v>1</v>
      </c>
      <c r="F626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33</v>
      </c>
      <c r="G626" s="13">
        <v>33</v>
      </c>
      <c r="L626" s="13">
        <v>33</v>
      </c>
      <c r="M626" s="13">
        <v>33</v>
      </c>
      <c r="O62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</v>
      </c>
      <c r="AI626" s="13">
        <v>0.1</v>
      </c>
      <c r="AL626" s="13">
        <v>6</v>
      </c>
      <c r="AM626" s="13">
        <v>10</v>
      </c>
      <c r="AP626" s="13">
        <v>0.14499999999999999</v>
      </c>
      <c r="AS626" s="13">
        <v>20</v>
      </c>
      <c r="AT626" s="13">
        <f>LN(25/Table26[[#This Row],[Temperature (C)]]/(1-SQRT((Table26[[#This Row],[Temperature (C)]]-5)/Table26[[#This Row],[Temperature (C)]])))/Table26[[#This Row],[b]]</f>
        <v>15.847744678076944</v>
      </c>
      <c r="AU626" s="13">
        <f>IF(Table26[[#This Row],[b]]&lt;&gt;"",Table26[[#This Row],[T-5]], 0)</f>
        <v>15.847744678076944</v>
      </c>
      <c r="AV626" s="13">
        <f>Table26[[#This Row],[Heating time]]+Table26[[#This Row],[Holding Time (min)]]</f>
        <v>35.847744678076943</v>
      </c>
      <c r="AW626" s="13">
        <v>270</v>
      </c>
      <c r="AY626" t="s">
        <v>503</v>
      </c>
      <c r="AZ626" s="13">
        <v>19.8</v>
      </c>
      <c r="BA626" s="13">
        <v>40.6</v>
      </c>
      <c r="BE626" s="13">
        <v>77.413359920239202</v>
      </c>
      <c r="BQ626" s="13">
        <v>12.569060773480661</v>
      </c>
      <c r="CV626" s="13">
        <v>0</v>
      </c>
    </row>
    <row r="627" spans="1:100" x14ac:dyDescent="0.25">
      <c r="A627" t="s">
        <v>396</v>
      </c>
      <c r="B627" t="s">
        <v>158</v>
      </c>
      <c r="C627">
        <v>2019</v>
      </c>
      <c r="D627" t="s">
        <v>397</v>
      </c>
      <c r="E627">
        <v>1</v>
      </c>
      <c r="F62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25</v>
      </c>
      <c r="G627" s="13">
        <v>25</v>
      </c>
      <c r="K627" s="13">
        <v>25</v>
      </c>
      <c r="L627" s="13">
        <v>25</v>
      </c>
      <c r="M627" s="13">
        <v>25</v>
      </c>
      <c r="O62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627" s="13">
        <v>0.1</v>
      </c>
      <c r="AL627" s="13">
        <v>6</v>
      </c>
      <c r="AM627" s="13">
        <v>10</v>
      </c>
      <c r="AP627" s="13">
        <v>0.14499999999999999</v>
      </c>
      <c r="AS627" s="13">
        <v>20</v>
      </c>
      <c r="AT627" s="13">
        <f>LN(25/Table26[[#This Row],[Temperature (C)]]/(1-SQRT((Table26[[#This Row],[Temperature (C)]]-5)/Table26[[#This Row],[Temperature (C)]])))/Table26[[#This Row],[b]]</f>
        <v>15.847744678076944</v>
      </c>
      <c r="AU627" s="13">
        <f>IF(Table26[[#This Row],[b]]&lt;&gt;"",Table26[[#This Row],[T-5]], 0)</f>
        <v>15.847744678076944</v>
      </c>
      <c r="AV627" s="13">
        <f>Table26[[#This Row],[Heating time]]+Table26[[#This Row],[Holding Time (min)]]</f>
        <v>35.847744678076943</v>
      </c>
      <c r="AW627" s="13">
        <v>270</v>
      </c>
      <c r="AY627" t="s">
        <v>503</v>
      </c>
      <c r="AZ627" s="13">
        <v>22.8</v>
      </c>
      <c r="BA627" s="13">
        <v>39.5</v>
      </c>
      <c r="BE627" s="13">
        <v>80.714390162844794</v>
      </c>
      <c r="BQ627" s="13">
        <v>12.98882681564246</v>
      </c>
      <c r="CV627" s="13">
        <v>0</v>
      </c>
    </row>
    <row r="628" spans="1:100" x14ac:dyDescent="0.25">
      <c r="A628" t="s">
        <v>396</v>
      </c>
      <c r="B628" t="s">
        <v>158</v>
      </c>
      <c r="C628">
        <v>2019</v>
      </c>
      <c r="D628" t="s">
        <v>397</v>
      </c>
      <c r="E628">
        <v>1</v>
      </c>
      <c r="F628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13</v>
      </c>
      <c r="G628" s="13">
        <v>13</v>
      </c>
      <c r="K628" s="13">
        <v>63</v>
      </c>
      <c r="L628" s="13">
        <v>13</v>
      </c>
      <c r="M628" s="13">
        <v>13</v>
      </c>
      <c r="O62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102</v>
      </c>
      <c r="AI628" s="13">
        <v>0.1</v>
      </c>
      <c r="AL628" s="13">
        <v>6</v>
      </c>
      <c r="AM628" s="13">
        <v>10</v>
      </c>
      <c r="AP628" s="13">
        <v>0.14499999999999999</v>
      </c>
      <c r="AS628" s="13">
        <v>20</v>
      </c>
      <c r="AT628" s="13">
        <f>LN(25/Table26[[#This Row],[Temperature (C)]]/(1-SQRT((Table26[[#This Row],[Temperature (C)]]-5)/Table26[[#This Row],[Temperature (C)]])))/Table26[[#This Row],[b]]</f>
        <v>15.847744678076944</v>
      </c>
      <c r="AU628" s="13">
        <f>IF(Table26[[#This Row],[b]]&lt;&gt;"",Table26[[#This Row],[T-5]], 0)</f>
        <v>15.847744678076944</v>
      </c>
      <c r="AV628" s="13">
        <f>Table26[[#This Row],[Heating time]]+Table26[[#This Row],[Holding Time (min)]]</f>
        <v>35.847744678076943</v>
      </c>
      <c r="AW628" s="13">
        <v>270</v>
      </c>
      <c r="AY628" t="s">
        <v>503</v>
      </c>
      <c r="AZ628" s="13">
        <v>12.2</v>
      </c>
      <c r="BA628" s="13">
        <v>22.6</v>
      </c>
      <c r="BE628" s="13" t="s">
        <v>506</v>
      </c>
      <c r="BQ628" s="13" t="s">
        <v>506</v>
      </c>
      <c r="CV628" s="13">
        <v>0</v>
      </c>
    </row>
    <row r="629" spans="1:100" x14ac:dyDescent="0.25">
      <c r="A629" t="s">
        <v>396</v>
      </c>
      <c r="B629" t="s">
        <v>158</v>
      </c>
      <c r="C629">
        <v>2019</v>
      </c>
      <c r="D629" t="s">
        <v>397</v>
      </c>
      <c r="E629">
        <v>1</v>
      </c>
      <c r="F629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63</v>
      </c>
      <c r="G629" s="13">
        <v>63</v>
      </c>
      <c r="K629" s="13">
        <v>13</v>
      </c>
      <c r="L629" s="13">
        <v>13</v>
      </c>
      <c r="M629" s="13">
        <v>13</v>
      </c>
      <c r="O62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102</v>
      </c>
      <c r="AI629" s="13">
        <v>0.1</v>
      </c>
      <c r="AL629" s="13">
        <v>6</v>
      </c>
      <c r="AM629" s="13">
        <v>10</v>
      </c>
      <c r="AP629" s="13">
        <v>0.14499999999999999</v>
      </c>
      <c r="AS629" s="13">
        <v>20</v>
      </c>
      <c r="AT629" s="13">
        <f>LN(25/Table26[[#This Row],[Temperature (C)]]/(1-SQRT((Table26[[#This Row],[Temperature (C)]]-5)/Table26[[#This Row],[Temperature (C)]])))/Table26[[#This Row],[b]]</f>
        <v>15.847744678076944</v>
      </c>
      <c r="AU629" s="13">
        <f>IF(Table26[[#This Row],[b]]&lt;&gt;"",Table26[[#This Row],[T-5]], 0)</f>
        <v>15.847744678076944</v>
      </c>
      <c r="AV629" s="13">
        <f>Table26[[#This Row],[Heating time]]+Table26[[#This Row],[Holding Time (min)]]</f>
        <v>35.847744678076943</v>
      </c>
      <c r="AW629" s="13">
        <v>270</v>
      </c>
      <c r="AY629" t="s">
        <v>503</v>
      </c>
      <c r="AZ629" s="13">
        <v>25.6</v>
      </c>
      <c r="BA629" s="13">
        <v>26.8</v>
      </c>
      <c r="BE629" s="13" t="s">
        <v>506</v>
      </c>
      <c r="BQ629" s="13" t="s">
        <v>506</v>
      </c>
      <c r="CV629" s="13">
        <v>0</v>
      </c>
    </row>
    <row r="630" spans="1:100" x14ac:dyDescent="0.25">
      <c r="A630" t="s">
        <v>396</v>
      </c>
      <c r="B630" t="s">
        <v>158</v>
      </c>
      <c r="C630">
        <v>2019</v>
      </c>
      <c r="D630" t="s">
        <v>397</v>
      </c>
      <c r="E630">
        <v>1</v>
      </c>
      <c r="F630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13</v>
      </c>
      <c r="G630" s="13">
        <v>13</v>
      </c>
      <c r="K630" s="13">
        <v>13</v>
      </c>
      <c r="L630" s="13">
        <v>13</v>
      </c>
      <c r="M630" s="13">
        <v>63</v>
      </c>
      <c r="O63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102</v>
      </c>
      <c r="AI630" s="13">
        <v>0.1</v>
      </c>
      <c r="AL630" s="13">
        <v>6</v>
      </c>
      <c r="AM630" s="13">
        <v>10</v>
      </c>
      <c r="AP630" s="13">
        <v>0.14499999999999999</v>
      </c>
      <c r="AS630" s="13">
        <v>20</v>
      </c>
      <c r="AT630" s="13">
        <f>LN(25/Table26[[#This Row],[Temperature (C)]]/(1-SQRT((Table26[[#This Row],[Temperature (C)]]-5)/Table26[[#This Row],[Temperature (C)]])))/Table26[[#This Row],[b]]</f>
        <v>15.847744678076944</v>
      </c>
      <c r="AU630" s="13">
        <f>IF(Table26[[#This Row],[b]]&lt;&gt;"",Table26[[#This Row],[T-5]], 0)</f>
        <v>15.847744678076944</v>
      </c>
      <c r="AV630" s="13">
        <f>Table26[[#This Row],[Heating time]]+Table26[[#This Row],[Holding Time (min)]]</f>
        <v>35.847744678076943</v>
      </c>
      <c r="AW630" s="13">
        <v>270</v>
      </c>
      <c r="AY630" t="s">
        <v>503</v>
      </c>
      <c r="AZ630" s="13">
        <v>29.8</v>
      </c>
      <c r="BA630" s="13">
        <v>14</v>
      </c>
      <c r="BE630" s="13" t="s">
        <v>506</v>
      </c>
      <c r="BQ630" s="13" t="s">
        <v>506</v>
      </c>
      <c r="CV630" s="13">
        <v>0</v>
      </c>
    </row>
    <row r="631" spans="1:100" x14ac:dyDescent="0.25">
      <c r="A631" t="s">
        <v>396</v>
      </c>
      <c r="B631" t="s">
        <v>158</v>
      </c>
      <c r="C631">
        <v>2019</v>
      </c>
      <c r="D631" t="s">
        <v>397</v>
      </c>
      <c r="E631">
        <v>1</v>
      </c>
      <c r="F631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13</v>
      </c>
      <c r="G631" s="13">
        <v>13</v>
      </c>
      <c r="K631" s="13">
        <v>13</v>
      </c>
      <c r="L631" s="13">
        <v>63</v>
      </c>
      <c r="M631" s="13">
        <v>13</v>
      </c>
      <c r="O63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102</v>
      </c>
      <c r="AI631" s="13">
        <v>0.1</v>
      </c>
      <c r="AL631" s="13">
        <v>6</v>
      </c>
      <c r="AM631" s="13">
        <v>10</v>
      </c>
      <c r="AP631" s="13">
        <v>0.14499999999999999</v>
      </c>
      <c r="AS631" s="13">
        <v>20</v>
      </c>
      <c r="AT631" s="13">
        <f>LN(25/Table26[[#This Row],[Temperature (C)]]/(1-SQRT((Table26[[#This Row],[Temperature (C)]]-5)/Table26[[#This Row],[Temperature (C)]])))/Table26[[#This Row],[b]]</f>
        <v>15.847744678076944</v>
      </c>
      <c r="AU631" s="13">
        <f>IF(Table26[[#This Row],[b]]&lt;&gt;"",Table26[[#This Row],[T-5]], 0)</f>
        <v>15.847744678076944</v>
      </c>
      <c r="AV631" s="13">
        <f>Table26[[#This Row],[Heating time]]+Table26[[#This Row],[Holding Time (min)]]</f>
        <v>35.847744678076943</v>
      </c>
      <c r="AW631" s="13">
        <v>270</v>
      </c>
      <c r="AY631" t="s">
        <v>503</v>
      </c>
      <c r="AZ631" s="13">
        <v>7.8</v>
      </c>
      <c r="BA631" s="13">
        <v>69</v>
      </c>
      <c r="BE631" s="13" t="s">
        <v>506</v>
      </c>
      <c r="BQ631" s="13" t="s">
        <v>506</v>
      </c>
      <c r="CV631" s="13">
        <v>0</v>
      </c>
    </row>
    <row r="632" spans="1:100" x14ac:dyDescent="0.25">
      <c r="A632" t="s">
        <v>396</v>
      </c>
      <c r="B632" t="s">
        <v>158</v>
      </c>
      <c r="C632">
        <v>2019</v>
      </c>
      <c r="D632" t="s">
        <v>397</v>
      </c>
      <c r="E632">
        <v>1</v>
      </c>
      <c r="F632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25</v>
      </c>
      <c r="G632" s="13">
        <v>25</v>
      </c>
      <c r="K632" s="13">
        <v>25</v>
      </c>
      <c r="L632" s="13">
        <v>25</v>
      </c>
      <c r="M632" s="13">
        <v>25</v>
      </c>
      <c r="O63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632" s="13">
        <v>0.1</v>
      </c>
      <c r="AL632" s="13">
        <v>6</v>
      </c>
      <c r="AM632" s="13">
        <v>10</v>
      </c>
      <c r="AP632" s="13">
        <v>0.14499999999999999</v>
      </c>
      <c r="AS632" s="13">
        <v>20</v>
      </c>
      <c r="AT632" s="13">
        <f>LN(25/Table26[[#This Row],[Temperature (C)]]/(1-SQRT((Table26[[#This Row],[Temperature (C)]]-5)/Table26[[#This Row],[Temperature (C)]])))/Table26[[#This Row],[b]]</f>
        <v>15.847744678076944</v>
      </c>
      <c r="AU632" s="13">
        <f>IF(Table26[[#This Row],[b]]&lt;&gt;"",Table26[[#This Row],[T-5]], 0)</f>
        <v>15.847744678076944</v>
      </c>
      <c r="AV632" s="13">
        <f>Table26[[#This Row],[Heating time]]+Table26[[#This Row],[Holding Time (min)]]</f>
        <v>35.847744678076943</v>
      </c>
      <c r="AW632" s="13">
        <v>270</v>
      </c>
      <c r="AY632" t="s">
        <v>503</v>
      </c>
      <c r="AZ632" s="13">
        <v>16.899999999999999</v>
      </c>
      <c r="BA632" s="13">
        <v>38.6</v>
      </c>
      <c r="BE632" s="13" t="s">
        <v>506</v>
      </c>
      <c r="BQ632" s="13" t="s">
        <v>506</v>
      </c>
      <c r="CV632" s="13">
        <v>0</v>
      </c>
    </row>
    <row r="633" spans="1:100" x14ac:dyDescent="0.25">
      <c r="A633" t="s">
        <v>396</v>
      </c>
      <c r="B633" t="s">
        <v>158</v>
      </c>
      <c r="C633">
        <v>2019</v>
      </c>
      <c r="D633" t="s">
        <v>397</v>
      </c>
      <c r="E633">
        <v>1</v>
      </c>
      <c r="F633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633" s="13">
        <v>100</v>
      </c>
      <c r="O63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633" s="13">
        <v>0.1</v>
      </c>
      <c r="AL633" s="13">
        <v>12</v>
      </c>
      <c r="AM633" s="13">
        <v>10</v>
      </c>
      <c r="AP633" s="13">
        <v>0.14499999999999999</v>
      </c>
      <c r="AS633" s="13">
        <v>20</v>
      </c>
      <c r="AT633" s="13">
        <f>LN(25/Table26[[#This Row],[Temperature (C)]]/(1-SQRT((Table26[[#This Row],[Temperature (C)]]-5)/Table26[[#This Row],[Temperature (C)]])))/Table26[[#This Row],[b]]</f>
        <v>15.852798303916169</v>
      </c>
      <c r="AU633" s="13">
        <f>IF(Table26[[#This Row],[b]]&lt;&gt;"",Table26[[#This Row],[T-5]], 0)</f>
        <v>15.852798303916169</v>
      </c>
      <c r="AV633" s="13">
        <f>Table26[[#This Row],[Heating time]]+Table26[[#This Row],[Holding Time (min)]]</f>
        <v>35.852798303916167</v>
      </c>
      <c r="AW633" s="13">
        <v>320</v>
      </c>
      <c r="AY633" t="s">
        <v>503</v>
      </c>
      <c r="AZ633" s="13">
        <v>3.7</v>
      </c>
      <c r="BA633" s="13">
        <v>19.3</v>
      </c>
      <c r="BE633" s="13" t="s">
        <v>506</v>
      </c>
      <c r="BQ633" s="13" t="s">
        <v>506</v>
      </c>
      <c r="CV633" s="13">
        <v>0</v>
      </c>
    </row>
    <row r="634" spans="1:100" x14ac:dyDescent="0.25">
      <c r="A634" t="s">
        <v>396</v>
      </c>
      <c r="B634" t="s">
        <v>158</v>
      </c>
      <c r="C634">
        <v>2019</v>
      </c>
      <c r="D634" t="s">
        <v>397</v>
      </c>
      <c r="E634">
        <v>1</v>
      </c>
      <c r="F634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G634" s="13">
        <v>100</v>
      </c>
      <c r="O63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634" s="13">
        <v>0.1</v>
      </c>
      <c r="AL634" s="13">
        <v>12</v>
      </c>
      <c r="AM634" s="13">
        <v>10</v>
      </c>
      <c r="AP634" s="13">
        <v>0.14499999999999999</v>
      </c>
      <c r="AS634" s="13">
        <v>20</v>
      </c>
      <c r="AT634" s="13">
        <f>LN(25/Table26[[#This Row],[Temperature (C)]]/(1-SQRT((Table26[[#This Row],[Temperature (C)]]-5)/Table26[[#This Row],[Temperature (C)]])))/Table26[[#This Row],[b]]</f>
        <v>15.852798303916169</v>
      </c>
      <c r="AU634" s="13">
        <f>IF(Table26[[#This Row],[b]]&lt;&gt;"",Table26[[#This Row],[T-5]], 0)</f>
        <v>15.852798303916169</v>
      </c>
      <c r="AV634" s="13">
        <f>Table26[[#This Row],[Heating time]]+Table26[[#This Row],[Holding Time (min)]]</f>
        <v>35.852798303916167</v>
      </c>
      <c r="AW634" s="13">
        <v>320</v>
      </c>
      <c r="AY634" t="s">
        <v>503</v>
      </c>
      <c r="AZ634" s="13">
        <v>29.2</v>
      </c>
      <c r="BA634" s="13">
        <v>9.1</v>
      </c>
      <c r="BE634" s="13" t="s">
        <v>506</v>
      </c>
      <c r="BQ634" s="13" t="s">
        <v>506</v>
      </c>
      <c r="CV634" s="13">
        <v>0</v>
      </c>
    </row>
    <row r="635" spans="1:100" x14ac:dyDescent="0.25">
      <c r="A635" t="s">
        <v>396</v>
      </c>
      <c r="B635" t="s">
        <v>158</v>
      </c>
      <c r="C635">
        <v>2019</v>
      </c>
      <c r="D635" t="s">
        <v>397</v>
      </c>
      <c r="E635">
        <v>1</v>
      </c>
      <c r="F635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M635" s="13">
        <v>100</v>
      </c>
      <c r="O63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635" s="13">
        <v>0.1</v>
      </c>
      <c r="AL635" s="13">
        <v>12</v>
      </c>
      <c r="AM635" s="13">
        <v>10</v>
      </c>
      <c r="AP635" s="13">
        <v>0.14499999999999999</v>
      </c>
      <c r="AS635" s="13">
        <v>20</v>
      </c>
      <c r="AT635" s="13">
        <f>LN(25/Table26[[#This Row],[Temperature (C)]]/(1-SQRT((Table26[[#This Row],[Temperature (C)]]-5)/Table26[[#This Row],[Temperature (C)]])))/Table26[[#This Row],[b]]</f>
        <v>15.852798303916169</v>
      </c>
      <c r="AU635" s="13">
        <f>IF(Table26[[#This Row],[b]]&lt;&gt;"",Table26[[#This Row],[T-5]], 0)</f>
        <v>15.852798303916169</v>
      </c>
      <c r="AV635" s="13">
        <f>Table26[[#This Row],[Heating time]]+Table26[[#This Row],[Holding Time (min)]]</f>
        <v>35.852798303916167</v>
      </c>
      <c r="AW635" s="13">
        <v>320</v>
      </c>
      <c r="AY635" t="s">
        <v>503</v>
      </c>
      <c r="AZ635" s="13">
        <v>29.9</v>
      </c>
      <c r="BA635" s="13">
        <v>2.4</v>
      </c>
      <c r="BE635" s="13" t="s">
        <v>506</v>
      </c>
      <c r="BQ635" s="13" t="s">
        <v>506</v>
      </c>
      <c r="CV635" s="13">
        <v>0</v>
      </c>
    </row>
    <row r="636" spans="1:100" x14ac:dyDescent="0.25">
      <c r="A636" t="s">
        <v>396</v>
      </c>
      <c r="B636" t="s">
        <v>158</v>
      </c>
      <c r="C636">
        <v>2019</v>
      </c>
      <c r="D636" t="s">
        <v>397</v>
      </c>
      <c r="E636">
        <v>1</v>
      </c>
      <c r="F636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L636" s="13">
        <v>100</v>
      </c>
      <c r="O63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636" s="13">
        <v>0.1</v>
      </c>
      <c r="AL636" s="13">
        <v>12</v>
      </c>
      <c r="AM636" s="13">
        <v>10</v>
      </c>
      <c r="AP636" s="13">
        <v>0.14499999999999999</v>
      </c>
      <c r="AS636" s="13">
        <v>20</v>
      </c>
      <c r="AT636" s="13">
        <f>LN(25/Table26[[#This Row],[Temperature (C)]]/(1-SQRT((Table26[[#This Row],[Temperature (C)]]-5)/Table26[[#This Row],[Temperature (C)]])))/Table26[[#This Row],[b]]</f>
        <v>15.852798303916169</v>
      </c>
      <c r="AU636" s="13">
        <f>IF(Table26[[#This Row],[b]]&lt;&gt;"",Table26[[#This Row],[T-5]], 0)</f>
        <v>15.852798303916169</v>
      </c>
      <c r="AV636" s="13">
        <f>Table26[[#This Row],[Heating time]]+Table26[[#This Row],[Holding Time (min)]]</f>
        <v>35.852798303916167</v>
      </c>
      <c r="AW636" s="13">
        <v>320</v>
      </c>
      <c r="AY636" t="s">
        <v>503</v>
      </c>
      <c r="AZ636" s="13">
        <v>0.3</v>
      </c>
      <c r="BA636" s="13">
        <v>93.1</v>
      </c>
      <c r="BE636" s="13" t="s">
        <v>506</v>
      </c>
      <c r="BQ636" s="13" t="s">
        <v>506</v>
      </c>
      <c r="CV636" s="13">
        <v>0</v>
      </c>
    </row>
    <row r="637" spans="1:100" x14ac:dyDescent="0.25">
      <c r="A637" t="s">
        <v>396</v>
      </c>
      <c r="B637" t="s">
        <v>158</v>
      </c>
      <c r="C637">
        <v>2019</v>
      </c>
      <c r="D637" t="s">
        <v>397</v>
      </c>
      <c r="E637">
        <v>1</v>
      </c>
      <c r="F63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50</v>
      </c>
      <c r="G637" s="13">
        <v>50</v>
      </c>
      <c r="K637" s="13">
        <v>50</v>
      </c>
      <c r="O63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637" s="13">
        <v>0.1</v>
      </c>
      <c r="AL637" s="13">
        <v>12</v>
      </c>
      <c r="AM637" s="13">
        <v>10</v>
      </c>
      <c r="AP637" s="13">
        <v>0.14499999999999999</v>
      </c>
      <c r="AS637" s="13">
        <v>20</v>
      </c>
      <c r="AT637" s="13">
        <f>LN(25/Table26[[#This Row],[Temperature (C)]]/(1-SQRT((Table26[[#This Row],[Temperature (C)]]-5)/Table26[[#This Row],[Temperature (C)]])))/Table26[[#This Row],[b]]</f>
        <v>15.852798303916169</v>
      </c>
      <c r="AU637" s="13">
        <f>IF(Table26[[#This Row],[b]]&lt;&gt;"",Table26[[#This Row],[T-5]], 0)</f>
        <v>15.852798303916169</v>
      </c>
      <c r="AV637" s="13">
        <f>Table26[[#This Row],[Heating time]]+Table26[[#This Row],[Holding Time (min)]]</f>
        <v>35.852798303916167</v>
      </c>
      <c r="AW637" s="13">
        <v>320</v>
      </c>
      <c r="AY637" t="s">
        <v>503</v>
      </c>
      <c r="AZ637" s="13">
        <v>6.5</v>
      </c>
      <c r="BA637" s="13">
        <v>22.5</v>
      </c>
      <c r="BE637" s="13" t="s">
        <v>506</v>
      </c>
      <c r="BQ637" s="13" t="s">
        <v>506</v>
      </c>
      <c r="CV637" s="13">
        <v>0</v>
      </c>
    </row>
    <row r="638" spans="1:100" x14ac:dyDescent="0.25">
      <c r="A638" t="s">
        <v>396</v>
      </c>
      <c r="B638" t="s">
        <v>158</v>
      </c>
      <c r="C638">
        <v>2019</v>
      </c>
      <c r="D638" t="s">
        <v>397</v>
      </c>
      <c r="E638">
        <v>1</v>
      </c>
      <c r="F638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638" s="13">
        <v>50</v>
      </c>
      <c r="M638" s="13">
        <v>50</v>
      </c>
      <c r="O63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638" s="13">
        <v>0.1</v>
      </c>
      <c r="AL638" s="13">
        <v>12</v>
      </c>
      <c r="AM638" s="13">
        <v>10</v>
      </c>
      <c r="AP638" s="13">
        <v>0.14499999999999999</v>
      </c>
      <c r="AS638" s="13">
        <v>20</v>
      </c>
      <c r="AT638" s="13">
        <f>LN(25/Table26[[#This Row],[Temperature (C)]]/(1-SQRT((Table26[[#This Row],[Temperature (C)]]-5)/Table26[[#This Row],[Temperature (C)]])))/Table26[[#This Row],[b]]</f>
        <v>15.852798303916169</v>
      </c>
      <c r="AU638" s="13">
        <f>IF(Table26[[#This Row],[b]]&lt;&gt;"",Table26[[#This Row],[T-5]], 0)</f>
        <v>15.852798303916169</v>
      </c>
      <c r="AV638" s="13">
        <f>Table26[[#This Row],[Heating time]]+Table26[[#This Row],[Holding Time (min)]]</f>
        <v>35.852798303916167</v>
      </c>
      <c r="AW638" s="13">
        <v>320</v>
      </c>
      <c r="AY638" t="s">
        <v>503</v>
      </c>
      <c r="AZ638" s="13">
        <v>23.1</v>
      </c>
      <c r="BA638" s="13">
        <v>18.8</v>
      </c>
      <c r="BE638" s="13" t="s">
        <v>506</v>
      </c>
      <c r="BQ638" s="13" t="s">
        <v>506</v>
      </c>
      <c r="CV638" s="13">
        <v>0</v>
      </c>
    </row>
    <row r="639" spans="1:100" x14ac:dyDescent="0.25">
      <c r="A639" t="s">
        <v>396</v>
      </c>
      <c r="B639" t="s">
        <v>158</v>
      </c>
      <c r="C639">
        <v>2019</v>
      </c>
      <c r="D639" t="s">
        <v>397</v>
      </c>
      <c r="E639">
        <v>1</v>
      </c>
      <c r="F639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639" s="13">
        <v>50</v>
      </c>
      <c r="L639" s="13">
        <v>50</v>
      </c>
      <c r="O63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639" s="13">
        <v>0.1</v>
      </c>
      <c r="AL639" s="13">
        <v>12</v>
      </c>
      <c r="AM639" s="13">
        <v>10</v>
      </c>
      <c r="AP639" s="13">
        <v>0.14499999999999999</v>
      </c>
      <c r="AS639" s="13">
        <v>20</v>
      </c>
      <c r="AT639" s="13">
        <f>LN(25/Table26[[#This Row],[Temperature (C)]]/(1-SQRT((Table26[[#This Row],[Temperature (C)]]-5)/Table26[[#This Row],[Temperature (C)]])))/Table26[[#This Row],[b]]</f>
        <v>15.852798303916169</v>
      </c>
      <c r="AU639" s="13">
        <f>IF(Table26[[#This Row],[b]]&lt;&gt;"",Table26[[#This Row],[T-5]], 0)</f>
        <v>15.852798303916169</v>
      </c>
      <c r="AV639" s="13">
        <f>Table26[[#This Row],[Heating time]]+Table26[[#This Row],[Holding Time (min)]]</f>
        <v>35.852798303916167</v>
      </c>
      <c r="AW639" s="13">
        <v>320</v>
      </c>
      <c r="AY639" t="s">
        <v>503</v>
      </c>
      <c r="AZ639" s="13">
        <v>5</v>
      </c>
      <c r="BA639" s="13">
        <v>33</v>
      </c>
      <c r="BE639" s="13" t="s">
        <v>506</v>
      </c>
      <c r="BQ639" s="13" t="s">
        <v>506</v>
      </c>
      <c r="CV639" s="13">
        <v>0</v>
      </c>
    </row>
    <row r="640" spans="1:100" x14ac:dyDescent="0.25">
      <c r="A640" t="s">
        <v>396</v>
      </c>
      <c r="B640" t="s">
        <v>158</v>
      </c>
      <c r="C640">
        <v>2019</v>
      </c>
      <c r="D640" t="s">
        <v>397</v>
      </c>
      <c r="E640">
        <v>1</v>
      </c>
      <c r="F640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50</v>
      </c>
      <c r="G640" s="13">
        <v>50</v>
      </c>
      <c r="M640" s="13">
        <v>50</v>
      </c>
      <c r="O64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640" s="13">
        <v>0.1</v>
      </c>
      <c r="AL640" s="13">
        <v>12</v>
      </c>
      <c r="AM640" s="13">
        <v>10</v>
      </c>
      <c r="AP640" s="13">
        <v>0.14499999999999999</v>
      </c>
      <c r="AS640" s="13">
        <v>20</v>
      </c>
      <c r="AT640" s="13">
        <f>LN(25/Table26[[#This Row],[Temperature (C)]]/(1-SQRT((Table26[[#This Row],[Temperature (C)]]-5)/Table26[[#This Row],[Temperature (C)]])))/Table26[[#This Row],[b]]</f>
        <v>15.852798303916169</v>
      </c>
      <c r="AU640" s="13">
        <f>IF(Table26[[#This Row],[b]]&lt;&gt;"",Table26[[#This Row],[T-5]], 0)</f>
        <v>15.852798303916169</v>
      </c>
      <c r="AV640" s="13">
        <f>Table26[[#This Row],[Heating time]]+Table26[[#This Row],[Holding Time (min)]]</f>
        <v>35.852798303916167</v>
      </c>
      <c r="AW640" s="13">
        <v>320</v>
      </c>
      <c r="AY640" t="s">
        <v>503</v>
      </c>
      <c r="AZ640" s="13">
        <v>18.2</v>
      </c>
      <c r="BA640" s="13">
        <v>14.1</v>
      </c>
      <c r="BE640" s="13" t="s">
        <v>506</v>
      </c>
      <c r="BQ640" s="13" t="s">
        <v>506</v>
      </c>
      <c r="CV640" s="13">
        <v>0</v>
      </c>
    </row>
    <row r="641" spans="1:100" x14ac:dyDescent="0.25">
      <c r="A641" t="s">
        <v>396</v>
      </c>
      <c r="B641" t="s">
        <v>158</v>
      </c>
      <c r="C641">
        <v>2019</v>
      </c>
      <c r="D641" t="s">
        <v>397</v>
      </c>
      <c r="E641">
        <v>1</v>
      </c>
      <c r="F641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50</v>
      </c>
      <c r="G641" s="13">
        <v>50</v>
      </c>
      <c r="L641" s="13">
        <v>50</v>
      </c>
      <c r="O64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641" s="13">
        <v>0.1</v>
      </c>
      <c r="AL641" s="13">
        <v>12</v>
      </c>
      <c r="AM641" s="13">
        <v>10</v>
      </c>
      <c r="AP641" s="13">
        <v>0.14499999999999999</v>
      </c>
      <c r="AS641" s="13">
        <v>20</v>
      </c>
      <c r="AT641" s="13">
        <f>LN(25/Table26[[#This Row],[Temperature (C)]]/(1-SQRT((Table26[[#This Row],[Temperature (C)]]-5)/Table26[[#This Row],[Temperature (C)]])))/Table26[[#This Row],[b]]</f>
        <v>15.852798303916169</v>
      </c>
      <c r="AU641" s="13">
        <f>IF(Table26[[#This Row],[b]]&lt;&gt;"",Table26[[#This Row],[T-5]], 0)</f>
        <v>15.852798303916169</v>
      </c>
      <c r="AV641" s="13">
        <f>Table26[[#This Row],[Heating time]]+Table26[[#This Row],[Holding Time (min)]]</f>
        <v>35.852798303916167</v>
      </c>
      <c r="AW641" s="13">
        <v>320</v>
      </c>
      <c r="AY641" t="s">
        <v>503</v>
      </c>
      <c r="AZ641" s="13">
        <v>8.1</v>
      </c>
      <c r="BA641" s="13">
        <v>62.2</v>
      </c>
      <c r="BE641" s="13" t="s">
        <v>506</v>
      </c>
      <c r="BQ641" s="13" t="s">
        <v>506</v>
      </c>
      <c r="CV641" s="13">
        <v>0</v>
      </c>
    </row>
    <row r="642" spans="1:100" x14ac:dyDescent="0.25">
      <c r="A642" t="s">
        <v>396</v>
      </c>
      <c r="B642" t="s">
        <v>158</v>
      </c>
      <c r="C642">
        <v>2019</v>
      </c>
      <c r="D642" t="s">
        <v>397</v>
      </c>
      <c r="E642">
        <v>1</v>
      </c>
      <c r="F642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L642" s="13">
        <v>50</v>
      </c>
      <c r="M642" s="13">
        <v>50</v>
      </c>
      <c r="O64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642" s="13">
        <v>0.1</v>
      </c>
      <c r="AL642" s="13">
        <v>12</v>
      </c>
      <c r="AM642" s="13">
        <v>10</v>
      </c>
      <c r="AP642" s="13">
        <v>0.14499999999999999</v>
      </c>
      <c r="AS642" s="13">
        <v>20</v>
      </c>
      <c r="AT642" s="13">
        <f>LN(25/Table26[[#This Row],[Temperature (C)]]/(1-SQRT((Table26[[#This Row],[Temperature (C)]]-5)/Table26[[#This Row],[Temperature (C)]])))/Table26[[#This Row],[b]]</f>
        <v>15.852798303916169</v>
      </c>
      <c r="AU642" s="13">
        <f>IF(Table26[[#This Row],[b]]&lt;&gt;"",Table26[[#This Row],[T-5]], 0)</f>
        <v>15.852798303916169</v>
      </c>
      <c r="AV642" s="13">
        <f>Table26[[#This Row],[Heating time]]+Table26[[#This Row],[Holding Time (min)]]</f>
        <v>35.852798303916167</v>
      </c>
      <c r="AW642" s="13">
        <v>320</v>
      </c>
      <c r="AY642" t="s">
        <v>503</v>
      </c>
      <c r="AZ642" s="13">
        <v>19.399999999999999</v>
      </c>
      <c r="BA642" s="13">
        <v>18.100000000000001</v>
      </c>
      <c r="BE642" s="13" t="s">
        <v>506</v>
      </c>
      <c r="BQ642" s="13" t="s">
        <v>506</v>
      </c>
      <c r="CV642" s="13">
        <v>0</v>
      </c>
    </row>
    <row r="643" spans="1:100" x14ac:dyDescent="0.25">
      <c r="A643" t="s">
        <v>396</v>
      </c>
      <c r="B643" t="s">
        <v>158</v>
      </c>
      <c r="C643">
        <v>2019</v>
      </c>
      <c r="D643" t="s">
        <v>397</v>
      </c>
      <c r="E643">
        <v>1</v>
      </c>
      <c r="F643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33</v>
      </c>
      <c r="G643" s="13">
        <v>33</v>
      </c>
      <c r="K643" s="13">
        <v>33</v>
      </c>
      <c r="M643" s="13">
        <v>33</v>
      </c>
      <c r="O64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</v>
      </c>
      <c r="AI643" s="13">
        <v>0.1</v>
      </c>
      <c r="AL643" s="13">
        <v>12</v>
      </c>
      <c r="AM643" s="13">
        <v>10</v>
      </c>
      <c r="AP643" s="13">
        <v>0.14499999999999999</v>
      </c>
      <c r="AS643" s="13">
        <v>20</v>
      </c>
      <c r="AT643" s="13">
        <f>LN(25/Table26[[#This Row],[Temperature (C)]]/(1-SQRT((Table26[[#This Row],[Temperature (C)]]-5)/Table26[[#This Row],[Temperature (C)]])))/Table26[[#This Row],[b]]</f>
        <v>15.852798303916169</v>
      </c>
      <c r="AU643" s="13">
        <f>IF(Table26[[#This Row],[b]]&lt;&gt;"",Table26[[#This Row],[T-5]], 0)</f>
        <v>15.852798303916169</v>
      </c>
      <c r="AV643" s="13">
        <f>Table26[[#This Row],[Heating time]]+Table26[[#This Row],[Holding Time (min)]]</f>
        <v>35.852798303916167</v>
      </c>
      <c r="AW643" s="13">
        <v>320</v>
      </c>
      <c r="AY643" t="s">
        <v>503</v>
      </c>
      <c r="AZ643" s="13">
        <v>16.3</v>
      </c>
      <c r="BA643" s="13">
        <v>21</v>
      </c>
      <c r="BE643" s="13" t="s">
        <v>506</v>
      </c>
      <c r="BQ643" s="13" t="s">
        <v>506</v>
      </c>
      <c r="CV643" s="13">
        <v>0</v>
      </c>
    </row>
    <row r="644" spans="1:100" x14ac:dyDescent="0.25">
      <c r="A644" t="s">
        <v>396</v>
      </c>
      <c r="B644" t="s">
        <v>158</v>
      </c>
      <c r="C644">
        <v>2019</v>
      </c>
      <c r="D644" t="s">
        <v>397</v>
      </c>
      <c r="E644">
        <v>1</v>
      </c>
      <c r="F644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33</v>
      </c>
      <c r="G644" s="13">
        <v>33</v>
      </c>
      <c r="K644" s="13">
        <v>33</v>
      </c>
      <c r="L644" s="13">
        <v>33</v>
      </c>
      <c r="O64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</v>
      </c>
      <c r="AI644" s="13">
        <v>0.1</v>
      </c>
      <c r="AL644" s="13">
        <v>12</v>
      </c>
      <c r="AM644" s="13">
        <v>10</v>
      </c>
      <c r="AP644" s="13">
        <v>0.14499999999999999</v>
      </c>
      <c r="AS644" s="13">
        <v>20</v>
      </c>
      <c r="AT644" s="13">
        <f>LN(25/Table26[[#This Row],[Temperature (C)]]/(1-SQRT((Table26[[#This Row],[Temperature (C)]]-5)/Table26[[#This Row],[Temperature (C)]])))/Table26[[#This Row],[b]]</f>
        <v>15.852798303916169</v>
      </c>
      <c r="AU644" s="13">
        <f>IF(Table26[[#This Row],[b]]&lt;&gt;"",Table26[[#This Row],[T-5]], 0)</f>
        <v>15.852798303916169</v>
      </c>
      <c r="AV644" s="13">
        <f>Table26[[#This Row],[Heating time]]+Table26[[#This Row],[Holding Time (min)]]</f>
        <v>35.852798303916167</v>
      </c>
      <c r="AW644" s="13">
        <v>320</v>
      </c>
      <c r="AY644" t="s">
        <v>503</v>
      </c>
      <c r="AZ644" s="13">
        <v>3.2</v>
      </c>
      <c r="BA644" s="13">
        <v>31.7</v>
      </c>
      <c r="BE644" s="13" t="s">
        <v>506</v>
      </c>
      <c r="BQ644" s="13" t="s">
        <v>506</v>
      </c>
      <c r="CV644" s="13">
        <v>0</v>
      </c>
    </row>
    <row r="645" spans="1:100" x14ac:dyDescent="0.25">
      <c r="A645" t="s">
        <v>396</v>
      </c>
      <c r="B645" t="s">
        <v>158</v>
      </c>
      <c r="C645">
        <v>2019</v>
      </c>
      <c r="D645" t="s">
        <v>397</v>
      </c>
      <c r="E645">
        <v>1</v>
      </c>
      <c r="F645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645" s="13">
        <v>33</v>
      </c>
      <c r="L645" s="13">
        <v>33</v>
      </c>
      <c r="M645" s="13">
        <v>33</v>
      </c>
      <c r="O64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</v>
      </c>
      <c r="AI645" s="13">
        <v>0.1</v>
      </c>
      <c r="AL645" s="13">
        <v>12</v>
      </c>
      <c r="AM645" s="13">
        <v>10</v>
      </c>
      <c r="AP645" s="13">
        <v>0.14499999999999999</v>
      </c>
      <c r="AS645" s="13">
        <v>20</v>
      </c>
      <c r="AT645" s="13">
        <f>LN(25/Table26[[#This Row],[Temperature (C)]]/(1-SQRT((Table26[[#This Row],[Temperature (C)]]-5)/Table26[[#This Row],[Temperature (C)]])))/Table26[[#This Row],[b]]</f>
        <v>15.852798303916169</v>
      </c>
      <c r="AU645" s="13">
        <f>IF(Table26[[#This Row],[b]]&lt;&gt;"",Table26[[#This Row],[T-5]], 0)</f>
        <v>15.852798303916169</v>
      </c>
      <c r="AV645" s="13">
        <f>Table26[[#This Row],[Heating time]]+Table26[[#This Row],[Holding Time (min)]]</f>
        <v>35.852798303916167</v>
      </c>
      <c r="AW645" s="13">
        <v>320</v>
      </c>
      <c r="AY645" t="s">
        <v>503</v>
      </c>
      <c r="AZ645" s="13">
        <v>13.7</v>
      </c>
      <c r="BA645" s="13">
        <v>24.1</v>
      </c>
      <c r="BE645" s="13" t="s">
        <v>506</v>
      </c>
      <c r="BQ645" s="13" t="s">
        <v>506</v>
      </c>
      <c r="CV645" s="13">
        <v>0</v>
      </c>
    </row>
    <row r="646" spans="1:100" x14ac:dyDescent="0.25">
      <c r="A646" t="s">
        <v>396</v>
      </c>
      <c r="B646" t="s">
        <v>158</v>
      </c>
      <c r="C646">
        <v>2019</v>
      </c>
      <c r="D646" t="s">
        <v>397</v>
      </c>
      <c r="E646">
        <v>1</v>
      </c>
      <c r="F646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33</v>
      </c>
      <c r="G646" s="13">
        <v>33</v>
      </c>
      <c r="K646" s="13">
        <v>0</v>
      </c>
      <c r="L646" s="13">
        <v>33</v>
      </c>
      <c r="M646" s="13">
        <v>33</v>
      </c>
      <c r="O64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</v>
      </c>
      <c r="AI646" s="13">
        <v>0.1</v>
      </c>
      <c r="AL646" s="13">
        <v>12</v>
      </c>
      <c r="AM646" s="13">
        <v>10</v>
      </c>
      <c r="AP646" s="13">
        <v>0.14499999999999999</v>
      </c>
      <c r="AS646" s="13">
        <v>20</v>
      </c>
      <c r="AT646" s="13">
        <f>LN(25/Table26[[#This Row],[Temperature (C)]]/(1-SQRT((Table26[[#This Row],[Temperature (C)]]-5)/Table26[[#This Row],[Temperature (C)]])))/Table26[[#This Row],[b]]</f>
        <v>15.852798303916169</v>
      </c>
      <c r="AU646" s="13">
        <f>IF(Table26[[#This Row],[b]]&lt;&gt;"",Table26[[#This Row],[T-5]], 0)</f>
        <v>15.852798303916169</v>
      </c>
      <c r="AV646" s="13">
        <f>Table26[[#This Row],[Heating time]]+Table26[[#This Row],[Holding Time (min)]]</f>
        <v>35.852798303916167</v>
      </c>
      <c r="AW646" s="13">
        <v>320</v>
      </c>
      <c r="AY646" t="s">
        <v>503</v>
      </c>
      <c r="AZ646" s="13">
        <v>14</v>
      </c>
      <c r="BA646" s="13">
        <v>41.8</v>
      </c>
      <c r="BE646" s="13" t="s">
        <v>506</v>
      </c>
      <c r="BQ646" s="13" t="s">
        <v>506</v>
      </c>
      <c r="CV646" s="13">
        <v>0</v>
      </c>
    </row>
    <row r="647" spans="1:100" x14ac:dyDescent="0.25">
      <c r="A647" t="s">
        <v>396</v>
      </c>
      <c r="B647" t="s">
        <v>158</v>
      </c>
      <c r="C647">
        <v>2019</v>
      </c>
      <c r="D647" t="s">
        <v>397</v>
      </c>
      <c r="E647">
        <v>1</v>
      </c>
      <c r="F64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25</v>
      </c>
      <c r="G647" s="13">
        <v>25</v>
      </c>
      <c r="K647" s="13">
        <v>25</v>
      </c>
      <c r="L647" s="13">
        <v>25</v>
      </c>
      <c r="M647" s="13">
        <v>25</v>
      </c>
      <c r="O64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647" s="13">
        <v>0.1</v>
      </c>
      <c r="AL647" s="13">
        <v>12</v>
      </c>
      <c r="AM647" s="13">
        <v>10</v>
      </c>
      <c r="AP647" s="13">
        <v>0.14499999999999999</v>
      </c>
      <c r="AS647" s="13">
        <v>20</v>
      </c>
      <c r="AT647" s="13">
        <f>LN(25/Table26[[#This Row],[Temperature (C)]]/(1-SQRT((Table26[[#This Row],[Temperature (C)]]-5)/Table26[[#This Row],[Temperature (C)]])))/Table26[[#This Row],[b]]</f>
        <v>15.852798303916169</v>
      </c>
      <c r="AU647" s="13">
        <f>IF(Table26[[#This Row],[b]]&lt;&gt;"",Table26[[#This Row],[T-5]], 0)</f>
        <v>15.852798303916169</v>
      </c>
      <c r="AV647" s="13">
        <f>Table26[[#This Row],[Heating time]]+Table26[[#This Row],[Holding Time (min)]]</f>
        <v>35.852798303916167</v>
      </c>
      <c r="AW647" s="13">
        <v>320</v>
      </c>
      <c r="AY647" t="s">
        <v>503</v>
      </c>
      <c r="AZ647" s="13">
        <v>12.7</v>
      </c>
      <c r="BA647" s="13">
        <v>36.5</v>
      </c>
      <c r="BE647" s="13" t="s">
        <v>506</v>
      </c>
      <c r="BQ647" s="13" t="s">
        <v>506</v>
      </c>
      <c r="CV647" s="13">
        <v>0</v>
      </c>
    </row>
    <row r="648" spans="1:100" x14ac:dyDescent="0.25">
      <c r="A648" t="s">
        <v>396</v>
      </c>
      <c r="B648" t="s">
        <v>158</v>
      </c>
      <c r="C648">
        <v>2019</v>
      </c>
      <c r="D648" t="s">
        <v>397</v>
      </c>
      <c r="E648">
        <v>1</v>
      </c>
      <c r="F648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13</v>
      </c>
      <c r="G648" s="13">
        <v>13</v>
      </c>
      <c r="K648" s="13">
        <v>63</v>
      </c>
      <c r="L648" s="13">
        <v>13</v>
      </c>
      <c r="M648" s="13">
        <v>13</v>
      </c>
      <c r="O64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102</v>
      </c>
      <c r="AI648" s="13">
        <v>0.1</v>
      </c>
      <c r="AL648" s="13">
        <v>12</v>
      </c>
      <c r="AM648" s="13">
        <v>10</v>
      </c>
      <c r="AP648" s="13">
        <v>0.14499999999999999</v>
      </c>
      <c r="AS648" s="13">
        <v>20</v>
      </c>
      <c r="AT648" s="13">
        <f>LN(25/Table26[[#This Row],[Temperature (C)]]/(1-SQRT((Table26[[#This Row],[Temperature (C)]]-5)/Table26[[#This Row],[Temperature (C)]])))/Table26[[#This Row],[b]]</f>
        <v>15.852798303916169</v>
      </c>
      <c r="AU648" s="13">
        <f>IF(Table26[[#This Row],[b]]&lt;&gt;"",Table26[[#This Row],[T-5]], 0)</f>
        <v>15.852798303916169</v>
      </c>
      <c r="AV648" s="13">
        <f>Table26[[#This Row],[Heating time]]+Table26[[#This Row],[Holding Time (min)]]</f>
        <v>35.852798303916167</v>
      </c>
      <c r="AW648" s="13">
        <v>320</v>
      </c>
      <c r="AY648" t="s">
        <v>503</v>
      </c>
      <c r="AZ648" s="13">
        <v>7.4</v>
      </c>
      <c r="BA648" s="13">
        <v>23.3</v>
      </c>
      <c r="BE648" s="13" t="s">
        <v>506</v>
      </c>
      <c r="BQ648" s="13" t="s">
        <v>506</v>
      </c>
      <c r="CV648" s="13">
        <v>0</v>
      </c>
    </row>
    <row r="649" spans="1:100" x14ac:dyDescent="0.25">
      <c r="A649" t="s">
        <v>396</v>
      </c>
      <c r="B649" t="s">
        <v>158</v>
      </c>
      <c r="C649">
        <v>2019</v>
      </c>
      <c r="D649" t="s">
        <v>397</v>
      </c>
      <c r="E649">
        <v>1</v>
      </c>
      <c r="F649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63</v>
      </c>
      <c r="G649" s="13">
        <v>63</v>
      </c>
      <c r="K649" s="13">
        <v>13</v>
      </c>
      <c r="L649" s="13">
        <v>13</v>
      </c>
      <c r="M649" s="13">
        <v>13</v>
      </c>
      <c r="O64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102</v>
      </c>
      <c r="AI649" s="13">
        <v>0.1</v>
      </c>
      <c r="AL649" s="13">
        <v>12</v>
      </c>
      <c r="AM649" s="13">
        <v>10</v>
      </c>
      <c r="AP649" s="13">
        <v>0.14499999999999999</v>
      </c>
      <c r="AS649" s="13">
        <v>20</v>
      </c>
      <c r="AT649" s="13">
        <f>LN(25/Table26[[#This Row],[Temperature (C)]]/(1-SQRT((Table26[[#This Row],[Temperature (C)]]-5)/Table26[[#This Row],[Temperature (C)]])))/Table26[[#This Row],[b]]</f>
        <v>15.852798303916169</v>
      </c>
      <c r="AU649" s="13">
        <f>IF(Table26[[#This Row],[b]]&lt;&gt;"",Table26[[#This Row],[T-5]], 0)</f>
        <v>15.852798303916169</v>
      </c>
      <c r="AV649" s="13">
        <f>Table26[[#This Row],[Heating time]]+Table26[[#This Row],[Holding Time (min)]]</f>
        <v>35.852798303916167</v>
      </c>
      <c r="AW649" s="13">
        <v>320</v>
      </c>
      <c r="AY649" t="s">
        <v>503</v>
      </c>
      <c r="AZ649" s="13">
        <v>14.5</v>
      </c>
      <c r="BA649" s="13">
        <v>28.2</v>
      </c>
      <c r="BE649" s="13" t="s">
        <v>506</v>
      </c>
      <c r="BQ649" s="13" t="s">
        <v>506</v>
      </c>
      <c r="CV649" s="13">
        <v>0</v>
      </c>
    </row>
    <row r="650" spans="1:100" x14ac:dyDescent="0.25">
      <c r="A650" t="s">
        <v>396</v>
      </c>
      <c r="B650" t="s">
        <v>158</v>
      </c>
      <c r="C650">
        <v>2019</v>
      </c>
      <c r="D650" t="s">
        <v>397</v>
      </c>
      <c r="E650">
        <v>1</v>
      </c>
      <c r="F650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13</v>
      </c>
      <c r="G650" s="13">
        <v>13</v>
      </c>
      <c r="K650" s="13">
        <v>13</v>
      </c>
      <c r="L650" s="13">
        <v>13</v>
      </c>
      <c r="M650" s="13">
        <v>63</v>
      </c>
      <c r="O65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102</v>
      </c>
      <c r="AI650" s="13">
        <v>0.1</v>
      </c>
      <c r="AL650" s="13">
        <v>12</v>
      </c>
      <c r="AM650" s="13">
        <v>10</v>
      </c>
      <c r="AP650" s="13">
        <v>0.14499999999999999</v>
      </c>
      <c r="AS650" s="13">
        <v>20</v>
      </c>
      <c r="AT650" s="13">
        <f>LN(25/Table26[[#This Row],[Temperature (C)]]/(1-SQRT((Table26[[#This Row],[Temperature (C)]]-5)/Table26[[#This Row],[Temperature (C)]])))/Table26[[#This Row],[b]]</f>
        <v>15.852798303916169</v>
      </c>
      <c r="AU650" s="13">
        <f>IF(Table26[[#This Row],[b]]&lt;&gt;"",Table26[[#This Row],[T-5]], 0)</f>
        <v>15.852798303916169</v>
      </c>
      <c r="AV650" s="13">
        <f>Table26[[#This Row],[Heating time]]+Table26[[#This Row],[Holding Time (min)]]</f>
        <v>35.852798303916167</v>
      </c>
      <c r="AW650" s="13">
        <v>320</v>
      </c>
      <c r="AY650" t="s">
        <v>503</v>
      </c>
      <c r="AZ650" s="13">
        <v>27.7</v>
      </c>
      <c r="BA650" s="13">
        <v>10.5</v>
      </c>
      <c r="BE650" s="13" t="s">
        <v>506</v>
      </c>
      <c r="BQ650" s="13" t="s">
        <v>506</v>
      </c>
      <c r="CV650" s="13">
        <v>0</v>
      </c>
    </row>
    <row r="651" spans="1:100" x14ac:dyDescent="0.25">
      <c r="A651" t="s">
        <v>396</v>
      </c>
      <c r="B651" t="s">
        <v>158</v>
      </c>
      <c r="C651">
        <v>2019</v>
      </c>
      <c r="D651" t="s">
        <v>397</v>
      </c>
      <c r="E651">
        <v>1</v>
      </c>
      <c r="F651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13</v>
      </c>
      <c r="G651" s="13">
        <v>13</v>
      </c>
      <c r="K651" s="13">
        <v>13</v>
      </c>
      <c r="L651" s="13">
        <v>63</v>
      </c>
      <c r="M651" s="13">
        <v>13</v>
      </c>
      <c r="O65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102</v>
      </c>
      <c r="AI651" s="13">
        <v>0.1</v>
      </c>
      <c r="AL651" s="13">
        <v>12</v>
      </c>
      <c r="AM651" s="13">
        <v>10</v>
      </c>
      <c r="AP651" s="13">
        <v>0.14499999999999999</v>
      </c>
      <c r="AS651" s="13">
        <v>20</v>
      </c>
      <c r="AT651" s="13">
        <f>LN(25/Table26[[#This Row],[Temperature (C)]]/(1-SQRT((Table26[[#This Row],[Temperature (C)]]-5)/Table26[[#This Row],[Temperature (C)]])))/Table26[[#This Row],[b]]</f>
        <v>15.852798303916169</v>
      </c>
      <c r="AU651" s="13">
        <f>IF(Table26[[#This Row],[b]]&lt;&gt;"",Table26[[#This Row],[T-5]], 0)</f>
        <v>15.852798303916169</v>
      </c>
      <c r="AV651" s="13">
        <f>Table26[[#This Row],[Heating time]]+Table26[[#This Row],[Holding Time (min)]]</f>
        <v>35.852798303916167</v>
      </c>
      <c r="AW651" s="13">
        <v>320</v>
      </c>
      <c r="AY651" t="s">
        <v>503</v>
      </c>
      <c r="AZ651" s="13">
        <v>5.6</v>
      </c>
      <c r="BA651" s="13">
        <v>64.3</v>
      </c>
      <c r="BE651" s="13" t="s">
        <v>506</v>
      </c>
      <c r="BQ651" s="13" t="s">
        <v>506</v>
      </c>
      <c r="CV651" s="13">
        <v>0</v>
      </c>
    </row>
    <row r="652" spans="1:100" x14ac:dyDescent="0.25">
      <c r="A652" t="s">
        <v>396</v>
      </c>
      <c r="B652" t="s">
        <v>158</v>
      </c>
      <c r="C652">
        <v>2019</v>
      </c>
      <c r="D652" t="s">
        <v>397</v>
      </c>
      <c r="E652">
        <v>1</v>
      </c>
      <c r="F652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25</v>
      </c>
      <c r="G652" s="13">
        <v>25</v>
      </c>
      <c r="K652" s="13">
        <v>25</v>
      </c>
      <c r="L652" s="13">
        <v>25</v>
      </c>
      <c r="M652" s="13">
        <v>25</v>
      </c>
      <c r="O65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652" s="13">
        <v>0.1</v>
      </c>
      <c r="AL652" s="13">
        <v>12</v>
      </c>
      <c r="AM652" s="13">
        <v>10</v>
      </c>
      <c r="AP652" s="13">
        <v>0.14499999999999999</v>
      </c>
      <c r="AS652" s="13">
        <v>20</v>
      </c>
      <c r="AT652" s="13">
        <f>LN(25/Table26[[#This Row],[Temperature (C)]]/(1-SQRT((Table26[[#This Row],[Temperature (C)]]-5)/Table26[[#This Row],[Temperature (C)]])))/Table26[[#This Row],[b]]</f>
        <v>15.852798303916169</v>
      </c>
      <c r="AU652" s="13">
        <f>IF(Table26[[#This Row],[b]]&lt;&gt;"",Table26[[#This Row],[T-5]], 0)</f>
        <v>15.852798303916169</v>
      </c>
      <c r="AV652" s="13">
        <f>Table26[[#This Row],[Heating time]]+Table26[[#This Row],[Holding Time (min)]]</f>
        <v>35.852798303916167</v>
      </c>
      <c r="AW652" s="13">
        <v>320</v>
      </c>
      <c r="AY652" t="s">
        <v>503</v>
      </c>
      <c r="AZ652" s="13">
        <v>11.5</v>
      </c>
      <c r="BA652" s="13">
        <v>35.1</v>
      </c>
      <c r="BE652" s="13" t="s">
        <v>506</v>
      </c>
      <c r="BQ652" s="13" t="s">
        <v>506</v>
      </c>
      <c r="CV652" s="13">
        <v>0</v>
      </c>
    </row>
    <row r="653" spans="1:100" x14ac:dyDescent="0.25">
      <c r="A653" s="1" t="s">
        <v>398</v>
      </c>
      <c r="B653" t="s">
        <v>399</v>
      </c>
      <c r="C653">
        <v>2019</v>
      </c>
      <c r="D653" t="s">
        <v>400</v>
      </c>
      <c r="E653">
        <v>1</v>
      </c>
      <c r="F653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39.817906618335599</v>
      </c>
      <c r="G653" s="13">
        <v>39.817906618335599</v>
      </c>
      <c r="K653" s="13">
        <v>24.2421090407138</v>
      </c>
      <c r="L653" s="13">
        <v>35.939984340950502</v>
      </c>
      <c r="N653" s="13">
        <v>4.68</v>
      </c>
      <c r="O65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99.999999999999901</v>
      </c>
      <c r="R653" s="13">
        <v>70.13</v>
      </c>
      <c r="AB653" s="13">
        <v>56.16</v>
      </c>
      <c r="AC653" s="13">
        <v>8.0500000000000007</v>
      </c>
      <c r="AD653" s="13">
        <v>33.19</v>
      </c>
      <c r="AE653" s="13">
        <v>2.61</v>
      </c>
      <c r="AH653" s="13">
        <v>24.51</v>
      </c>
      <c r="AI653" s="13">
        <v>0.03</v>
      </c>
      <c r="AL653" s="13">
        <v>20</v>
      </c>
      <c r="AO653" s="13">
        <v>3.5</v>
      </c>
      <c r="AP653" s="13">
        <v>1.1100000000000001</v>
      </c>
      <c r="AS653" s="13">
        <v>40</v>
      </c>
      <c r="AT653" s="13">
        <f>LN(25/Table26[[#This Row],[Temperature (C)]]/(1-SQRT((Table26[[#This Row],[Temperature (C)]]-5)/Table26[[#This Row],[Temperature (C)]])))/Table26[[#This Row],[b]]</f>
        <v>2.0703519030751871</v>
      </c>
      <c r="AU653" s="13">
        <f>IF(Table26[[#This Row],[b]]&lt;&gt;"",Table26[[#This Row],[T-5]], 0)</f>
        <v>2.0703519030751871</v>
      </c>
      <c r="AV653" s="13">
        <f>Table26[[#This Row],[Heating time]]+Table26[[#This Row],[Holding Time (min)]]</f>
        <v>42.070351903075185</v>
      </c>
      <c r="AW653" s="13">
        <v>280</v>
      </c>
      <c r="AY653" t="s">
        <v>503</v>
      </c>
      <c r="BA653" s="13">
        <v>38.284424379232497</v>
      </c>
      <c r="BE653" s="13" t="s">
        <v>506</v>
      </c>
      <c r="BQ653" s="13" t="s">
        <v>506</v>
      </c>
      <c r="CV653" s="13">
        <v>0</v>
      </c>
    </row>
    <row r="654" spans="1:100" x14ac:dyDescent="0.25">
      <c r="A654" t="s">
        <v>398</v>
      </c>
      <c r="B654" t="s">
        <v>399</v>
      </c>
      <c r="C654">
        <v>2019</v>
      </c>
      <c r="D654" t="s">
        <v>400</v>
      </c>
      <c r="E654">
        <v>1</v>
      </c>
      <c r="F654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39.817906618335599</v>
      </c>
      <c r="G654" s="13">
        <v>39.817906618335599</v>
      </c>
      <c r="K654" s="13">
        <v>24.2421090407138</v>
      </c>
      <c r="L654" s="13">
        <v>35.939984340950502</v>
      </c>
      <c r="N654" s="13">
        <v>4.68</v>
      </c>
      <c r="O65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99.999999999999901</v>
      </c>
      <c r="R654" s="13">
        <v>70.13</v>
      </c>
      <c r="AB654" s="13">
        <v>56.16</v>
      </c>
      <c r="AC654" s="13">
        <v>8.0500000000000007</v>
      </c>
      <c r="AD654" s="13">
        <v>33.19</v>
      </c>
      <c r="AE654" s="13">
        <v>2.61</v>
      </c>
      <c r="AH654" s="13">
        <v>24.51</v>
      </c>
      <c r="AI654" s="13">
        <v>0.03</v>
      </c>
      <c r="AL654" s="13">
        <v>20</v>
      </c>
      <c r="AO654" s="13">
        <v>3.5</v>
      </c>
      <c r="AP654" s="13">
        <v>1.1100000000000001</v>
      </c>
      <c r="AS654" s="13">
        <v>40</v>
      </c>
      <c r="AT654" s="13">
        <f>LN(25/Table26[[#This Row],[Temperature (C)]]/(1-SQRT((Table26[[#This Row],[Temperature (C)]]-5)/Table26[[#This Row],[Temperature (C)]])))/Table26[[#This Row],[b]]</f>
        <v>2.0706235503286319</v>
      </c>
      <c r="AU654" s="13">
        <f>IF(Table26[[#This Row],[b]]&lt;&gt;"",Table26[[#This Row],[T-5]], 0)</f>
        <v>2.0706235503286319</v>
      </c>
      <c r="AV654" s="13">
        <f>Table26[[#This Row],[Heating time]]+Table26[[#This Row],[Holding Time (min)]]</f>
        <v>42.070623550328634</v>
      </c>
      <c r="AW654" s="13">
        <v>300</v>
      </c>
      <c r="AY654" t="s">
        <v>503</v>
      </c>
      <c r="BA654" s="13">
        <v>39.187358916478502</v>
      </c>
      <c r="BE654" s="13" t="s">
        <v>506</v>
      </c>
      <c r="BQ654" s="13" t="s">
        <v>506</v>
      </c>
      <c r="CV654" s="13">
        <v>0</v>
      </c>
    </row>
    <row r="655" spans="1:100" x14ac:dyDescent="0.25">
      <c r="A655" t="s">
        <v>398</v>
      </c>
      <c r="B655" t="s">
        <v>399</v>
      </c>
      <c r="C655">
        <v>2019</v>
      </c>
      <c r="D655" t="s">
        <v>400</v>
      </c>
      <c r="E655">
        <v>1</v>
      </c>
      <c r="F655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39.817906618335599</v>
      </c>
      <c r="G655" s="13">
        <v>39.817906618335599</v>
      </c>
      <c r="K655" s="13">
        <v>24.2421090407138</v>
      </c>
      <c r="L655" s="13">
        <v>35.939984340950502</v>
      </c>
      <c r="N655" s="13">
        <v>4.68</v>
      </c>
      <c r="O65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99.999999999999901</v>
      </c>
      <c r="R655" s="13">
        <v>70.13</v>
      </c>
      <c r="AB655" s="13">
        <v>56.16</v>
      </c>
      <c r="AC655" s="13">
        <v>8.0500000000000007</v>
      </c>
      <c r="AD655" s="13">
        <v>33.19</v>
      </c>
      <c r="AE655" s="13">
        <v>2.61</v>
      </c>
      <c r="AH655" s="13">
        <v>24.51</v>
      </c>
      <c r="AI655" s="13">
        <v>0.03</v>
      </c>
      <c r="AL655" s="13">
        <v>20</v>
      </c>
      <c r="AO655" s="13">
        <v>3.5</v>
      </c>
      <c r="AP655" s="13">
        <v>1.1100000000000001</v>
      </c>
      <c r="AS655" s="13">
        <v>40</v>
      </c>
      <c r="AT655" s="13">
        <f>LN(25/Table26[[#This Row],[Temperature (C)]]/(1-SQRT((Table26[[#This Row],[Temperature (C)]]-5)/Table26[[#This Row],[Temperature (C)]])))/Table26[[#This Row],[b]]</f>
        <v>2.0708610397007603</v>
      </c>
      <c r="AU655" s="13">
        <f>IF(Table26[[#This Row],[b]]&lt;&gt;"",Table26[[#This Row],[T-5]], 0)</f>
        <v>2.0708610397007603</v>
      </c>
      <c r="AV655" s="13">
        <f>Table26[[#This Row],[Heating time]]+Table26[[#This Row],[Holding Time (min)]]</f>
        <v>42.070861039700759</v>
      </c>
      <c r="AW655" s="13">
        <v>320</v>
      </c>
      <c r="AY655" t="s">
        <v>503</v>
      </c>
      <c r="BA655" s="13">
        <v>44.0632054176072</v>
      </c>
      <c r="BE655" s="13" t="s">
        <v>506</v>
      </c>
      <c r="BQ655" s="13" t="s">
        <v>506</v>
      </c>
      <c r="CV655" s="13">
        <v>0</v>
      </c>
    </row>
    <row r="656" spans="1:100" x14ac:dyDescent="0.25">
      <c r="A656" t="s">
        <v>398</v>
      </c>
      <c r="B656" t="s">
        <v>399</v>
      </c>
      <c r="C656">
        <v>2019</v>
      </c>
      <c r="D656" t="s">
        <v>400</v>
      </c>
      <c r="E656">
        <v>1</v>
      </c>
      <c r="F656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39.817906618335599</v>
      </c>
      <c r="G656" s="13">
        <v>39.817906618335599</v>
      </c>
      <c r="K656" s="13">
        <v>24.2421090407138</v>
      </c>
      <c r="L656" s="13">
        <v>35.939984340950502</v>
      </c>
      <c r="N656" s="13">
        <v>4.68</v>
      </c>
      <c r="O65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99.999999999999901</v>
      </c>
      <c r="R656" s="13">
        <v>70.13</v>
      </c>
      <c r="AB656" s="13">
        <v>56.16</v>
      </c>
      <c r="AC656" s="13">
        <v>8.0500000000000007</v>
      </c>
      <c r="AD656" s="13">
        <v>33.19</v>
      </c>
      <c r="AE656" s="13">
        <v>2.61</v>
      </c>
      <c r="AH656" s="13">
        <v>24.51</v>
      </c>
      <c r="AI656" s="13">
        <v>0.03</v>
      </c>
      <c r="AL656" s="13">
        <v>20</v>
      </c>
      <c r="AO656" s="13">
        <v>3.5</v>
      </c>
      <c r="AP656" s="13">
        <v>1.1100000000000001</v>
      </c>
      <c r="AS656" s="13">
        <v>40</v>
      </c>
      <c r="AT656" s="13">
        <f>LN(25/Table26[[#This Row],[Temperature (C)]]/(1-SQRT((Table26[[#This Row],[Temperature (C)]]-5)/Table26[[#This Row],[Temperature (C)]])))/Table26[[#This Row],[b]]</f>
        <v>2.0710704328770686</v>
      </c>
      <c r="AU656" s="13">
        <f>IF(Table26[[#This Row],[b]]&lt;&gt;"",Table26[[#This Row],[T-5]], 0)</f>
        <v>2.0710704328770686</v>
      </c>
      <c r="AV656" s="13">
        <f>Table26[[#This Row],[Heating time]]+Table26[[#This Row],[Holding Time (min)]]</f>
        <v>42.071070432877072</v>
      </c>
      <c r="AW656" s="13">
        <v>340</v>
      </c>
      <c r="AY656" t="s">
        <v>503</v>
      </c>
      <c r="BA656" s="13">
        <v>46.410835214446898</v>
      </c>
      <c r="BE656" s="13" t="s">
        <v>506</v>
      </c>
      <c r="BQ656" s="13" t="s">
        <v>506</v>
      </c>
      <c r="CV656" s="13">
        <v>0</v>
      </c>
    </row>
    <row r="657" spans="1:100" x14ac:dyDescent="0.25">
      <c r="A657" t="s">
        <v>398</v>
      </c>
      <c r="B657" t="s">
        <v>399</v>
      </c>
      <c r="C657">
        <v>2019</v>
      </c>
      <c r="D657" t="s">
        <v>400</v>
      </c>
      <c r="E657">
        <v>1</v>
      </c>
      <c r="F65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39.817906618335599</v>
      </c>
      <c r="G657" s="13">
        <v>39.817906618335599</v>
      </c>
      <c r="K657" s="13">
        <v>24.2421090407138</v>
      </c>
      <c r="L657" s="13">
        <v>35.939984340950502</v>
      </c>
      <c r="N657" s="13">
        <v>4.68</v>
      </c>
      <c r="O65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99.999999999999901</v>
      </c>
      <c r="R657" s="13">
        <v>70.13</v>
      </c>
      <c r="AB657" s="13">
        <v>56.16</v>
      </c>
      <c r="AC657" s="13">
        <v>8.0500000000000007</v>
      </c>
      <c r="AD657" s="13">
        <v>33.19</v>
      </c>
      <c r="AE657" s="13">
        <v>2.61</v>
      </c>
      <c r="AH657" s="13">
        <v>24.51</v>
      </c>
      <c r="AI657" s="13">
        <v>0.03</v>
      </c>
      <c r="AL657" s="13">
        <v>20</v>
      </c>
      <c r="AO657" s="13">
        <v>3.5</v>
      </c>
      <c r="AP657" s="13">
        <v>1.1100000000000001</v>
      </c>
      <c r="AS657" s="13">
        <v>40</v>
      </c>
      <c r="AT657" s="13">
        <f>LN(25/Table26[[#This Row],[Temperature (C)]]/(1-SQRT((Table26[[#This Row],[Temperature (C)]]-5)/Table26[[#This Row],[Temperature (C)]])))/Table26[[#This Row],[b]]</f>
        <v>2.0712564373473494</v>
      </c>
      <c r="AU657" s="13">
        <f>IF(Table26[[#This Row],[b]]&lt;&gt;"",Table26[[#This Row],[T-5]], 0)</f>
        <v>2.0712564373473494</v>
      </c>
      <c r="AV657" s="13">
        <f>Table26[[#This Row],[Heating time]]+Table26[[#This Row],[Holding Time (min)]]</f>
        <v>42.071256437347351</v>
      </c>
      <c r="AW657" s="13">
        <v>360</v>
      </c>
      <c r="AY657" t="s">
        <v>503</v>
      </c>
      <c r="BA657" s="13">
        <v>48.577878103837399</v>
      </c>
      <c r="BE657" s="13" t="s">
        <v>506</v>
      </c>
      <c r="BI657" s="13">
        <v>74.37</v>
      </c>
      <c r="BJ657" s="13">
        <v>10.54</v>
      </c>
      <c r="BK657" s="13">
        <v>11.57</v>
      </c>
      <c r="BL657" s="13">
        <v>3.52</v>
      </c>
      <c r="BN657" s="13">
        <v>38.15</v>
      </c>
      <c r="BP657" s="13">
        <v>72.2</v>
      </c>
      <c r="BQ657" s="13" t="s">
        <v>506</v>
      </c>
      <c r="CV657" s="13">
        <v>0</v>
      </c>
    </row>
    <row r="658" spans="1:100" x14ac:dyDescent="0.25">
      <c r="A658" t="s">
        <v>398</v>
      </c>
      <c r="B658" t="s">
        <v>399</v>
      </c>
      <c r="C658">
        <v>2019</v>
      </c>
      <c r="D658" t="s">
        <v>400</v>
      </c>
      <c r="E658">
        <v>1</v>
      </c>
      <c r="F658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39.817906618335599</v>
      </c>
      <c r="G658" s="13">
        <v>39.817906618335599</v>
      </c>
      <c r="K658" s="13">
        <v>24.2421090407138</v>
      </c>
      <c r="L658" s="13">
        <v>35.939984340950502</v>
      </c>
      <c r="N658" s="13">
        <v>4.68</v>
      </c>
      <c r="O65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99.999999999999901</v>
      </c>
      <c r="R658" s="13">
        <v>70.13</v>
      </c>
      <c r="AB658" s="13">
        <v>56.16</v>
      </c>
      <c r="AC658" s="13">
        <v>8.0500000000000007</v>
      </c>
      <c r="AD658" s="13">
        <v>33.19</v>
      </c>
      <c r="AE658" s="13">
        <v>2.61</v>
      </c>
      <c r="AH658" s="13">
        <v>24.51</v>
      </c>
      <c r="AI658" s="13">
        <v>0.03</v>
      </c>
      <c r="AL658" s="13">
        <v>20</v>
      </c>
      <c r="AO658" s="13">
        <v>3.5</v>
      </c>
      <c r="AP658" s="13">
        <v>1.1100000000000001</v>
      </c>
      <c r="AS658" s="13">
        <v>40</v>
      </c>
      <c r="AT658" s="13">
        <f>LN(25/Table26[[#This Row],[Temperature (C)]]/(1-SQRT((Table26[[#This Row],[Temperature (C)]]-5)/Table26[[#This Row],[Temperature (C)]])))/Table26[[#This Row],[b]]</f>
        <v>2.0714227645698284</v>
      </c>
      <c r="AU658" s="13">
        <f>IF(Table26[[#This Row],[b]]&lt;&gt;"",Table26[[#This Row],[T-5]], 0)</f>
        <v>2.0714227645698284</v>
      </c>
      <c r="AV658" s="13">
        <f>Table26[[#This Row],[Heating time]]+Table26[[#This Row],[Holding Time (min)]]</f>
        <v>42.071422764569832</v>
      </c>
      <c r="AW658" s="13">
        <v>380</v>
      </c>
      <c r="AY658" t="s">
        <v>503</v>
      </c>
      <c r="BA658" s="13">
        <v>44.785553047404001</v>
      </c>
      <c r="BE658" s="13" t="s">
        <v>506</v>
      </c>
      <c r="BQ658" s="13" t="s">
        <v>506</v>
      </c>
      <c r="CV658" s="13">
        <v>0</v>
      </c>
    </row>
    <row r="659" spans="1:100" x14ac:dyDescent="0.25">
      <c r="A659" t="s">
        <v>398</v>
      </c>
      <c r="B659" t="s">
        <v>399</v>
      </c>
      <c r="C659">
        <v>2019</v>
      </c>
      <c r="D659" t="s">
        <v>400</v>
      </c>
      <c r="E659">
        <v>1</v>
      </c>
      <c r="F659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39.817906618335599</v>
      </c>
      <c r="G659" s="13">
        <v>39.817906618335599</v>
      </c>
      <c r="K659" s="13">
        <v>24.2421090407138</v>
      </c>
      <c r="L659" s="13">
        <v>35.939984340950502</v>
      </c>
      <c r="N659" s="13">
        <v>4.68</v>
      </c>
      <c r="O65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99.999999999999901</v>
      </c>
      <c r="R659" s="13">
        <v>70.13</v>
      </c>
      <c r="AB659" s="13">
        <v>56.16</v>
      </c>
      <c r="AC659" s="13">
        <v>8.0500000000000007</v>
      </c>
      <c r="AD659" s="13">
        <v>33.19</v>
      </c>
      <c r="AE659" s="13">
        <v>2.61</v>
      </c>
      <c r="AH659" s="13">
        <v>24.51</v>
      </c>
      <c r="AI659" s="13">
        <v>0.03</v>
      </c>
      <c r="AL659" s="13">
        <v>20</v>
      </c>
      <c r="AO659" s="13">
        <v>3.5</v>
      </c>
      <c r="AP659" s="13">
        <v>1.1100000000000001</v>
      </c>
      <c r="AS659" s="13">
        <v>10</v>
      </c>
      <c r="AT659" s="13">
        <f>LN(25/Table26[[#This Row],[Temperature (C)]]/(1-SQRT((Table26[[#This Row],[Temperature (C)]]-5)/Table26[[#This Row],[Temperature (C)]])))/Table26[[#This Row],[b]]</f>
        <v>2.0712564373473494</v>
      </c>
      <c r="AU659" s="13">
        <f>IF(Table26[[#This Row],[b]]&lt;&gt;"",Table26[[#This Row],[T-5]], 0)</f>
        <v>2.0712564373473494</v>
      </c>
      <c r="AV659" s="13">
        <f>Table26[[#This Row],[Heating time]]+Table26[[#This Row],[Holding Time (min)]]</f>
        <v>12.071256437347349</v>
      </c>
      <c r="AW659" s="13">
        <v>360</v>
      </c>
      <c r="AY659" t="s">
        <v>503</v>
      </c>
      <c r="BA659" s="13">
        <v>26.133240492330302</v>
      </c>
      <c r="BE659" s="13" t="s">
        <v>506</v>
      </c>
      <c r="BQ659" s="13" t="s">
        <v>506</v>
      </c>
      <c r="CV659" s="13">
        <v>0</v>
      </c>
    </row>
    <row r="660" spans="1:100" x14ac:dyDescent="0.25">
      <c r="A660" t="s">
        <v>398</v>
      </c>
      <c r="B660" t="s">
        <v>399</v>
      </c>
      <c r="C660">
        <v>2019</v>
      </c>
      <c r="D660" t="s">
        <v>400</v>
      </c>
      <c r="E660">
        <v>1</v>
      </c>
      <c r="F660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39.817906618335599</v>
      </c>
      <c r="G660" s="13">
        <v>39.817906618335599</v>
      </c>
      <c r="K660" s="13">
        <v>24.2421090407138</v>
      </c>
      <c r="L660" s="13">
        <v>35.939984340950502</v>
      </c>
      <c r="N660" s="13">
        <v>4.68</v>
      </c>
      <c r="O66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99.999999999999901</v>
      </c>
      <c r="R660" s="13">
        <v>70.13</v>
      </c>
      <c r="AB660" s="13">
        <v>56.16</v>
      </c>
      <c r="AC660" s="13">
        <v>8.0500000000000007</v>
      </c>
      <c r="AD660" s="13">
        <v>33.19</v>
      </c>
      <c r="AE660" s="13">
        <v>2.61</v>
      </c>
      <c r="AH660" s="13">
        <v>24.51</v>
      </c>
      <c r="AI660" s="13">
        <v>0.03</v>
      </c>
      <c r="AL660" s="13">
        <v>20</v>
      </c>
      <c r="AO660" s="13">
        <v>3.5</v>
      </c>
      <c r="AP660" s="13">
        <v>1.1100000000000001</v>
      </c>
      <c r="AS660" s="13">
        <v>20</v>
      </c>
      <c r="AT660" s="13">
        <f>LN(25/Table26[[#This Row],[Temperature (C)]]/(1-SQRT((Table26[[#This Row],[Temperature (C)]]-5)/Table26[[#This Row],[Temperature (C)]])))/Table26[[#This Row],[b]]</f>
        <v>2.0712564373473494</v>
      </c>
      <c r="AU660" s="13">
        <f>IF(Table26[[#This Row],[b]]&lt;&gt;"",Table26[[#This Row],[T-5]], 0)</f>
        <v>2.0712564373473494</v>
      </c>
      <c r="AV660" s="13">
        <f>Table26[[#This Row],[Heating time]]+Table26[[#This Row],[Holding Time (min)]]</f>
        <v>22.071256437347351</v>
      </c>
      <c r="AW660" s="13">
        <v>360</v>
      </c>
      <c r="AY660" t="s">
        <v>503</v>
      </c>
      <c r="BA660" s="13">
        <v>41.434393495668502</v>
      </c>
      <c r="BE660" s="13" t="s">
        <v>506</v>
      </c>
      <c r="BQ660" s="13" t="s">
        <v>506</v>
      </c>
      <c r="CV660" s="13">
        <v>0</v>
      </c>
    </row>
    <row r="661" spans="1:100" x14ac:dyDescent="0.25">
      <c r="A661" t="s">
        <v>398</v>
      </c>
      <c r="B661" t="s">
        <v>399</v>
      </c>
      <c r="C661">
        <v>2019</v>
      </c>
      <c r="D661" t="s">
        <v>400</v>
      </c>
      <c r="E661">
        <v>1</v>
      </c>
      <c r="F661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39.817906618335599</v>
      </c>
      <c r="G661" s="13">
        <v>39.817906618335599</v>
      </c>
      <c r="K661" s="13">
        <v>24.2421090407138</v>
      </c>
      <c r="L661" s="13">
        <v>35.939984340950502</v>
      </c>
      <c r="N661" s="13">
        <v>4.68</v>
      </c>
      <c r="O66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99.999999999999901</v>
      </c>
      <c r="R661" s="13">
        <v>70.13</v>
      </c>
      <c r="AB661" s="13">
        <v>56.16</v>
      </c>
      <c r="AC661" s="13">
        <v>8.0500000000000007</v>
      </c>
      <c r="AD661" s="13">
        <v>33.19</v>
      </c>
      <c r="AE661" s="13">
        <v>2.61</v>
      </c>
      <c r="AH661" s="13">
        <v>24.51</v>
      </c>
      <c r="AI661" s="13">
        <v>0.03</v>
      </c>
      <c r="AL661" s="13">
        <v>20</v>
      </c>
      <c r="AO661" s="13">
        <v>3.5</v>
      </c>
      <c r="AP661" s="13">
        <v>1.1100000000000001</v>
      </c>
      <c r="AS661" s="13">
        <v>60</v>
      </c>
      <c r="AT661" s="13">
        <f>LN(25/Table26[[#This Row],[Temperature (C)]]/(1-SQRT((Table26[[#This Row],[Temperature (C)]]-5)/Table26[[#This Row],[Temperature (C)]])))/Table26[[#This Row],[b]]</f>
        <v>2.0712564373473494</v>
      </c>
      <c r="AU661" s="13">
        <f>IF(Table26[[#This Row],[b]]&lt;&gt;"",Table26[[#This Row],[T-5]], 0)</f>
        <v>2.0712564373473494</v>
      </c>
      <c r="AV661" s="13">
        <f>Table26[[#This Row],[Heating time]]+Table26[[#This Row],[Holding Time (min)]]</f>
        <v>62.071256437347351</v>
      </c>
      <c r="AW661" s="13">
        <v>360</v>
      </c>
      <c r="AY661" t="s">
        <v>503</v>
      </c>
      <c r="BA661" s="13">
        <v>47.466464600954303</v>
      </c>
      <c r="BE661" s="13" t="s">
        <v>506</v>
      </c>
      <c r="BQ661" s="13" t="s">
        <v>506</v>
      </c>
      <c r="CV661" s="13">
        <v>0</v>
      </c>
    </row>
    <row r="662" spans="1:100" x14ac:dyDescent="0.25">
      <c r="A662" t="s">
        <v>398</v>
      </c>
      <c r="B662" t="s">
        <v>399</v>
      </c>
      <c r="C662">
        <v>2019</v>
      </c>
      <c r="D662" t="s">
        <v>401</v>
      </c>
      <c r="E662">
        <v>1</v>
      </c>
      <c r="F662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21.491175497403798</v>
      </c>
      <c r="G662" s="13">
        <v>21.491175497403798</v>
      </c>
      <c r="K662" s="13">
        <v>6.0744552181340801</v>
      </c>
      <c r="L662" s="13">
        <v>72.434369284461994</v>
      </c>
      <c r="N662" s="13">
        <v>4.8899999999999997</v>
      </c>
      <c r="O66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99.999999999999872</v>
      </c>
      <c r="R662" s="13">
        <v>59.07</v>
      </c>
      <c r="AB662" s="13">
        <v>65.62</v>
      </c>
      <c r="AC662" s="13">
        <v>9.99</v>
      </c>
      <c r="AD662" s="13">
        <v>23.41</v>
      </c>
      <c r="AE662" s="13">
        <v>0.98</v>
      </c>
      <c r="AH662" s="13">
        <v>30.76</v>
      </c>
      <c r="AI662" s="13">
        <v>0.03</v>
      </c>
      <c r="AL662" s="13">
        <v>20</v>
      </c>
      <c r="AO662" s="13">
        <v>3.5</v>
      </c>
      <c r="AP662" s="13">
        <v>1.1100000000000001</v>
      </c>
      <c r="AS662" s="13">
        <v>40</v>
      </c>
      <c r="AT662" s="13">
        <f>LN(25/Table26[[#This Row],[Temperature (C)]]/(1-SQRT((Table26[[#This Row],[Temperature (C)]]-5)/Table26[[#This Row],[Temperature (C)]])))/Table26[[#This Row],[b]]</f>
        <v>2.0703519030751871</v>
      </c>
      <c r="AU662" s="13">
        <f>IF(Table26[[#This Row],[b]]&lt;&gt;"",Table26[[#This Row],[T-5]], 0)</f>
        <v>2.0703519030751871</v>
      </c>
      <c r="AV662" s="13">
        <f>Table26[[#This Row],[Heating time]]+Table26[[#This Row],[Holding Time (min)]]</f>
        <v>42.070351903075185</v>
      </c>
      <c r="AW662" s="13">
        <v>280</v>
      </c>
      <c r="AY662" t="s">
        <v>503</v>
      </c>
      <c r="BA662" s="13">
        <v>71.8735891647855</v>
      </c>
      <c r="BE662" s="13" t="s">
        <v>506</v>
      </c>
      <c r="BQ662" s="13" t="s">
        <v>506</v>
      </c>
      <c r="CV662" s="13">
        <v>0</v>
      </c>
    </row>
    <row r="663" spans="1:100" x14ac:dyDescent="0.25">
      <c r="A663" t="s">
        <v>398</v>
      </c>
      <c r="B663" t="s">
        <v>399</v>
      </c>
      <c r="C663">
        <v>2019</v>
      </c>
      <c r="D663" t="s">
        <v>401</v>
      </c>
      <c r="E663">
        <v>1</v>
      </c>
      <c r="F663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21.491175497403798</v>
      </c>
      <c r="G663" s="13">
        <v>21.491175497403798</v>
      </c>
      <c r="K663" s="13">
        <v>6.0744552181340801</v>
      </c>
      <c r="L663" s="13">
        <v>72.434369284461994</v>
      </c>
      <c r="N663" s="13">
        <v>4.8899999999999997</v>
      </c>
      <c r="O66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99.999999999999872</v>
      </c>
      <c r="R663" s="13">
        <v>59.07</v>
      </c>
      <c r="AB663" s="13">
        <v>65.62</v>
      </c>
      <c r="AC663" s="13">
        <v>9.99</v>
      </c>
      <c r="AD663" s="13">
        <v>23.41</v>
      </c>
      <c r="AE663" s="13">
        <v>0.98</v>
      </c>
      <c r="AH663" s="13">
        <v>30.76</v>
      </c>
      <c r="AI663" s="13">
        <v>0.03</v>
      </c>
      <c r="AL663" s="13">
        <v>20</v>
      </c>
      <c r="AO663" s="13">
        <v>3.5</v>
      </c>
      <c r="AP663" s="13">
        <v>1.1100000000000001</v>
      </c>
      <c r="AS663" s="13">
        <v>40</v>
      </c>
      <c r="AT663" s="13">
        <f>LN(25/Table26[[#This Row],[Temperature (C)]]/(1-SQRT((Table26[[#This Row],[Temperature (C)]]-5)/Table26[[#This Row],[Temperature (C)]])))/Table26[[#This Row],[b]]</f>
        <v>2.0706235503286319</v>
      </c>
      <c r="AU663" s="13">
        <f>IF(Table26[[#This Row],[b]]&lt;&gt;"",Table26[[#This Row],[T-5]], 0)</f>
        <v>2.0706235503286319</v>
      </c>
      <c r="AV663" s="13">
        <f>Table26[[#This Row],[Heating time]]+Table26[[#This Row],[Holding Time (min)]]</f>
        <v>42.070623550328634</v>
      </c>
      <c r="AW663" s="13">
        <v>300</v>
      </c>
      <c r="AY663" t="s">
        <v>503</v>
      </c>
      <c r="BA663" s="13">
        <v>72.957110609480793</v>
      </c>
      <c r="BE663" s="13" t="s">
        <v>506</v>
      </c>
      <c r="BQ663" s="13" t="s">
        <v>506</v>
      </c>
      <c r="CV663" s="13">
        <v>0</v>
      </c>
    </row>
    <row r="664" spans="1:100" ht="15" customHeight="1" x14ac:dyDescent="0.25">
      <c r="A664" t="s">
        <v>398</v>
      </c>
      <c r="B664" t="s">
        <v>399</v>
      </c>
      <c r="C664">
        <v>2019</v>
      </c>
      <c r="D664" t="s">
        <v>401</v>
      </c>
      <c r="E664">
        <v>1</v>
      </c>
      <c r="F664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21.491175497403798</v>
      </c>
      <c r="G664" s="13">
        <v>21.491175497403798</v>
      </c>
      <c r="K664" s="13">
        <v>6.0744552181340801</v>
      </c>
      <c r="L664" s="13">
        <v>72.434369284461994</v>
      </c>
      <c r="N664" s="13">
        <v>4.8899999999999997</v>
      </c>
      <c r="O66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99.999999999999872</v>
      </c>
      <c r="R664" s="13">
        <v>59.07</v>
      </c>
      <c r="AB664" s="13">
        <v>65.62</v>
      </c>
      <c r="AC664" s="13">
        <v>9.99</v>
      </c>
      <c r="AD664" s="13">
        <v>23.41</v>
      </c>
      <c r="AE664" s="13">
        <v>0.98</v>
      </c>
      <c r="AH664" s="13">
        <v>30.76</v>
      </c>
      <c r="AI664" s="13">
        <v>0.03</v>
      </c>
      <c r="AL664" s="13">
        <v>20</v>
      </c>
      <c r="AO664" s="13">
        <v>3.5</v>
      </c>
      <c r="AP664" s="13">
        <v>1.1100000000000001</v>
      </c>
      <c r="AS664" s="13">
        <v>40</v>
      </c>
      <c r="AT664" s="13">
        <f>LN(25/Table26[[#This Row],[Temperature (C)]]/(1-SQRT((Table26[[#This Row],[Temperature (C)]]-5)/Table26[[#This Row],[Temperature (C)]])))/Table26[[#This Row],[b]]</f>
        <v>2.0708610397007603</v>
      </c>
      <c r="AU664" s="13">
        <f>IF(Table26[[#This Row],[b]]&lt;&gt;"",Table26[[#This Row],[T-5]], 0)</f>
        <v>2.0708610397007603</v>
      </c>
      <c r="AV664" s="13">
        <f>Table26[[#This Row],[Heating time]]+Table26[[#This Row],[Holding Time (min)]]</f>
        <v>42.070861039700759</v>
      </c>
      <c r="AW664" s="13">
        <v>320</v>
      </c>
      <c r="AY664" t="s">
        <v>503</v>
      </c>
      <c r="BA664" s="13">
        <v>78.013544018058695</v>
      </c>
      <c r="BE664" s="13" t="s">
        <v>506</v>
      </c>
      <c r="BI664" s="13">
        <v>75.22</v>
      </c>
      <c r="BJ664" s="13">
        <v>11.58</v>
      </c>
      <c r="BK664" s="13">
        <v>12.9</v>
      </c>
      <c r="BL664" s="13">
        <v>0.31</v>
      </c>
      <c r="BN664" s="13">
        <v>39.68</v>
      </c>
      <c r="BP664" s="13">
        <v>95.8</v>
      </c>
      <c r="BQ664" s="13" t="s">
        <v>506</v>
      </c>
      <c r="CV664" s="13">
        <v>0</v>
      </c>
    </row>
    <row r="665" spans="1:100" x14ac:dyDescent="0.25">
      <c r="A665" t="s">
        <v>398</v>
      </c>
      <c r="B665" t="s">
        <v>399</v>
      </c>
      <c r="C665">
        <v>2019</v>
      </c>
      <c r="D665" t="s">
        <v>401</v>
      </c>
      <c r="E665">
        <v>1</v>
      </c>
      <c r="F665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21.491175497403798</v>
      </c>
      <c r="G665" s="13">
        <v>21.491175497403798</v>
      </c>
      <c r="K665" s="13">
        <v>6.0744552181340801</v>
      </c>
      <c r="L665" s="13">
        <v>72.434369284461994</v>
      </c>
      <c r="N665" s="13">
        <v>4.8899999999999997</v>
      </c>
      <c r="O66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99.999999999999872</v>
      </c>
      <c r="R665" s="13">
        <v>59.07</v>
      </c>
      <c r="AB665" s="13">
        <v>65.62</v>
      </c>
      <c r="AC665" s="13">
        <v>9.99</v>
      </c>
      <c r="AD665" s="13">
        <v>23.41</v>
      </c>
      <c r="AE665" s="13">
        <v>0.98</v>
      </c>
      <c r="AH665" s="13">
        <v>30.76</v>
      </c>
      <c r="AI665" s="13">
        <v>0.03</v>
      </c>
      <c r="AL665" s="13">
        <v>20</v>
      </c>
      <c r="AO665" s="13">
        <v>3.5</v>
      </c>
      <c r="AP665" s="13">
        <v>1.1100000000000001</v>
      </c>
      <c r="AS665" s="13">
        <v>40</v>
      </c>
      <c r="AT665" s="13">
        <f>LN(25/Table26[[#This Row],[Temperature (C)]]/(1-SQRT((Table26[[#This Row],[Temperature (C)]]-5)/Table26[[#This Row],[Temperature (C)]])))/Table26[[#This Row],[b]]</f>
        <v>2.0710704328770686</v>
      </c>
      <c r="AU665" s="13">
        <f>IF(Table26[[#This Row],[b]]&lt;&gt;"",Table26[[#This Row],[T-5]], 0)</f>
        <v>2.0710704328770686</v>
      </c>
      <c r="AV665" s="13">
        <f>Table26[[#This Row],[Heating time]]+Table26[[#This Row],[Holding Time (min)]]</f>
        <v>42.071070432877072</v>
      </c>
      <c r="AW665" s="13">
        <v>340</v>
      </c>
      <c r="AY665" t="s">
        <v>503</v>
      </c>
      <c r="BA665" s="13">
        <v>72.957110609480793</v>
      </c>
      <c r="BE665" s="13" t="s">
        <v>506</v>
      </c>
      <c r="BQ665" s="13" t="s">
        <v>506</v>
      </c>
      <c r="CV665" s="13">
        <v>0</v>
      </c>
    </row>
    <row r="666" spans="1:100" x14ac:dyDescent="0.25">
      <c r="A666" t="s">
        <v>398</v>
      </c>
      <c r="B666" t="s">
        <v>399</v>
      </c>
      <c r="C666">
        <v>2019</v>
      </c>
      <c r="D666" t="s">
        <v>401</v>
      </c>
      <c r="E666">
        <v>1</v>
      </c>
      <c r="F666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21.491175497403798</v>
      </c>
      <c r="G666" s="13">
        <v>21.491175497403798</v>
      </c>
      <c r="K666" s="13">
        <v>6.0744552181340801</v>
      </c>
      <c r="L666" s="13">
        <v>72.434369284461994</v>
      </c>
      <c r="N666" s="13">
        <v>4.8899999999999997</v>
      </c>
      <c r="O66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99.999999999999872</v>
      </c>
      <c r="R666" s="13">
        <v>59.07</v>
      </c>
      <c r="AB666" s="13">
        <v>65.62</v>
      </c>
      <c r="AC666" s="13">
        <v>9.99</v>
      </c>
      <c r="AD666" s="13">
        <v>23.41</v>
      </c>
      <c r="AE666" s="13">
        <v>0.98</v>
      </c>
      <c r="AH666" s="13">
        <v>30.76</v>
      </c>
      <c r="AI666" s="13">
        <v>0.03</v>
      </c>
      <c r="AL666" s="13">
        <v>20</v>
      </c>
      <c r="AO666" s="13">
        <v>3.5</v>
      </c>
      <c r="AP666" s="13">
        <v>1.1100000000000001</v>
      </c>
      <c r="AS666" s="13">
        <v>40</v>
      </c>
      <c r="AT666" s="13">
        <f>LN(25/Table26[[#This Row],[Temperature (C)]]/(1-SQRT((Table26[[#This Row],[Temperature (C)]]-5)/Table26[[#This Row],[Temperature (C)]])))/Table26[[#This Row],[b]]</f>
        <v>2.0712564373473494</v>
      </c>
      <c r="AU666" s="13">
        <f>IF(Table26[[#This Row],[b]]&lt;&gt;"",Table26[[#This Row],[T-5]], 0)</f>
        <v>2.0712564373473494</v>
      </c>
      <c r="AV666" s="13">
        <f>Table26[[#This Row],[Heating time]]+Table26[[#This Row],[Holding Time (min)]]</f>
        <v>42.071256437347351</v>
      </c>
      <c r="AW666" s="13">
        <v>360</v>
      </c>
      <c r="AY666" t="s">
        <v>503</v>
      </c>
      <c r="BA666" s="13">
        <v>70.970654627539503</v>
      </c>
      <c r="BE666" s="13" t="s">
        <v>506</v>
      </c>
      <c r="BQ666" s="13" t="s">
        <v>506</v>
      </c>
      <c r="CV666" s="13">
        <v>0</v>
      </c>
    </row>
    <row r="667" spans="1:100" x14ac:dyDescent="0.25">
      <c r="A667" t="s">
        <v>398</v>
      </c>
      <c r="B667" t="s">
        <v>399</v>
      </c>
      <c r="C667">
        <v>2019</v>
      </c>
      <c r="D667" t="s">
        <v>401</v>
      </c>
      <c r="E667">
        <v>1</v>
      </c>
      <c r="F66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21.491175497403798</v>
      </c>
      <c r="G667" s="13">
        <v>21.491175497403798</v>
      </c>
      <c r="K667" s="13">
        <v>6.0744552181340801</v>
      </c>
      <c r="L667" s="13">
        <v>72.434369284461994</v>
      </c>
      <c r="N667" s="13">
        <v>4.8899999999999997</v>
      </c>
      <c r="O66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99.999999999999872</v>
      </c>
      <c r="R667" s="13">
        <v>59.07</v>
      </c>
      <c r="AB667" s="13">
        <v>65.62</v>
      </c>
      <c r="AC667" s="13">
        <v>9.99</v>
      </c>
      <c r="AD667" s="13">
        <v>23.41</v>
      </c>
      <c r="AE667" s="13">
        <v>0.98</v>
      </c>
      <c r="AH667" s="13">
        <v>30.76</v>
      </c>
      <c r="AI667" s="13">
        <v>0.03</v>
      </c>
      <c r="AL667" s="13">
        <v>20</v>
      </c>
      <c r="AO667" s="13">
        <v>3.5</v>
      </c>
      <c r="AP667" s="13">
        <v>1.1100000000000001</v>
      </c>
      <c r="AS667" s="13">
        <v>10</v>
      </c>
      <c r="AT667" s="13">
        <f>LN(25/Table26[[#This Row],[Temperature (C)]]/(1-SQRT((Table26[[#This Row],[Temperature (C)]]-5)/Table26[[#This Row],[Temperature (C)]])))/Table26[[#This Row],[b]]</f>
        <v>2.0708610397007603</v>
      </c>
      <c r="AU667" s="13">
        <f>IF(Table26[[#This Row],[b]]&lt;&gt;"",Table26[[#This Row],[T-5]], 0)</f>
        <v>2.0708610397007603</v>
      </c>
      <c r="AV667" s="13">
        <f>Table26[[#This Row],[Heating time]]+Table26[[#This Row],[Holding Time (min)]]</f>
        <v>12.070861039700761</v>
      </c>
      <c r="AW667" s="13">
        <v>320</v>
      </c>
      <c r="AY667" t="s">
        <v>503</v>
      </c>
      <c r="BA667" s="13">
        <v>72.661737901656807</v>
      </c>
      <c r="BE667" s="13" t="s">
        <v>506</v>
      </c>
      <c r="BQ667" s="13" t="s">
        <v>506</v>
      </c>
      <c r="CV667" s="13">
        <v>0</v>
      </c>
    </row>
    <row r="668" spans="1:100" x14ac:dyDescent="0.25">
      <c r="A668" t="s">
        <v>398</v>
      </c>
      <c r="B668" t="s">
        <v>399</v>
      </c>
      <c r="C668">
        <v>2019</v>
      </c>
      <c r="D668" t="s">
        <v>401</v>
      </c>
      <c r="E668">
        <v>1</v>
      </c>
      <c r="F668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21.491175497403798</v>
      </c>
      <c r="G668" s="13">
        <v>21.491175497403798</v>
      </c>
      <c r="K668" s="13">
        <v>6.0744552181340801</v>
      </c>
      <c r="L668" s="13">
        <v>72.434369284461994</v>
      </c>
      <c r="N668" s="13">
        <v>4.8899999999999997</v>
      </c>
      <c r="O66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99.999999999999872</v>
      </c>
      <c r="R668" s="13">
        <v>59.07</v>
      </c>
      <c r="AB668" s="13">
        <v>65.62</v>
      </c>
      <c r="AC668" s="13">
        <v>9.99</v>
      </c>
      <c r="AD668" s="13">
        <v>23.41</v>
      </c>
      <c r="AE668" s="13">
        <v>0.98</v>
      </c>
      <c r="AH668" s="13">
        <v>30.76</v>
      </c>
      <c r="AI668" s="13">
        <v>0.03</v>
      </c>
      <c r="AL668" s="13">
        <v>20</v>
      </c>
      <c r="AO668" s="13">
        <v>3.5</v>
      </c>
      <c r="AP668" s="13">
        <v>1.1100000000000001</v>
      </c>
      <c r="AS668" s="13">
        <v>20</v>
      </c>
      <c r="AT668" s="13">
        <f>LN(25/Table26[[#This Row],[Temperature (C)]]/(1-SQRT((Table26[[#This Row],[Temperature (C)]]-5)/Table26[[#This Row],[Temperature (C)]])))/Table26[[#This Row],[b]]</f>
        <v>2.0708610397007603</v>
      </c>
      <c r="AU668" s="13">
        <f>IF(Table26[[#This Row],[b]]&lt;&gt;"",Table26[[#This Row],[T-5]], 0)</f>
        <v>2.0708610397007603</v>
      </c>
      <c r="AV668" s="13">
        <f>Table26[[#This Row],[Heating time]]+Table26[[#This Row],[Holding Time (min)]]</f>
        <v>22.070861039700759</v>
      </c>
      <c r="AW668" s="13">
        <v>320</v>
      </c>
      <c r="AY668" t="s">
        <v>503</v>
      </c>
      <c r="BA668" s="13">
        <v>76.560650433144204</v>
      </c>
      <c r="BE668" s="13" t="s">
        <v>506</v>
      </c>
      <c r="BQ668" s="13" t="s">
        <v>506</v>
      </c>
      <c r="CV668" s="13">
        <v>0</v>
      </c>
    </row>
    <row r="669" spans="1:100" x14ac:dyDescent="0.25">
      <c r="A669" t="s">
        <v>398</v>
      </c>
      <c r="B669" t="s">
        <v>399</v>
      </c>
      <c r="C669">
        <v>2019</v>
      </c>
      <c r="D669" t="s">
        <v>401</v>
      </c>
      <c r="E669">
        <v>1</v>
      </c>
      <c r="F669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21.491175497403798</v>
      </c>
      <c r="G669" s="13">
        <v>21.491175497403798</v>
      </c>
      <c r="K669" s="13">
        <v>6.0744552181340801</v>
      </c>
      <c r="L669" s="13">
        <v>72.434369284461994</v>
      </c>
      <c r="N669" s="13">
        <v>4.8899999999999997</v>
      </c>
      <c r="O66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99.999999999999872</v>
      </c>
      <c r="R669" s="13">
        <v>59.07</v>
      </c>
      <c r="AB669" s="13">
        <v>65.62</v>
      </c>
      <c r="AC669" s="13">
        <v>9.99</v>
      </c>
      <c r="AD669" s="13">
        <v>23.41</v>
      </c>
      <c r="AE669" s="13">
        <v>0.98</v>
      </c>
      <c r="AH669" s="13">
        <v>30.76</v>
      </c>
      <c r="AI669" s="13">
        <v>0.03</v>
      </c>
      <c r="AL669" s="13">
        <v>20</v>
      </c>
      <c r="AO669" s="13">
        <v>3.5</v>
      </c>
      <c r="AP669" s="13">
        <v>1.1100000000000001</v>
      </c>
      <c r="AS669" s="13">
        <v>60</v>
      </c>
      <c r="AT669" s="13">
        <f>LN(25/Table26[[#This Row],[Temperature (C)]]/(1-SQRT((Table26[[#This Row],[Temperature (C)]]-5)/Table26[[#This Row],[Temperature (C)]])))/Table26[[#This Row],[b]]</f>
        <v>2.0708610397007603</v>
      </c>
      <c r="AU669" s="13">
        <f>IF(Table26[[#This Row],[b]]&lt;&gt;"",Table26[[#This Row],[T-5]], 0)</f>
        <v>2.0708610397007603</v>
      </c>
      <c r="AV669" s="13">
        <f>Table26[[#This Row],[Heating time]]+Table26[[#This Row],[Holding Time (min)]]</f>
        <v>62.070861039700759</v>
      </c>
      <c r="AW669" s="13">
        <v>320</v>
      </c>
      <c r="AY669" t="s">
        <v>503</v>
      </c>
      <c r="BA669" s="13">
        <v>76.891601302504597</v>
      </c>
      <c r="BE669" s="13" t="s">
        <v>506</v>
      </c>
      <c r="BQ669" s="13" t="s">
        <v>506</v>
      </c>
      <c r="CV669" s="13">
        <v>0</v>
      </c>
    </row>
    <row r="670" spans="1:100" ht="15.75" customHeight="1" x14ac:dyDescent="0.25">
      <c r="A670" t="s">
        <v>398</v>
      </c>
      <c r="B670" t="s">
        <v>399</v>
      </c>
      <c r="C670">
        <v>2019</v>
      </c>
      <c r="D670" t="s">
        <v>402</v>
      </c>
      <c r="E670">
        <v>1</v>
      </c>
      <c r="F670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11.5476779795566</v>
      </c>
      <c r="G670" s="13">
        <v>11.5476779795566</v>
      </c>
      <c r="K670" s="13">
        <v>13.5225191083052</v>
      </c>
      <c r="L670" s="13">
        <v>74.929802912138001</v>
      </c>
      <c r="N670" s="13">
        <v>3.1</v>
      </c>
      <c r="O67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99.999999999999801</v>
      </c>
      <c r="R670" s="13">
        <v>55.38</v>
      </c>
      <c r="AB670" s="13">
        <v>65.489999999999995</v>
      </c>
      <c r="AC670" s="13">
        <v>10.19</v>
      </c>
      <c r="AD670" s="13">
        <v>22.84</v>
      </c>
      <c r="AE670" s="13">
        <v>1.49</v>
      </c>
      <c r="AH670" s="13">
        <v>31.16</v>
      </c>
      <c r="AI670" s="13">
        <v>0.03</v>
      </c>
      <c r="AL670" s="13">
        <v>20</v>
      </c>
      <c r="AO670" s="13">
        <v>3.5</v>
      </c>
      <c r="AP670" s="13">
        <v>1.1100000000000001</v>
      </c>
      <c r="AS670" s="13">
        <v>40</v>
      </c>
      <c r="AT670" s="13">
        <f>LN(25/Table26[[#This Row],[Temperature (C)]]/(1-SQRT((Table26[[#This Row],[Temperature (C)]]-5)/Table26[[#This Row],[Temperature (C)]])))/Table26[[#This Row],[b]]</f>
        <v>2.0703519030751871</v>
      </c>
      <c r="AU670" s="13">
        <f>IF(Table26[[#This Row],[b]]&lt;&gt;"",Table26[[#This Row],[T-5]], 0)</f>
        <v>2.0703519030751871</v>
      </c>
      <c r="AV670" s="13">
        <f>Table26[[#This Row],[Heating time]]+Table26[[#This Row],[Holding Time (min)]]</f>
        <v>42.070351903075185</v>
      </c>
      <c r="AW670" s="13">
        <v>280</v>
      </c>
      <c r="AY670" t="s">
        <v>503</v>
      </c>
      <c r="BA670" s="13">
        <v>63.205417607223403</v>
      </c>
      <c r="BE670" s="13" t="s">
        <v>506</v>
      </c>
      <c r="BQ670" s="13" t="s">
        <v>506</v>
      </c>
      <c r="CV670" s="13">
        <v>0</v>
      </c>
    </row>
    <row r="671" spans="1:100" x14ac:dyDescent="0.25">
      <c r="A671" t="s">
        <v>398</v>
      </c>
      <c r="B671" t="s">
        <v>399</v>
      </c>
      <c r="C671">
        <v>2019</v>
      </c>
      <c r="D671" t="s">
        <v>402</v>
      </c>
      <c r="E671">
        <v>1</v>
      </c>
      <c r="F671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11.5476779795566</v>
      </c>
      <c r="G671" s="13">
        <v>11.5476779795566</v>
      </c>
      <c r="K671" s="13">
        <v>13.5225191083052</v>
      </c>
      <c r="L671" s="13">
        <v>74.929802912138001</v>
      </c>
      <c r="N671" s="13">
        <v>3.1</v>
      </c>
      <c r="O67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99.999999999999801</v>
      </c>
      <c r="R671" s="13">
        <v>55.38</v>
      </c>
      <c r="AB671" s="13">
        <v>65.489999999999995</v>
      </c>
      <c r="AC671" s="13">
        <v>10.19</v>
      </c>
      <c r="AD671" s="13">
        <v>22.84</v>
      </c>
      <c r="AE671" s="13">
        <v>1.49</v>
      </c>
      <c r="AH671" s="13">
        <v>31.16</v>
      </c>
      <c r="AI671" s="13">
        <v>0.03</v>
      </c>
      <c r="AL671" s="13">
        <v>20</v>
      </c>
      <c r="AO671" s="13">
        <v>3.5</v>
      </c>
      <c r="AP671" s="13">
        <v>1.1100000000000001</v>
      </c>
      <c r="AS671" s="13">
        <v>40</v>
      </c>
      <c r="AT671" s="13">
        <f>LN(25/Table26[[#This Row],[Temperature (C)]]/(1-SQRT((Table26[[#This Row],[Temperature (C)]]-5)/Table26[[#This Row],[Temperature (C)]])))/Table26[[#This Row],[b]]</f>
        <v>2.0706235503286319</v>
      </c>
      <c r="AU671" s="13">
        <f>IF(Table26[[#This Row],[b]]&lt;&gt;"",Table26[[#This Row],[T-5]], 0)</f>
        <v>2.0706235503286319</v>
      </c>
      <c r="AV671" s="13">
        <f>Table26[[#This Row],[Heating time]]+Table26[[#This Row],[Holding Time (min)]]</f>
        <v>42.070623550328634</v>
      </c>
      <c r="AW671" s="13">
        <v>300</v>
      </c>
      <c r="AY671" t="s">
        <v>503</v>
      </c>
      <c r="BA671" s="13">
        <v>69.164785553047395</v>
      </c>
      <c r="BE671" s="13" t="s">
        <v>506</v>
      </c>
      <c r="BQ671" s="13" t="s">
        <v>506</v>
      </c>
      <c r="CV671" s="13">
        <v>0</v>
      </c>
    </row>
    <row r="672" spans="1:100" x14ac:dyDescent="0.25">
      <c r="A672" t="s">
        <v>398</v>
      </c>
      <c r="B672" t="s">
        <v>399</v>
      </c>
      <c r="C672">
        <v>2019</v>
      </c>
      <c r="D672" t="s">
        <v>402</v>
      </c>
      <c r="E672">
        <v>1</v>
      </c>
      <c r="F672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11.5476779795566</v>
      </c>
      <c r="G672" s="13">
        <v>11.5476779795566</v>
      </c>
      <c r="K672" s="13">
        <v>13.5225191083052</v>
      </c>
      <c r="L672" s="13">
        <v>74.929802912138001</v>
      </c>
      <c r="N672" s="13">
        <v>3.1</v>
      </c>
      <c r="O67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99.999999999999801</v>
      </c>
      <c r="R672" s="13">
        <v>55.38</v>
      </c>
      <c r="AB672" s="13">
        <v>65.489999999999995</v>
      </c>
      <c r="AC672" s="13">
        <v>10.19</v>
      </c>
      <c r="AD672" s="13">
        <v>22.84</v>
      </c>
      <c r="AE672" s="13">
        <v>1.49</v>
      </c>
      <c r="AH672" s="13">
        <v>31.16</v>
      </c>
      <c r="AI672" s="13">
        <v>0.03</v>
      </c>
      <c r="AL672" s="13">
        <v>20</v>
      </c>
      <c r="AO672" s="13">
        <v>3.5</v>
      </c>
      <c r="AP672" s="13">
        <v>1.1100000000000001</v>
      </c>
      <c r="AS672" s="13">
        <v>40</v>
      </c>
      <c r="AT672" s="13">
        <f>LN(25/Table26[[#This Row],[Temperature (C)]]/(1-SQRT((Table26[[#This Row],[Temperature (C)]]-5)/Table26[[#This Row],[Temperature (C)]])))/Table26[[#This Row],[b]]</f>
        <v>2.0708610397007603</v>
      </c>
      <c r="AU672" s="13">
        <f>IF(Table26[[#This Row],[b]]&lt;&gt;"",Table26[[#This Row],[T-5]], 0)</f>
        <v>2.0708610397007603</v>
      </c>
      <c r="AV672" s="13">
        <f>Table26[[#This Row],[Heating time]]+Table26[[#This Row],[Holding Time (min)]]</f>
        <v>42.070861039700759</v>
      </c>
      <c r="AW672" s="13">
        <v>320</v>
      </c>
      <c r="AY672" t="s">
        <v>503</v>
      </c>
      <c r="BA672" s="13">
        <v>74.762979683972901</v>
      </c>
      <c r="BE672" s="13" t="s">
        <v>506</v>
      </c>
      <c r="BI672" s="13">
        <v>74.989999999999995</v>
      </c>
      <c r="BJ672" s="13">
        <v>12.1</v>
      </c>
      <c r="BK672" s="13">
        <v>12.69</v>
      </c>
      <c r="BL672" s="13">
        <v>0.23</v>
      </c>
      <c r="BN672" s="13">
        <v>40.380000000000003</v>
      </c>
      <c r="BP672" s="13">
        <v>94</v>
      </c>
      <c r="BQ672" s="13" t="s">
        <v>506</v>
      </c>
      <c r="CV672" s="13">
        <v>0</v>
      </c>
    </row>
    <row r="673" spans="1:100" x14ac:dyDescent="0.25">
      <c r="A673" t="s">
        <v>398</v>
      </c>
      <c r="B673" t="s">
        <v>399</v>
      </c>
      <c r="C673">
        <v>2019</v>
      </c>
      <c r="D673" t="s">
        <v>402</v>
      </c>
      <c r="E673">
        <v>1</v>
      </c>
      <c r="F673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11.5476779795566</v>
      </c>
      <c r="G673" s="13">
        <v>11.5476779795566</v>
      </c>
      <c r="K673" s="13">
        <v>13.5225191083052</v>
      </c>
      <c r="L673" s="13">
        <v>74.929802912138001</v>
      </c>
      <c r="N673" s="13">
        <v>3.1</v>
      </c>
      <c r="O67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99.999999999999801</v>
      </c>
      <c r="R673" s="13">
        <v>55.38</v>
      </c>
      <c r="AB673" s="13">
        <v>65.489999999999995</v>
      </c>
      <c r="AC673" s="13">
        <v>10.19</v>
      </c>
      <c r="AD673" s="13">
        <v>22.84</v>
      </c>
      <c r="AE673" s="13">
        <v>1.49</v>
      </c>
      <c r="AH673" s="13">
        <v>31.16</v>
      </c>
      <c r="AI673" s="13">
        <v>0.03</v>
      </c>
      <c r="AL673" s="13">
        <v>20</v>
      </c>
      <c r="AO673" s="13">
        <v>3.5</v>
      </c>
      <c r="AP673" s="13">
        <v>1.1100000000000001</v>
      </c>
      <c r="AS673" s="13">
        <v>40</v>
      </c>
      <c r="AT673" s="13">
        <f>LN(25/Table26[[#This Row],[Temperature (C)]]/(1-SQRT((Table26[[#This Row],[Temperature (C)]]-5)/Table26[[#This Row],[Temperature (C)]])))/Table26[[#This Row],[b]]</f>
        <v>2.0710704328770686</v>
      </c>
      <c r="AU673" s="13">
        <f>IF(Table26[[#This Row],[b]]&lt;&gt;"",Table26[[#This Row],[T-5]], 0)</f>
        <v>2.0710704328770686</v>
      </c>
      <c r="AV673" s="13">
        <f>Table26[[#This Row],[Heating time]]+Table26[[#This Row],[Holding Time (min)]]</f>
        <v>42.071070432877072</v>
      </c>
      <c r="AW673" s="13">
        <v>340</v>
      </c>
      <c r="AY673" t="s">
        <v>503</v>
      </c>
      <c r="BA673" s="13">
        <v>71.512415349887107</v>
      </c>
      <c r="BE673" s="13" t="s">
        <v>506</v>
      </c>
      <c r="BQ673" s="13" t="s">
        <v>506</v>
      </c>
      <c r="CV673" s="13">
        <v>0</v>
      </c>
    </row>
    <row r="674" spans="1:100" x14ac:dyDescent="0.25">
      <c r="A674" t="s">
        <v>398</v>
      </c>
      <c r="B674" t="s">
        <v>399</v>
      </c>
      <c r="C674">
        <v>2019</v>
      </c>
      <c r="D674" t="s">
        <v>402</v>
      </c>
      <c r="E674">
        <v>1</v>
      </c>
      <c r="F674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11.5476779795566</v>
      </c>
      <c r="G674" s="13">
        <v>11.5476779795566</v>
      </c>
      <c r="K674" s="13">
        <v>13.5225191083052</v>
      </c>
      <c r="L674" s="13">
        <v>74.929802912138001</v>
      </c>
      <c r="N674" s="13">
        <v>3.1</v>
      </c>
      <c r="O67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99.999999999999801</v>
      </c>
      <c r="R674" s="13">
        <v>55.38</v>
      </c>
      <c r="AB674" s="13">
        <v>65.489999999999995</v>
      </c>
      <c r="AC674" s="13">
        <v>10.19</v>
      </c>
      <c r="AD674" s="13">
        <v>22.84</v>
      </c>
      <c r="AE674" s="13">
        <v>1.49</v>
      </c>
      <c r="AH674" s="13">
        <v>31.16</v>
      </c>
      <c r="AI674" s="13">
        <v>0.03</v>
      </c>
      <c r="AL674" s="13">
        <v>20</v>
      </c>
      <c r="AO674" s="13">
        <v>3.5</v>
      </c>
      <c r="AP674" s="13">
        <v>1.1100000000000001</v>
      </c>
      <c r="AS674" s="13">
        <v>40</v>
      </c>
      <c r="AT674" s="13">
        <f>LN(25/Table26[[#This Row],[Temperature (C)]]/(1-SQRT((Table26[[#This Row],[Temperature (C)]]-5)/Table26[[#This Row],[Temperature (C)]])))/Table26[[#This Row],[b]]</f>
        <v>2.0712564373473494</v>
      </c>
      <c r="AU674" s="13">
        <f>IF(Table26[[#This Row],[b]]&lt;&gt;"",Table26[[#This Row],[T-5]], 0)</f>
        <v>2.0712564373473494</v>
      </c>
      <c r="AV674" s="13">
        <f>Table26[[#This Row],[Heating time]]+Table26[[#This Row],[Holding Time (min)]]</f>
        <v>42.071256437347351</v>
      </c>
      <c r="AW674" s="13">
        <v>360</v>
      </c>
      <c r="AY674" t="s">
        <v>503</v>
      </c>
      <c r="BA674" s="13">
        <v>69.345372460496606</v>
      </c>
      <c r="BE674" s="13" t="s">
        <v>506</v>
      </c>
      <c r="BQ674" s="13" t="s">
        <v>506</v>
      </c>
      <c r="CV674" s="13">
        <v>0</v>
      </c>
    </row>
    <row r="675" spans="1:100" x14ac:dyDescent="0.25">
      <c r="A675" t="s">
        <v>398</v>
      </c>
      <c r="B675" t="s">
        <v>399</v>
      </c>
      <c r="C675">
        <v>2019</v>
      </c>
      <c r="D675" t="s">
        <v>402</v>
      </c>
      <c r="E675">
        <v>1</v>
      </c>
      <c r="F675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11.5476779795566</v>
      </c>
      <c r="G675" s="13">
        <v>11.5476779795566</v>
      </c>
      <c r="K675" s="13">
        <v>13.5225191083052</v>
      </c>
      <c r="L675" s="13">
        <v>74.929802912138001</v>
      </c>
      <c r="N675" s="13">
        <v>3.1</v>
      </c>
      <c r="O67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99.999999999999801</v>
      </c>
      <c r="R675" s="13">
        <v>55.38</v>
      </c>
      <c r="AB675" s="13">
        <v>65.489999999999995</v>
      </c>
      <c r="AC675" s="13">
        <v>10.19</v>
      </c>
      <c r="AD675" s="13">
        <v>22.84</v>
      </c>
      <c r="AE675" s="13">
        <v>1.49</v>
      </c>
      <c r="AH675" s="13">
        <v>31.16</v>
      </c>
      <c r="AI675" s="13">
        <v>0.03</v>
      </c>
      <c r="AL675" s="13">
        <v>20</v>
      </c>
      <c r="AO675" s="13">
        <v>3.5</v>
      </c>
      <c r="AP675" s="13">
        <v>1.1100000000000001</v>
      </c>
      <c r="AS675" s="13">
        <v>10</v>
      </c>
      <c r="AT675" s="13">
        <f>LN(25/Table26[[#This Row],[Temperature (C)]]/(1-SQRT((Table26[[#This Row],[Temperature (C)]]-5)/Table26[[#This Row],[Temperature (C)]])))/Table26[[#This Row],[b]]</f>
        <v>2.0710704328770686</v>
      </c>
      <c r="AU675" s="13">
        <f>IF(Table26[[#This Row],[b]]&lt;&gt;"",Table26[[#This Row],[T-5]], 0)</f>
        <v>2.0710704328770686</v>
      </c>
      <c r="AV675" s="13">
        <f>Table26[[#This Row],[Heating time]]+Table26[[#This Row],[Holding Time (min)]]</f>
        <v>12.071070432877068</v>
      </c>
      <c r="AW675" s="13">
        <v>340</v>
      </c>
      <c r="AY675" t="s">
        <v>503</v>
      </c>
      <c r="BA675" s="13">
        <v>50.9611091769235</v>
      </c>
      <c r="BE675" s="13" t="s">
        <v>506</v>
      </c>
      <c r="BQ675" s="13" t="s">
        <v>506</v>
      </c>
      <c r="CV675" s="13">
        <v>0</v>
      </c>
    </row>
    <row r="676" spans="1:100" x14ac:dyDescent="0.25">
      <c r="A676" t="s">
        <v>398</v>
      </c>
      <c r="B676" t="s">
        <v>399</v>
      </c>
      <c r="C676">
        <v>2019</v>
      </c>
      <c r="D676" t="s">
        <v>402</v>
      </c>
      <c r="E676">
        <v>1</v>
      </c>
      <c r="F676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11.5476779795566</v>
      </c>
      <c r="G676" s="13">
        <v>11.5476779795566</v>
      </c>
      <c r="K676" s="13">
        <v>13.5225191083052</v>
      </c>
      <c r="L676" s="13">
        <v>74.929802912138001</v>
      </c>
      <c r="N676" s="13">
        <v>3.1</v>
      </c>
      <c r="O67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99.999999999999801</v>
      </c>
      <c r="R676" s="13">
        <v>55.38</v>
      </c>
      <c r="AB676" s="13">
        <v>65.489999999999995</v>
      </c>
      <c r="AC676" s="13">
        <v>10.19</v>
      </c>
      <c r="AD676" s="13">
        <v>22.84</v>
      </c>
      <c r="AE676" s="13">
        <v>1.49</v>
      </c>
      <c r="AH676" s="13">
        <v>31.16</v>
      </c>
      <c r="AI676" s="13">
        <v>0.03</v>
      </c>
      <c r="AL676" s="13">
        <v>20</v>
      </c>
      <c r="AO676" s="13">
        <v>3.5</v>
      </c>
      <c r="AP676" s="13">
        <v>1.1100000000000001</v>
      </c>
      <c r="AS676" s="13">
        <v>20</v>
      </c>
      <c r="AT676" s="13">
        <f>LN(25/Table26[[#This Row],[Temperature (C)]]/(1-SQRT((Table26[[#This Row],[Temperature (C)]]-5)/Table26[[#This Row],[Temperature (C)]])))/Table26[[#This Row],[b]]</f>
        <v>2.0710704328770686</v>
      </c>
      <c r="AU676" s="13">
        <f>IF(Table26[[#This Row],[b]]&lt;&gt;"",Table26[[#This Row],[T-5]], 0)</f>
        <v>2.0710704328770686</v>
      </c>
      <c r="AV676" s="13">
        <f>Table26[[#This Row],[Heating time]]+Table26[[#This Row],[Holding Time (min)]]</f>
        <v>22.071070432877068</v>
      </c>
      <c r="AW676" s="13">
        <v>340</v>
      </c>
      <c r="AY676" t="s">
        <v>503</v>
      </c>
      <c r="BA676" s="13">
        <v>72.146879927911698</v>
      </c>
      <c r="BE676" s="13" t="s">
        <v>506</v>
      </c>
      <c r="BQ676" s="13" t="s">
        <v>506</v>
      </c>
      <c r="CV676" s="13">
        <v>0</v>
      </c>
    </row>
    <row r="677" spans="1:100" x14ac:dyDescent="0.25">
      <c r="A677" t="s">
        <v>398</v>
      </c>
      <c r="B677" t="s">
        <v>399</v>
      </c>
      <c r="C677">
        <v>2019</v>
      </c>
      <c r="D677" t="s">
        <v>402</v>
      </c>
      <c r="E677">
        <v>1</v>
      </c>
      <c r="F67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11.5476779795566</v>
      </c>
      <c r="G677" s="13">
        <v>11.5476779795566</v>
      </c>
      <c r="K677" s="13">
        <v>13.5225191083052</v>
      </c>
      <c r="L677" s="13">
        <v>74.929802912138001</v>
      </c>
      <c r="N677" s="13">
        <v>3.1</v>
      </c>
      <c r="O67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99.999999999999801</v>
      </c>
      <c r="R677" s="13">
        <v>55.38</v>
      </c>
      <c r="AB677" s="13">
        <v>65.489999999999995</v>
      </c>
      <c r="AC677" s="13">
        <v>10.19</v>
      </c>
      <c r="AD677" s="13">
        <v>22.84</v>
      </c>
      <c r="AE677" s="13">
        <v>1.49</v>
      </c>
      <c r="AH677" s="13">
        <v>31.16</v>
      </c>
      <c r="AI677" s="13">
        <v>0.03</v>
      </c>
      <c r="AL677" s="13">
        <v>20</v>
      </c>
      <c r="AO677" s="13">
        <v>3.5</v>
      </c>
      <c r="AP677" s="13">
        <v>1.1100000000000001</v>
      </c>
      <c r="AS677" s="13">
        <v>60</v>
      </c>
      <c r="AT677" s="13">
        <f>LN(25/Table26[[#This Row],[Temperature (C)]]/(1-SQRT((Table26[[#This Row],[Temperature (C)]]-5)/Table26[[#This Row],[Temperature (C)]])))/Table26[[#This Row],[b]]</f>
        <v>2.0710704328770686</v>
      </c>
      <c r="AU677" s="13">
        <f>IF(Table26[[#This Row],[b]]&lt;&gt;"",Table26[[#This Row],[T-5]], 0)</f>
        <v>2.0710704328770686</v>
      </c>
      <c r="AV677" s="13">
        <f>Table26[[#This Row],[Heating time]]+Table26[[#This Row],[Holding Time (min)]]</f>
        <v>62.071070432877072</v>
      </c>
      <c r="AW677" s="13">
        <v>340</v>
      </c>
      <c r="AY677" t="s">
        <v>503</v>
      </c>
      <c r="BA677" s="13">
        <v>71.1908906592394</v>
      </c>
      <c r="BE677" s="13" t="s">
        <v>506</v>
      </c>
      <c r="BQ677" s="13" t="s">
        <v>506</v>
      </c>
      <c r="CV677" s="13">
        <v>0</v>
      </c>
    </row>
    <row r="678" spans="1:100" x14ac:dyDescent="0.25">
      <c r="A678" t="s">
        <v>398</v>
      </c>
      <c r="B678" t="s">
        <v>399</v>
      </c>
      <c r="C678">
        <v>2019</v>
      </c>
      <c r="D678" t="s">
        <v>403</v>
      </c>
      <c r="E678">
        <v>1</v>
      </c>
      <c r="F678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4.9297313058975403E-2</v>
      </c>
      <c r="G678" s="13">
        <v>4.9297313058975403E-2</v>
      </c>
      <c r="K678" s="13">
        <v>48.402539003011398</v>
      </c>
      <c r="L678" s="13">
        <v>51.548163683929502</v>
      </c>
      <c r="N678" s="13">
        <v>2.2999999999999998</v>
      </c>
      <c r="O67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99.999999999999886</v>
      </c>
      <c r="R678" s="13">
        <v>67.53</v>
      </c>
      <c r="AB678" s="13">
        <v>61.32</v>
      </c>
      <c r="AC678" s="13">
        <v>9.2899999999999991</v>
      </c>
      <c r="AD678" s="13">
        <v>23.24</v>
      </c>
      <c r="AE678" s="13">
        <v>6.16</v>
      </c>
      <c r="AH678" s="13">
        <v>29.31</v>
      </c>
      <c r="AI678" s="13">
        <v>0.03</v>
      </c>
      <c r="AL678" s="13">
        <v>20</v>
      </c>
      <c r="AO678" s="13">
        <v>3.5</v>
      </c>
      <c r="AP678" s="13">
        <v>1.1100000000000001</v>
      </c>
      <c r="AS678" s="13">
        <v>40</v>
      </c>
      <c r="AT678" s="13">
        <f>LN(25/Table26[[#This Row],[Temperature (C)]]/(1-SQRT((Table26[[#This Row],[Temperature (C)]]-5)/Table26[[#This Row],[Temperature (C)]])))/Table26[[#This Row],[b]]</f>
        <v>2.0703519030751871</v>
      </c>
      <c r="AU678" s="13">
        <f>IF(Table26[[#This Row],[b]]&lt;&gt;"",Table26[[#This Row],[T-5]], 0)</f>
        <v>2.0703519030751871</v>
      </c>
      <c r="AV678" s="13">
        <f>Table26[[#This Row],[Heating time]]+Table26[[#This Row],[Holding Time (min)]]</f>
        <v>42.070351903075185</v>
      </c>
      <c r="AW678" s="13">
        <v>280</v>
      </c>
      <c r="AY678" t="s">
        <v>503</v>
      </c>
      <c r="BA678" s="13">
        <v>51.828442437923201</v>
      </c>
      <c r="BE678" s="13" t="s">
        <v>506</v>
      </c>
      <c r="BQ678" s="13" t="s">
        <v>506</v>
      </c>
      <c r="CV678" s="13">
        <v>0</v>
      </c>
    </row>
    <row r="679" spans="1:100" x14ac:dyDescent="0.25">
      <c r="A679" t="s">
        <v>398</v>
      </c>
      <c r="B679" t="s">
        <v>399</v>
      </c>
      <c r="C679">
        <v>2019</v>
      </c>
      <c r="D679" t="s">
        <v>403</v>
      </c>
      <c r="E679">
        <v>1</v>
      </c>
      <c r="F679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4.9297313058975403E-2</v>
      </c>
      <c r="G679" s="13">
        <v>4.9297313058975403E-2</v>
      </c>
      <c r="K679" s="13">
        <v>48.402539003011398</v>
      </c>
      <c r="L679" s="13">
        <v>51.548163683929502</v>
      </c>
      <c r="N679" s="13">
        <v>2.2999999999999998</v>
      </c>
      <c r="O67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99.999999999999886</v>
      </c>
      <c r="R679" s="13">
        <v>67.53</v>
      </c>
      <c r="AB679" s="13">
        <v>61.32</v>
      </c>
      <c r="AC679" s="13">
        <v>9.2899999999999991</v>
      </c>
      <c r="AD679" s="13">
        <v>23.24</v>
      </c>
      <c r="AE679" s="13">
        <v>6.16</v>
      </c>
      <c r="AH679" s="13">
        <v>29.31</v>
      </c>
      <c r="AI679" s="13">
        <v>0.03</v>
      </c>
      <c r="AL679" s="13">
        <v>20</v>
      </c>
      <c r="AO679" s="13">
        <v>3.5</v>
      </c>
      <c r="AP679" s="13">
        <v>1.1100000000000001</v>
      </c>
      <c r="AS679" s="13">
        <v>40</v>
      </c>
      <c r="AT679" s="13">
        <f>LN(25/Table26[[#This Row],[Temperature (C)]]/(1-SQRT((Table26[[#This Row],[Temperature (C)]]-5)/Table26[[#This Row],[Temperature (C)]])))/Table26[[#This Row],[b]]</f>
        <v>2.0706235503286319</v>
      </c>
      <c r="AU679" s="13">
        <f>IF(Table26[[#This Row],[b]]&lt;&gt;"",Table26[[#This Row],[T-5]], 0)</f>
        <v>2.0706235503286319</v>
      </c>
      <c r="AV679" s="13">
        <f>Table26[[#This Row],[Heating time]]+Table26[[#This Row],[Holding Time (min)]]</f>
        <v>42.070623550328634</v>
      </c>
      <c r="AW679" s="13">
        <v>300</v>
      </c>
      <c r="AY679" t="s">
        <v>503</v>
      </c>
      <c r="BA679" s="13">
        <v>56.884875846501103</v>
      </c>
      <c r="BE679" s="13" t="s">
        <v>506</v>
      </c>
      <c r="BI679" s="13">
        <v>73.61</v>
      </c>
      <c r="BJ679" s="13">
        <v>11.87</v>
      </c>
      <c r="BK679" s="13">
        <v>12.85</v>
      </c>
      <c r="BL679" s="13">
        <v>1.68</v>
      </c>
      <c r="BN679" s="13">
        <v>39.56</v>
      </c>
      <c r="BP679" s="13">
        <v>75.099999999999994</v>
      </c>
      <c r="BQ679" s="13" t="s">
        <v>506</v>
      </c>
      <c r="CV679" s="13">
        <v>0</v>
      </c>
    </row>
    <row r="680" spans="1:100" x14ac:dyDescent="0.25">
      <c r="A680" t="s">
        <v>398</v>
      </c>
      <c r="B680" t="s">
        <v>399</v>
      </c>
      <c r="C680">
        <v>2019</v>
      </c>
      <c r="D680" t="s">
        <v>403</v>
      </c>
      <c r="E680">
        <v>1</v>
      </c>
      <c r="F680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4.9297313058975403E-2</v>
      </c>
      <c r="G680" s="13">
        <v>4.9297313058975403E-2</v>
      </c>
      <c r="K680" s="13">
        <v>48.402539003011398</v>
      </c>
      <c r="L680" s="13">
        <v>51.548163683929502</v>
      </c>
      <c r="N680" s="13">
        <v>2.2999999999999998</v>
      </c>
      <c r="O68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99.999999999999886</v>
      </c>
      <c r="R680" s="13">
        <v>67.53</v>
      </c>
      <c r="AB680" s="13">
        <v>61.32</v>
      </c>
      <c r="AC680" s="13">
        <v>9.2899999999999991</v>
      </c>
      <c r="AD680" s="13">
        <v>23.24</v>
      </c>
      <c r="AE680" s="13">
        <v>6.16</v>
      </c>
      <c r="AH680" s="13">
        <v>29.31</v>
      </c>
      <c r="AI680" s="13">
        <v>0.03</v>
      </c>
      <c r="AL680" s="13">
        <v>20</v>
      </c>
      <c r="AO680" s="13">
        <v>3.5</v>
      </c>
      <c r="AP680" s="13">
        <v>1.1100000000000001</v>
      </c>
      <c r="AS680" s="13">
        <v>40</v>
      </c>
      <c r="AT680" s="13">
        <f>LN(25/Table26[[#This Row],[Temperature (C)]]/(1-SQRT((Table26[[#This Row],[Temperature (C)]]-5)/Table26[[#This Row],[Temperature (C)]])))/Table26[[#This Row],[b]]</f>
        <v>2.0708610397007603</v>
      </c>
      <c r="AU680" s="13">
        <f>IF(Table26[[#This Row],[b]]&lt;&gt;"",Table26[[#This Row],[T-5]], 0)</f>
        <v>2.0708610397007603</v>
      </c>
      <c r="AV680" s="13">
        <f>Table26[[#This Row],[Heating time]]+Table26[[#This Row],[Holding Time (min)]]</f>
        <v>42.070861039700759</v>
      </c>
      <c r="AW680" s="13">
        <v>320</v>
      </c>
      <c r="AY680" t="s">
        <v>503</v>
      </c>
      <c r="BA680" s="13">
        <v>55.259593679458199</v>
      </c>
      <c r="BE680" s="13" t="s">
        <v>506</v>
      </c>
      <c r="BQ680" s="13" t="s">
        <v>506</v>
      </c>
      <c r="CV680" s="13">
        <v>0</v>
      </c>
    </row>
    <row r="681" spans="1:100" x14ac:dyDescent="0.25">
      <c r="A681" t="s">
        <v>398</v>
      </c>
      <c r="B681" t="s">
        <v>399</v>
      </c>
      <c r="C681">
        <v>2019</v>
      </c>
      <c r="D681" t="s">
        <v>403</v>
      </c>
      <c r="E681">
        <v>1</v>
      </c>
      <c r="F681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4.9297313058975403E-2</v>
      </c>
      <c r="G681" s="13">
        <v>4.9297313058975403E-2</v>
      </c>
      <c r="K681" s="13">
        <v>48.402539003011398</v>
      </c>
      <c r="L681" s="13">
        <v>51.548163683929502</v>
      </c>
      <c r="N681" s="13">
        <v>2.2999999999999998</v>
      </c>
      <c r="O68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99.999999999999886</v>
      </c>
      <c r="R681" s="13">
        <v>67.53</v>
      </c>
      <c r="AB681" s="13">
        <v>61.32</v>
      </c>
      <c r="AC681" s="13">
        <v>9.2899999999999991</v>
      </c>
      <c r="AD681" s="13">
        <v>23.24</v>
      </c>
      <c r="AE681" s="13">
        <v>6.16</v>
      </c>
      <c r="AH681" s="13">
        <v>29.31</v>
      </c>
      <c r="AI681" s="13">
        <v>0.03</v>
      </c>
      <c r="AL681" s="13">
        <v>20</v>
      </c>
      <c r="AO681" s="13">
        <v>3.5</v>
      </c>
      <c r="AP681" s="13">
        <v>1.1100000000000001</v>
      </c>
      <c r="AS681" s="13">
        <v>40</v>
      </c>
      <c r="AT681" s="13">
        <f>LN(25/Table26[[#This Row],[Temperature (C)]]/(1-SQRT((Table26[[#This Row],[Temperature (C)]]-5)/Table26[[#This Row],[Temperature (C)]])))/Table26[[#This Row],[b]]</f>
        <v>2.0710704328770686</v>
      </c>
      <c r="AU681" s="13">
        <f>IF(Table26[[#This Row],[b]]&lt;&gt;"",Table26[[#This Row],[T-5]], 0)</f>
        <v>2.0710704328770686</v>
      </c>
      <c r="AV681" s="13">
        <f>Table26[[#This Row],[Heating time]]+Table26[[#This Row],[Holding Time (min)]]</f>
        <v>42.071070432877072</v>
      </c>
      <c r="AW681" s="13">
        <v>340</v>
      </c>
      <c r="AY681" t="s">
        <v>503</v>
      </c>
      <c r="BA681" s="13">
        <v>37.923250564333998</v>
      </c>
      <c r="BE681" s="13" t="s">
        <v>506</v>
      </c>
      <c r="BQ681" s="13" t="s">
        <v>506</v>
      </c>
      <c r="CV681" s="13">
        <v>0</v>
      </c>
    </row>
    <row r="682" spans="1:100" x14ac:dyDescent="0.25">
      <c r="A682" t="s">
        <v>398</v>
      </c>
      <c r="B682" t="s">
        <v>399</v>
      </c>
      <c r="C682">
        <v>2019</v>
      </c>
      <c r="D682" t="s">
        <v>403</v>
      </c>
      <c r="E682">
        <v>1</v>
      </c>
      <c r="F682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4.9297313058975403E-2</v>
      </c>
      <c r="G682" s="13">
        <v>4.9297313058975403E-2</v>
      </c>
      <c r="K682" s="13">
        <v>48.402539003011398</v>
      </c>
      <c r="L682" s="13">
        <v>51.548163683929502</v>
      </c>
      <c r="N682" s="13">
        <v>2.2999999999999998</v>
      </c>
      <c r="O68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99.999999999999886</v>
      </c>
      <c r="R682" s="13">
        <v>67.53</v>
      </c>
      <c r="AB682" s="13">
        <v>61.32</v>
      </c>
      <c r="AC682" s="13">
        <v>9.2899999999999991</v>
      </c>
      <c r="AD682" s="13">
        <v>23.24</v>
      </c>
      <c r="AE682" s="13">
        <v>6.16</v>
      </c>
      <c r="AH682" s="13">
        <v>29.31</v>
      </c>
      <c r="AI682" s="13">
        <v>0.03</v>
      </c>
      <c r="AL682" s="13">
        <v>20</v>
      </c>
      <c r="AO682" s="13">
        <v>3.5</v>
      </c>
      <c r="AP682" s="13">
        <v>1.1100000000000001</v>
      </c>
      <c r="AS682" s="13">
        <v>40</v>
      </c>
      <c r="AT682" s="13">
        <f>LN(25/Table26[[#This Row],[Temperature (C)]]/(1-SQRT((Table26[[#This Row],[Temperature (C)]]-5)/Table26[[#This Row],[Temperature (C)]])))/Table26[[#This Row],[b]]</f>
        <v>2.0712564373473494</v>
      </c>
      <c r="AU682" s="13">
        <f>IF(Table26[[#This Row],[b]]&lt;&gt;"",Table26[[#This Row],[T-5]], 0)</f>
        <v>2.0712564373473494</v>
      </c>
      <c r="AV682" s="13">
        <f>Table26[[#This Row],[Heating time]]+Table26[[#This Row],[Holding Time (min)]]</f>
        <v>42.071256437347351</v>
      </c>
      <c r="AW682" s="13">
        <v>360</v>
      </c>
      <c r="AY682" t="s">
        <v>503</v>
      </c>
      <c r="BA682" s="13">
        <v>25.823927765236999</v>
      </c>
      <c r="BE682" s="13" t="s">
        <v>506</v>
      </c>
      <c r="BQ682" s="13" t="s">
        <v>506</v>
      </c>
      <c r="CV682" s="13">
        <v>0</v>
      </c>
    </row>
    <row r="683" spans="1:100" x14ac:dyDescent="0.25">
      <c r="A683" t="s">
        <v>398</v>
      </c>
      <c r="B683" t="s">
        <v>399</v>
      </c>
      <c r="C683">
        <v>2019</v>
      </c>
      <c r="D683" t="s">
        <v>403</v>
      </c>
      <c r="E683">
        <v>1</v>
      </c>
      <c r="F683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4.9297313058975403E-2</v>
      </c>
      <c r="G683" s="13">
        <v>4.9297313058975403E-2</v>
      </c>
      <c r="K683" s="13">
        <v>48.402539003011398</v>
      </c>
      <c r="L683" s="13">
        <v>51.548163683929502</v>
      </c>
      <c r="N683" s="13">
        <v>2.2999999999999998</v>
      </c>
      <c r="O68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99.999999999999886</v>
      </c>
      <c r="R683" s="13">
        <v>67.53</v>
      </c>
      <c r="AB683" s="13">
        <v>61.32</v>
      </c>
      <c r="AC683" s="13">
        <v>9.2899999999999991</v>
      </c>
      <c r="AD683" s="13">
        <v>23.24</v>
      </c>
      <c r="AE683" s="13">
        <v>6.16</v>
      </c>
      <c r="AH683" s="13">
        <v>29.31</v>
      </c>
      <c r="AI683" s="13">
        <v>0.03</v>
      </c>
      <c r="AL683" s="13">
        <v>20</v>
      </c>
      <c r="AO683" s="13">
        <v>3.5</v>
      </c>
      <c r="AP683" s="13">
        <v>1.1100000000000001</v>
      </c>
      <c r="AS683" s="13">
        <v>10</v>
      </c>
      <c r="AT683" s="13">
        <f>LN(25/Table26[[#This Row],[Temperature (C)]]/(1-SQRT((Table26[[#This Row],[Temperature (C)]]-5)/Table26[[#This Row],[Temperature (C)]])))/Table26[[#This Row],[b]]</f>
        <v>2.0706235503286319</v>
      </c>
      <c r="AU683" s="13">
        <f>IF(Table26[[#This Row],[b]]&lt;&gt;"",Table26[[#This Row],[T-5]], 0)</f>
        <v>2.0706235503286319</v>
      </c>
      <c r="AV683" s="13">
        <f>Table26[[#This Row],[Heating time]]+Table26[[#This Row],[Holding Time (min)]]</f>
        <v>12.070623550328632</v>
      </c>
      <c r="AW683" s="13">
        <v>300</v>
      </c>
      <c r="AY683" t="s">
        <v>503</v>
      </c>
      <c r="BA683" s="13">
        <v>30.5470109975629</v>
      </c>
      <c r="BE683" s="13" t="s">
        <v>506</v>
      </c>
      <c r="BQ683" s="13" t="s">
        <v>506</v>
      </c>
      <c r="CV683" s="13">
        <v>0</v>
      </c>
    </row>
    <row r="684" spans="1:100" x14ac:dyDescent="0.25">
      <c r="A684" t="s">
        <v>398</v>
      </c>
      <c r="B684" t="s">
        <v>399</v>
      </c>
      <c r="C684">
        <v>2019</v>
      </c>
      <c r="D684" t="s">
        <v>403</v>
      </c>
      <c r="E684">
        <v>1</v>
      </c>
      <c r="F684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4.9297313058975403E-2</v>
      </c>
      <c r="G684" s="13">
        <v>4.9297313058975403E-2</v>
      </c>
      <c r="K684" s="13">
        <v>48.402539003011398</v>
      </c>
      <c r="L684" s="13">
        <v>51.548163683929502</v>
      </c>
      <c r="N684" s="13">
        <v>2.2999999999999998</v>
      </c>
      <c r="O68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99.999999999999886</v>
      </c>
      <c r="R684" s="13">
        <v>67.53</v>
      </c>
      <c r="AB684" s="13">
        <v>61.32</v>
      </c>
      <c r="AC684" s="13">
        <v>9.2899999999999991</v>
      </c>
      <c r="AD684" s="13">
        <v>23.24</v>
      </c>
      <c r="AE684" s="13">
        <v>6.16</v>
      </c>
      <c r="AH684" s="13">
        <v>29.31</v>
      </c>
      <c r="AI684" s="13">
        <v>0.03</v>
      </c>
      <c r="AL684" s="13">
        <v>20</v>
      </c>
      <c r="AO684" s="13">
        <v>3.5</v>
      </c>
      <c r="AP684" s="13">
        <v>1.1100000000000001</v>
      </c>
      <c r="AS684" s="13">
        <v>20</v>
      </c>
      <c r="AT684" s="13">
        <f>LN(25/Table26[[#This Row],[Temperature (C)]]/(1-SQRT((Table26[[#This Row],[Temperature (C)]]-5)/Table26[[#This Row],[Temperature (C)]])))/Table26[[#This Row],[b]]</f>
        <v>2.0706235503286319</v>
      </c>
      <c r="AU684" s="13">
        <f>IF(Table26[[#This Row],[b]]&lt;&gt;"",Table26[[#This Row],[T-5]], 0)</f>
        <v>2.0706235503286319</v>
      </c>
      <c r="AV684" s="13">
        <f>Table26[[#This Row],[Heating time]]+Table26[[#This Row],[Holding Time (min)]]</f>
        <v>22.070623550328634</v>
      </c>
      <c r="AW684" s="13">
        <v>300</v>
      </c>
      <c r="AY684" t="s">
        <v>503</v>
      </c>
      <c r="BA684" s="13">
        <v>49.894120297364204</v>
      </c>
      <c r="BE684" s="13" t="s">
        <v>506</v>
      </c>
      <c r="BQ684" s="13" t="s">
        <v>506</v>
      </c>
      <c r="CV684" s="13">
        <v>0</v>
      </c>
    </row>
    <row r="685" spans="1:100" x14ac:dyDescent="0.25">
      <c r="A685" t="s">
        <v>398</v>
      </c>
      <c r="B685" t="s">
        <v>399</v>
      </c>
      <c r="C685">
        <v>2019</v>
      </c>
      <c r="D685" t="s">
        <v>403</v>
      </c>
      <c r="E685">
        <v>1</v>
      </c>
      <c r="F685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4.9297313058975403E-2</v>
      </c>
      <c r="G685" s="13">
        <v>4.9297313058975403E-2</v>
      </c>
      <c r="K685" s="13">
        <v>48.402539003011398</v>
      </c>
      <c r="L685" s="13">
        <v>51.548163683929502</v>
      </c>
      <c r="N685" s="13">
        <v>2.2999999999999998</v>
      </c>
      <c r="O68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99.999999999999886</v>
      </c>
      <c r="R685" s="13">
        <v>67.53</v>
      </c>
      <c r="AB685" s="13">
        <v>61.32</v>
      </c>
      <c r="AC685" s="13">
        <v>9.2899999999999991</v>
      </c>
      <c r="AD685" s="13">
        <v>23.24</v>
      </c>
      <c r="AE685" s="13">
        <v>6.16</v>
      </c>
      <c r="AH685" s="13">
        <v>29.31</v>
      </c>
      <c r="AI685" s="13">
        <v>0.03</v>
      </c>
      <c r="AL685" s="13">
        <v>20</v>
      </c>
      <c r="AO685" s="13">
        <v>3.5</v>
      </c>
      <c r="AP685" s="13">
        <v>1.1100000000000001</v>
      </c>
      <c r="AS685" s="13">
        <v>60</v>
      </c>
      <c r="AT685" s="13">
        <f>LN(25/Table26[[#This Row],[Temperature (C)]]/(1-SQRT((Table26[[#This Row],[Temperature (C)]]-5)/Table26[[#This Row],[Temperature (C)]])))/Table26[[#This Row],[b]]</f>
        <v>2.0706235503286319</v>
      </c>
      <c r="AU685" s="13">
        <f>IF(Table26[[#This Row],[b]]&lt;&gt;"",Table26[[#This Row],[T-5]], 0)</f>
        <v>2.0706235503286319</v>
      </c>
      <c r="AV685" s="13">
        <f>Table26[[#This Row],[Heating time]]+Table26[[#This Row],[Holding Time (min)]]</f>
        <v>62.070623550328634</v>
      </c>
      <c r="AW685" s="13">
        <v>300</v>
      </c>
      <c r="AY685" t="s">
        <v>503</v>
      </c>
      <c r="BA685" s="13">
        <v>44.3400438264146</v>
      </c>
      <c r="BE685" s="13" t="s">
        <v>506</v>
      </c>
      <c r="BQ685" s="13" t="s">
        <v>506</v>
      </c>
      <c r="CV685" s="13">
        <v>0</v>
      </c>
    </row>
    <row r="686" spans="1:100" x14ac:dyDescent="0.25">
      <c r="A686" t="s">
        <v>398</v>
      </c>
      <c r="B686" t="s">
        <v>399</v>
      </c>
      <c r="C686">
        <v>2019</v>
      </c>
      <c r="D686" t="s">
        <v>404</v>
      </c>
      <c r="E686">
        <v>1</v>
      </c>
      <c r="F686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2.58767372657318</v>
      </c>
      <c r="G686" s="13">
        <v>2.58767372657318</v>
      </c>
      <c r="K686" s="13">
        <v>91.588812963852405</v>
      </c>
      <c r="L686" s="13">
        <v>5.8235133095743503</v>
      </c>
      <c r="N686" s="13">
        <v>4.68</v>
      </c>
      <c r="O68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99.999999999999943</v>
      </c>
      <c r="R686" s="13">
        <v>76.489999999999995</v>
      </c>
      <c r="AB686" s="13">
        <v>45.91</v>
      </c>
      <c r="AC686" s="13">
        <v>6.91</v>
      </c>
      <c r="AD686" s="13">
        <v>34.549999999999997</v>
      </c>
      <c r="AE686" s="13">
        <v>12.64</v>
      </c>
      <c r="AH686" s="13">
        <v>22.61</v>
      </c>
      <c r="AI686" s="13">
        <v>0.03</v>
      </c>
      <c r="AL686" s="13">
        <v>20</v>
      </c>
      <c r="AO686" s="13">
        <v>3.5</v>
      </c>
      <c r="AP686" s="13">
        <v>1.1100000000000001</v>
      </c>
      <c r="AS686" s="13">
        <v>40</v>
      </c>
      <c r="AT686" s="13">
        <f>LN(25/Table26[[#This Row],[Temperature (C)]]/(1-SQRT((Table26[[#This Row],[Temperature (C)]]-5)/Table26[[#This Row],[Temperature (C)]])))/Table26[[#This Row],[b]]</f>
        <v>2.0703519030751871</v>
      </c>
      <c r="AU686" s="13">
        <f>IF(Table26[[#This Row],[b]]&lt;&gt;"",Table26[[#This Row],[T-5]], 0)</f>
        <v>2.0703519030751871</v>
      </c>
      <c r="AV686" s="13">
        <f>Table26[[#This Row],[Heating time]]+Table26[[#This Row],[Holding Time (min)]]</f>
        <v>42.070351903075185</v>
      </c>
      <c r="AW686" s="13">
        <v>280</v>
      </c>
      <c r="AY686" t="s">
        <v>503</v>
      </c>
      <c r="BA686" s="13">
        <v>16.794582392776501</v>
      </c>
      <c r="BE686" s="13" t="s">
        <v>506</v>
      </c>
      <c r="BQ686" s="13" t="s">
        <v>506</v>
      </c>
      <c r="CV686" s="13">
        <v>0</v>
      </c>
    </row>
    <row r="687" spans="1:100" x14ac:dyDescent="0.25">
      <c r="A687" t="s">
        <v>398</v>
      </c>
      <c r="B687" t="s">
        <v>399</v>
      </c>
      <c r="C687">
        <v>2019</v>
      </c>
      <c r="D687" t="s">
        <v>404</v>
      </c>
      <c r="E687">
        <v>1</v>
      </c>
      <c r="F68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2.58767372657318</v>
      </c>
      <c r="G687" s="13">
        <v>2.58767372657318</v>
      </c>
      <c r="K687" s="13">
        <v>91.588812963852405</v>
      </c>
      <c r="L687" s="13">
        <v>5.8235133095743503</v>
      </c>
      <c r="N687" s="13">
        <v>4.68</v>
      </c>
      <c r="O68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99.999999999999943</v>
      </c>
      <c r="R687" s="13">
        <v>76.489999999999995</v>
      </c>
      <c r="AB687" s="13">
        <v>45.91</v>
      </c>
      <c r="AC687" s="13">
        <v>6.91</v>
      </c>
      <c r="AD687" s="13">
        <v>34.549999999999997</v>
      </c>
      <c r="AE687" s="13">
        <v>12.64</v>
      </c>
      <c r="AH687" s="13">
        <v>22.61</v>
      </c>
      <c r="AI687" s="13">
        <v>0.03</v>
      </c>
      <c r="AL687" s="13">
        <v>20</v>
      </c>
      <c r="AO687" s="13">
        <v>3.5</v>
      </c>
      <c r="AP687" s="13">
        <v>1.1100000000000001</v>
      </c>
      <c r="AS687" s="13">
        <v>40</v>
      </c>
      <c r="AT687" s="13">
        <f>LN(25/Table26[[#This Row],[Temperature (C)]]/(1-SQRT((Table26[[#This Row],[Temperature (C)]]-5)/Table26[[#This Row],[Temperature (C)]])))/Table26[[#This Row],[b]]</f>
        <v>2.0706235503286319</v>
      </c>
      <c r="AU687" s="13">
        <f>IF(Table26[[#This Row],[b]]&lt;&gt;"",Table26[[#This Row],[T-5]], 0)</f>
        <v>2.0706235503286319</v>
      </c>
      <c r="AV687" s="13">
        <f>Table26[[#This Row],[Heating time]]+Table26[[#This Row],[Holding Time (min)]]</f>
        <v>42.070623550328634</v>
      </c>
      <c r="AW687" s="13">
        <v>300</v>
      </c>
      <c r="AY687" t="s">
        <v>503</v>
      </c>
      <c r="BA687" s="13">
        <v>22.753950338600401</v>
      </c>
      <c r="BE687" s="13" t="s">
        <v>506</v>
      </c>
      <c r="BQ687" s="13" t="s">
        <v>506</v>
      </c>
      <c r="CV687" s="13">
        <v>0</v>
      </c>
    </row>
    <row r="688" spans="1:100" x14ac:dyDescent="0.25">
      <c r="A688" t="s">
        <v>398</v>
      </c>
      <c r="B688" t="s">
        <v>399</v>
      </c>
      <c r="C688">
        <v>2019</v>
      </c>
      <c r="D688" t="s">
        <v>404</v>
      </c>
      <c r="E688">
        <v>1</v>
      </c>
      <c r="F688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2.58767372657318</v>
      </c>
      <c r="G688" s="13">
        <v>2.58767372657318</v>
      </c>
      <c r="K688" s="13">
        <v>91.588812963852405</v>
      </c>
      <c r="L688" s="13">
        <v>5.8235133095743503</v>
      </c>
      <c r="N688" s="13">
        <v>4.68</v>
      </c>
      <c r="O68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99.999999999999943</v>
      </c>
      <c r="R688" s="13">
        <v>76.489999999999995</v>
      </c>
      <c r="AB688" s="13">
        <v>45.91</v>
      </c>
      <c r="AC688" s="13">
        <v>6.91</v>
      </c>
      <c r="AD688" s="13">
        <v>34.549999999999997</v>
      </c>
      <c r="AE688" s="13">
        <v>12.64</v>
      </c>
      <c r="AH688" s="13">
        <v>22.61</v>
      </c>
      <c r="AI688" s="13">
        <v>0.03</v>
      </c>
      <c r="AL688" s="13">
        <v>20</v>
      </c>
      <c r="AO688" s="13">
        <v>3.5</v>
      </c>
      <c r="AP688" s="13">
        <v>1.1100000000000001</v>
      </c>
      <c r="AS688" s="13">
        <v>40</v>
      </c>
      <c r="AT688" s="13">
        <f>LN(25/Table26[[#This Row],[Temperature (C)]]/(1-SQRT((Table26[[#This Row],[Temperature (C)]]-5)/Table26[[#This Row],[Temperature (C)]])))/Table26[[#This Row],[b]]</f>
        <v>2.0708610397007603</v>
      </c>
      <c r="AU688" s="13">
        <f>IF(Table26[[#This Row],[b]]&lt;&gt;"",Table26[[#This Row],[T-5]], 0)</f>
        <v>2.0708610397007603</v>
      </c>
      <c r="AV688" s="13">
        <f>Table26[[#This Row],[Heating time]]+Table26[[#This Row],[Holding Time (min)]]</f>
        <v>42.070861039700759</v>
      </c>
      <c r="AW688" s="13">
        <v>320</v>
      </c>
      <c r="AY688" t="s">
        <v>503</v>
      </c>
      <c r="BA688" s="13">
        <v>29.796839729119601</v>
      </c>
      <c r="BE688" s="13" t="s">
        <v>506</v>
      </c>
      <c r="BQ688" s="13" t="s">
        <v>506</v>
      </c>
      <c r="CV688" s="13">
        <v>0</v>
      </c>
    </row>
    <row r="689" spans="1:100" x14ac:dyDescent="0.25">
      <c r="A689" t="s">
        <v>398</v>
      </c>
      <c r="B689" t="s">
        <v>399</v>
      </c>
      <c r="C689">
        <v>2019</v>
      </c>
      <c r="D689" t="s">
        <v>404</v>
      </c>
      <c r="E689">
        <v>1</v>
      </c>
      <c r="F689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2.58767372657318</v>
      </c>
      <c r="G689" s="13">
        <v>2.58767372657318</v>
      </c>
      <c r="K689" s="13">
        <v>91.588812963852405</v>
      </c>
      <c r="L689" s="13">
        <v>5.8235133095743503</v>
      </c>
      <c r="N689" s="13">
        <v>4.68</v>
      </c>
      <c r="O68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99.999999999999943</v>
      </c>
      <c r="R689" s="13">
        <v>76.489999999999995</v>
      </c>
      <c r="AB689" s="13">
        <v>45.91</v>
      </c>
      <c r="AC689" s="13">
        <v>6.91</v>
      </c>
      <c r="AD689" s="13">
        <v>34.549999999999997</v>
      </c>
      <c r="AE689" s="13">
        <v>12.64</v>
      </c>
      <c r="AH689" s="13">
        <v>22.61</v>
      </c>
      <c r="AI689" s="13">
        <v>0.03</v>
      </c>
      <c r="AL689" s="13">
        <v>20</v>
      </c>
      <c r="AO689" s="13">
        <v>3.5</v>
      </c>
      <c r="AP689" s="13">
        <v>1.1100000000000001</v>
      </c>
      <c r="AS689" s="13">
        <v>40</v>
      </c>
      <c r="AT689" s="13">
        <f>LN(25/Table26[[#This Row],[Temperature (C)]]/(1-SQRT((Table26[[#This Row],[Temperature (C)]]-5)/Table26[[#This Row],[Temperature (C)]])))/Table26[[#This Row],[b]]</f>
        <v>2.0710704328770686</v>
      </c>
      <c r="AU689" s="13">
        <f>IF(Table26[[#This Row],[b]]&lt;&gt;"",Table26[[#This Row],[T-5]], 0)</f>
        <v>2.0710704328770686</v>
      </c>
      <c r="AV689" s="13">
        <f>Table26[[#This Row],[Heating time]]+Table26[[#This Row],[Holding Time (min)]]</f>
        <v>42.071070432877072</v>
      </c>
      <c r="AW689" s="13">
        <v>340</v>
      </c>
      <c r="AY689" t="s">
        <v>503</v>
      </c>
      <c r="BA689" s="13">
        <v>38.284424379232497</v>
      </c>
      <c r="BE689" s="13" t="s">
        <v>506</v>
      </c>
      <c r="BQ689" s="13" t="s">
        <v>506</v>
      </c>
      <c r="CV689" s="13">
        <v>0</v>
      </c>
    </row>
    <row r="690" spans="1:100" x14ac:dyDescent="0.25">
      <c r="A690" t="s">
        <v>398</v>
      </c>
      <c r="B690" t="s">
        <v>399</v>
      </c>
      <c r="C690">
        <v>2019</v>
      </c>
      <c r="D690" t="s">
        <v>404</v>
      </c>
      <c r="E690">
        <v>1</v>
      </c>
      <c r="F690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2.58767372657318</v>
      </c>
      <c r="G690" s="13">
        <v>2.58767372657318</v>
      </c>
      <c r="K690" s="13">
        <v>91.588812963852405</v>
      </c>
      <c r="L690" s="13">
        <v>5.8235133095743503</v>
      </c>
      <c r="N690" s="13">
        <v>4.68</v>
      </c>
      <c r="O69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99.999999999999943</v>
      </c>
      <c r="R690" s="13">
        <v>76.489999999999995</v>
      </c>
      <c r="AB690" s="13">
        <v>45.91</v>
      </c>
      <c r="AC690" s="13">
        <v>6.91</v>
      </c>
      <c r="AD690" s="13">
        <v>34.549999999999997</v>
      </c>
      <c r="AE690" s="13">
        <v>12.64</v>
      </c>
      <c r="AH690" s="13">
        <v>22.61</v>
      </c>
      <c r="AI690" s="13">
        <v>0.03</v>
      </c>
      <c r="AL690" s="13">
        <v>20</v>
      </c>
      <c r="AO690" s="13">
        <v>3.5</v>
      </c>
      <c r="AP690" s="13">
        <v>1.1100000000000001</v>
      </c>
      <c r="AS690" s="13">
        <v>40</v>
      </c>
      <c r="AT690" s="13">
        <f>LN(25/Table26[[#This Row],[Temperature (C)]]/(1-SQRT((Table26[[#This Row],[Temperature (C)]]-5)/Table26[[#This Row],[Temperature (C)]])))/Table26[[#This Row],[b]]</f>
        <v>2.0712564373473494</v>
      </c>
      <c r="AU690" s="13">
        <f>IF(Table26[[#This Row],[b]]&lt;&gt;"",Table26[[#This Row],[T-5]], 0)</f>
        <v>2.0712564373473494</v>
      </c>
      <c r="AV690" s="13">
        <f>Table26[[#This Row],[Heating time]]+Table26[[#This Row],[Holding Time (min)]]</f>
        <v>42.071256437347351</v>
      </c>
      <c r="AW690" s="13">
        <v>360</v>
      </c>
      <c r="AY690" t="s">
        <v>503</v>
      </c>
      <c r="BA690" s="13">
        <v>40.993227990970603</v>
      </c>
      <c r="BE690" s="13" t="s">
        <v>506</v>
      </c>
      <c r="BI690" s="13">
        <v>67.989999999999995</v>
      </c>
      <c r="BJ690" s="13">
        <v>9.6999999999999993</v>
      </c>
      <c r="BK690" s="13">
        <v>13.65</v>
      </c>
      <c r="BL690" s="13">
        <v>8.68</v>
      </c>
      <c r="BN690" s="13">
        <v>34.409999999999997</v>
      </c>
      <c r="BP690" s="13">
        <v>59.5</v>
      </c>
      <c r="BQ690" s="13" t="s">
        <v>506</v>
      </c>
      <c r="CV690" s="13">
        <v>0</v>
      </c>
    </row>
    <row r="691" spans="1:100" x14ac:dyDescent="0.25">
      <c r="A691" t="s">
        <v>398</v>
      </c>
      <c r="B691" t="s">
        <v>399</v>
      </c>
      <c r="C691">
        <v>2019</v>
      </c>
      <c r="D691" t="s">
        <v>404</v>
      </c>
      <c r="E691">
        <v>1</v>
      </c>
      <c r="F691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2.58767372657318</v>
      </c>
      <c r="G691" s="13">
        <v>2.58767372657318</v>
      </c>
      <c r="K691" s="13">
        <v>91.588812963852405</v>
      </c>
      <c r="L691" s="13">
        <v>5.8235133095743503</v>
      </c>
      <c r="N691" s="13">
        <v>4.68</v>
      </c>
      <c r="O69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99.999999999999943</v>
      </c>
      <c r="R691" s="13">
        <v>76.489999999999995</v>
      </c>
      <c r="AB691" s="13">
        <v>45.91</v>
      </c>
      <c r="AC691" s="13">
        <v>6.91</v>
      </c>
      <c r="AD691" s="13">
        <v>34.549999999999997</v>
      </c>
      <c r="AE691" s="13">
        <v>12.64</v>
      </c>
      <c r="AH691" s="13">
        <v>22.61</v>
      </c>
      <c r="AI691" s="13">
        <v>0.03</v>
      </c>
      <c r="AL691" s="13">
        <v>20</v>
      </c>
      <c r="AO691" s="13">
        <v>3.5</v>
      </c>
      <c r="AP691" s="13">
        <v>1.1100000000000001</v>
      </c>
      <c r="AS691" s="13">
        <v>40</v>
      </c>
      <c r="AT691" s="13">
        <f>LN(25/Table26[[#This Row],[Temperature (C)]]/(1-SQRT((Table26[[#This Row],[Temperature (C)]]-5)/Table26[[#This Row],[Temperature (C)]])))/Table26[[#This Row],[b]]</f>
        <v>2.0714227645698284</v>
      </c>
      <c r="AU691" s="13">
        <f>IF(Table26[[#This Row],[b]]&lt;&gt;"",Table26[[#This Row],[T-5]], 0)</f>
        <v>2.0714227645698284</v>
      </c>
      <c r="AV691" s="13">
        <f>Table26[[#This Row],[Heating time]]+Table26[[#This Row],[Holding Time (min)]]</f>
        <v>42.071422764569832</v>
      </c>
      <c r="AW691" s="13">
        <v>380</v>
      </c>
      <c r="AY691" t="s">
        <v>503</v>
      </c>
      <c r="BA691" s="13">
        <v>31.783295711060902</v>
      </c>
      <c r="BE691" s="13" t="s">
        <v>506</v>
      </c>
      <c r="BQ691" s="13" t="s">
        <v>506</v>
      </c>
      <c r="CV691" s="13">
        <v>0</v>
      </c>
    </row>
    <row r="692" spans="1:100" x14ac:dyDescent="0.25">
      <c r="A692" t="s">
        <v>398</v>
      </c>
      <c r="B692" t="s">
        <v>399</v>
      </c>
      <c r="C692">
        <v>2019</v>
      </c>
      <c r="D692" t="s">
        <v>404</v>
      </c>
      <c r="E692">
        <v>1</v>
      </c>
      <c r="F692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2.58767372657318</v>
      </c>
      <c r="G692" s="13">
        <v>2.58767372657318</v>
      </c>
      <c r="K692" s="13">
        <v>91.588812963852405</v>
      </c>
      <c r="L692" s="13">
        <v>5.8235133095743503</v>
      </c>
      <c r="N692" s="13">
        <v>4.68</v>
      </c>
      <c r="O69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99.999999999999943</v>
      </c>
      <c r="R692" s="13">
        <v>76.489999999999995</v>
      </c>
      <c r="AB692" s="13">
        <v>45.91</v>
      </c>
      <c r="AC692" s="13">
        <v>6.91</v>
      </c>
      <c r="AD692" s="13">
        <v>34.549999999999997</v>
      </c>
      <c r="AE692" s="13">
        <v>12.64</v>
      </c>
      <c r="AH692" s="13">
        <v>22.61</v>
      </c>
      <c r="AI692" s="13">
        <v>0.03</v>
      </c>
      <c r="AL692" s="13">
        <v>20</v>
      </c>
      <c r="AO692" s="13">
        <v>3.5</v>
      </c>
      <c r="AP692" s="13">
        <v>1.1100000000000001</v>
      </c>
      <c r="AS692" s="13">
        <v>10</v>
      </c>
      <c r="AT692" s="13">
        <f>LN(25/Table26[[#This Row],[Temperature (C)]]/(1-SQRT((Table26[[#This Row],[Temperature (C)]]-5)/Table26[[#This Row],[Temperature (C)]])))/Table26[[#This Row],[b]]</f>
        <v>2.0712564373473494</v>
      </c>
      <c r="AU692" s="13">
        <f>IF(Table26[[#This Row],[b]]&lt;&gt;"",Table26[[#This Row],[T-5]], 0)</f>
        <v>2.0712564373473494</v>
      </c>
      <c r="AV692" s="13">
        <f>Table26[[#This Row],[Heating time]]+Table26[[#This Row],[Holding Time (min)]]</f>
        <v>12.071256437347349</v>
      </c>
      <c r="AW692" s="13">
        <v>360</v>
      </c>
      <c r="AY692" t="s">
        <v>503</v>
      </c>
      <c r="BA692" s="13">
        <v>7.1908087407073502</v>
      </c>
      <c r="BE692" s="13" t="s">
        <v>506</v>
      </c>
      <c r="BQ692" s="13" t="s">
        <v>506</v>
      </c>
      <c r="CV692" s="13">
        <v>0</v>
      </c>
    </row>
    <row r="693" spans="1:100" x14ac:dyDescent="0.25">
      <c r="A693" t="s">
        <v>398</v>
      </c>
      <c r="B693" t="s">
        <v>399</v>
      </c>
      <c r="C693">
        <v>2019</v>
      </c>
      <c r="D693" t="s">
        <v>404</v>
      </c>
      <c r="E693">
        <v>1</v>
      </c>
      <c r="F693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2.58767372657318</v>
      </c>
      <c r="G693" s="13">
        <v>2.58767372657318</v>
      </c>
      <c r="K693" s="13">
        <v>91.588812963852405</v>
      </c>
      <c r="L693" s="13">
        <v>5.8235133095743503</v>
      </c>
      <c r="N693" s="13">
        <v>4.68</v>
      </c>
      <c r="O69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99.999999999999943</v>
      </c>
      <c r="R693" s="13">
        <v>76.489999999999995</v>
      </c>
      <c r="AB693" s="13">
        <v>45.91</v>
      </c>
      <c r="AC693" s="13">
        <v>6.91</v>
      </c>
      <c r="AD693" s="13">
        <v>34.549999999999997</v>
      </c>
      <c r="AE693" s="13">
        <v>12.64</v>
      </c>
      <c r="AH693" s="13">
        <v>22.61</v>
      </c>
      <c r="AI693" s="13">
        <v>0.03</v>
      </c>
      <c r="AL693" s="13">
        <v>20</v>
      </c>
      <c r="AO693" s="13">
        <v>3.5</v>
      </c>
      <c r="AP693" s="13">
        <v>1.1100000000000001</v>
      </c>
      <c r="AS693" s="13">
        <v>20</v>
      </c>
      <c r="AT693" s="13">
        <f>LN(25/Table26[[#This Row],[Temperature (C)]]/(1-SQRT((Table26[[#This Row],[Temperature (C)]]-5)/Table26[[#This Row],[Temperature (C)]])))/Table26[[#This Row],[b]]</f>
        <v>2.0712564373473494</v>
      </c>
      <c r="AU693" s="13">
        <f>IF(Table26[[#This Row],[b]]&lt;&gt;"",Table26[[#This Row],[T-5]], 0)</f>
        <v>2.0712564373473494</v>
      </c>
      <c r="AV693" s="13">
        <f>Table26[[#This Row],[Heating time]]+Table26[[#This Row],[Holding Time (min)]]</f>
        <v>22.071256437347351</v>
      </c>
      <c r="AW693" s="13">
        <v>360</v>
      </c>
      <c r="AY693" t="s">
        <v>503</v>
      </c>
      <c r="BA693" s="13">
        <v>14.951770464273199</v>
      </c>
      <c r="BE693" s="13" t="s">
        <v>506</v>
      </c>
      <c r="BQ693" s="13" t="s">
        <v>506</v>
      </c>
      <c r="CV693" s="13">
        <v>0</v>
      </c>
    </row>
    <row r="694" spans="1:100" x14ac:dyDescent="0.25">
      <c r="A694" t="s">
        <v>398</v>
      </c>
      <c r="B694" t="s">
        <v>399</v>
      </c>
      <c r="C694">
        <v>2019</v>
      </c>
      <c r="D694" t="s">
        <v>404</v>
      </c>
      <c r="E694">
        <v>1</v>
      </c>
      <c r="F694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2.58767372657318</v>
      </c>
      <c r="G694" s="13">
        <v>2.58767372657318</v>
      </c>
      <c r="K694" s="13">
        <v>91.588812963852405</v>
      </c>
      <c r="L694" s="13">
        <v>5.8235133095743503</v>
      </c>
      <c r="N694" s="13">
        <v>4.68</v>
      </c>
      <c r="O69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99.999999999999943</v>
      </c>
      <c r="R694" s="13">
        <v>76.489999999999995</v>
      </c>
      <c r="AB694" s="13">
        <v>45.91</v>
      </c>
      <c r="AC694" s="13">
        <v>6.91</v>
      </c>
      <c r="AD694" s="13">
        <v>34.549999999999997</v>
      </c>
      <c r="AE694" s="13">
        <v>12.64</v>
      </c>
      <c r="AH694" s="13">
        <v>22.61</v>
      </c>
      <c r="AI694" s="13">
        <v>0.03</v>
      </c>
      <c r="AL694" s="13">
        <v>20</v>
      </c>
      <c r="AO694" s="13">
        <v>3.5</v>
      </c>
      <c r="AP694" s="13">
        <v>1.1100000000000001</v>
      </c>
      <c r="AS694" s="13">
        <v>60</v>
      </c>
      <c r="AT694" s="13">
        <f>LN(25/Table26[[#This Row],[Temperature (C)]]/(1-SQRT((Table26[[#This Row],[Temperature (C)]]-5)/Table26[[#This Row],[Temperature (C)]])))/Table26[[#This Row],[b]]</f>
        <v>2.0712564373473494</v>
      </c>
      <c r="AU694" s="13">
        <f>IF(Table26[[#This Row],[b]]&lt;&gt;"",Table26[[#This Row],[T-5]], 0)</f>
        <v>2.0712564373473494</v>
      </c>
      <c r="AV694" s="13">
        <f>Table26[[#This Row],[Heating time]]+Table26[[#This Row],[Holding Time (min)]]</f>
        <v>62.071256437347351</v>
      </c>
      <c r="AW694" s="13">
        <v>360</v>
      </c>
      <c r="AY694" t="s">
        <v>503</v>
      </c>
      <c r="BA694" s="13">
        <v>34.225562677916798</v>
      </c>
      <c r="BE694" s="13" t="s">
        <v>506</v>
      </c>
      <c r="BQ694" s="13" t="s">
        <v>506</v>
      </c>
      <c r="CV694" s="13">
        <v>0</v>
      </c>
    </row>
    <row r="695" spans="1:100" x14ac:dyDescent="0.25">
      <c r="A695" t="s">
        <v>398</v>
      </c>
      <c r="B695" t="s">
        <v>399</v>
      </c>
      <c r="C695">
        <v>2019</v>
      </c>
      <c r="D695" t="s">
        <v>405</v>
      </c>
      <c r="E695">
        <v>1</v>
      </c>
      <c r="F695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73.454025133769903</v>
      </c>
      <c r="G695" s="13">
        <v>73.454025133769903</v>
      </c>
      <c r="K695" s="13">
        <v>18.706441946174699</v>
      </c>
      <c r="L695" s="13">
        <v>7.8395329200553903</v>
      </c>
      <c r="N695" s="13">
        <v>2.37</v>
      </c>
      <c r="O69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99.999999999999986</v>
      </c>
      <c r="R695" s="13">
        <v>36.67</v>
      </c>
      <c r="AB695" s="13">
        <v>44.61</v>
      </c>
      <c r="AC695" s="13">
        <v>6.44</v>
      </c>
      <c r="AD695" s="13">
        <v>46.81</v>
      </c>
      <c r="AE695" s="13">
        <v>2.15</v>
      </c>
      <c r="AH695" s="13">
        <v>18.79</v>
      </c>
      <c r="AI695" s="13">
        <v>0.03</v>
      </c>
      <c r="AL695" s="13">
        <v>20</v>
      </c>
      <c r="AO695" s="13">
        <v>3.5</v>
      </c>
      <c r="AP695" s="13">
        <v>1.1100000000000001</v>
      </c>
      <c r="AS695" s="13">
        <v>40</v>
      </c>
      <c r="AT695" s="13">
        <f>LN(25/Table26[[#This Row],[Temperature (C)]]/(1-SQRT((Table26[[#This Row],[Temperature (C)]]-5)/Table26[[#This Row],[Temperature (C)]])))/Table26[[#This Row],[b]]</f>
        <v>2.0703519030751871</v>
      </c>
      <c r="AU695" s="13">
        <f>IF(Table26[[#This Row],[b]]&lt;&gt;"",Table26[[#This Row],[T-5]], 0)</f>
        <v>2.0703519030751871</v>
      </c>
      <c r="AV695" s="13">
        <f>Table26[[#This Row],[Heating time]]+Table26[[#This Row],[Holding Time (min)]]</f>
        <v>42.070351903075185</v>
      </c>
      <c r="AW695" s="13">
        <v>280</v>
      </c>
      <c r="AY695" t="s">
        <v>503</v>
      </c>
      <c r="BA695" s="13">
        <v>6.6817155756207498</v>
      </c>
      <c r="BE695" s="13" t="s">
        <v>506</v>
      </c>
      <c r="BQ695" s="13" t="s">
        <v>506</v>
      </c>
      <c r="CV695" s="13">
        <v>0</v>
      </c>
    </row>
    <row r="696" spans="1:100" x14ac:dyDescent="0.25">
      <c r="A696" t="s">
        <v>398</v>
      </c>
      <c r="B696" t="s">
        <v>399</v>
      </c>
      <c r="C696">
        <v>2019</v>
      </c>
      <c r="D696" t="s">
        <v>405</v>
      </c>
      <c r="E696">
        <v>1</v>
      </c>
      <c r="F696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73.454025133769903</v>
      </c>
      <c r="H696" s="13">
        <v>73.454025133769903</v>
      </c>
      <c r="K696" s="13">
        <v>18.706441946174699</v>
      </c>
      <c r="L696" s="13">
        <v>7.8395329200553903</v>
      </c>
      <c r="N696" s="13">
        <v>2.37</v>
      </c>
      <c r="O69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99.999999999999986</v>
      </c>
      <c r="R696" s="13">
        <v>36.67</v>
      </c>
      <c r="AB696" s="13">
        <v>44.61</v>
      </c>
      <c r="AC696" s="13">
        <v>6.44</v>
      </c>
      <c r="AD696" s="13">
        <v>46.81</v>
      </c>
      <c r="AE696" s="13">
        <v>2.15</v>
      </c>
      <c r="AH696" s="13">
        <v>18.79</v>
      </c>
      <c r="AI696" s="13">
        <v>0.03</v>
      </c>
      <c r="AL696" s="13">
        <v>20</v>
      </c>
      <c r="AO696" s="13">
        <v>3.5</v>
      </c>
      <c r="AP696" s="13">
        <v>1.1100000000000001</v>
      </c>
      <c r="AS696" s="13">
        <v>40</v>
      </c>
      <c r="AT696" s="13">
        <f>LN(25/Table26[[#This Row],[Temperature (C)]]/(1-SQRT((Table26[[#This Row],[Temperature (C)]]-5)/Table26[[#This Row],[Temperature (C)]])))/Table26[[#This Row],[b]]</f>
        <v>2.0706235503286319</v>
      </c>
      <c r="AU696" s="13">
        <f>IF(Table26[[#This Row],[b]]&lt;&gt;"",Table26[[#This Row],[T-5]], 0)</f>
        <v>2.0706235503286319</v>
      </c>
      <c r="AV696" s="13">
        <f>Table26[[#This Row],[Heating time]]+Table26[[#This Row],[Holding Time (min)]]</f>
        <v>42.070623550328634</v>
      </c>
      <c r="AW696" s="13">
        <v>300</v>
      </c>
      <c r="AY696" t="s">
        <v>503</v>
      </c>
      <c r="BA696" s="13">
        <v>7.4040632054176001</v>
      </c>
      <c r="BE696" s="13" t="s">
        <v>506</v>
      </c>
      <c r="BQ696" s="13" t="s">
        <v>506</v>
      </c>
      <c r="CV696" s="13">
        <v>0</v>
      </c>
    </row>
    <row r="697" spans="1:100" x14ac:dyDescent="0.25">
      <c r="A697" t="s">
        <v>398</v>
      </c>
      <c r="B697" t="s">
        <v>399</v>
      </c>
      <c r="C697">
        <v>2019</v>
      </c>
      <c r="D697" t="s">
        <v>405</v>
      </c>
      <c r="E697">
        <v>1</v>
      </c>
      <c r="F69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73.454025133769903</v>
      </c>
      <c r="H697" s="13">
        <v>73.454025133769903</v>
      </c>
      <c r="K697" s="13">
        <v>18.706441946174699</v>
      </c>
      <c r="L697" s="13">
        <v>7.8395329200553903</v>
      </c>
      <c r="N697" s="13">
        <v>2.37</v>
      </c>
      <c r="O69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99.999999999999986</v>
      </c>
      <c r="R697" s="13">
        <v>36.67</v>
      </c>
      <c r="AB697" s="13">
        <v>44.61</v>
      </c>
      <c r="AC697" s="13">
        <v>6.44</v>
      </c>
      <c r="AD697" s="13">
        <v>46.81</v>
      </c>
      <c r="AE697" s="13">
        <v>2.15</v>
      </c>
      <c r="AH697" s="13">
        <v>18.79</v>
      </c>
      <c r="AI697" s="13">
        <v>0.03</v>
      </c>
      <c r="AL697" s="13">
        <v>20</v>
      </c>
      <c r="AO697" s="13">
        <v>3.5</v>
      </c>
      <c r="AP697" s="13">
        <v>1.1100000000000001</v>
      </c>
      <c r="AS697" s="13">
        <v>40</v>
      </c>
      <c r="AT697" s="13">
        <f>LN(25/Table26[[#This Row],[Temperature (C)]]/(1-SQRT((Table26[[#This Row],[Temperature (C)]]-5)/Table26[[#This Row],[Temperature (C)]])))/Table26[[#This Row],[b]]</f>
        <v>2.0708610397007603</v>
      </c>
      <c r="AU697" s="13">
        <f>IF(Table26[[#This Row],[b]]&lt;&gt;"",Table26[[#This Row],[T-5]], 0)</f>
        <v>2.0708610397007603</v>
      </c>
      <c r="AV697" s="13">
        <f>Table26[[#This Row],[Heating time]]+Table26[[#This Row],[Holding Time (min)]]</f>
        <v>42.070861039700759</v>
      </c>
      <c r="AW697" s="13">
        <v>320</v>
      </c>
      <c r="AY697" t="s">
        <v>503</v>
      </c>
      <c r="BA697" s="13">
        <v>8.6681715575620704</v>
      </c>
      <c r="BE697" s="13" t="s">
        <v>506</v>
      </c>
      <c r="BQ697" s="13" t="s">
        <v>506</v>
      </c>
      <c r="CV697" s="13">
        <v>0</v>
      </c>
    </row>
    <row r="698" spans="1:100" x14ac:dyDescent="0.25">
      <c r="A698" t="s">
        <v>398</v>
      </c>
      <c r="B698" t="s">
        <v>399</v>
      </c>
      <c r="C698">
        <v>2019</v>
      </c>
      <c r="D698" t="s">
        <v>405</v>
      </c>
      <c r="E698">
        <v>1</v>
      </c>
      <c r="F698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73.454025133769903</v>
      </c>
      <c r="H698" s="13">
        <v>73.454025133769903</v>
      </c>
      <c r="K698" s="13">
        <v>18.706441946174699</v>
      </c>
      <c r="L698" s="13">
        <v>7.8395329200553903</v>
      </c>
      <c r="N698" s="13">
        <v>2.37</v>
      </c>
      <c r="O69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99.999999999999986</v>
      </c>
      <c r="R698" s="13">
        <v>36.67</v>
      </c>
      <c r="AB698" s="13">
        <v>44.61</v>
      </c>
      <c r="AC698" s="13">
        <v>6.44</v>
      </c>
      <c r="AD698" s="13">
        <v>46.81</v>
      </c>
      <c r="AE698" s="13">
        <v>2.15</v>
      </c>
      <c r="AH698" s="13">
        <v>18.79</v>
      </c>
      <c r="AI698" s="13">
        <v>0.03</v>
      </c>
      <c r="AL698" s="13">
        <v>20</v>
      </c>
      <c r="AO698" s="13">
        <v>3.5</v>
      </c>
      <c r="AP698" s="13">
        <v>1.1100000000000001</v>
      </c>
      <c r="AS698" s="13">
        <v>40</v>
      </c>
      <c r="AT698" s="13">
        <f>LN(25/Table26[[#This Row],[Temperature (C)]]/(1-SQRT((Table26[[#This Row],[Temperature (C)]]-5)/Table26[[#This Row],[Temperature (C)]])))/Table26[[#This Row],[b]]</f>
        <v>2.0710704328770686</v>
      </c>
      <c r="AU698" s="13">
        <f>IF(Table26[[#This Row],[b]]&lt;&gt;"",Table26[[#This Row],[T-5]], 0)</f>
        <v>2.0710704328770686</v>
      </c>
      <c r="AV698" s="13">
        <f>Table26[[#This Row],[Heating time]]+Table26[[#This Row],[Holding Time (min)]]</f>
        <v>42.071070432877072</v>
      </c>
      <c r="AW698" s="13">
        <v>340</v>
      </c>
      <c r="AY698" t="s">
        <v>503</v>
      </c>
      <c r="BA698" s="13">
        <v>8.3069977426636594</v>
      </c>
      <c r="BE698" s="13" t="s">
        <v>506</v>
      </c>
      <c r="BQ698" s="13" t="s">
        <v>506</v>
      </c>
      <c r="CV698" s="13">
        <v>0</v>
      </c>
    </row>
    <row r="699" spans="1:100" x14ac:dyDescent="0.25">
      <c r="A699" t="s">
        <v>398</v>
      </c>
      <c r="B699" t="s">
        <v>399</v>
      </c>
      <c r="C699">
        <v>2019</v>
      </c>
      <c r="D699" t="s">
        <v>405</v>
      </c>
      <c r="E699">
        <v>1</v>
      </c>
      <c r="F699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73.454025133769903</v>
      </c>
      <c r="H699" s="13">
        <v>73.454025133769903</v>
      </c>
      <c r="K699" s="13">
        <v>18.706441946174699</v>
      </c>
      <c r="L699" s="13">
        <v>7.8395329200553903</v>
      </c>
      <c r="N699" s="13">
        <v>2.37</v>
      </c>
      <c r="O69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99.999999999999986</v>
      </c>
      <c r="R699" s="13">
        <v>36.67</v>
      </c>
      <c r="AB699" s="13">
        <v>44.61</v>
      </c>
      <c r="AC699" s="13">
        <v>6.44</v>
      </c>
      <c r="AD699" s="13">
        <v>46.81</v>
      </c>
      <c r="AE699" s="13">
        <v>2.15</v>
      </c>
      <c r="AH699" s="13">
        <v>18.79</v>
      </c>
      <c r="AI699" s="13">
        <v>0.03</v>
      </c>
      <c r="AL699" s="13">
        <v>20</v>
      </c>
      <c r="AO699" s="13">
        <v>3.5</v>
      </c>
      <c r="AP699" s="13">
        <v>1.1100000000000001</v>
      </c>
      <c r="AS699" s="13">
        <v>40</v>
      </c>
      <c r="AT699" s="13">
        <f>LN(25/Table26[[#This Row],[Temperature (C)]]/(1-SQRT((Table26[[#This Row],[Temperature (C)]]-5)/Table26[[#This Row],[Temperature (C)]])))/Table26[[#This Row],[b]]</f>
        <v>2.0712564373473494</v>
      </c>
      <c r="AU699" s="13">
        <f>IF(Table26[[#This Row],[b]]&lt;&gt;"",Table26[[#This Row],[T-5]], 0)</f>
        <v>2.0712564373473494</v>
      </c>
      <c r="AV699" s="13">
        <f>Table26[[#This Row],[Heating time]]+Table26[[#This Row],[Holding Time (min)]]</f>
        <v>42.071256437347351</v>
      </c>
      <c r="AW699" s="13">
        <v>360</v>
      </c>
      <c r="AY699" t="s">
        <v>503</v>
      </c>
      <c r="BA699" s="13">
        <v>11.0158013544018</v>
      </c>
      <c r="BE699" s="13" t="s">
        <v>506</v>
      </c>
      <c r="BI699" s="13">
        <v>73.709999999999994</v>
      </c>
      <c r="BJ699" s="13">
        <v>11.28</v>
      </c>
      <c r="BK699" s="13">
        <v>13.92</v>
      </c>
      <c r="BL699" s="13">
        <v>1.1100000000000001</v>
      </c>
      <c r="BN699" s="13">
        <v>38.549999999999997</v>
      </c>
      <c r="BP699" s="13">
        <v>17.2</v>
      </c>
      <c r="BQ699" s="13" t="s">
        <v>506</v>
      </c>
      <c r="CV699" s="13">
        <v>0</v>
      </c>
    </row>
    <row r="700" spans="1:100" x14ac:dyDescent="0.25">
      <c r="A700" t="s">
        <v>398</v>
      </c>
      <c r="B700" t="s">
        <v>399</v>
      </c>
      <c r="C700">
        <v>2019</v>
      </c>
      <c r="D700" t="s">
        <v>405</v>
      </c>
      <c r="E700">
        <v>1</v>
      </c>
      <c r="F700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73.454025133769903</v>
      </c>
      <c r="H700" s="13">
        <v>73.454025133769903</v>
      </c>
      <c r="K700" s="13">
        <v>18.706441946174699</v>
      </c>
      <c r="L700" s="13">
        <v>7.8395329200553903</v>
      </c>
      <c r="N700" s="13">
        <v>2.37</v>
      </c>
      <c r="O70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99.999999999999986</v>
      </c>
      <c r="R700" s="13">
        <v>36.67</v>
      </c>
      <c r="AB700" s="13">
        <v>44.61</v>
      </c>
      <c r="AC700" s="13">
        <v>6.44</v>
      </c>
      <c r="AD700" s="13">
        <v>46.81</v>
      </c>
      <c r="AE700" s="13">
        <v>2.15</v>
      </c>
      <c r="AH700" s="13">
        <v>18.79</v>
      </c>
      <c r="AI700" s="13">
        <v>0.03</v>
      </c>
      <c r="AL700" s="13">
        <v>20</v>
      </c>
      <c r="AO700" s="13">
        <v>3.5</v>
      </c>
      <c r="AP700" s="13">
        <v>1.1100000000000001</v>
      </c>
      <c r="AS700" s="13">
        <v>10</v>
      </c>
      <c r="AT700" s="13">
        <f>LN(25/Table26[[#This Row],[Temperature (C)]]/(1-SQRT((Table26[[#This Row],[Temperature (C)]]-5)/Table26[[#This Row],[Temperature (C)]])))/Table26[[#This Row],[b]]</f>
        <v>2.0712564373473494</v>
      </c>
      <c r="AU700" s="13">
        <f>IF(Table26[[#This Row],[b]]&lt;&gt;"",Table26[[#This Row],[T-5]], 0)</f>
        <v>2.0712564373473494</v>
      </c>
      <c r="AV700" s="13">
        <f>Table26[[#This Row],[Heating time]]+Table26[[#This Row],[Holding Time (min)]]</f>
        <v>12.071256437347349</v>
      </c>
      <c r="AW700" s="13">
        <v>360</v>
      </c>
      <c r="AY700" t="s">
        <v>503</v>
      </c>
      <c r="BA700" s="13">
        <v>1.85750271355135</v>
      </c>
      <c r="BE700" s="13" t="s">
        <v>506</v>
      </c>
      <c r="BQ700" s="13" t="s">
        <v>506</v>
      </c>
      <c r="CV700" s="13">
        <v>0</v>
      </c>
    </row>
    <row r="701" spans="1:100" x14ac:dyDescent="0.25">
      <c r="A701" t="s">
        <v>398</v>
      </c>
      <c r="B701" t="s">
        <v>399</v>
      </c>
      <c r="C701">
        <v>2019</v>
      </c>
      <c r="D701" t="s">
        <v>405</v>
      </c>
      <c r="E701">
        <v>1</v>
      </c>
      <c r="F701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73.454025133769903</v>
      </c>
      <c r="H701" s="13">
        <v>73.454025133769903</v>
      </c>
      <c r="K701" s="13">
        <v>18.706441946174699</v>
      </c>
      <c r="L701" s="13">
        <v>7.8395329200553903</v>
      </c>
      <c r="N701" s="13">
        <v>2.37</v>
      </c>
      <c r="O70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99.999999999999986</v>
      </c>
      <c r="R701" s="13">
        <v>36.67</v>
      </c>
      <c r="AB701" s="13">
        <v>44.61</v>
      </c>
      <c r="AC701" s="13">
        <v>6.44</v>
      </c>
      <c r="AD701" s="13">
        <v>46.81</v>
      </c>
      <c r="AE701" s="13">
        <v>2.15</v>
      </c>
      <c r="AH701" s="13">
        <v>18.79</v>
      </c>
      <c r="AI701" s="13">
        <v>0.03</v>
      </c>
      <c r="AL701" s="13">
        <v>20</v>
      </c>
      <c r="AO701" s="13">
        <v>3.5</v>
      </c>
      <c r="AP701" s="13">
        <v>1.1100000000000001</v>
      </c>
      <c r="AS701" s="13">
        <v>20</v>
      </c>
      <c r="AT701" s="13">
        <f>LN(25/Table26[[#This Row],[Temperature (C)]]/(1-SQRT((Table26[[#This Row],[Temperature (C)]]-5)/Table26[[#This Row],[Temperature (C)]])))/Table26[[#This Row],[b]]</f>
        <v>2.0712564373473494</v>
      </c>
      <c r="AU701" s="13">
        <f>IF(Table26[[#This Row],[b]]&lt;&gt;"",Table26[[#This Row],[T-5]], 0)</f>
        <v>2.0712564373473494</v>
      </c>
      <c r="AV701" s="13">
        <f>Table26[[#This Row],[Heating time]]+Table26[[#This Row],[Holding Time (min)]]</f>
        <v>22.071256437347351</v>
      </c>
      <c r="AW701" s="13">
        <v>360</v>
      </c>
      <c r="AY701" t="s">
        <v>503</v>
      </c>
      <c r="BA701" s="13">
        <v>6.3081365581928699</v>
      </c>
      <c r="BE701" s="13" t="s">
        <v>506</v>
      </c>
      <c r="BQ701" s="13" t="s">
        <v>506</v>
      </c>
      <c r="CV701" s="13">
        <v>0</v>
      </c>
    </row>
    <row r="702" spans="1:100" x14ac:dyDescent="0.25">
      <c r="A702" t="s">
        <v>398</v>
      </c>
      <c r="B702" t="s">
        <v>399</v>
      </c>
      <c r="C702">
        <v>2019</v>
      </c>
      <c r="D702" t="s">
        <v>405</v>
      </c>
      <c r="E702">
        <v>1</v>
      </c>
      <c r="F702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73.454025133769903</v>
      </c>
      <c r="H702" s="13">
        <v>73.454025133769903</v>
      </c>
      <c r="K702" s="13">
        <v>18.706441946174699</v>
      </c>
      <c r="L702" s="13">
        <v>7.8395329200553903</v>
      </c>
      <c r="N702" s="13">
        <v>2.37</v>
      </c>
      <c r="O70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99.999999999999986</v>
      </c>
      <c r="R702" s="13">
        <v>36.67</v>
      </c>
      <c r="AB702" s="13">
        <v>44.61</v>
      </c>
      <c r="AC702" s="13">
        <v>6.44</v>
      </c>
      <c r="AD702" s="13">
        <v>46.81</v>
      </c>
      <c r="AE702" s="13">
        <v>2.15</v>
      </c>
      <c r="AH702" s="13">
        <v>18.79</v>
      </c>
      <c r="AI702" s="13">
        <v>0.03</v>
      </c>
      <c r="AL702" s="13">
        <v>20</v>
      </c>
      <c r="AO702" s="13">
        <v>3.5</v>
      </c>
      <c r="AP702" s="13">
        <v>1.1100000000000001</v>
      </c>
      <c r="AS702" s="13">
        <v>60</v>
      </c>
      <c r="AT702" s="13">
        <f>LN(25/Table26[[#This Row],[Temperature (C)]]/(1-SQRT((Table26[[#This Row],[Temperature (C)]]-5)/Table26[[#This Row],[Temperature (C)]])))/Table26[[#This Row],[b]]</f>
        <v>2.0712564373473494</v>
      </c>
      <c r="AU702" s="13">
        <f>IF(Table26[[#This Row],[b]]&lt;&gt;"",Table26[[#This Row],[T-5]], 0)</f>
        <v>2.0712564373473494</v>
      </c>
      <c r="AV702" s="13">
        <f>Table26[[#This Row],[Heating time]]+Table26[[#This Row],[Holding Time (min)]]</f>
        <v>62.071256437347351</v>
      </c>
      <c r="AW702" s="13">
        <v>360</v>
      </c>
      <c r="AY702" t="s">
        <v>503</v>
      </c>
      <c r="BA702" s="13">
        <v>7.7425300538614197</v>
      </c>
      <c r="BE702" s="13" t="s">
        <v>506</v>
      </c>
      <c r="BQ702" s="13" t="s">
        <v>506</v>
      </c>
      <c r="CV702" s="13">
        <v>0</v>
      </c>
    </row>
    <row r="703" spans="1:100" x14ac:dyDescent="0.25">
      <c r="A703" t="s">
        <v>398</v>
      </c>
      <c r="B703" t="s">
        <v>399</v>
      </c>
      <c r="C703">
        <v>2019</v>
      </c>
      <c r="D703" t="s">
        <v>406</v>
      </c>
      <c r="E703">
        <v>0</v>
      </c>
      <c r="F703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58.057833321248502</v>
      </c>
      <c r="G703" s="13">
        <v>58.057833321248502</v>
      </c>
      <c r="K703" s="13">
        <v>33.264361119628099</v>
      </c>
      <c r="L703" s="13">
        <v>8.6778055591232999</v>
      </c>
      <c r="N703" s="13">
        <v>13.11</v>
      </c>
      <c r="O70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99.999999999999901</v>
      </c>
      <c r="R703" s="13">
        <v>93.86</v>
      </c>
      <c r="AB703" s="13">
        <v>47.88</v>
      </c>
      <c r="AC703" s="13">
        <v>7.03</v>
      </c>
      <c r="AD703" s="13">
        <v>41.03</v>
      </c>
      <c r="AE703" s="13">
        <v>4.07</v>
      </c>
      <c r="AH703" s="13">
        <v>17.16</v>
      </c>
      <c r="AI703" s="13">
        <v>0.03</v>
      </c>
      <c r="AL703" s="13">
        <v>20</v>
      </c>
      <c r="AO703" s="13">
        <v>3.5</v>
      </c>
      <c r="AP703" s="13">
        <v>1.1100000000000001</v>
      </c>
      <c r="AS703" s="13">
        <v>40</v>
      </c>
      <c r="AT703" s="13">
        <f>LN(25/Table26[[#This Row],[Temperature (C)]]/(1-SQRT((Table26[[#This Row],[Temperature (C)]]-5)/Table26[[#This Row],[Temperature (C)]])))/Table26[[#This Row],[b]]</f>
        <v>2.0703519030751871</v>
      </c>
      <c r="AU703" s="13">
        <f>IF(Table26[[#This Row],[b]]&lt;&gt;"",Table26[[#This Row],[T-5]], 0)</f>
        <v>2.0703519030751871</v>
      </c>
      <c r="AV703" s="13">
        <f>Table26[[#This Row],[Heating time]]+Table26[[#This Row],[Holding Time (min)]]</f>
        <v>42.070351903075185</v>
      </c>
      <c r="AW703" s="13">
        <v>280</v>
      </c>
      <c r="AY703" t="s">
        <v>503</v>
      </c>
      <c r="BA703" s="13">
        <v>15.349887133182801</v>
      </c>
      <c r="BE703" s="13" t="s">
        <v>506</v>
      </c>
      <c r="BI703" s="13">
        <v>69.64</v>
      </c>
      <c r="BJ703" s="13">
        <v>8.26</v>
      </c>
      <c r="BK703" s="13">
        <v>16.05</v>
      </c>
      <c r="BL703" s="13">
        <v>6.07</v>
      </c>
      <c r="BN703" s="13">
        <v>32.479999999999997</v>
      </c>
      <c r="BP703" s="13">
        <v>21</v>
      </c>
      <c r="BQ703" s="13" t="s">
        <v>506</v>
      </c>
      <c r="CV703" s="13">
        <v>0</v>
      </c>
    </row>
    <row r="704" spans="1:100" x14ac:dyDescent="0.25">
      <c r="A704" t="s">
        <v>398</v>
      </c>
      <c r="B704" t="s">
        <v>399</v>
      </c>
      <c r="C704">
        <v>2019</v>
      </c>
      <c r="D704" t="s">
        <v>406</v>
      </c>
      <c r="E704">
        <v>0</v>
      </c>
      <c r="F704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58.057833321248502</v>
      </c>
      <c r="G704" s="13">
        <v>58.057833321248502</v>
      </c>
      <c r="K704" s="13">
        <v>33.264361119628099</v>
      </c>
      <c r="L704" s="13">
        <v>8.6778055591232999</v>
      </c>
      <c r="N704" s="13">
        <v>13.11</v>
      </c>
      <c r="O70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99.999999999999901</v>
      </c>
      <c r="R704" s="13">
        <v>93.86</v>
      </c>
      <c r="AB704" s="13">
        <v>47.88</v>
      </c>
      <c r="AC704" s="13">
        <v>7.03</v>
      </c>
      <c r="AD704" s="13">
        <v>41.03</v>
      </c>
      <c r="AE704" s="13">
        <v>4.07</v>
      </c>
      <c r="AH704" s="13">
        <v>17.16</v>
      </c>
      <c r="AI704" s="13">
        <v>0.03</v>
      </c>
      <c r="AL704" s="13">
        <v>20</v>
      </c>
      <c r="AO704" s="13">
        <v>3.5</v>
      </c>
      <c r="AP704" s="13">
        <v>1.1100000000000001</v>
      </c>
      <c r="AS704" s="13">
        <v>40</v>
      </c>
      <c r="AT704" s="13">
        <f>LN(25/Table26[[#This Row],[Temperature (C)]]/(1-SQRT((Table26[[#This Row],[Temperature (C)]]-5)/Table26[[#This Row],[Temperature (C)]])))/Table26[[#This Row],[b]]</f>
        <v>2.0706235503286319</v>
      </c>
      <c r="AU704" s="13">
        <f>IF(Table26[[#This Row],[b]]&lt;&gt;"",Table26[[#This Row],[T-5]], 0)</f>
        <v>2.0706235503286319</v>
      </c>
      <c r="AV704" s="13">
        <f>Table26[[#This Row],[Heating time]]+Table26[[#This Row],[Holding Time (min)]]</f>
        <v>42.070623550328634</v>
      </c>
      <c r="AW704" s="13">
        <v>300</v>
      </c>
      <c r="AY704" t="s">
        <v>503</v>
      </c>
      <c r="BA704" s="13">
        <v>5.5981941309254903</v>
      </c>
      <c r="BE704" s="13">
        <v>5.7</v>
      </c>
      <c r="BQ704" s="13" t="s">
        <v>506</v>
      </c>
      <c r="CV704" s="13">
        <v>0</v>
      </c>
    </row>
    <row r="705" spans="1:100" x14ac:dyDescent="0.25">
      <c r="A705" t="s">
        <v>398</v>
      </c>
      <c r="B705" t="s">
        <v>399</v>
      </c>
      <c r="C705">
        <v>2019</v>
      </c>
      <c r="D705" t="s">
        <v>406</v>
      </c>
      <c r="E705">
        <v>0</v>
      </c>
      <c r="F705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58.057833321248502</v>
      </c>
      <c r="G705" s="13">
        <v>58.057833321248502</v>
      </c>
      <c r="K705" s="13">
        <v>33.264361119628099</v>
      </c>
      <c r="L705" s="13">
        <v>8.6778055591232999</v>
      </c>
      <c r="N705" s="13">
        <v>13.11</v>
      </c>
      <c r="O70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99.999999999999901</v>
      </c>
      <c r="R705" s="13">
        <v>93.86</v>
      </c>
      <c r="AB705" s="13">
        <v>47.88</v>
      </c>
      <c r="AC705" s="13">
        <v>7.03</v>
      </c>
      <c r="AD705" s="13">
        <v>41.03</v>
      </c>
      <c r="AE705" s="13">
        <v>4.07</v>
      </c>
      <c r="AH705" s="13">
        <v>17.16</v>
      </c>
      <c r="AI705" s="13">
        <v>0.03</v>
      </c>
      <c r="AL705" s="13">
        <v>20</v>
      </c>
      <c r="AO705" s="13">
        <v>3.5</v>
      </c>
      <c r="AP705" s="13">
        <v>1.1100000000000001</v>
      </c>
      <c r="AS705" s="13">
        <v>40</v>
      </c>
      <c r="AT705" s="13">
        <f>LN(25/Table26[[#This Row],[Temperature (C)]]/(1-SQRT((Table26[[#This Row],[Temperature (C)]]-5)/Table26[[#This Row],[Temperature (C)]])))/Table26[[#This Row],[b]]</f>
        <v>2.0708610397007603</v>
      </c>
      <c r="AU705" s="13">
        <f>IF(Table26[[#This Row],[b]]&lt;&gt;"",Table26[[#This Row],[T-5]], 0)</f>
        <v>2.0708610397007603</v>
      </c>
      <c r="AV705" s="13">
        <f>Table26[[#This Row],[Heating time]]+Table26[[#This Row],[Holding Time (min)]]</f>
        <v>42.070861039700759</v>
      </c>
      <c r="AW705" s="13">
        <v>320</v>
      </c>
      <c r="AY705" t="s">
        <v>503</v>
      </c>
      <c r="BA705" s="13">
        <v>6.8623024830699597</v>
      </c>
      <c r="BE705" s="13">
        <v>1.6</v>
      </c>
      <c r="BQ705" s="13" t="s">
        <v>506</v>
      </c>
      <c r="CV705" s="13">
        <v>0</v>
      </c>
    </row>
    <row r="706" spans="1:100" x14ac:dyDescent="0.25">
      <c r="A706" t="s">
        <v>398</v>
      </c>
      <c r="B706" t="s">
        <v>399</v>
      </c>
      <c r="C706">
        <v>2019</v>
      </c>
      <c r="D706" t="s">
        <v>406</v>
      </c>
      <c r="E706">
        <v>0</v>
      </c>
      <c r="F706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58.057833321248502</v>
      </c>
      <c r="G706" s="13">
        <v>58.057833321248502</v>
      </c>
      <c r="K706" s="13">
        <v>33.264361119628099</v>
      </c>
      <c r="L706" s="13">
        <v>8.6778055591232999</v>
      </c>
      <c r="N706" s="13">
        <v>13.11</v>
      </c>
      <c r="O70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99.999999999999901</v>
      </c>
      <c r="R706" s="13">
        <v>93.86</v>
      </c>
      <c r="AB706" s="13">
        <v>47.88</v>
      </c>
      <c r="AC706" s="13">
        <v>7.03</v>
      </c>
      <c r="AD706" s="13">
        <v>41.03</v>
      </c>
      <c r="AE706" s="13">
        <v>4.07</v>
      </c>
      <c r="AH706" s="13">
        <v>17.16</v>
      </c>
      <c r="AI706" s="13">
        <v>0.03</v>
      </c>
      <c r="AL706" s="13">
        <v>20</v>
      </c>
      <c r="AO706" s="13">
        <v>3.5</v>
      </c>
      <c r="AP706" s="13">
        <v>1.1100000000000001</v>
      </c>
      <c r="AS706" s="13">
        <v>40</v>
      </c>
      <c r="AT706" s="13">
        <f>LN(25/Table26[[#This Row],[Temperature (C)]]/(1-SQRT((Table26[[#This Row],[Temperature (C)]]-5)/Table26[[#This Row],[Temperature (C)]])))/Table26[[#This Row],[b]]</f>
        <v>2.0710704328770686</v>
      </c>
      <c r="AU706" s="13">
        <f>IF(Table26[[#This Row],[b]]&lt;&gt;"",Table26[[#This Row],[T-5]], 0)</f>
        <v>2.0710704328770686</v>
      </c>
      <c r="AV706" s="13">
        <f>Table26[[#This Row],[Heating time]]+Table26[[#This Row],[Holding Time (min)]]</f>
        <v>42.071070432877072</v>
      </c>
      <c r="AW706" s="13">
        <v>340</v>
      </c>
      <c r="AY706" t="s">
        <v>503</v>
      </c>
      <c r="BA706" s="13">
        <v>12.821670428893899</v>
      </c>
      <c r="BE706" s="13">
        <v>2.7</v>
      </c>
      <c r="BQ706" s="13" t="s">
        <v>506</v>
      </c>
      <c r="CV706" s="13">
        <v>0</v>
      </c>
    </row>
    <row r="707" spans="1:100" x14ac:dyDescent="0.25">
      <c r="A707" t="s">
        <v>398</v>
      </c>
      <c r="B707" t="s">
        <v>399</v>
      </c>
      <c r="C707">
        <v>2019</v>
      </c>
      <c r="D707" t="s">
        <v>406</v>
      </c>
      <c r="E707">
        <v>0</v>
      </c>
      <c r="F70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58.057833321248502</v>
      </c>
      <c r="G707" s="13">
        <v>58.057833321248502</v>
      </c>
      <c r="K707" s="13">
        <v>33.264361119628099</v>
      </c>
      <c r="L707" s="13">
        <v>8.6778055591232999</v>
      </c>
      <c r="N707" s="13">
        <v>13.11</v>
      </c>
      <c r="O70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99.999999999999901</v>
      </c>
      <c r="R707" s="13">
        <v>93.86</v>
      </c>
      <c r="AB707" s="13">
        <v>47.88</v>
      </c>
      <c r="AC707" s="13">
        <v>7.03</v>
      </c>
      <c r="AD707" s="13">
        <v>41.03</v>
      </c>
      <c r="AE707" s="13">
        <v>4.07</v>
      </c>
      <c r="AH707" s="13">
        <v>17.16</v>
      </c>
      <c r="AI707" s="13">
        <v>0.03</v>
      </c>
      <c r="AL707" s="13">
        <v>20</v>
      </c>
      <c r="AO707" s="13">
        <v>3.5</v>
      </c>
      <c r="AP707" s="13">
        <v>1.1100000000000001</v>
      </c>
      <c r="AS707" s="13">
        <v>10</v>
      </c>
      <c r="AT707" s="13">
        <f>LN(25/Table26[[#This Row],[Temperature (C)]]/(1-SQRT((Table26[[#This Row],[Temperature (C)]]-5)/Table26[[#This Row],[Temperature (C)]])))/Table26[[#This Row],[b]]</f>
        <v>2.0712564373473494</v>
      </c>
      <c r="AU707" s="13">
        <f>IF(Table26[[#This Row],[b]]&lt;&gt;"",Table26[[#This Row],[T-5]], 0)</f>
        <v>2.0712564373473494</v>
      </c>
      <c r="AV707" s="13">
        <f>Table26[[#This Row],[Heating time]]+Table26[[#This Row],[Holding Time (min)]]</f>
        <v>12.071256437347349</v>
      </c>
      <c r="AW707" s="13">
        <v>360</v>
      </c>
      <c r="AY707" t="s">
        <v>503</v>
      </c>
      <c r="BA707" s="13">
        <v>2.04222900325626</v>
      </c>
      <c r="BE707" s="13">
        <v>1.7</v>
      </c>
      <c r="BQ707" s="13" t="s">
        <v>506</v>
      </c>
      <c r="CV707" s="13">
        <v>0</v>
      </c>
    </row>
    <row r="708" spans="1:100" x14ac:dyDescent="0.25">
      <c r="A708" t="s">
        <v>398</v>
      </c>
      <c r="B708" t="s">
        <v>399</v>
      </c>
      <c r="C708">
        <v>2019</v>
      </c>
      <c r="D708" t="s">
        <v>406</v>
      </c>
      <c r="E708">
        <v>0</v>
      </c>
      <c r="F708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58.057833321248502</v>
      </c>
      <c r="G708" s="13">
        <v>58.057833321248502</v>
      </c>
      <c r="K708" s="13">
        <v>33.264361119628099</v>
      </c>
      <c r="L708" s="13">
        <v>8.6778055591232999</v>
      </c>
      <c r="N708" s="13">
        <v>13.11</v>
      </c>
      <c r="O70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99.999999999999901</v>
      </c>
      <c r="R708" s="13">
        <v>93.86</v>
      </c>
      <c r="AB708" s="13">
        <v>47.88</v>
      </c>
      <c r="AC708" s="13">
        <v>7.03</v>
      </c>
      <c r="AD708" s="13">
        <v>41.03</v>
      </c>
      <c r="AE708" s="13">
        <v>4.07</v>
      </c>
      <c r="AH708" s="13">
        <v>17.16</v>
      </c>
      <c r="AI708" s="13">
        <v>0.03</v>
      </c>
      <c r="AL708" s="13">
        <v>20</v>
      </c>
      <c r="AO708" s="13">
        <v>3.5</v>
      </c>
      <c r="AP708" s="13">
        <v>1.1100000000000001</v>
      </c>
      <c r="AS708" s="13">
        <v>20</v>
      </c>
      <c r="AT708" s="13">
        <f>LN(25/Table26[[#This Row],[Temperature (C)]]/(1-SQRT((Table26[[#This Row],[Temperature (C)]]-5)/Table26[[#This Row],[Temperature (C)]])))/Table26[[#This Row],[b]]</f>
        <v>2.0712564373473494</v>
      </c>
      <c r="AU708" s="13">
        <f>IF(Table26[[#This Row],[b]]&lt;&gt;"",Table26[[#This Row],[T-5]], 0)</f>
        <v>2.0712564373473494</v>
      </c>
      <c r="AV708" s="13">
        <f>Table26[[#This Row],[Heating time]]+Table26[[#This Row],[Holding Time (min)]]</f>
        <v>22.071256437347351</v>
      </c>
      <c r="AW708" s="13">
        <v>360</v>
      </c>
      <c r="AY708" t="s">
        <v>503</v>
      </c>
      <c r="BA708" s="13">
        <v>5.3886010362694199</v>
      </c>
      <c r="BE708" s="13">
        <v>1.9</v>
      </c>
      <c r="BQ708" s="13" t="s">
        <v>506</v>
      </c>
      <c r="CV708" s="13">
        <v>0</v>
      </c>
    </row>
    <row r="709" spans="1:100" x14ac:dyDescent="0.25">
      <c r="A709" t="s">
        <v>398</v>
      </c>
      <c r="B709" t="s">
        <v>399</v>
      </c>
      <c r="C709">
        <v>2019</v>
      </c>
      <c r="D709" t="s">
        <v>406</v>
      </c>
      <c r="E709">
        <v>0</v>
      </c>
      <c r="F709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58.057833321248502</v>
      </c>
      <c r="G709" s="13">
        <v>58.057833321248502</v>
      </c>
      <c r="K709" s="13">
        <v>33.264361119628099</v>
      </c>
      <c r="L709" s="13">
        <v>8.6778055591232999</v>
      </c>
      <c r="N709" s="13">
        <v>13.11</v>
      </c>
      <c r="O70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99.999999999999901</v>
      </c>
      <c r="R709" s="13">
        <v>93.86</v>
      </c>
      <c r="AB709" s="13">
        <v>47.88</v>
      </c>
      <c r="AC709" s="13">
        <v>7.03</v>
      </c>
      <c r="AD709" s="13">
        <v>41.03</v>
      </c>
      <c r="AE709" s="13">
        <v>4.07</v>
      </c>
      <c r="AH709" s="13">
        <v>17.16</v>
      </c>
      <c r="AI709" s="13">
        <v>0.03</v>
      </c>
      <c r="AL709" s="13">
        <v>20</v>
      </c>
      <c r="AO709" s="13">
        <v>3.5</v>
      </c>
      <c r="AP709" s="13">
        <v>1.1100000000000001</v>
      </c>
      <c r="AS709" s="13">
        <v>40</v>
      </c>
      <c r="AT709" s="13">
        <f>LN(25/Table26[[#This Row],[Temperature (C)]]/(1-SQRT((Table26[[#This Row],[Temperature (C)]]-5)/Table26[[#This Row],[Temperature (C)]])))/Table26[[#This Row],[b]]</f>
        <v>2.0712564373473494</v>
      </c>
      <c r="AU709" s="13">
        <f>IF(Table26[[#This Row],[b]]&lt;&gt;"",Table26[[#This Row],[T-5]], 0)</f>
        <v>2.0712564373473494</v>
      </c>
      <c r="AV709" s="13">
        <f>Table26[[#This Row],[Heating time]]+Table26[[#This Row],[Holding Time (min)]]</f>
        <v>42.071256437347351</v>
      </c>
      <c r="AW709" s="13">
        <v>360</v>
      </c>
      <c r="AY709" t="s">
        <v>503</v>
      </c>
      <c r="BA709" s="13">
        <v>13.186426099244301</v>
      </c>
      <c r="BE709" s="13">
        <v>2</v>
      </c>
      <c r="BQ709" s="13" t="s">
        <v>506</v>
      </c>
      <c r="CV709" s="13">
        <v>0</v>
      </c>
    </row>
    <row r="710" spans="1:100" x14ac:dyDescent="0.25">
      <c r="A710" t="s">
        <v>398</v>
      </c>
      <c r="B710" t="s">
        <v>399</v>
      </c>
      <c r="C710">
        <v>2019</v>
      </c>
      <c r="D710" t="s">
        <v>406</v>
      </c>
      <c r="E710">
        <v>0</v>
      </c>
      <c r="F710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58.057833321248502</v>
      </c>
      <c r="G710" s="13">
        <v>58.057833321248502</v>
      </c>
      <c r="K710" s="13">
        <v>33.264361119628099</v>
      </c>
      <c r="L710" s="13">
        <v>8.6778055591232999</v>
      </c>
      <c r="N710" s="13">
        <v>13.11</v>
      </c>
      <c r="O71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99.999999999999901</v>
      </c>
      <c r="R710" s="13">
        <v>93.86</v>
      </c>
      <c r="AB710" s="13">
        <v>47.88</v>
      </c>
      <c r="AC710" s="13">
        <v>7.03</v>
      </c>
      <c r="AD710" s="13">
        <v>41.03</v>
      </c>
      <c r="AE710" s="13">
        <v>4.07</v>
      </c>
      <c r="AH710" s="13">
        <v>17.16</v>
      </c>
      <c r="AI710" s="13">
        <v>0.03</v>
      </c>
      <c r="AL710" s="13">
        <v>20</v>
      </c>
      <c r="AO710" s="13">
        <v>3.5</v>
      </c>
      <c r="AP710" s="13">
        <v>1.1100000000000001</v>
      </c>
      <c r="AS710" s="13">
        <v>60</v>
      </c>
      <c r="AT710" s="13">
        <f>LN(25/Table26[[#This Row],[Temperature (C)]]/(1-SQRT((Table26[[#This Row],[Temperature (C)]]-5)/Table26[[#This Row],[Temperature (C)]])))/Table26[[#This Row],[b]]</f>
        <v>2.0712564373473494</v>
      </c>
      <c r="AU710" s="13">
        <f>IF(Table26[[#This Row],[b]]&lt;&gt;"",Table26[[#This Row],[T-5]], 0)</f>
        <v>2.0712564373473494</v>
      </c>
      <c r="AV710" s="13">
        <f>Table26[[#This Row],[Heating time]]+Table26[[#This Row],[Holding Time (min)]]</f>
        <v>62.071256437347351</v>
      </c>
      <c r="AW710" s="13">
        <v>360</v>
      </c>
      <c r="AY710" t="s">
        <v>503</v>
      </c>
      <c r="BA710" s="13">
        <v>11.2367650371705</v>
      </c>
      <c r="BE710" s="13">
        <v>1.1000000000000001</v>
      </c>
      <c r="BQ710" s="13" t="s">
        <v>506</v>
      </c>
      <c r="CV710" s="13">
        <v>0</v>
      </c>
    </row>
    <row r="711" spans="1:100" x14ac:dyDescent="0.25">
      <c r="A711" t="s">
        <v>398</v>
      </c>
      <c r="B711" t="s">
        <v>399</v>
      </c>
      <c r="C711">
        <v>2019</v>
      </c>
      <c r="D711" t="s">
        <v>407</v>
      </c>
      <c r="E711">
        <v>0</v>
      </c>
      <c r="F711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83.590280684701696</v>
      </c>
      <c r="G711" s="13">
        <v>83.590280684701696</v>
      </c>
      <c r="K711" s="13">
        <v>9.5065080902504295</v>
      </c>
      <c r="L711" s="13">
        <v>6.9032112250477899</v>
      </c>
      <c r="N711" s="13">
        <v>5</v>
      </c>
      <c r="O71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99.999999999999915</v>
      </c>
      <c r="R711" s="13">
        <v>91.97</v>
      </c>
      <c r="AB711" s="13">
        <v>43.33</v>
      </c>
      <c r="AC711" s="13">
        <v>5.75</v>
      </c>
      <c r="AD711" s="13">
        <v>49.25</v>
      </c>
      <c r="AE711" s="13">
        <v>1.69</v>
      </c>
      <c r="AH711" s="13">
        <v>17.82</v>
      </c>
      <c r="AI711" s="13">
        <v>0.03</v>
      </c>
      <c r="AL711" s="13">
        <v>20</v>
      </c>
      <c r="AO711" s="13">
        <v>3.5</v>
      </c>
      <c r="AP711" s="13">
        <v>1.1100000000000001</v>
      </c>
      <c r="AS711" s="13">
        <v>40</v>
      </c>
      <c r="AT711" s="13">
        <f>LN(25/Table26[[#This Row],[Temperature (C)]]/(1-SQRT((Table26[[#This Row],[Temperature (C)]]-5)/Table26[[#This Row],[Temperature (C)]])))/Table26[[#This Row],[b]]</f>
        <v>2.0703519030751871</v>
      </c>
      <c r="AU711" s="13">
        <f>IF(Table26[[#This Row],[b]]&lt;&gt;"",Table26[[#This Row],[T-5]], 0)</f>
        <v>2.0703519030751871</v>
      </c>
      <c r="AV711" s="13">
        <f>Table26[[#This Row],[Heating time]]+Table26[[#This Row],[Holding Time (min)]]</f>
        <v>42.070351903075185</v>
      </c>
      <c r="AW711" s="13">
        <v>280</v>
      </c>
      <c r="AY711" t="s">
        <v>503</v>
      </c>
      <c r="BA711" s="13">
        <v>4.1534988713318199</v>
      </c>
      <c r="BE711" s="13">
        <v>3.8</v>
      </c>
      <c r="BQ711" s="13" t="s">
        <v>506</v>
      </c>
      <c r="CV711" s="13">
        <v>0</v>
      </c>
    </row>
    <row r="712" spans="1:100" x14ac:dyDescent="0.25">
      <c r="A712" t="s">
        <v>398</v>
      </c>
      <c r="B712" t="s">
        <v>399</v>
      </c>
      <c r="C712">
        <v>2019</v>
      </c>
      <c r="D712" t="s">
        <v>407</v>
      </c>
      <c r="E712">
        <v>0</v>
      </c>
      <c r="F712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83.590280684701696</v>
      </c>
      <c r="G712" s="13">
        <v>83.590280684701696</v>
      </c>
      <c r="K712" s="13">
        <v>9.5065080902504295</v>
      </c>
      <c r="L712" s="13">
        <v>6.9032112250477899</v>
      </c>
      <c r="N712" s="13">
        <v>5</v>
      </c>
      <c r="O71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99.999999999999915</v>
      </c>
      <c r="R712" s="13">
        <v>91.97</v>
      </c>
      <c r="AB712" s="13">
        <v>43.33</v>
      </c>
      <c r="AC712" s="13">
        <v>5.75</v>
      </c>
      <c r="AD712" s="13">
        <v>49.25</v>
      </c>
      <c r="AE712" s="13">
        <v>1.69</v>
      </c>
      <c r="AH712" s="13">
        <v>17.82</v>
      </c>
      <c r="AI712" s="13">
        <v>0.03</v>
      </c>
      <c r="AL712" s="13">
        <v>20</v>
      </c>
      <c r="AO712" s="13">
        <v>3.5</v>
      </c>
      <c r="AP712" s="13">
        <v>1.1100000000000001</v>
      </c>
      <c r="AS712" s="13">
        <v>40</v>
      </c>
      <c r="AT712" s="13">
        <f>LN(25/Table26[[#This Row],[Temperature (C)]]/(1-SQRT((Table26[[#This Row],[Temperature (C)]]-5)/Table26[[#This Row],[Temperature (C)]])))/Table26[[#This Row],[b]]</f>
        <v>2.0706235503286319</v>
      </c>
      <c r="AU712" s="13">
        <f>IF(Table26[[#This Row],[b]]&lt;&gt;"",Table26[[#This Row],[T-5]], 0)</f>
        <v>2.0706235503286319</v>
      </c>
      <c r="AV712" s="13">
        <f>Table26[[#This Row],[Heating time]]+Table26[[#This Row],[Holding Time (min)]]</f>
        <v>42.070623550328634</v>
      </c>
      <c r="AW712" s="13">
        <v>300</v>
      </c>
      <c r="AY712" t="s">
        <v>503</v>
      </c>
      <c r="BA712" s="13">
        <v>7.4040632054176001</v>
      </c>
      <c r="BE712" s="13">
        <v>6.90835611553549</v>
      </c>
      <c r="BQ712" s="13" t="s">
        <v>506</v>
      </c>
      <c r="CV712" s="13">
        <v>0</v>
      </c>
    </row>
    <row r="713" spans="1:100" x14ac:dyDescent="0.25">
      <c r="A713" t="s">
        <v>398</v>
      </c>
      <c r="B713" t="s">
        <v>399</v>
      </c>
      <c r="C713">
        <v>2019</v>
      </c>
      <c r="D713" t="s">
        <v>407</v>
      </c>
      <c r="E713">
        <v>0</v>
      </c>
      <c r="F713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83.590280684701696</v>
      </c>
      <c r="G713" s="13">
        <v>83.590280684701696</v>
      </c>
      <c r="K713" s="13">
        <v>9.5065080902504295</v>
      </c>
      <c r="L713" s="13">
        <v>6.9032112250477899</v>
      </c>
      <c r="N713" s="13">
        <v>5</v>
      </c>
      <c r="O71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99.999999999999915</v>
      </c>
      <c r="R713" s="13">
        <v>91.97</v>
      </c>
      <c r="AB713" s="13">
        <v>43.33</v>
      </c>
      <c r="AC713" s="13">
        <v>5.75</v>
      </c>
      <c r="AD713" s="13">
        <v>49.25</v>
      </c>
      <c r="AE713" s="13">
        <v>1.69</v>
      </c>
      <c r="AH713" s="13">
        <v>17.82</v>
      </c>
      <c r="AI713" s="13">
        <v>0.03</v>
      </c>
      <c r="AL713" s="13">
        <v>20</v>
      </c>
      <c r="AO713" s="13">
        <v>3.5</v>
      </c>
      <c r="AP713" s="13">
        <v>1.1100000000000001</v>
      </c>
      <c r="AS713" s="13">
        <v>40</v>
      </c>
      <c r="AT713" s="13">
        <f>LN(25/Table26[[#This Row],[Temperature (C)]]/(1-SQRT((Table26[[#This Row],[Temperature (C)]]-5)/Table26[[#This Row],[Temperature (C)]])))/Table26[[#This Row],[b]]</f>
        <v>2.0710704328770686</v>
      </c>
      <c r="AU713" s="13">
        <f>IF(Table26[[#This Row],[b]]&lt;&gt;"",Table26[[#This Row],[T-5]], 0)</f>
        <v>2.0710704328770686</v>
      </c>
      <c r="AV713" s="13">
        <f>Table26[[#This Row],[Heating time]]+Table26[[#This Row],[Holding Time (min)]]</f>
        <v>42.071070432877072</v>
      </c>
      <c r="AW713" s="13">
        <v>340</v>
      </c>
      <c r="AY713" t="s">
        <v>503</v>
      </c>
      <c r="BA713" s="13">
        <v>9.5711060948081403</v>
      </c>
      <c r="BE713" s="13">
        <v>7.5603491490912198</v>
      </c>
      <c r="BQ713" s="13" t="s">
        <v>506</v>
      </c>
      <c r="CV713" s="13">
        <v>0</v>
      </c>
    </row>
    <row r="714" spans="1:100" x14ac:dyDescent="0.25">
      <c r="A714" t="s">
        <v>398</v>
      </c>
      <c r="B714" t="s">
        <v>399</v>
      </c>
      <c r="C714">
        <v>2019</v>
      </c>
      <c r="D714" t="s">
        <v>407</v>
      </c>
      <c r="E714">
        <v>0</v>
      </c>
      <c r="F714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83.590280684701696</v>
      </c>
      <c r="G714" s="13">
        <v>83.590280684701696</v>
      </c>
      <c r="K714" s="13">
        <v>9.5065080902504295</v>
      </c>
      <c r="L714" s="13">
        <v>6.9032112250477899</v>
      </c>
      <c r="N714" s="13">
        <v>5</v>
      </c>
      <c r="O71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99.999999999999915</v>
      </c>
      <c r="R714" s="13">
        <v>91.97</v>
      </c>
      <c r="AB714" s="13">
        <v>43.33</v>
      </c>
      <c r="AC714" s="13">
        <v>5.75</v>
      </c>
      <c r="AD714" s="13">
        <v>49.25</v>
      </c>
      <c r="AE714" s="13">
        <v>1.69</v>
      </c>
      <c r="AH714" s="13">
        <v>17.82</v>
      </c>
      <c r="AI714" s="13">
        <v>0.03</v>
      </c>
      <c r="AL714" s="13">
        <v>20</v>
      </c>
      <c r="AO714" s="13">
        <v>3.5</v>
      </c>
      <c r="AP714" s="13">
        <v>1.1100000000000001</v>
      </c>
      <c r="AS714" s="13">
        <v>40</v>
      </c>
      <c r="AT714" s="13">
        <f>LN(25/Table26[[#This Row],[Temperature (C)]]/(1-SQRT((Table26[[#This Row],[Temperature (C)]]-5)/Table26[[#This Row],[Temperature (C)]])))/Table26[[#This Row],[b]]</f>
        <v>2.0712564373473494</v>
      </c>
      <c r="AU714" s="13">
        <f>IF(Table26[[#This Row],[b]]&lt;&gt;"",Table26[[#This Row],[T-5]], 0)</f>
        <v>2.0712564373473494</v>
      </c>
      <c r="AV714" s="13">
        <f>Table26[[#This Row],[Heating time]]+Table26[[#This Row],[Holding Time (min)]]</f>
        <v>42.071256437347351</v>
      </c>
      <c r="AW714" s="13">
        <v>360</v>
      </c>
      <c r="AY714" t="s">
        <v>503</v>
      </c>
      <c r="BA714" s="13">
        <v>14.9887133182844</v>
      </c>
      <c r="BE714" s="13">
        <v>5.06524581522386</v>
      </c>
      <c r="BI714" s="13">
        <v>72.78</v>
      </c>
      <c r="BJ714" s="13">
        <v>7.81</v>
      </c>
      <c r="BK714" s="13">
        <v>17.14</v>
      </c>
      <c r="BL714" s="13">
        <v>2.2799999999999998</v>
      </c>
      <c r="BN714" s="13">
        <v>32.71</v>
      </c>
      <c r="BP714" s="13">
        <v>26.2</v>
      </c>
      <c r="BQ714" s="13" t="s">
        <v>506</v>
      </c>
      <c r="CV714" s="13">
        <v>0</v>
      </c>
    </row>
    <row r="715" spans="1:100" x14ac:dyDescent="0.25">
      <c r="A715" t="s">
        <v>398</v>
      </c>
      <c r="B715" t="s">
        <v>399</v>
      </c>
      <c r="C715">
        <v>2019</v>
      </c>
      <c r="D715" t="s">
        <v>407</v>
      </c>
      <c r="E715">
        <v>0</v>
      </c>
      <c r="F715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83.590280684701696</v>
      </c>
      <c r="G715" s="13">
        <v>83.590280684701696</v>
      </c>
      <c r="K715" s="13">
        <v>9.5065080902504295</v>
      </c>
      <c r="L715" s="13">
        <v>6.9032112250477899</v>
      </c>
      <c r="N715" s="13">
        <v>5</v>
      </c>
      <c r="O71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99.999999999999915</v>
      </c>
      <c r="R715" s="13">
        <v>91.97</v>
      </c>
      <c r="AB715" s="13">
        <v>43.33</v>
      </c>
      <c r="AC715" s="13">
        <v>5.75</v>
      </c>
      <c r="AD715" s="13">
        <v>49.25</v>
      </c>
      <c r="AE715" s="13">
        <v>1.69</v>
      </c>
      <c r="AH715" s="13">
        <v>17.82</v>
      </c>
      <c r="AI715" s="13">
        <v>0.03</v>
      </c>
      <c r="AL715" s="13">
        <v>20</v>
      </c>
      <c r="AO715" s="13">
        <v>3.5</v>
      </c>
      <c r="AP715" s="13">
        <v>1.1100000000000001</v>
      </c>
      <c r="AS715" s="13">
        <v>10</v>
      </c>
      <c r="AT715" s="13">
        <f>LN(25/Table26[[#This Row],[Temperature (C)]]/(1-SQRT((Table26[[#This Row],[Temperature (C)]]-5)/Table26[[#This Row],[Temperature (C)]])))/Table26[[#This Row],[b]]</f>
        <v>2.0712564373473494</v>
      </c>
      <c r="AU715" s="13">
        <f>IF(Table26[[#This Row],[b]]&lt;&gt;"",Table26[[#This Row],[T-5]], 0)</f>
        <v>2.0712564373473494</v>
      </c>
      <c r="AV715" s="13">
        <f>Table26[[#This Row],[Heating time]]+Table26[[#This Row],[Holding Time (min)]]</f>
        <v>12.071256437347349</v>
      </c>
      <c r="AW715" s="13">
        <v>360</v>
      </c>
      <c r="AY715" t="s">
        <v>503</v>
      </c>
      <c r="BA715" s="13">
        <v>3.3287595486288799</v>
      </c>
      <c r="BE715" s="13">
        <v>11.731946935126199</v>
      </c>
      <c r="BQ715" s="13" t="s">
        <v>506</v>
      </c>
      <c r="CV715" s="13">
        <v>0</v>
      </c>
    </row>
    <row r="716" spans="1:100" x14ac:dyDescent="0.25">
      <c r="A716" t="s">
        <v>398</v>
      </c>
      <c r="B716" t="s">
        <v>399</v>
      </c>
      <c r="C716">
        <v>2019</v>
      </c>
      <c r="D716" t="s">
        <v>407</v>
      </c>
      <c r="E716">
        <v>0</v>
      </c>
      <c r="F716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83.590280684701696</v>
      </c>
      <c r="G716" s="13">
        <v>83.590280684701696</v>
      </c>
      <c r="K716" s="13">
        <v>9.5065080902504295</v>
      </c>
      <c r="L716" s="13">
        <v>6.9032112250477899</v>
      </c>
      <c r="N716" s="13">
        <v>5</v>
      </c>
      <c r="O71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99.999999999999915</v>
      </c>
      <c r="R716" s="13">
        <v>91.97</v>
      </c>
      <c r="AB716" s="13">
        <v>43.33</v>
      </c>
      <c r="AC716" s="13">
        <v>5.75</v>
      </c>
      <c r="AD716" s="13">
        <v>49.25</v>
      </c>
      <c r="AE716" s="13">
        <v>1.69</v>
      </c>
      <c r="AH716" s="13">
        <v>17.82</v>
      </c>
      <c r="AI716" s="13">
        <v>0.03</v>
      </c>
      <c r="AL716" s="13">
        <v>20</v>
      </c>
      <c r="AO716" s="13">
        <v>3.5</v>
      </c>
      <c r="AP716" s="13">
        <v>1.1100000000000001</v>
      </c>
      <c r="AS716" s="13">
        <v>20</v>
      </c>
      <c r="AT716" s="13">
        <f>LN(25/Table26[[#This Row],[Temperature (C)]]/(1-SQRT((Table26[[#This Row],[Temperature (C)]]-5)/Table26[[#This Row],[Temperature (C)]])))/Table26[[#This Row],[b]]</f>
        <v>2.0712564373473494</v>
      </c>
      <c r="AU716" s="13">
        <f>IF(Table26[[#This Row],[b]]&lt;&gt;"",Table26[[#This Row],[T-5]], 0)</f>
        <v>2.0712564373473494</v>
      </c>
      <c r="AV716" s="13">
        <f>Table26[[#This Row],[Heating time]]+Table26[[#This Row],[Holding Time (min)]]</f>
        <v>22.071256437347351</v>
      </c>
      <c r="AW716" s="13">
        <v>360</v>
      </c>
      <c r="AY716" t="s">
        <v>503</v>
      </c>
      <c r="BA716" s="13">
        <v>6.4920436625775704</v>
      </c>
      <c r="BE716" s="13">
        <v>6.1452513966480398</v>
      </c>
      <c r="BQ716" s="13" t="s">
        <v>506</v>
      </c>
      <c r="CV716" s="13">
        <v>0</v>
      </c>
    </row>
    <row r="717" spans="1:100" x14ac:dyDescent="0.25">
      <c r="A717" t="s">
        <v>398</v>
      </c>
      <c r="B717" t="s">
        <v>399</v>
      </c>
      <c r="C717">
        <v>2019</v>
      </c>
      <c r="D717" t="s">
        <v>407</v>
      </c>
      <c r="E717">
        <v>0</v>
      </c>
      <c r="F71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83.590280684701696</v>
      </c>
      <c r="G717" s="13">
        <v>83.590280684701696</v>
      </c>
      <c r="K717" s="13">
        <v>9.5065080902504295</v>
      </c>
      <c r="L717" s="13">
        <v>6.9032112250477899</v>
      </c>
      <c r="N717" s="13">
        <v>5</v>
      </c>
      <c r="O71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99.999999999999915</v>
      </c>
      <c r="R717" s="13">
        <v>91.97</v>
      </c>
      <c r="AB717" s="13">
        <v>43.33</v>
      </c>
      <c r="AC717" s="13">
        <v>5.75</v>
      </c>
      <c r="AD717" s="13">
        <v>49.25</v>
      </c>
      <c r="AE717" s="13">
        <v>1.69</v>
      </c>
      <c r="AH717" s="13">
        <v>17.82</v>
      </c>
      <c r="AI717" s="13">
        <v>0.03</v>
      </c>
      <c r="AL717" s="13">
        <v>20</v>
      </c>
      <c r="AO717" s="13">
        <v>3.5</v>
      </c>
      <c r="AP717" s="13">
        <v>1.1100000000000001</v>
      </c>
      <c r="AS717" s="13">
        <v>60</v>
      </c>
      <c r="AT717" s="13">
        <f>LN(25/Table26[[#This Row],[Temperature (C)]]/(1-SQRT((Table26[[#This Row],[Temperature (C)]]-5)/Table26[[#This Row],[Temperature (C)]])))/Table26[[#This Row],[b]]</f>
        <v>2.0712564373473494</v>
      </c>
      <c r="AU717" s="13">
        <f>IF(Table26[[#This Row],[b]]&lt;&gt;"",Table26[[#This Row],[T-5]], 0)</f>
        <v>2.0712564373473494</v>
      </c>
      <c r="AV717" s="13">
        <f>Table26[[#This Row],[Heating time]]+Table26[[#This Row],[Holding Time (min)]]</f>
        <v>62.071256437347351</v>
      </c>
      <c r="AW717" s="13">
        <v>360</v>
      </c>
      <c r="AY717" t="s">
        <v>503</v>
      </c>
      <c r="BA717" s="13">
        <v>12.524114767863299</v>
      </c>
      <c r="BE717" s="13">
        <v>6.8596400901722401</v>
      </c>
      <c r="BQ717" s="13" t="s">
        <v>506</v>
      </c>
      <c r="CV717" s="13">
        <v>0</v>
      </c>
    </row>
    <row r="718" spans="1:100" x14ac:dyDescent="0.25">
      <c r="A718" t="s">
        <v>439</v>
      </c>
      <c r="B718" t="s">
        <v>440</v>
      </c>
      <c r="C718">
        <v>2018</v>
      </c>
      <c r="D718" t="s">
        <v>438</v>
      </c>
      <c r="E718">
        <v>1</v>
      </c>
      <c r="F718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9.5</v>
      </c>
      <c r="G718" s="13">
        <v>9.5</v>
      </c>
      <c r="K718" s="13">
        <v>49.7</v>
      </c>
      <c r="L718" s="13">
        <v>40.799999999999997</v>
      </c>
      <c r="O71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718" s="13">
        <v>51.8</v>
      </c>
      <c r="AC718" s="13">
        <v>9.5</v>
      </c>
      <c r="AD718" s="13">
        <v>44.5</v>
      </c>
      <c r="AE718" s="13">
        <v>8</v>
      </c>
      <c r="AF718" s="13">
        <v>1.8</v>
      </c>
      <c r="AI718" s="13">
        <v>0.16</v>
      </c>
      <c r="AL718" s="13">
        <v>9.1</v>
      </c>
      <c r="AS718" s="13">
        <v>15</v>
      </c>
      <c r="AT718" s="13" t="e">
        <f>LN(25/Table26[[#This Row],[Temperature (C)]]/(1-SQRT((Table26[[#This Row],[Temperature (C)]]-5)/Table26[[#This Row],[Temperature (C)]])))/Table26[[#This Row],[b]]</f>
        <v>#DIV/0!</v>
      </c>
      <c r="AU718" s="13">
        <f>IF(Table26[[#This Row],[b]]&lt;&gt;"",Table26[[#This Row],[T-5]], 0)</f>
        <v>0</v>
      </c>
      <c r="AV718" s="13">
        <f>Table26[[#This Row],[Heating time]]+Table26[[#This Row],[Holding Time (min)]]</f>
        <v>15</v>
      </c>
      <c r="AW718" s="13">
        <v>350</v>
      </c>
      <c r="AY718" t="s">
        <v>503</v>
      </c>
      <c r="AZ718" s="13">
        <v>45.492537313432798</v>
      </c>
      <c r="BA718" s="13">
        <v>23.194029850746201</v>
      </c>
      <c r="BB718" s="13">
        <v>10.656716417910401</v>
      </c>
      <c r="BC718" s="13">
        <v>14.597014925373101</v>
      </c>
      <c r="BD718" s="13">
        <v>6</v>
      </c>
      <c r="BE718" s="13">
        <v>6.5124684366095797</v>
      </c>
      <c r="BQ718" s="13" t="s">
        <v>506</v>
      </c>
      <c r="CV718" s="13">
        <v>0</v>
      </c>
    </row>
    <row r="719" spans="1:100" x14ac:dyDescent="0.25">
      <c r="A719" t="s">
        <v>439</v>
      </c>
      <c r="B719" t="s">
        <v>440</v>
      </c>
      <c r="C719">
        <v>2018</v>
      </c>
      <c r="D719" t="s">
        <v>438</v>
      </c>
      <c r="E719">
        <v>1</v>
      </c>
      <c r="F719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9.5</v>
      </c>
      <c r="G719" s="13">
        <v>9.5</v>
      </c>
      <c r="K719" s="13">
        <v>49.7</v>
      </c>
      <c r="L719" s="13">
        <v>40.799999999999997</v>
      </c>
      <c r="O71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719" s="13">
        <v>51.8</v>
      </c>
      <c r="AC719" s="13">
        <v>9.5</v>
      </c>
      <c r="AD719" s="13">
        <v>44.5</v>
      </c>
      <c r="AE719" s="13">
        <v>8</v>
      </c>
      <c r="AF719" s="13">
        <v>1.8</v>
      </c>
      <c r="AI719" s="13">
        <v>0.16</v>
      </c>
      <c r="AL719" s="13">
        <v>9.1</v>
      </c>
      <c r="AS719" s="13">
        <v>30</v>
      </c>
      <c r="AT719" s="13" t="e">
        <f>LN(25/Table26[[#This Row],[Temperature (C)]]/(1-SQRT((Table26[[#This Row],[Temperature (C)]]-5)/Table26[[#This Row],[Temperature (C)]])))/Table26[[#This Row],[b]]</f>
        <v>#DIV/0!</v>
      </c>
      <c r="AU719" s="13">
        <f>IF(Table26[[#This Row],[b]]&lt;&gt;"",Table26[[#This Row],[T-5]], 0)</f>
        <v>0</v>
      </c>
      <c r="AV719" s="13">
        <f>Table26[[#This Row],[Heating time]]+Table26[[#This Row],[Holding Time (min)]]</f>
        <v>30</v>
      </c>
      <c r="AW719" s="13">
        <v>350</v>
      </c>
      <c r="AY719" t="s">
        <v>503</v>
      </c>
      <c r="AZ719" s="13">
        <v>46.567164179104402</v>
      </c>
      <c r="BA719" s="13">
        <v>24.268656716417901</v>
      </c>
      <c r="BB719" s="13">
        <v>8.2388059701492597</v>
      </c>
      <c r="BC719" s="13">
        <v>15.313432835820899</v>
      </c>
      <c r="BD719" s="13">
        <v>5.4626865671641696</v>
      </c>
      <c r="BE719" s="13">
        <v>2.3270244158592499</v>
      </c>
      <c r="BQ719" s="13" t="s">
        <v>506</v>
      </c>
      <c r="CV719" s="13">
        <v>0</v>
      </c>
    </row>
    <row r="720" spans="1:100" x14ac:dyDescent="0.25">
      <c r="A720" t="s">
        <v>439</v>
      </c>
      <c r="B720" t="s">
        <v>440</v>
      </c>
      <c r="C720">
        <v>2018</v>
      </c>
      <c r="D720" t="s">
        <v>438</v>
      </c>
      <c r="E720">
        <v>1</v>
      </c>
      <c r="F720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9.5</v>
      </c>
      <c r="G720" s="13">
        <v>9.5</v>
      </c>
      <c r="K720" s="13">
        <v>49.7</v>
      </c>
      <c r="L720" s="13">
        <v>40.799999999999997</v>
      </c>
      <c r="O72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720" s="13">
        <v>51.8</v>
      </c>
      <c r="AC720" s="13">
        <v>9.5</v>
      </c>
      <c r="AD720" s="13">
        <v>44.5</v>
      </c>
      <c r="AE720" s="13">
        <v>8</v>
      </c>
      <c r="AF720" s="13">
        <v>1.8</v>
      </c>
      <c r="AI720" s="13">
        <v>0.16</v>
      </c>
      <c r="AL720" s="13">
        <v>9.1</v>
      </c>
      <c r="AS720" s="13">
        <v>45</v>
      </c>
      <c r="AT720" s="13" t="e">
        <f>LN(25/Table26[[#This Row],[Temperature (C)]]/(1-SQRT((Table26[[#This Row],[Temperature (C)]]-5)/Table26[[#This Row],[Temperature (C)]])))/Table26[[#This Row],[b]]</f>
        <v>#DIV/0!</v>
      </c>
      <c r="AU720" s="13">
        <f>IF(Table26[[#This Row],[b]]&lt;&gt;"",Table26[[#This Row],[T-5]], 0)</f>
        <v>0</v>
      </c>
      <c r="AV720" s="13">
        <f>Table26[[#This Row],[Heating time]]+Table26[[#This Row],[Holding Time (min)]]</f>
        <v>45</v>
      </c>
      <c r="AW720" s="13">
        <v>350</v>
      </c>
      <c r="AY720" t="s">
        <v>503</v>
      </c>
      <c r="AZ720" s="13">
        <v>50.328358208955201</v>
      </c>
      <c r="BA720" s="13">
        <v>24.9850746268656</v>
      </c>
      <c r="BB720" s="13">
        <v>9.3134328358208904</v>
      </c>
      <c r="BC720" s="13">
        <v>11.5522388059701</v>
      </c>
      <c r="BD720" s="13">
        <v>3.76119402985075</v>
      </c>
      <c r="BE720" s="13">
        <v>8.0516131943688798</v>
      </c>
      <c r="BQ720" s="13" t="s">
        <v>506</v>
      </c>
      <c r="CV720" s="13">
        <v>0</v>
      </c>
    </row>
    <row r="721" spans="1:100" x14ac:dyDescent="0.25">
      <c r="A721" t="s">
        <v>439</v>
      </c>
      <c r="B721" t="s">
        <v>440</v>
      </c>
      <c r="C721">
        <v>2018</v>
      </c>
      <c r="D721" t="s">
        <v>438</v>
      </c>
      <c r="E721">
        <v>1</v>
      </c>
      <c r="F721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9.5</v>
      </c>
      <c r="G721" s="13">
        <v>9.5</v>
      </c>
      <c r="K721" s="13">
        <v>49.7</v>
      </c>
      <c r="L721" s="13">
        <v>40.799999999999997</v>
      </c>
      <c r="O72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721" s="13">
        <v>51.8</v>
      </c>
      <c r="AC721" s="13">
        <v>9.5</v>
      </c>
      <c r="AD721" s="13">
        <v>44.5</v>
      </c>
      <c r="AE721" s="13">
        <v>8</v>
      </c>
      <c r="AF721" s="13">
        <v>1.8</v>
      </c>
      <c r="AI721" s="13">
        <v>0.16</v>
      </c>
      <c r="AL721" s="13">
        <v>9.1</v>
      </c>
      <c r="AS721" s="13">
        <v>15</v>
      </c>
      <c r="AT721" s="13" t="e">
        <f>LN(25/Table26[[#This Row],[Temperature (C)]]/(1-SQRT((Table26[[#This Row],[Temperature (C)]]-5)/Table26[[#This Row],[Temperature (C)]])))/Table26[[#This Row],[b]]</f>
        <v>#DIV/0!</v>
      </c>
      <c r="AU721" s="13">
        <f>IF(Table26[[#This Row],[b]]&lt;&gt;"",Table26[[#This Row],[T-5]], 0)</f>
        <v>0</v>
      </c>
      <c r="AV721" s="13">
        <f>Table26[[#This Row],[Heating time]]+Table26[[#This Row],[Holding Time (min)]]</f>
        <v>15</v>
      </c>
      <c r="AW721" s="13">
        <v>275</v>
      </c>
      <c r="AY721" t="s">
        <v>503</v>
      </c>
      <c r="AZ721" s="13">
        <v>51.766423357664202</v>
      </c>
      <c r="BA721" s="13">
        <v>20.846715328467099</v>
      </c>
      <c r="BB721" s="13">
        <v>17.868613138686101</v>
      </c>
      <c r="BC721" s="13">
        <v>6.91970802919709</v>
      </c>
      <c r="BD721" s="13">
        <v>2.5401459854014599</v>
      </c>
      <c r="BE721" s="13">
        <v>15.8785135104643</v>
      </c>
      <c r="BQ721" s="13" t="s">
        <v>506</v>
      </c>
      <c r="CV721" s="13">
        <v>0</v>
      </c>
    </row>
    <row r="722" spans="1:100" x14ac:dyDescent="0.25">
      <c r="A722" t="s">
        <v>439</v>
      </c>
      <c r="B722" t="s">
        <v>440</v>
      </c>
      <c r="C722">
        <v>2018</v>
      </c>
      <c r="D722" t="s">
        <v>438</v>
      </c>
      <c r="E722">
        <v>1</v>
      </c>
      <c r="F722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9.5</v>
      </c>
      <c r="G722" s="13">
        <v>9.5</v>
      </c>
      <c r="K722" s="13">
        <v>49.7</v>
      </c>
      <c r="L722" s="13">
        <v>40.799999999999997</v>
      </c>
      <c r="O72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722" s="13">
        <v>51.8</v>
      </c>
      <c r="AC722" s="13">
        <v>9.5</v>
      </c>
      <c r="AD722" s="13">
        <v>44.5</v>
      </c>
      <c r="AE722" s="13">
        <v>8</v>
      </c>
      <c r="AF722" s="13">
        <v>1.8</v>
      </c>
      <c r="AI722" s="13">
        <v>0.16</v>
      </c>
      <c r="AL722" s="13">
        <v>9.1</v>
      </c>
      <c r="AS722" s="13">
        <v>15</v>
      </c>
      <c r="AT722" s="13" t="e">
        <f>LN(25/Table26[[#This Row],[Temperature (C)]]/(1-SQRT((Table26[[#This Row],[Temperature (C)]]-5)/Table26[[#This Row],[Temperature (C)]])))/Table26[[#This Row],[b]]</f>
        <v>#DIV/0!</v>
      </c>
      <c r="AU722" s="13">
        <f>IF(Table26[[#This Row],[b]]&lt;&gt;"",Table26[[#This Row],[T-5]], 0)</f>
        <v>0</v>
      </c>
      <c r="AV722" s="13">
        <f>Table26[[#This Row],[Heating time]]+Table26[[#This Row],[Holding Time (min)]]</f>
        <v>15</v>
      </c>
      <c r="AW722" s="13">
        <v>300</v>
      </c>
      <c r="AY722" t="s">
        <v>503</v>
      </c>
      <c r="AZ722" s="13">
        <v>50.802919708029101</v>
      </c>
      <c r="BA722" s="13">
        <v>25.4014598540146</v>
      </c>
      <c r="BB722" s="13">
        <v>11.1240875912408</v>
      </c>
      <c r="BC722" s="13">
        <v>9.0218978102189897</v>
      </c>
      <c r="BD722" s="13">
        <v>3.7664233576642401</v>
      </c>
      <c r="BE722" s="13">
        <v>3.2805429864253299</v>
      </c>
      <c r="BQ722" s="13" t="s">
        <v>506</v>
      </c>
      <c r="CV722" s="13">
        <v>0</v>
      </c>
    </row>
    <row r="723" spans="1:100" x14ac:dyDescent="0.25">
      <c r="A723" t="s">
        <v>439</v>
      </c>
      <c r="B723" t="s">
        <v>440</v>
      </c>
      <c r="C723">
        <v>2018</v>
      </c>
      <c r="D723" t="s">
        <v>438</v>
      </c>
      <c r="E723">
        <v>1</v>
      </c>
      <c r="F723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9.5</v>
      </c>
      <c r="G723" s="13">
        <v>9.5</v>
      </c>
      <c r="K723" s="13">
        <v>49.7</v>
      </c>
      <c r="L723" s="13">
        <v>40.799999999999997</v>
      </c>
      <c r="O72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723" s="13">
        <v>51.8</v>
      </c>
      <c r="AC723" s="13">
        <v>9.5</v>
      </c>
      <c r="AD723" s="13">
        <v>44.5</v>
      </c>
      <c r="AE723" s="13">
        <v>8</v>
      </c>
      <c r="AF723" s="13">
        <v>1.8</v>
      </c>
      <c r="AI723" s="13">
        <v>0.16</v>
      </c>
      <c r="AL723" s="13">
        <v>9.1</v>
      </c>
      <c r="AS723" s="13">
        <v>15</v>
      </c>
      <c r="AT723" s="13" t="e">
        <f>LN(25/Table26[[#This Row],[Temperature (C)]]/(1-SQRT((Table26[[#This Row],[Temperature (C)]]-5)/Table26[[#This Row],[Temperature (C)]])))/Table26[[#This Row],[b]]</f>
        <v>#DIV/0!</v>
      </c>
      <c r="AU723" s="13">
        <f>IF(Table26[[#This Row],[b]]&lt;&gt;"",Table26[[#This Row],[T-5]], 0)</f>
        <v>0</v>
      </c>
      <c r="AV723" s="13">
        <f>Table26[[#This Row],[Heating time]]+Table26[[#This Row],[Holding Time (min)]]</f>
        <v>15</v>
      </c>
      <c r="AW723" s="13">
        <v>325</v>
      </c>
      <c r="AY723" t="s">
        <v>503</v>
      </c>
      <c r="AZ723" s="13">
        <v>47.737226277372201</v>
      </c>
      <c r="BA723" s="13">
        <v>25.927007299269999</v>
      </c>
      <c r="BB723" s="13">
        <v>13.489051094890501</v>
      </c>
      <c r="BC723" s="13">
        <v>8.2335766423357697</v>
      </c>
      <c r="BD723" s="13">
        <v>4.1167883211678902</v>
      </c>
      <c r="BE723" s="13">
        <v>6.7873303167420698</v>
      </c>
      <c r="BQ723" s="13" t="s">
        <v>506</v>
      </c>
      <c r="CV723" s="13">
        <v>0</v>
      </c>
    </row>
    <row r="724" spans="1:100" x14ac:dyDescent="0.25">
      <c r="A724" t="s">
        <v>439</v>
      </c>
      <c r="B724" t="s">
        <v>440</v>
      </c>
      <c r="C724">
        <v>2018</v>
      </c>
      <c r="D724" t="s">
        <v>438</v>
      </c>
      <c r="E724">
        <v>1</v>
      </c>
      <c r="F724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9.5</v>
      </c>
      <c r="G724" s="13">
        <v>9.5</v>
      </c>
      <c r="K724" s="13">
        <v>49.7</v>
      </c>
      <c r="L724" s="13">
        <v>40.799999999999997</v>
      </c>
      <c r="O72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724" s="13">
        <v>51.8</v>
      </c>
      <c r="AC724" s="13">
        <v>9.5</v>
      </c>
      <c r="AD724" s="13">
        <v>44.5</v>
      </c>
      <c r="AE724" s="13">
        <v>8</v>
      </c>
      <c r="AF724" s="13">
        <v>1.8</v>
      </c>
      <c r="AI724" s="13">
        <v>0.16</v>
      </c>
      <c r="AL724" s="13">
        <v>4.8</v>
      </c>
      <c r="AS724" s="13">
        <v>15</v>
      </c>
      <c r="AT724" s="13" t="e">
        <f>LN(25/Table26[[#This Row],[Temperature (C)]]/(1-SQRT((Table26[[#This Row],[Temperature (C)]]-5)/Table26[[#This Row],[Temperature (C)]])))/Table26[[#This Row],[b]]</f>
        <v>#DIV/0!</v>
      </c>
      <c r="AU724" s="13">
        <f>IF(Table26[[#This Row],[b]]&lt;&gt;"",Table26[[#This Row],[T-5]], 0)</f>
        <v>0</v>
      </c>
      <c r="AV724" s="13">
        <f>Table26[[#This Row],[Heating time]]+Table26[[#This Row],[Holding Time (min)]]</f>
        <v>15</v>
      </c>
      <c r="AW724" s="13">
        <v>325</v>
      </c>
      <c r="AY724" t="s">
        <v>503</v>
      </c>
      <c r="AZ724" s="13">
        <v>52.796610169491501</v>
      </c>
      <c r="BA724" s="13">
        <v>21.355932203389798</v>
      </c>
      <c r="BB724" s="13">
        <v>10.847457627118599</v>
      </c>
      <c r="BC724" s="13">
        <v>10.593220338983</v>
      </c>
      <c r="BD724" s="13">
        <v>3.8983050847457701</v>
      </c>
      <c r="BE724" s="13">
        <v>5.9954751131221498</v>
      </c>
      <c r="BQ724" s="13" t="s">
        <v>506</v>
      </c>
      <c r="CV724" s="13">
        <v>0</v>
      </c>
    </row>
    <row r="725" spans="1:100" x14ac:dyDescent="0.25">
      <c r="A725" t="s">
        <v>439</v>
      </c>
      <c r="B725" t="s">
        <v>440</v>
      </c>
      <c r="C725">
        <v>2018</v>
      </c>
      <c r="D725" t="s">
        <v>438</v>
      </c>
      <c r="E725">
        <v>1</v>
      </c>
      <c r="F725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9.5</v>
      </c>
      <c r="G725" s="13">
        <v>9.5</v>
      </c>
      <c r="K725" s="13">
        <v>49.7</v>
      </c>
      <c r="L725" s="13">
        <v>40.799999999999997</v>
      </c>
      <c r="O72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725" s="13">
        <v>51.8</v>
      </c>
      <c r="AC725" s="13">
        <v>9.5</v>
      </c>
      <c r="AD725" s="13">
        <v>44.5</v>
      </c>
      <c r="AE725" s="13">
        <v>8</v>
      </c>
      <c r="AF725" s="13">
        <v>1.8</v>
      </c>
      <c r="AI725" s="13">
        <v>0.16</v>
      </c>
      <c r="AL725" s="13">
        <v>16.600000000000001</v>
      </c>
      <c r="AS725" s="13">
        <v>15</v>
      </c>
      <c r="AT725" s="13" t="e">
        <f>LN(25/Table26[[#This Row],[Temperature (C)]]/(1-SQRT((Table26[[#This Row],[Temperature (C)]]-5)/Table26[[#This Row],[Temperature (C)]])))/Table26[[#This Row],[b]]</f>
        <v>#DIV/0!</v>
      </c>
      <c r="AU725" s="13">
        <f>IF(Table26[[#This Row],[b]]&lt;&gt;"",Table26[[#This Row],[T-5]], 0)</f>
        <v>0</v>
      </c>
      <c r="AV725" s="13">
        <f>Table26[[#This Row],[Heating time]]+Table26[[#This Row],[Holding Time (min)]]</f>
        <v>15</v>
      </c>
      <c r="AW725" s="13">
        <v>325</v>
      </c>
      <c r="AY725" t="s">
        <v>503</v>
      </c>
      <c r="AZ725" s="13">
        <v>50.084745762711798</v>
      </c>
      <c r="BA725" s="13">
        <v>23.728813559321999</v>
      </c>
      <c r="BB725" s="13">
        <v>13.4745762711864</v>
      </c>
      <c r="BC725" s="13">
        <v>6.7796610169491496</v>
      </c>
      <c r="BD725" s="13">
        <v>4.4067796610169596</v>
      </c>
      <c r="BE725" s="13">
        <v>3.2805429864253499</v>
      </c>
      <c r="BQ725" s="13" t="s">
        <v>506</v>
      </c>
      <c r="CV725" s="13">
        <v>0</v>
      </c>
    </row>
    <row r="726" spans="1:100" ht="15.75" customHeight="1" x14ac:dyDescent="0.25">
      <c r="A726" t="s">
        <v>442</v>
      </c>
      <c r="B726" t="s">
        <v>443</v>
      </c>
      <c r="C726">
        <v>2019</v>
      </c>
      <c r="D726" t="s">
        <v>441</v>
      </c>
      <c r="E726">
        <v>0</v>
      </c>
      <c r="F726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50.5</v>
      </c>
      <c r="G726" s="13">
        <v>50.5</v>
      </c>
      <c r="K726" s="13">
        <v>31</v>
      </c>
      <c r="L726" s="13">
        <v>15</v>
      </c>
      <c r="N726" s="13">
        <v>5</v>
      </c>
      <c r="O72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96.5</v>
      </c>
      <c r="R726" s="13">
        <v>9.1</v>
      </c>
      <c r="S726" s="13">
        <v>18</v>
      </c>
      <c r="T726" s="13">
        <v>68.2</v>
      </c>
      <c r="AB726" s="13">
        <v>51</v>
      </c>
      <c r="AC726" s="13">
        <v>6.7</v>
      </c>
      <c r="AD726" s="13">
        <v>42.3</v>
      </c>
      <c r="AE726" s="13">
        <v>5</v>
      </c>
      <c r="AH726" s="13">
        <v>15.8</v>
      </c>
      <c r="AI726" s="13">
        <v>1.3</v>
      </c>
      <c r="AL726" s="13">
        <v>10</v>
      </c>
      <c r="AM726" s="13">
        <v>10</v>
      </c>
      <c r="AP726" s="13">
        <v>0.14499999999999999</v>
      </c>
      <c r="AR726" s="13">
        <v>9</v>
      </c>
      <c r="AT726" s="13">
        <f>LN(25/Table26[[#This Row],[Temperature (C)]]/(1-SQRT((Table26[[#This Row],[Temperature (C)]]-5)/Table26[[#This Row],[Temperature (C)]])))/Table26[[#This Row],[b]]</f>
        <v>15.846498997743517</v>
      </c>
      <c r="AU726" s="13">
        <f>IF(Table26[[#This Row],[b]]&lt;&gt;"",Table26[[#This Row],[T-5]], 0)</f>
        <v>15.846498997743517</v>
      </c>
      <c r="AV726" s="13">
        <v>30</v>
      </c>
      <c r="AW726" s="13">
        <v>260</v>
      </c>
      <c r="AY726" t="s">
        <v>503</v>
      </c>
      <c r="AZ726" s="13">
        <v>6.2</v>
      </c>
      <c r="BA726" s="13">
        <v>10</v>
      </c>
      <c r="BC726" s="13">
        <v>84</v>
      </c>
      <c r="BE726" s="13">
        <v>8.0316742081447998</v>
      </c>
      <c r="BI726" s="13">
        <v>67.5</v>
      </c>
      <c r="BJ726" s="13">
        <v>7.7</v>
      </c>
      <c r="BK726" s="13">
        <v>17.5</v>
      </c>
      <c r="BL726" s="13">
        <v>2.2999999999999998</v>
      </c>
      <c r="BN726" s="13">
        <v>29.5</v>
      </c>
      <c r="BP726" s="13">
        <v>10.6</v>
      </c>
      <c r="BQ726" s="13" t="s">
        <v>506</v>
      </c>
      <c r="CD726" s="13">
        <v>45.7</v>
      </c>
      <c r="CE726" s="13">
        <v>4</v>
      </c>
      <c r="CF726" s="13">
        <v>43</v>
      </c>
      <c r="CG726" s="13">
        <v>2.4</v>
      </c>
      <c r="CI726" s="13">
        <v>19</v>
      </c>
      <c r="CK726" s="13">
        <v>4.2</v>
      </c>
      <c r="CV726" s="13">
        <v>0</v>
      </c>
    </row>
    <row r="727" spans="1:100" x14ac:dyDescent="0.25">
      <c r="A727" t="s">
        <v>442</v>
      </c>
      <c r="B727" t="s">
        <v>443</v>
      </c>
      <c r="C727">
        <v>2019</v>
      </c>
      <c r="D727" t="s">
        <v>441</v>
      </c>
      <c r="E727">
        <v>0</v>
      </c>
      <c r="F72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50.5</v>
      </c>
      <c r="G727" s="13">
        <v>50.5</v>
      </c>
      <c r="K727" s="13">
        <v>31</v>
      </c>
      <c r="L727" s="13">
        <v>15</v>
      </c>
      <c r="N727" s="13">
        <v>5</v>
      </c>
      <c r="O72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96.5</v>
      </c>
      <c r="R727" s="13">
        <v>9.1</v>
      </c>
      <c r="S727" s="13">
        <v>18</v>
      </c>
      <c r="T727" s="13">
        <v>68.2</v>
      </c>
      <c r="AB727" s="13">
        <v>51</v>
      </c>
      <c r="AC727" s="13">
        <v>6.7</v>
      </c>
      <c r="AD727" s="13">
        <v>42.3</v>
      </c>
      <c r="AE727" s="13">
        <v>5</v>
      </c>
      <c r="AH727" s="13">
        <v>15.8</v>
      </c>
      <c r="AI727" s="13">
        <v>1.3</v>
      </c>
      <c r="AL727" s="13">
        <v>10</v>
      </c>
      <c r="AM727" s="13">
        <v>10</v>
      </c>
      <c r="AP727" s="13">
        <v>0.14499999999999999</v>
      </c>
      <c r="AR727" s="13">
        <v>12</v>
      </c>
      <c r="AT727" s="13">
        <f>LN(25/Table26[[#This Row],[Temperature (C)]]/(1-SQRT((Table26[[#This Row],[Temperature (C)]]-5)/Table26[[#This Row],[Temperature (C)]])))/Table26[[#This Row],[b]]</f>
        <v>15.848900775265228</v>
      </c>
      <c r="AU727" s="13">
        <f>IF(Table26[[#This Row],[b]]&lt;&gt;"",Table26[[#This Row],[T-5]], 0)</f>
        <v>15.848900775265228</v>
      </c>
      <c r="AV727" s="13">
        <v>30</v>
      </c>
      <c r="AW727" s="13">
        <v>280</v>
      </c>
      <c r="AY727" t="s">
        <v>503</v>
      </c>
      <c r="AZ727" s="13">
        <v>10</v>
      </c>
      <c r="BA727" s="13">
        <v>20</v>
      </c>
      <c r="BC727" s="13">
        <v>70</v>
      </c>
      <c r="BE727" s="13">
        <v>14.935064935064901</v>
      </c>
      <c r="BI727" s="13">
        <v>68.8</v>
      </c>
      <c r="BJ727" s="13">
        <v>8.6</v>
      </c>
      <c r="BK727" s="13">
        <v>15.8</v>
      </c>
      <c r="BL727" s="13">
        <v>1.8</v>
      </c>
      <c r="BN727" s="13">
        <v>30.4</v>
      </c>
      <c r="BP727" s="13">
        <v>21.8</v>
      </c>
      <c r="BQ727" s="13" t="s">
        <v>506</v>
      </c>
      <c r="CD727" s="13">
        <v>60.1</v>
      </c>
      <c r="CE727" s="13">
        <v>5.6</v>
      </c>
      <c r="CF727" s="13">
        <v>27</v>
      </c>
      <c r="CG727" s="13">
        <v>3.3</v>
      </c>
      <c r="CI727" s="13">
        <v>23</v>
      </c>
      <c r="CK727" s="13">
        <v>8.1999999999999993</v>
      </c>
      <c r="CV727" s="13">
        <v>0</v>
      </c>
    </row>
    <row r="728" spans="1:100" x14ac:dyDescent="0.25">
      <c r="A728" t="s">
        <v>442</v>
      </c>
      <c r="B728" t="s">
        <v>443</v>
      </c>
      <c r="C728">
        <v>2019</v>
      </c>
      <c r="D728" t="s">
        <v>441</v>
      </c>
      <c r="E728">
        <v>0</v>
      </c>
      <c r="F728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50.5</v>
      </c>
      <c r="G728" s="13">
        <v>50.5</v>
      </c>
      <c r="K728" s="13">
        <v>31</v>
      </c>
      <c r="L728" s="13">
        <v>15</v>
      </c>
      <c r="N728" s="13">
        <v>5</v>
      </c>
      <c r="O72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96.5</v>
      </c>
      <c r="R728" s="13">
        <v>9.1</v>
      </c>
      <c r="S728" s="13">
        <v>18</v>
      </c>
      <c r="T728" s="13">
        <v>68.2</v>
      </c>
      <c r="AB728" s="13">
        <v>51</v>
      </c>
      <c r="AC728" s="13">
        <v>6.7</v>
      </c>
      <c r="AD728" s="13">
        <v>42.3</v>
      </c>
      <c r="AE728" s="13">
        <v>5</v>
      </c>
      <c r="AH728" s="13">
        <v>15.8</v>
      </c>
      <c r="AI728" s="13">
        <v>1.3</v>
      </c>
      <c r="AL728" s="13">
        <v>10</v>
      </c>
      <c r="AM728" s="13">
        <v>10</v>
      </c>
      <c r="AP728" s="13">
        <v>0.14499999999999999</v>
      </c>
      <c r="AR728" s="13">
        <v>15</v>
      </c>
      <c r="AT728" s="13">
        <f>LN(25/Table26[[#This Row],[Temperature (C)]]/(1-SQRT((Table26[[#This Row],[Temperature (C)]]-5)/Table26[[#This Row],[Temperature (C)]])))/Table26[[#This Row],[b]]</f>
        <v>15.850980281826082</v>
      </c>
      <c r="AU728" s="13">
        <f>IF(Table26[[#This Row],[b]]&lt;&gt;"",Table26[[#This Row],[T-5]], 0)</f>
        <v>15.850980281826082</v>
      </c>
      <c r="AV728" s="13">
        <v>30</v>
      </c>
      <c r="AW728" s="13">
        <v>300</v>
      </c>
      <c r="AY728" t="s">
        <v>503</v>
      </c>
      <c r="AZ728" s="13">
        <v>30</v>
      </c>
      <c r="BA728" s="13">
        <v>15</v>
      </c>
      <c r="BC728" s="13">
        <v>55</v>
      </c>
      <c r="BE728" s="13">
        <v>4.3290043290042997</v>
      </c>
      <c r="BI728" s="13">
        <v>75.3</v>
      </c>
      <c r="BJ728" s="13">
        <v>8</v>
      </c>
      <c r="BK728" s="13">
        <v>8.8000000000000007</v>
      </c>
      <c r="BL728" s="13">
        <v>2.9</v>
      </c>
      <c r="BN728" s="13">
        <v>31.5</v>
      </c>
      <c r="BP728" s="13">
        <v>17</v>
      </c>
      <c r="BQ728" s="13" t="s">
        <v>506</v>
      </c>
      <c r="CD728" s="13">
        <v>42.2</v>
      </c>
      <c r="CE728" s="13">
        <v>6.3</v>
      </c>
      <c r="CF728" s="13">
        <v>44</v>
      </c>
      <c r="CG728" s="13">
        <v>2.2000000000000002</v>
      </c>
      <c r="CI728" s="13">
        <v>15</v>
      </c>
      <c r="CK728" s="13">
        <v>16.100000000000001</v>
      </c>
      <c r="CV728" s="13">
        <v>0</v>
      </c>
    </row>
    <row r="729" spans="1:100" x14ac:dyDescent="0.25">
      <c r="A729" t="s">
        <v>454</v>
      </c>
      <c r="B729" t="s">
        <v>455</v>
      </c>
      <c r="C729">
        <v>2017</v>
      </c>
      <c r="D729" t="s">
        <v>456</v>
      </c>
      <c r="E729">
        <v>0</v>
      </c>
      <c r="F729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729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AB729" s="13">
        <v>47.9</v>
      </c>
      <c r="AC729" s="13">
        <v>6</v>
      </c>
      <c r="AD729" s="13">
        <f>100-Table26[[#This Row],[C%]]-Table26[[#This Row],[H%]]-Table26[[#This Row],[N%]]-Table26[[#This Row],[S%]]</f>
        <v>46.09</v>
      </c>
      <c r="AE729" s="13">
        <v>0.01</v>
      </c>
      <c r="AI729" s="13">
        <v>0.01</v>
      </c>
      <c r="AJ729" s="13">
        <v>10</v>
      </c>
      <c r="AK729" s="13">
        <v>40</v>
      </c>
      <c r="AL729" s="13">
        <f>Table26[[#This Row],[Solids (g)]]/(Table26[[#This Row],[Solids (g)]]+Table26[[#This Row],[Water mL]])*100</f>
        <v>20</v>
      </c>
      <c r="AR729" s="13">
        <v>32.5</v>
      </c>
      <c r="AS729" s="13">
        <v>0</v>
      </c>
      <c r="AT729" s="13" t="e">
        <f>LN(25/Table26[[#This Row],[Temperature (C)]]/(1-SQRT((Table26[[#This Row],[Temperature (C)]]-5)/Table26[[#This Row],[Temperature (C)]])))/Table26[[#This Row],[b]]</f>
        <v>#DIV/0!</v>
      </c>
      <c r="AU729" s="13">
        <f>IF(Table26[[#This Row],[b]]&lt;&gt;"",Table26[[#This Row],[T-5]], 0)</f>
        <v>0</v>
      </c>
      <c r="AV729" s="13">
        <f>Table26[[#This Row],[Heating time]]+Table26[[#This Row],[Holding Time (min)]]</f>
        <v>0</v>
      </c>
      <c r="AW729" s="13">
        <f>673-273</f>
        <v>400</v>
      </c>
      <c r="AY729" t="s">
        <v>503</v>
      </c>
      <c r="AZ729" s="13">
        <v>14.2</v>
      </c>
      <c r="BA729" s="13">
        <v>49.8</v>
      </c>
      <c r="BC729" s="13">
        <v>19.600000000000001</v>
      </c>
      <c r="BE729" s="13">
        <v>25.974025974025899</v>
      </c>
      <c r="BQ729" s="13" t="s">
        <v>506</v>
      </c>
      <c r="CV729" s="13">
        <v>0</v>
      </c>
    </row>
    <row r="730" spans="1:100" x14ac:dyDescent="0.25">
      <c r="A730" t="s">
        <v>454</v>
      </c>
      <c r="B730" t="s">
        <v>455</v>
      </c>
      <c r="C730">
        <v>2017</v>
      </c>
      <c r="D730" t="s">
        <v>456</v>
      </c>
      <c r="E730">
        <v>0</v>
      </c>
      <c r="F730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730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AB730" s="13">
        <v>47.9</v>
      </c>
      <c r="AC730" s="13">
        <v>6</v>
      </c>
      <c r="AD730" s="13">
        <f>100-Table26[[#This Row],[C%]]-Table26[[#This Row],[H%]]-Table26[[#This Row],[N%]]-Table26[[#This Row],[S%]]</f>
        <v>46.09</v>
      </c>
      <c r="AE730" s="13">
        <v>0.01</v>
      </c>
      <c r="AI730" s="13">
        <v>0.01</v>
      </c>
      <c r="AJ730" s="13">
        <v>10</v>
      </c>
      <c r="AK730" s="13">
        <v>40</v>
      </c>
      <c r="AL730" s="13">
        <f>Table26[[#This Row],[Solids (g)]]/(Table26[[#This Row],[Solids (g)]]+Table26[[#This Row],[Water mL]])*100</f>
        <v>20</v>
      </c>
      <c r="AR730" s="13">
        <v>32.5</v>
      </c>
      <c r="AS730" s="13">
        <v>10</v>
      </c>
      <c r="AT730" s="13" t="e">
        <f>LN(25/Table26[[#This Row],[Temperature (C)]]/(1-SQRT((Table26[[#This Row],[Temperature (C)]]-5)/Table26[[#This Row],[Temperature (C)]])))/Table26[[#This Row],[b]]</f>
        <v>#DIV/0!</v>
      </c>
      <c r="AU730" s="13">
        <f>IF(Table26[[#This Row],[b]]&lt;&gt;"",Table26[[#This Row],[T-5]], 0)</f>
        <v>0</v>
      </c>
      <c r="AV730" s="13">
        <f>Table26[[#This Row],[Heating time]]+Table26[[#This Row],[Holding Time (min)]]</f>
        <v>10</v>
      </c>
      <c r="AW730" s="13">
        <f>673-273</f>
        <v>400</v>
      </c>
      <c r="AY730" t="s">
        <v>503</v>
      </c>
      <c r="AZ730" s="13">
        <v>15.5</v>
      </c>
      <c r="BA730" s="13">
        <v>35.5</v>
      </c>
      <c r="BC730" s="13">
        <v>21.4</v>
      </c>
      <c r="BE730" s="13">
        <v>34.740259740259702</v>
      </c>
      <c r="BQ730" s="13" t="s">
        <v>506</v>
      </c>
      <c r="CV730" s="13">
        <v>0</v>
      </c>
    </row>
    <row r="731" spans="1:100" x14ac:dyDescent="0.25">
      <c r="A731" t="s">
        <v>454</v>
      </c>
      <c r="B731" t="s">
        <v>455</v>
      </c>
      <c r="C731">
        <v>2017</v>
      </c>
      <c r="D731" t="s">
        <v>456</v>
      </c>
      <c r="E731">
        <v>0</v>
      </c>
      <c r="F731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731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AB731" s="13">
        <v>47.9</v>
      </c>
      <c r="AC731" s="13">
        <v>6</v>
      </c>
      <c r="AD731" s="13">
        <f>100-Table26[[#This Row],[C%]]-Table26[[#This Row],[H%]]-Table26[[#This Row],[N%]]-Table26[[#This Row],[S%]]</f>
        <v>46.09</v>
      </c>
      <c r="AE731" s="13">
        <v>0.01</v>
      </c>
      <c r="AI731" s="13">
        <v>0.01</v>
      </c>
      <c r="AJ731" s="13">
        <v>10</v>
      </c>
      <c r="AK731" s="13">
        <v>40</v>
      </c>
      <c r="AL731" s="13">
        <f>Table26[[#This Row],[Solids (g)]]/(Table26[[#This Row],[Solids (g)]]+Table26[[#This Row],[Water mL]])*100</f>
        <v>20</v>
      </c>
      <c r="AR731" s="13">
        <v>32.5</v>
      </c>
      <c r="AS731" s="13">
        <v>20</v>
      </c>
      <c r="AT731" s="13" t="e">
        <f>LN(25/Table26[[#This Row],[Temperature (C)]]/(1-SQRT((Table26[[#This Row],[Temperature (C)]]-5)/Table26[[#This Row],[Temperature (C)]])))/Table26[[#This Row],[b]]</f>
        <v>#DIV/0!</v>
      </c>
      <c r="AU731" s="13">
        <f>IF(Table26[[#This Row],[b]]&lt;&gt;"",Table26[[#This Row],[T-5]], 0)</f>
        <v>0</v>
      </c>
      <c r="AV731" s="13">
        <f>Table26[[#This Row],[Heating time]]+Table26[[#This Row],[Holding Time (min)]]</f>
        <v>20</v>
      </c>
      <c r="AW731" s="13">
        <f>673-273</f>
        <v>400</v>
      </c>
      <c r="AY731" t="s">
        <v>503</v>
      </c>
      <c r="AZ731" s="13">
        <v>19</v>
      </c>
      <c r="BA731" s="13">
        <v>38.4</v>
      </c>
      <c r="BC731" s="13">
        <v>24.5</v>
      </c>
      <c r="BE731" s="13">
        <v>8.4415584415584402</v>
      </c>
      <c r="BQ731" s="13" t="s">
        <v>506</v>
      </c>
      <c r="CV731" s="13">
        <v>0</v>
      </c>
    </row>
    <row r="732" spans="1:100" x14ac:dyDescent="0.25">
      <c r="A732" t="s">
        <v>457</v>
      </c>
      <c r="B732" t="s">
        <v>155</v>
      </c>
      <c r="C732">
        <v>2020</v>
      </c>
      <c r="D732" t="s">
        <v>458</v>
      </c>
      <c r="E732">
        <v>0</v>
      </c>
      <c r="F732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29.200000000000003</v>
      </c>
      <c r="G732" s="13">
        <v>18.2</v>
      </c>
      <c r="I732" s="13">
        <v>6.4</v>
      </c>
      <c r="J732" s="13">
        <v>4.5999999999999996</v>
      </c>
      <c r="K732" s="13">
        <v>35.299999999999997</v>
      </c>
      <c r="L732" s="13">
        <v>2.9</v>
      </c>
      <c r="M732" s="13">
        <v>6.2</v>
      </c>
      <c r="N732" s="13">
        <v>14.6</v>
      </c>
      <c r="O73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73.600000000000009</v>
      </c>
      <c r="R732" s="13">
        <v>7.2</v>
      </c>
      <c r="AB732" s="13">
        <v>39.700000000000003</v>
      </c>
      <c r="AC732" s="13">
        <v>7.5</v>
      </c>
      <c r="AD732" s="13">
        <v>46.3</v>
      </c>
      <c r="AE732" s="13">
        <v>5.9</v>
      </c>
      <c r="AF732" s="13">
        <v>0.6</v>
      </c>
      <c r="AH732" s="13">
        <v>15.9</v>
      </c>
      <c r="AI732" s="13">
        <v>0.1</v>
      </c>
      <c r="AJ732" s="13">
        <v>9</v>
      </c>
      <c r="AK732" s="13">
        <v>50</v>
      </c>
      <c r="AL732" s="13">
        <v>15</v>
      </c>
      <c r="AR732" s="13">
        <v>5.2</v>
      </c>
      <c r="AS732" s="13">
        <v>15</v>
      </c>
      <c r="AT732" s="13" t="e">
        <f>LN(25/Table26[[#This Row],[Temperature (C)]]/(1-SQRT((Table26[[#This Row],[Temperature (C)]]-5)/Table26[[#This Row],[Temperature (C)]])))/Table26[[#This Row],[b]]</f>
        <v>#DIV/0!</v>
      </c>
      <c r="AU732" s="13">
        <f>IF(Table26[[#This Row],[b]]&lt;&gt;"",Table26[[#This Row],[T-5]], 0)</f>
        <v>0</v>
      </c>
      <c r="AV732" s="13">
        <f>Table26[[#This Row],[Heating time]]+Table26[[#This Row],[Holding Time (min)]]</f>
        <v>15</v>
      </c>
      <c r="AW732" s="13">
        <v>250</v>
      </c>
      <c r="AY732" t="s">
        <v>503</v>
      </c>
      <c r="AZ732" s="13">
        <v>28.5</v>
      </c>
      <c r="BA732" s="13">
        <v>19.899999999999999</v>
      </c>
      <c r="BB732" s="13">
        <v>33.200000000000003</v>
      </c>
      <c r="BC732" s="13">
        <v>18.399999999999999</v>
      </c>
      <c r="BE732" s="13">
        <v>27.114967462039001</v>
      </c>
      <c r="BQ732" s="13" t="s">
        <v>506</v>
      </c>
      <c r="CV732" s="13">
        <v>0</v>
      </c>
    </row>
    <row r="733" spans="1:100" x14ac:dyDescent="0.25">
      <c r="A733" t="s">
        <v>457</v>
      </c>
      <c r="B733" t="s">
        <v>155</v>
      </c>
      <c r="C733">
        <v>2020</v>
      </c>
      <c r="D733" t="s">
        <v>458</v>
      </c>
      <c r="E733">
        <v>0</v>
      </c>
      <c r="F733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29.200000000000003</v>
      </c>
      <c r="G733" s="13">
        <v>18.2</v>
      </c>
      <c r="I733" s="13">
        <v>6.4</v>
      </c>
      <c r="J733" s="13">
        <v>4.5999999999999996</v>
      </c>
      <c r="K733" s="13">
        <v>35.299999999999997</v>
      </c>
      <c r="L733" s="13">
        <v>2.9</v>
      </c>
      <c r="M733" s="13">
        <v>6.2</v>
      </c>
      <c r="N733" s="13">
        <v>14.6</v>
      </c>
      <c r="O73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73.600000000000009</v>
      </c>
      <c r="R733" s="13">
        <v>7.2</v>
      </c>
      <c r="AB733" s="13">
        <v>39.700000000000003</v>
      </c>
      <c r="AC733" s="13">
        <v>7.5</v>
      </c>
      <c r="AD733" s="13">
        <v>46.3</v>
      </c>
      <c r="AE733" s="13">
        <v>5.9</v>
      </c>
      <c r="AF733" s="13">
        <v>0.6</v>
      </c>
      <c r="AH733" s="13">
        <v>15.9</v>
      </c>
      <c r="AI733" s="13">
        <v>0.1</v>
      </c>
      <c r="AJ733" s="13">
        <v>9</v>
      </c>
      <c r="AK733" s="13">
        <v>50</v>
      </c>
      <c r="AL733" s="13">
        <v>15</v>
      </c>
      <c r="AR733" s="13">
        <v>5.2</v>
      </c>
      <c r="AS733" s="13">
        <v>30</v>
      </c>
      <c r="AT733" s="13" t="e">
        <f>LN(25/Table26[[#This Row],[Temperature (C)]]/(1-SQRT((Table26[[#This Row],[Temperature (C)]]-5)/Table26[[#This Row],[Temperature (C)]])))/Table26[[#This Row],[b]]</f>
        <v>#DIV/0!</v>
      </c>
      <c r="AU733" s="13">
        <f>IF(Table26[[#This Row],[b]]&lt;&gt;"",Table26[[#This Row],[T-5]], 0)</f>
        <v>0</v>
      </c>
      <c r="AV733" s="13">
        <f>Table26[[#This Row],[Heating time]]+Table26[[#This Row],[Holding Time (min)]]</f>
        <v>30</v>
      </c>
      <c r="AW733" s="13">
        <v>250</v>
      </c>
      <c r="AY733" t="s">
        <v>503</v>
      </c>
      <c r="AZ733" s="13">
        <v>25.7</v>
      </c>
      <c r="BA733" s="13">
        <v>21.2</v>
      </c>
      <c r="BB733" s="13">
        <v>28.1</v>
      </c>
      <c r="BC733" s="13">
        <v>25</v>
      </c>
      <c r="BE733" s="13">
        <v>30.802603036876299</v>
      </c>
      <c r="BI733" s="13">
        <v>68.650000000000006</v>
      </c>
      <c r="BJ733" s="13">
        <v>10.5</v>
      </c>
      <c r="BK733" s="13">
        <v>12.74</v>
      </c>
      <c r="BL733" s="13">
        <v>7.26</v>
      </c>
      <c r="BM733" s="13">
        <v>0.85</v>
      </c>
      <c r="BN733" s="13">
        <v>35.97</v>
      </c>
      <c r="BP733" s="13">
        <v>37.409999999999997</v>
      </c>
      <c r="BQ733" s="13" t="s">
        <v>506</v>
      </c>
      <c r="CV733" s="13">
        <v>0</v>
      </c>
    </row>
    <row r="734" spans="1:100" x14ac:dyDescent="0.25">
      <c r="A734" t="s">
        <v>457</v>
      </c>
      <c r="B734" t="s">
        <v>155</v>
      </c>
      <c r="C734">
        <v>2020</v>
      </c>
      <c r="D734" t="s">
        <v>458</v>
      </c>
      <c r="E734">
        <v>0</v>
      </c>
      <c r="F734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29.200000000000003</v>
      </c>
      <c r="G734" s="13">
        <v>18.2</v>
      </c>
      <c r="I734" s="13">
        <v>6.4</v>
      </c>
      <c r="J734" s="13">
        <v>4.5999999999999996</v>
      </c>
      <c r="K734" s="13">
        <v>35.299999999999997</v>
      </c>
      <c r="L734" s="13">
        <v>2.9</v>
      </c>
      <c r="M734" s="13">
        <v>6.2</v>
      </c>
      <c r="N734" s="13">
        <v>14.6</v>
      </c>
      <c r="O73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73.600000000000009</v>
      </c>
      <c r="R734" s="13">
        <v>7.2</v>
      </c>
      <c r="AB734" s="13">
        <v>39.700000000000003</v>
      </c>
      <c r="AC734" s="13">
        <v>7.5</v>
      </c>
      <c r="AD734" s="13">
        <v>46.3</v>
      </c>
      <c r="AE734" s="13">
        <v>5.9</v>
      </c>
      <c r="AF734" s="13">
        <v>0.6</v>
      </c>
      <c r="AH734" s="13">
        <v>15.9</v>
      </c>
      <c r="AI734" s="13">
        <v>0.1</v>
      </c>
      <c r="AJ734" s="13">
        <v>9</v>
      </c>
      <c r="AK734" s="13">
        <v>50</v>
      </c>
      <c r="AL734" s="13">
        <v>15</v>
      </c>
      <c r="AR734" s="13">
        <v>5.2</v>
      </c>
      <c r="AS734" s="13">
        <v>45</v>
      </c>
      <c r="AT734" s="13" t="e">
        <f>LN(25/Table26[[#This Row],[Temperature (C)]]/(1-SQRT((Table26[[#This Row],[Temperature (C)]]-5)/Table26[[#This Row],[Temperature (C)]])))/Table26[[#This Row],[b]]</f>
        <v>#DIV/0!</v>
      </c>
      <c r="AU734" s="13">
        <f>IF(Table26[[#This Row],[b]]&lt;&gt;"",Table26[[#This Row],[T-5]], 0)</f>
        <v>0</v>
      </c>
      <c r="AV734" s="13">
        <f>Table26[[#This Row],[Heating time]]+Table26[[#This Row],[Holding Time (min)]]</f>
        <v>45</v>
      </c>
      <c r="AW734" s="13">
        <v>250</v>
      </c>
      <c r="AY734" t="s">
        <v>503</v>
      </c>
      <c r="AZ734" s="13">
        <v>23.8</v>
      </c>
      <c r="BA734" s="13">
        <v>22.9</v>
      </c>
      <c r="BB734" s="13">
        <v>24.9</v>
      </c>
      <c r="BC734" s="13">
        <v>28.4</v>
      </c>
      <c r="BE734" s="13">
        <v>31.887201735357898</v>
      </c>
      <c r="BQ734" s="13" t="s">
        <v>506</v>
      </c>
      <c r="CV734" s="13">
        <v>0</v>
      </c>
    </row>
    <row r="735" spans="1:100" x14ac:dyDescent="0.25">
      <c r="A735" t="s">
        <v>457</v>
      </c>
      <c r="B735" t="s">
        <v>155</v>
      </c>
      <c r="C735">
        <v>2020</v>
      </c>
      <c r="D735" t="s">
        <v>458</v>
      </c>
      <c r="E735">
        <v>0</v>
      </c>
      <c r="F735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29.200000000000003</v>
      </c>
      <c r="G735" s="13">
        <v>18.2</v>
      </c>
      <c r="I735" s="13">
        <v>6.4</v>
      </c>
      <c r="J735" s="13">
        <v>4.5999999999999996</v>
      </c>
      <c r="K735" s="13">
        <v>35.299999999999997</v>
      </c>
      <c r="L735" s="13">
        <v>2.9</v>
      </c>
      <c r="M735" s="13">
        <v>6.2</v>
      </c>
      <c r="N735" s="13">
        <v>14.6</v>
      </c>
      <c r="O73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73.600000000000009</v>
      </c>
      <c r="R735" s="13">
        <v>7.2</v>
      </c>
      <c r="AB735" s="13">
        <v>39.700000000000003</v>
      </c>
      <c r="AC735" s="13">
        <v>7.5</v>
      </c>
      <c r="AD735" s="13">
        <v>46.3</v>
      </c>
      <c r="AE735" s="13">
        <v>5.9</v>
      </c>
      <c r="AF735" s="13">
        <v>0.6</v>
      </c>
      <c r="AH735" s="13">
        <v>15.9</v>
      </c>
      <c r="AI735" s="13">
        <v>0.1</v>
      </c>
      <c r="AJ735" s="13">
        <v>9</v>
      </c>
      <c r="AK735" s="13">
        <v>50</v>
      </c>
      <c r="AL735" s="13">
        <v>15</v>
      </c>
      <c r="AR735" s="13">
        <v>5.2</v>
      </c>
      <c r="AS735" s="13">
        <v>60</v>
      </c>
      <c r="AT735" s="13" t="e">
        <f>LN(25/Table26[[#This Row],[Temperature (C)]]/(1-SQRT((Table26[[#This Row],[Temperature (C)]]-5)/Table26[[#This Row],[Temperature (C)]])))/Table26[[#This Row],[b]]</f>
        <v>#DIV/0!</v>
      </c>
      <c r="AU735" s="13">
        <f>IF(Table26[[#This Row],[b]]&lt;&gt;"",Table26[[#This Row],[T-5]], 0)</f>
        <v>0</v>
      </c>
      <c r="AV735" s="13">
        <f>Table26[[#This Row],[Heating time]]+Table26[[#This Row],[Holding Time (min)]]</f>
        <v>60</v>
      </c>
      <c r="AW735" s="13">
        <v>250</v>
      </c>
      <c r="AY735" t="s">
        <v>503</v>
      </c>
      <c r="AZ735" s="13">
        <v>22.9</v>
      </c>
      <c r="BA735" s="13">
        <v>24.5</v>
      </c>
      <c r="BB735" s="13">
        <v>24.9</v>
      </c>
      <c r="BC735" s="13">
        <v>27.7</v>
      </c>
      <c r="BE735" s="13">
        <v>25.7049891540129</v>
      </c>
      <c r="BI735" s="13">
        <v>69.37</v>
      </c>
      <c r="BJ735" s="13">
        <v>11.43</v>
      </c>
      <c r="BK735" s="13">
        <v>11.24</v>
      </c>
      <c r="BL735" s="13">
        <v>7.47</v>
      </c>
      <c r="BM735" s="13">
        <v>0.49</v>
      </c>
      <c r="BN735" s="13">
        <v>37.770000000000003</v>
      </c>
      <c r="BP735" s="13">
        <v>39.28</v>
      </c>
      <c r="BQ735" s="13" t="s">
        <v>506</v>
      </c>
      <c r="CV735" s="13">
        <v>0</v>
      </c>
    </row>
    <row r="736" spans="1:100" x14ac:dyDescent="0.25">
      <c r="A736" t="s">
        <v>457</v>
      </c>
      <c r="B736" t="s">
        <v>155</v>
      </c>
      <c r="C736">
        <v>2020</v>
      </c>
      <c r="D736" t="s">
        <v>458</v>
      </c>
      <c r="E736">
        <v>0</v>
      </c>
      <c r="F736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29.200000000000003</v>
      </c>
      <c r="G736" s="13">
        <v>18.2</v>
      </c>
      <c r="I736" s="13">
        <v>6.4</v>
      </c>
      <c r="J736" s="13">
        <v>4.5999999999999996</v>
      </c>
      <c r="K736" s="13">
        <v>35.299999999999997</v>
      </c>
      <c r="L736" s="13">
        <v>2.9</v>
      </c>
      <c r="M736" s="13">
        <v>6.2</v>
      </c>
      <c r="N736" s="13">
        <v>14.6</v>
      </c>
      <c r="O73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73.600000000000009</v>
      </c>
      <c r="R736" s="13">
        <v>7.2</v>
      </c>
      <c r="AB736" s="13">
        <v>39.700000000000003</v>
      </c>
      <c r="AC736" s="13">
        <v>7.5</v>
      </c>
      <c r="AD736" s="13">
        <v>46.3</v>
      </c>
      <c r="AE736" s="13">
        <v>5.9</v>
      </c>
      <c r="AF736" s="13">
        <v>0.6</v>
      </c>
      <c r="AH736" s="13">
        <v>15.9</v>
      </c>
      <c r="AI736" s="13">
        <v>0.1</v>
      </c>
      <c r="AJ736" s="13">
        <v>9</v>
      </c>
      <c r="AK736" s="13">
        <v>50</v>
      </c>
      <c r="AL736" s="13">
        <v>15</v>
      </c>
      <c r="AR736" s="13">
        <v>6.2</v>
      </c>
      <c r="AS736" s="13">
        <v>15</v>
      </c>
      <c r="AT736" s="13" t="e">
        <f>LN(25/Table26[[#This Row],[Temperature (C)]]/(1-SQRT((Table26[[#This Row],[Temperature (C)]]-5)/Table26[[#This Row],[Temperature (C)]])))/Table26[[#This Row],[b]]</f>
        <v>#DIV/0!</v>
      </c>
      <c r="AU736" s="13">
        <f>IF(Table26[[#This Row],[b]]&lt;&gt;"",Table26[[#This Row],[T-5]], 0)</f>
        <v>0</v>
      </c>
      <c r="AV736" s="13">
        <f>Table26[[#This Row],[Heating time]]+Table26[[#This Row],[Holding Time (min)]]</f>
        <v>15</v>
      </c>
      <c r="AW736" s="13">
        <v>280</v>
      </c>
      <c r="AY736" t="s">
        <v>503</v>
      </c>
      <c r="AZ736" s="13">
        <v>19</v>
      </c>
      <c r="BA736" s="13">
        <v>26.8</v>
      </c>
      <c r="BB736" s="13">
        <v>23.5</v>
      </c>
      <c r="BC736" s="13">
        <v>30.7</v>
      </c>
      <c r="BE736" s="13">
        <v>32.863340563991301</v>
      </c>
      <c r="BQ736" s="13" t="s">
        <v>506</v>
      </c>
      <c r="CV736" s="13">
        <v>0</v>
      </c>
    </row>
    <row r="737" spans="1:100" x14ac:dyDescent="0.25">
      <c r="A737" t="s">
        <v>457</v>
      </c>
      <c r="B737" t="s">
        <v>155</v>
      </c>
      <c r="C737">
        <v>2020</v>
      </c>
      <c r="D737" t="s">
        <v>458</v>
      </c>
      <c r="E737">
        <v>0</v>
      </c>
      <c r="F73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29.200000000000003</v>
      </c>
      <c r="G737" s="13">
        <v>18.2</v>
      </c>
      <c r="I737" s="13">
        <v>6.4</v>
      </c>
      <c r="J737" s="13">
        <v>4.5999999999999996</v>
      </c>
      <c r="K737" s="13">
        <v>35.299999999999997</v>
      </c>
      <c r="L737" s="13">
        <v>2.9</v>
      </c>
      <c r="M737" s="13">
        <v>6.2</v>
      </c>
      <c r="N737" s="13">
        <v>14.6</v>
      </c>
      <c r="O73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73.600000000000009</v>
      </c>
      <c r="R737" s="13">
        <v>7.2</v>
      </c>
      <c r="AB737" s="13">
        <v>39.700000000000003</v>
      </c>
      <c r="AC737" s="13">
        <v>7.5</v>
      </c>
      <c r="AD737" s="13">
        <v>46.3</v>
      </c>
      <c r="AE737" s="13">
        <v>5.9</v>
      </c>
      <c r="AF737" s="13">
        <v>0.6</v>
      </c>
      <c r="AH737" s="13">
        <v>15.9</v>
      </c>
      <c r="AI737" s="13">
        <v>0.1</v>
      </c>
      <c r="AJ737" s="13">
        <v>9</v>
      </c>
      <c r="AK737" s="13">
        <v>50</v>
      </c>
      <c r="AL737" s="13">
        <v>15</v>
      </c>
      <c r="AR737" s="13">
        <v>6.2</v>
      </c>
      <c r="AS737" s="13">
        <v>30</v>
      </c>
      <c r="AT737" s="13" t="e">
        <f>LN(25/Table26[[#This Row],[Temperature (C)]]/(1-SQRT((Table26[[#This Row],[Temperature (C)]]-5)/Table26[[#This Row],[Temperature (C)]])))/Table26[[#This Row],[b]]</f>
        <v>#DIV/0!</v>
      </c>
      <c r="AU737" s="13">
        <f>IF(Table26[[#This Row],[b]]&lt;&gt;"",Table26[[#This Row],[T-5]], 0)</f>
        <v>0</v>
      </c>
      <c r="AV737" s="13">
        <f>Table26[[#This Row],[Heating time]]+Table26[[#This Row],[Holding Time (min)]]</f>
        <v>30</v>
      </c>
      <c r="AW737" s="13">
        <v>280</v>
      </c>
      <c r="AY737" t="s">
        <v>503</v>
      </c>
      <c r="AZ737" s="13">
        <v>17.600000000000001</v>
      </c>
      <c r="BA737" s="13">
        <v>27.5</v>
      </c>
      <c r="BB737" s="13">
        <v>22.2</v>
      </c>
      <c r="BC737" s="13">
        <v>32.700000000000003</v>
      </c>
      <c r="BE737" s="13">
        <v>25.736095965103502</v>
      </c>
      <c r="BI737" s="13">
        <v>69.92</v>
      </c>
      <c r="BJ737" s="13">
        <v>10.83</v>
      </c>
      <c r="BK737" s="13">
        <v>11.74</v>
      </c>
      <c r="BL737" s="13">
        <v>7.13</v>
      </c>
      <c r="BM737" s="13">
        <v>0.38</v>
      </c>
      <c r="BN737" s="13">
        <v>37</v>
      </c>
      <c r="BP737" s="13">
        <v>50.03</v>
      </c>
      <c r="BQ737" s="13" t="s">
        <v>506</v>
      </c>
      <c r="CV737" s="13">
        <v>0</v>
      </c>
    </row>
    <row r="738" spans="1:100" x14ac:dyDescent="0.25">
      <c r="A738" t="s">
        <v>457</v>
      </c>
      <c r="B738" t="s">
        <v>155</v>
      </c>
      <c r="C738">
        <v>2020</v>
      </c>
      <c r="D738" t="s">
        <v>458</v>
      </c>
      <c r="E738">
        <v>0</v>
      </c>
      <c r="F738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29.200000000000003</v>
      </c>
      <c r="G738" s="13">
        <v>18.2</v>
      </c>
      <c r="I738" s="13">
        <v>6.4</v>
      </c>
      <c r="J738" s="13">
        <v>4.5999999999999996</v>
      </c>
      <c r="K738" s="13">
        <v>35.299999999999997</v>
      </c>
      <c r="L738" s="13">
        <v>2.9</v>
      </c>
      <c r="M738" s="13">
        <v>6.2</v>
      </c>
      <c r="N738" s="13">
        <v>14.6</v>
      </c>
      <c r="O73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73.600000000000009</v>
      </c>
      <c r="R738" s="13">
        <v>7.2</v>
      </c>
      <c r="AB738" s="13">
        <v>39.700000000000003</v>
      </c>
      <c r="AC738" s="13">
        <v>7.5</v>
      </c>
      <c r="AD738" s="13">
        <v>46.3</v>
      </c>
      <c r="AE738" s="13">
        <v>5.9</v>
      </c>
      <c r="AF738" s="13">
        <v>0.6</v>
      </c>
      <c r="AH738" s="13">
        <v>15.9</v>
      </c>
      <c r="AI738" s="13">
        <v>0.1</v>
      </c>
      <c r="AJ738" s="13">
        <v>9</v>
      </c>
      <c r="AK738" s="13">
        <v>50</v>
      </c>
      <c r="AL738" s="13">
        <v>15</v>
      </c>
      <c r="AR738" s="13">
        <v>6.2</v>
      </c>
      <c r="AS738" s="13">
        <v>45</v>
      </c>
      <c r="AT738" s="13" t="e">
        <f>LN(25/Table26[[#This Row],[Temperature (C)]]/(1-SQRT((Table26[[#This Row],[Temperature (C)]]-5)/Table26[[#This Row],[Temperature (C)]])))/Table26[[#This Row],[b]]</f>
        <v>#DIV/0!</v>
      </c>
      <c r="AU738" s="13">
        <f>IF(Table26[[#This Row],[b]]&lt;&gt;"",Table26[[#This Row],[T-5]], 0)</f>
        <v>0</v>
      </c>
      <c r="AV738" s="13">
        <f>Table26[[#This Row],[Heating time]]+Table26[[#This Row],[Holding Time (min)]]</f>
        <v>45</v>
      </c>
      <c r="AW738" s="13">
        <v>280</v>
      </c>
      <c r="AY738" t="s">
        <v>503</v>
      </c>
      <c r="AZ738" s="13">
        <v>16.7</v>
      </c>
      <c r="BA738" s="13">
        <v>28.2</v>
      </c>
      <c r="BB738" s="13">
        <v>21.6</v>
      </c>
      <c r="BC738" s="13">
        <v>33.5</v>
      </c>
      <c r="BE738" s="13">
        <v>15.7033805888767</v>
      </c>
      <c r="BP738" s="13">
        <v>55.64</v>
      </c>
      <c r="BQ738" s="13" t="s">
        <v>506</v>
      </c>
      <c r="CV738" s="13">
        <v>0</v>
      </c>
    </row>
    <row r="739" spans="1:100" x14ac:dyDescent="0.25">
      <c r="A739" t="s">
        <v>457</v>
      </c>
      <c r="B739" t="s">
        <v>155</v>
      </c>
      <c r="C739">
        <v>2020</v>
      </c>
      <c r="D739" t="s">
        <v>458</v>
      </c>
      <c r="E739">
        <v>0</v>
      </c>
      <c r="F739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29.200000000000003</v>
      </c>
      <c r="G739" s="13">
        <v>18.2</v>
      </c>
      <c r="I739" s="13">
        <v>6.4</v>
      </c>
      <c r="J739" s="13">
        <v>4.5999999999999996</v>
      </c>
      <c r="K739" s="13">
        <v>35.299999999999997</v>
      </c>
      <c r="L739" s="13">
        <v>2.9</v>
      </c>
      <c r="M739" s="13">
        <v>6.2</v>
      </c>
      <c r="N739" s="13">
        <v>14.6</v>
      </c>
      <c r="O73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73.600000000000009</v>
      </c>
      <c r="R739" s="13">
        <v>7.2</v>
      </c>
      <c r="AB739" s="13">
        <v>39.700000000000003</v>
      </c>
      <c r="AC739" s="13">
        <v>7.5</v>
      </c>
      <c r="AD739" s="13">
        <v>46.3</v>
      </c>
      <c r="AE739" s="13">
        <v>5.9</v>
      </c>
      <c r="AF739" s="13">
        <v>0.6</v>
      </c>
      <c r="AH739" s="13">
        <v>15.9</v>
      </c>
      <c r="AI739" s="13">
        <v>0.1</v>
      </c>
      <c r="AJ739" s="13">
        <v>9</v>
      </c>
      <c r="AK739" s="13">
        <v>50</v>
      </c>
      <c r="AL739" s="13">
        <v>15</v>
      </c>
      <c r="AR739" s="13">
        <v>6.2</v>
      </c>
      <c r="AS739" s="13">
        <v>60</v>
      </c>
      <c r="AT739" s="13" t="e">
        <f>LN(25/Table26[[#This Row],[Temperature (C)]]/(1-SQRT((Table26[[#This Row],[Temperature (C)]]-5)/Table26[[#This Row],[Temperature (C)]])))/Table26[[#This Row],[b]]</f>
        <v>#DIV/0!</v>
      </c>
      <c r="AU739" s="13">
        <f>IF(Table26[[#This Row],[b]]&lt;&gt;"",Table26[[#This Row],[T-5]], 0)</f>
        <v>0</v>
      </c>
      <c r="AV739" s="13">
        <f>Table26[[#This Row],[Heating time]]+Table26[[#This Row],[Holding Time (min)]]</f>
        <v>60</v>
      </c>
      <c r="AW739" s="13">
        <v>280</v>
      </c>
      <c r="AY739" t="s">
        <v>503</v>
      </c>
      <c r="AZ739" s="13">
        <v>16.5</v>
      </c>
      <c r="BA739" s="13">
        <v>29.2</v>
      </c>
      <c r="BB739" s="13">
        <v>26.5</v>
      </c>
      <c r="BC739" s="13">
        <v>27.8</v>
      </c>
      <c r="BE739" s="13">
        <v>37.5136314067611</v>
      </c>
      <c r="BI739" s="13">
        <v>70.94</v>
      </c>
      <c r="BJ739" s="13">
        <v>11.54</v>
      </c>
      <c r="BK739" s="13">
        <v>9.4</v>
      </c>
      <c r="BL739" s="13">
        <v>7.5</v>
      </c>
      <c r="BM739" s="13">
        <v>0.62</v>
      </c>
      <c r="BN739" s="13">
        <v>38.799999999999997</v>
      </c>
      <c r="BQ739" s="13" t="s">
        <v>506</v>
      </c>
      <c r="CV739" s="13">
        <v>0</v>
      </c>
    </row>
    <row r="740" spans="1:100" x14ac:dyDescent="0.25">
      <c r="A740" t="s">
        <v>457</v>
      </c>
      <c r="B740" t="s">
        <v>155</v>
      </c>
      <c r="C740">
        <v>2020</v>
      </c>
      <c r="D740" t="s">
        <v>458</v>
      </c>
      <c r="E740">
        <v>0</v>
      </c>
      <c r="F740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29.200000000000003</v>
      </c>
      <c r="G740" s="13">
        <v>18.2</v>
      </c>
      <c r="I740" s="13">
        <v>6.4</v>
      </c>
      <c r="J740" s="13">
        <v>4.5999999999999996</v>
      </c>
      <c r="K740" s="13">
        <v>35.299999999999997</v>
      </c>
      <c r="L740" s="13">
        <v>2.9</v>
      </c>
      <c r="M740" s="13">
        <v>6.2</v>
      </c>
      <c r="N740" s="13">
        <v>14.6</v>
      </c>
      <c r="O74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73.600000000000009</v>
      </c>
      <c r="R740" s="13">
        <v>7.2</v>
      </c>
      <c r="AB740" s="13">
        <v>39.700000000000003</v>
      </c>
      <c r="AC740" s="13">
        <v>7.5</v>
      </c>
      <c r="AD740" s="13">
        <v>46.3</v>
      </c>
      <c r="AE740" s="13">
        <v>5.9</v>
      </c>
      <c r="AF740" s="13">
        <v>0.6</v>
      </c>
      <c r="AH740" s="13">
        <v>15.9</v>
      </c>
      <c r="AI740" s="13">
        <v>0.1</v>
      </c>
      <c r="AJ740" s="13">
        <v>9</v>
      </c>
      <c r="AK740" s="13">
        <v>50</v>
      </c>
      <c r="AL740" s="13">
        <v>15</v>
      </c>
      <c r="AR740" s="13">
        <v>10.5</v>
      </c>
      <c r="AS740" s="13">
        <v>15</v>
      </c>
      <c r="AT740" s="13" t="e">
        <f>LN(25/Table26[[#This Row],[Temperature (C)]]/(1-SQRT((Table26[[#This Row],[Temperature (C)]]-5)/Table26[[#This Row],[Temperature (C)]])))/Table26[[#This Row],[b]]</f>
        <v>#DIV/0!</v>
      </c>
      <c r="AU740" s="13">
        <f>IF(Table26[[#This Row],[b]]&lt;&gt;"",Table26[[#This Row],[T-5]], 0)</f>
        <v>0</v>
      </c>
      <c r="AV740" s="13">
        <f>Table26[[#This Row],[Heating time]]+Table26[[#This Row],[Holding Time (min)]]</f>
        <v>15</v>
      </c>
      <c r="AW740" s="13">
        <v>310</v>
      </c>
      <c r="AY740" t="s">
        <v>503</v>
      </c>
      <c r="AZ740" s="13">
        <v>15.2</v>
      </c>
      <c r="BA740" s="13">
        <v>29.6</v>
      </c>
      <c r="BB740" s="13">
        <v>18.2</v>
      </c>
      <c r="BC740" s="13">
        <v>37</v>
      </c>
      <c r="BE740" s="13">
        <v>26.3904034896401</v>
      </c>
      <c r="BQ740" s="13" t="s">
        <v>506</v>
      </c>
      <c r="CV740" s="13">
        <v>0</v>
      </c>
    </row>
    <row r="741" spans="1:100" x14ac:dyDescent="0.25">
      <c r="A741" t="s">
        <v>457</v>
      </c>
      <c r="B741" t="s">
        <v>155</v>
      </c>
      <c r="C741">
        <v>2020</v>
      </c>
      <c r="D741" t="s">
        <v>458</v>
      </c>
      <c r="E741">
        <v>0</v>
      </c>
      <c r="F741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29.200000000000003</v>
      </c>
      <c r="G741" s="13">
        <v>18.2</v>
      </c>
      <c r="I741" s="13">
        <v>6.4</v>
      </c>
      <c r="J741" s="13">
        <v>4.5999999999999996</v>
      </c>
      <c r="K741" s="13">
        <v>35.299999999999997</v>
      </c>
      <c r="L741" s="13">
        <v>2.9</v>
      </c>
      <c r="M741" s="13">
        <v>6.2</v>
      </c>
      <c r="N741" s="13">
        <v>14.6</v>
      </c>
      <c r="O74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73.600000000000009</v>
      </c>
      <c r="R741" s="13">
        <v>7.2</v>
      </c>
      <c r="AB741" s="13">
        <v>39.700000000000003</v>
      </c>
      <c r="AC741" s="13">
        <v>7.5</v>
      </c>
      <c r="AD741" s="13">
        <v>46.3</v>
      </c>
      <c r="AE741" s="13">
        <v>5.9</v>
      </c>
      <c r="AF741" s="13">
        <v>0.6</v>
      </c>
      <c r="AH741" s="13">
        <v>15.9</v>
      </c>
      <c r="AI741" s="13">
        <v>0.1</v>
      </c>
      <c r="AJ741" s="13">
        <v>9</v>
      </c>
      <c r="AK741" s="13">
        <v>50</v>
      </c>
      <c r="AL741" s="13">
        <v>15</v>
      </c>
      <c r="AR741" s="13">
        <v>10.5</v>
      </c>
      <c r="AS741" s="13">
        <v>30</v>
      </c>
      <c r="AT741" s="13" t="e">
        <f>LN(25/Table26[[#This Row],[Temperature (C)]]/(1-SQRT((Table26[[#This Row],[Temperature (C)]]-5)/Table26[[#This Row],[Temperature (C)]])))/Table26[[#This Row],[b]]</f>
        <v>#DIV/0!</v>
      </c>
      <c r="AU741" s="13">
        <f>IF(Table26[[#This Row],[b]]&lt;&gt;"",Table26[[#This Row],[T-5]], 0)</f>
        <v>0</v>
      </c>
      <c r="AV741" s="13">
        <f>Table26[[#This Row],[Heating time]]+Table26[[#This Row],[Holding Time (min)]]</f>
        <v>30</v>
      </c>
      <c r="AW741" s="13">
        <v>310</v>
      </c>
      <c r="AY741" t="s">
        <v>503</v>
      </c>
      <c r="AZ741" s="13">
        <v>14.2</v>
      </c>
      <c r="BA741" s="13">
        <v>30.4</v>
      </c>
      <c r="BB741" s="13">
        <v>18.3</v>
      </c>
      <c r="BC741" s="13">
        <v>37.1</v>
      </c>
      <c r="BE741" s="13">
        <v>38.276990185387099</v>
      </c>
      <c r="BI741" s="13">
        <v>70.569999999999993</v>
      </c>
      <c r="BJ741" s="13">
        <v>10.75</v>
      </c>
      <c r="BK741" s="13">
        <v>11.33</v>
      </c>
      <c r="BL741" s="13">
        <v>6.8</v>
      </c>
      <c r="BM741" s="13">
        <v>0.55000000000000004</v>
      </c>
      <c r="BN741" s="13">
        <v>37.200000000000003</v>
      </c>
      <c r="BP741" s="13">
        <v>55.58</v>
      </c>
      <c r="BQ741" s="13" t="s">
        <v>506</v>
      </c>
      <c r="CV741" s="13">
        <v>0</v>
      </c>
    </row>
    <row r="742" spans="1:100" x14ac:dyDescent="0.25">
      <c r="A742" t="s">
        <v>457</v>
      </c>
      <c r="B742" t="s">
        <v>155</v>
      </c>
      <c r="C742">
        <v>2020</v>
      </c>
      <c r="D742" t="s">
        <v>458</v>
      </c>
      <c r="E742">
        <v>0</v>
      </c>
      <c r="F742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29.200000000000003</v>
      </c>
      <c r="G742" s="13">
        <v>18.2</v>
      </c>
      <c r="I742" s="13">
        <v>6.4</v>
      </c>
      <c r="J742" s="13">
        <v>4.5999999999999996</v>
      </c>
      <c r="K742" s="13">
        <v>35.299999999999997</v>
      </c>
      <c r="L742" s="13">
        <v>2.9</v>
      </c>
      <c r="M742" s="13">
        <v>6.2</v>
      </c>
      <c r="N742" s="13">
        <v>14.6</v>
      </c>
      <c r="O74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73.600000000000009</v>
      </c>
      <c r="R742" s="13">
        <v>7.2</v>
      </c>
      <c r="AB742" s="13">
        <v>39.700000000000003</v>
      </c>
      <c r="AC742" s="13">
        <v>7.5</v>
      </c>
      <c r="AD742" s="13">
        <v>46.3</v>
      </c>
      <c r="AE742" s="13">
        <v>5.9</v>
      </c>
      <c r="AF742" s="13">
        <v>0.6</v>
      </c>
      <c r="AH742" s="13">
        <v>15.9</v>
      </c>
      <c r="AI742" s="13">
        <v>0.1</v>
      </c>
      <c r="AJ742" s="13">
        <v>9</v>
      </c>
      <c r="AK742" s="13">
        <v>50</v>
      </c>
      <c r="AL742" s="13">
        <v>15</v>
      </c>
      <c r="AR742" s="13">
        <v>10.5</v>
      </c>
      <c r="AS742" s="13">
        <v>45</v>
      </c>
      <c r="AT742" s="13" t="e">
        <f>LN(25/Table26[[#This Row],[Temperature (C)]]/(1-SQRT((Table26[[#This Row],[Temperature (C)]]-5)/Table26[[#This Row],[Temperature (C)]])))/Table26[[#This Row],[b]]</f>
        <v>#DIV/0!</v>
      </c>
      <c r="AU742" s="13">
        <f>IF(Table26[[#This Row],[b]]&lt;&gt;"",Table26[[#This Row],[T-5]], 0)</f>
        <v>0</v>
      </c>
      <c r="AV742" s="13">
        <f>Table26[[#This Row],[Heating time]]+Table26[[#This Row],[Holding Time (min)]]</f>
        <v>45</v>
      </c>
      <c r="AW742" s="13">
        <v>310</v>
      </c>
      <c r="AY742" t="s">
        <v>503</v>
      </c>
      <c r="AZ742" s="13">
        <v>13.9</v>
      </c>
      <c r="BA742" s="13">
        <v>30.5</v>
      </c>
      <c r="BB742" s="13">
        <v>17.3</v>
      </c>
      <c r="BC742" s="13">
        <v>38.299999999999997</v>
      </c>
      <c r="BE742" s="13">
        <v>9.1208791208790991</v>
      </c>
      <c r="BQ742" s="13" t="s">
        <v>506</v>
      </c>
      <c r="CV742" s="13">
        <v>0</v>
      </c>
    </row>
    <row r="743" spans="1:100" x14ac:dyDescent="0.25">
      <c r="A743" t="s">
        <v>457</v>
      </c>
      <c r="B743" t="s">
        <v>155</v>
      </c>
      <c r="C743">
        <v>2020</v>
      </c>
      <c r="D743" t="s">
        <v>458</v>
      </c>
      <c r="E743">
        <v>0</v>
      </c>
      <c r="F743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29.200000000000003</v>
      </c>
      <c r="G743" s="13">
        <v>18.2</v>
      </c>
      <c r="I743" s="13">
        <v>6.4</v>
      </c>
      <c r="J743" s="13">
        <v>4.5999999999999996</v>
      </c>
      <c r="K743" s="13">
        <v>35.299999999999997</v>
      </c>
      <c r="L743" s="13">
        <v>2.9</v>
      </c>
      <c r="M743" s="13">
        <v>6.2</v>
      </c>
      <c r="N743" s="13">
        <v>14.6</v>
      </c>
      <c r="O74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73.600000000000009</v>
      </c>
      <c r="R743" s="13">
        <v>7.2</v>
      </c>
      <c r="AB743" s="13">
        <v>39.700000000000003</v>
      </c>
      <c r="AC743" s="13">
        <v>7.5</v>
      </c>
      <c r="AD743" s="13">
        <v>46.3</v>
      </c>
      <c r="AE743" s="13">
        <v>5.9</v>
      </c>
      <c r="AF743" s="13">
        <v>0.6</v>
      </c>
      <c r="AH743" s="13">
        <v>15.9</v>
      </c>
      <c r="AI743" s="13">
        <v>0.1</v>
      </c>
      <c r="AJ743" s="13">
        <v>9</v>
      </c>
      <c r="AK743" s="13">
        <v>50</v>
      </c>
      <c r="AL743" s="13">
        <v>15</v>
      </c>
      <c r="AR743" s="13">
        <v>10.5</v>
      </c>
      <c r="AS743" s="13">
        <v>60</v>
      </c>
      <c r="AT743" s="13" t="e">
        <f>LN(25/Table26[[#This Row],[Temperature (C)]]/(1-SQRT((Table26[[#This Row],[Temperature (C)]]-5)/Table26[[#This Row],[Temperature (C)]])))/Table26[[#This Row],[b]]</f>
        <v>#DIV/0!</v>
      </c>
      <c r="AU743" s="13">
        <f>IF(Table26[[#This Row],[b]]&lt;&gt;"",Table26[[#This Row],[T-5]], 0)</f>
        <v>0</v>
      </c>
      <c r="AV743" s="13">
        <f>Table26[[#This Row],[Heating time]]+Table26[[#This Row],[Holding Time (min)]]</f>
        <v>60</v>
      </c>
      <c r="AW743" s="13">
        <v>310</v>
      </c>
      <c r="AY743" t="s">
        <v>503</v>
      </c>
      <c r="AZ743" s="13">
        <v>13.7</v>
      </c>
      <c r="BA743" s="13">
        <v>30.5</v>
      </c>
      <c r="BB743" s="13">
        <v>16.3</v>
      </c>
      <c r="BC743" s="13">
        <v>39.5</v>
      </c>
      <c r="BE743" s="13">
        <v>9.6703296703296608</v>
      </c>
      <c r="BI743" s="13">
        <v>72.12</v>
      </c>
      <c r="BJ743" s="13">
        <v>11.67</v>
      </c>
      <c r="BK743" s="13">
        <v>8.5399999999999991</v>
      </c>
      <c r="BL743" s="13">
        <v>6.98</v>
      </c>
      <c r="BM743" s="13">
        <v>0.69</v>
      </c>
      <c r="BN743" s="13">
        <v>39.54</v>
      </c>
      <c r="BP743" s="13">
        <v>59.3</v>
      </c>
      <c r="BQ743" s="13" t="s">
        <v>506</v>
      </c>
      <c r="CV743" s="13">
        <v>0</v>
      </c>
    </row>
    <row r="744" spans="1:100" x14ac:dyDescent="0.25">
      <c r="A744" t="s">
        <v>457</v>
      </c>
      <c r="B744" t="s">
        <v>155</v>
      </c>
      <c r="C744">
        <v>2020</v>
      </c>
      <c r="D744" t="s">
        <v>458</v>
      </c>
      <c r="E744">
        <v>0</v>
      </c>
      <c r="F744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29.200000000000003</v>
      </c>
      <c r="G744" s="13">
        <v>18.2</v>
      </c>
      <c r="I744" s="13">
        <v>6.4</v>
      </c>
      <c r="J744" s="13">
        <v>4.5999999999999996</v>
      </c>
      <c r="K744" s="13">
        <v>35.299999999999997</v>
      </c>
      <c r="L744" s="13">
        <v>2.9</v>
      </c>
      <c r="M744" s="13">
        <v>6.2</v>
      </c>
      <c r="N744" s="13">
        <v>14.6</v>
      </c>
      <c r="O74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73.600000000000009</v>
      </c>
      <c r="R744" s="13">
        <v>7.2</v>
      </c>
      <c r="AB744" s="13">
        <v>39.700000000000003</v>
      </c>
      <c r="AC744" s="13">
        <v>7.5</v>
      </c>
      <c r="AD744" s="13">
        <v>46.3</v>
      </c>
      <c r="AE744" s="13">
        <v>5.9</v>
      </c>
      <c r="AF744" s="13">
        <v>0.6</v>
      </c>
      <c r="AH744" s="13">
        <v>15.9</v>
      </c>
      <c r="AI744" s="13">
        <v>0.1</v>
      </c>
      <c r="AJ744" s="13">
        <v>9</v>
      </c>
      <c r="AK744" s="13">
        <v>50</v>
      </c>
      <c r="AL744" s="13">
        <v>15</v>
      </c>
      <c r="AR744" s="13">
        <v>15.6</v>
      </c>
      <c r="AS744" s="13">
        <v>15</v>
      </c>
      <c r="AT744" s="13" t="e">
        <f>LN(25/Table26[[#This Row],[Temperature (C)]]/(1-SQRT((Table26[[#This Row],[Temperature (C)]]-5)/Table26[[#This Row],[Temperature (C)]])))/Table26[[#This Row],[b]]</f>
        <v>#DIV/0!</v>
      </c>
      <c r="AU744" s="13">
        <f>IF(Table26[[#This Row],[b]]&lt;&gt;"",Table26[[#This Row],[T-5]], 0)</f>
        <v>0</v>
      </c>
      <c r="AV744" s="13">
        <f>Table26[[#This Row],[Heating time]]+Table26[[#This Row],[Holding Time (min)]]</f>
        <v>15</v>
      </c>
      <c r="AW744" s="13">
        <v>340</v>
      </c>
      <c r="AY744" t="s">
        <v>503</v>
      </c>
      <c r="AZ744" s="13">
        <v>12.6</v>
      </c>
      <c r="BA744" s="13">
        <v>32.4</v>
      </c>
      <c r="BB744" s="13">
        <v>15.7</v>
      </c>
      <c r="BC744" s="13">
        <v>39.299999999999997</v>
      </c>
      <c r="BE744" s="13">
        <v>27.362637362637301</v>
      </c>
      <c r="BQ744" s="13" t="s">
        <v>506</v>
      </c>
      <c r="CV744" s="13">
        <v>0</v>
      </c>
    </row>
    <row r="745" spans="1:100" x14ac:dyDescent="0.25">
      <c r="A745" t="s">
        <v>457</v>
      </c>
      <c r="B745" t="s">
        <v>155</v>
      </c>
      <c r="C745">
        <v>2020</v>
      </c>
      <c r="D745" t="s">
        <v>458</v>
      </c>
      <c r="E745">
        <v>0</v>
      </c>
      <c r="F745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29.200000000000003</v>
      </c>
      <c r="G745" s="13">
        <v>18.2</v>
      </c>
      <c r="I745" s="13">
        <v>6.4</v>
      </c>
      <c r="J745" s="13">
        <v>4.5999999999999996</v>
      </c>
      <c r="K745" s="13">
        <v>35.299999999999997</v>
      </c>
      <c r="L745" s="13">
        <v>2.9</v>
      </c>
      <c r="M745" s="13">
        <v>6.2</v>
      </c>
      <c r="N745" s="13">
        <v>14.6</v>
      </c>
      <c r="O74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73.600000000000009</v>
      </c>
      <c r="R745" s="13">
        <v>7.2</v>
      </c>
      <c r="AB745" s="13">
        <v>39.700000000000003</v>
      </c>
      <c r="AC745" s="13">
        <v>7.5</v>
      </c>
      <c r="AD745" s="13">
        <v>46.3</v>
      </c>
      <c r="AE745" s="13">
        <v>5.9</v>
      </c>
      <c r="AF745" s="13">
        <v>0.6</v>
      </c>
      <c r="AH745" s="13">
        <v>15.9</v>
      </c>
      <c r="AI745" s="13">
        <v>0.1</v>
      </c>
      <c r="AJ745" s="13">
        <v>9</v>
      </c>
      <c r="AK745" s="13">
        <v>50</v>
      </c>
      <c r="AL745" s="13">
        <v>15</v>
      </c>
      <c r="AR745" s="13">
        <v>15.6</v>
      </c>
      <c r="AS745" s="13">
        <v>30</v>
      </c>
      <c r="AT745" s="13" t="e">
        <f>LN(25/Table26[[#This Row],[Temperature (C)]]/(1-SQRT((Table26[[#This Row],[Temperature (C)]]-5)/Table26[[#This Row],[Temperature (C)]])))/Table26[[#This Row],[b]]</f>
        <v>#DIV/0!</v>
      </c>
      <c r="AU745" s="13">
        <f>IF(Table26[[#This Row],[b]]&lt;&gt;"",Table26[[#This Row],[T-5]], 0)</f>
        <v>0</v>
      </c>
      <c r="AV745" s="13">
        <f>Table26[[#This Row],[Heating time]]+Table26[[#This Row],[Holding Time (min)]]</f>
        <v>30</v>
      </c>
      <c r="AW745" s="13">
        <v>340</v>
      </c>
      <c r="AY745" t="s">
        <v>503</v>
      </c>
      <c r="AZ745" s="13">
        <v>12.3</v>
      </c>
      <c r="BA745" s="13">
        <v>32.4</v>
      </c>
      <c r="BB745" s="13">
        <v>14.6</v>
      </c>
      <c r="BC745" s="13">
        <v>40.700000000000003</v>
      </c>
      <c r="BE745" s="13">
        <v>14.3956043956043</v>
      </c>
      <c r="BI745" s="13">
        <v>73.38</v>
      </c>
      <c r="BJ745" s="13">
        <v>10.52</v>
      </c>
      <c r="BK745" s="13">
        <v>9.1199999999999992</v>
      </c>
      <c r="BL745" s="13">
        <v>6.59</v>
      </c>
      <c r="BM745" s="13">
        <v>0.39</v>
      </c>
      <c r="BN745" s="13">
        <v>38.200000000000003</v>
      </c>
      <c r="BP745" s="13">
        <v>60.84</v>
      </c>
      <c r="BQ745" s="13" t="s">
        <v>506</v>
      </c>
      <c r="CV745" s="13">
        <v>0</v>
      </c>
    </row>
    <row r="746" spans="1:100" x14ac:dyDescent="0.25">
      <c r="A746" t="s">
        <v>457</v>
      </c>
      <c r="B746" t="s">
        <v>155</v>
      </c>
      <c r="C746">
        <v>2020</v>
      </c>
      <c r="D746" t="s">
        <v>458</v>
      </c>
      <c r="E746">
        <v>0</v>
      </c>
      <c r="F746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29.200000000000003</v>
      </c>
      <c r="G746" s="13">
        <v>18.2</v>
      </c>
      <c r="I746" s="13">
        <v>6.4</v>
      </c>
      <c r="J746" s="13">
        <v>4.5999999999999996</v>
      </c>
      <c r="K746" s="13">
        <v>35.299999999999997</v>
      </c>
      <c r="L746" s="13">
        <v>2.9</v>
      </c>
      <c r="M746" s="13">
        <v>6.2</v>
      </c>
      <c r="N746" s="13">
        <v>14.6</v>
      </c>
      <c r="O74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73.600000000000009</v>
      </c>
      <c r="R746" s="13">
        <v>7.2</v>
      </c>
      <c r="AB746" s="13">
        <v>39.700000000000003</v>
      </c>
      <c r="AC746" s="13">
        <v>7.5</v>
      </c>
      <c r="AD746" s="13">
        <v>46.3</v>
      </c>
      <c r="AE746" s="13">
        <v>5.9</v>
      </c>
      <c r="AF746" s="13">
        <v>0.6</v>
      </c>
      <c r="AH746" s="13">
        <v>15.9</v>
      </c>
      <c r="AI746" s="13">
        <v>0.1</v>
      </c>
      <c r="AJ746" s="13">
        <v>9</v>
      </c>
      <c r="AK746" s="13">
        <v>50</v>
      </c>
      <c r="AL746" s="13">
        <v>15</v>
      </c>
      <c r="AR746" s="13">
        <v>15.6</v>
      </c>
      <c r="AS746" s="13">
        <v>45</v>
      </c>
      <c r="AT746" s="13" t="e">
        <f>LN(25/Table26[[#This Row],[Temperature (C)]]/(1-SQRT((Table26[[#This Row],[Temperature (C)]]-5)/Table26[[#This Row],[Temperature (C)]])))/Table26[[#This Row],[b]]</f>
        <v>#DIV/0!</v>
      </c>
      <c r="AU746" s="13">
        <f>IF(Table26[[#This Row],[b]]&lt;&gt;"",Table26[[#This Row],[T-5]], 0)</f>
        <v>0</v>
      </c>
      <c r="AV746" s="13">
        <f>Table26[[#This Row],[Heating time]]+Table26[[#This Row],[Holding Time (min)]]</f>
        <v>45</v>
      </c>
      <c r="AW746" s="13">
        <v>340</v>
      </c>
      <c r="AY746" t="s">
        <v>503</v>
      </c>
      <c r="AZ746" s="13">
        <v>12.5</v>
      </c>
      <c r="BA746" s="13">
        <v>33.9</v>
      </c>
      <c r="BB746" s="13">
        <v>14</v>
      </c>
      <c r="BC746" s="13">
        <v>39.6</v>
      </c>
      <c r="BE746" s="13">
        <v>31.9780219780219</v>
      </c>
      <c r="BQ746" s="13" t="s">
        <v>506</v>
      </c>
      <c r="CV746" s="13">
        <v>0</v>
      </c>
    </row>
    <row r="747" spans="1:100" x14ac:dyDescent="0.25">
      <c r="A747" t="s">
        <v>457</v>
      </c>
      <c r="B747" t="s">
        <v>155</v>
      </c>
      <c r="C747">
        <v>2020</v>
      </c>
      <c r="D747" t="s">
        <v>458</v>
      </c>
      <c r="E747">
        <v>0</v>
      </c>
      <c r="F74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29.200000000000003</v>
      </c>
      <c r="G747" s="13">
        <v>18.2</v>
      </c>
      <c r="I747" s="13">
        <v>6.4</v>
      </c>
      <c r="J747" s="13">
        <v>4.5999999999999996</v>
      </c>
      <c r="K747" s="13">
        <v>35.299999999999997</v>
      </c>
      <c r="L747" s="13">
        <v>2.9</v>
      </c>
      <c r="M747" s="13">
        <v>6.2</v>
      </c>
      <c r="N747" s="13">
        <v>14.6</v>
      </c>
      <c r="O74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73.600000000000009</v>
      </c>
      <c r="R747" s="13">
        <v>7.2</v>
      </c>
      <c r="AB747" s="13">
        <v>39.700000000000003</v>
      </c>
      <c r="AC747" s="13">
        <v>7.5</v>
      </c>
      <c r="AD747" s="13">
        <v>46.3</v>
      </c>
      <c r="AE747" s="13">
        <v>5.9</v>
      </c>
      <c r="AF747" s="13">
        <v>0.6</v>
      </c>
      <c r="AH747" s="13">
        <v>15.9</v>
      </c>
      <c r="AI747" s="13">
        <v>0.1</v>
      </c>
      <c r="AJ747" s="13">
        <v>9</v>
      </c>
      <c r="AK747" s="13">
        <v>50</v>
      </c>
      <c r="AL747" s="13">
        <v>15</v>
      </c>
      <c r="AR747" s="13">
        <v>15.6</v>
      </c>
      <c r="AS747" s="13">
        <v>60</v>
      </c>
      <c r="AT747" s="13" t="e">
        <f>LN(25/Table26[[#This Row],[Temperature (C)]]/(1-SQRT((Table26[[#This Row],[Temperature (C)]]-5)/Table26[[#This Row],[Temperature (C)]])))/Table26[[#This Row],[b]]</f>
        <v>#DIV/0!</v>
      </c>
      <c r="AU747" s="13">
        <f>IF(Table26[[#This Row],[b]]&lt;&gt;"",Table26[[#This Row],[T-5]], 0)</f>
        <v>0</v>
      </c>
      <c r="AV747" s="13">
        <f>Table26[[#This Row],[Heating time]]+Table26[[#This Row],[Holding Time (min)]]</f>
        <v>60</v>
      </c>
      <c r="AW747" s="13">
        <v>340</v>
      </c>
      <c r="AY747" t="s">
        <v>503</v>
      </c>
      <c r="AZ747" s="13">
        <v>12.3</v>
      </c>
      <c r="BA747" s="13">
        <v>33.299999999999997</v>
      </c>
      <c r="BB747" s="13">
        <v>13.6</v>
      </c>
      <c r="BC747" s="13">
        <v>40.799999999999997</v>
      </c>
      <c r="BE747" s="13">
        <v>0.442477876106186</v>
      </c>
      <c r="BI747" s="13">
        <v>73.83</v>
      </c>
      <c r="BJ747" s="13">
        <v>11.88</v>
      </c>
      <c r="BK747" s="13">
        <v>7.03</v>
      </c>
      <c r="BL747" s="13">
        <v>6.73</v>
      </c>
      <c r="BM747" s="13">
        <v>0.53</v>
      </c>
      <c r="BN747" s="13">
        <v>40.67</v>
      </c>
      <c r="BP747" s="13">
        <v>66.56</v>
      </c>
      <c r="BQ747" s="13" t="s">
        <v>506</v>
      </c>
      <c r="CV747" s="13">
        <v>0</v>
      </c>
    </row>
    <row r="748" spans="1:100" x14ac:dyDescent="0.25">
      <c r="A748" t="s">
        <v>457</v>
      </c>
      <c r="B748" t="s">
        <v>155</v>
      </c>
      <c r="C748">
        <v>2020</v>
      </c>
      <c r="D748" t="s">
        <v>458</v>
      </c>
      <c r="E748">
        <v>0</v>
      </c>
      <c r="F748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29.200000000000003</v>
      </c>
      <c r="G748" s="13">
        <v>18.2</v>
      </c>
      <c r="I748" s="13">
        <v>6.4</v>
      </c>
      <c r="J748" s="13">
        <v>4.5999999999999996</v>
      </c>
      <c r="K748" s="13">
        <v>35.299999999999997</v>
      </c>
      <c r="L748" s="13">
        <v>2.9</v>
      </c>
      <c r="M748" s="13">
        <v>6.2</v>
      </c>
      <c r="N748" s="13">
        <v>14.6</v>
      </c>
      <c r="O74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73.600000000000009</v>
      </c>
      <c r="R748" s="13">
        <v>7.2</v>
      </c>
      <c r="AB748" s="13">
        <v>39.700000000000003</v>
      </c>
      <c r="AC748" s="13">
        <v>7.5</v>
      </c>
      <c r="AD748" s="13">
        <v>46.3</v>
      </c>
      <c r="AE748" s="13">
        <v>5.9</v>
      </c>
      <c r="AF748" s="13">
        <v>0.6</v>
      </c>
      <c r="AH748" s="13">
        <v>15.9</v>
      </c>
      <c r="AI748" s="13">
        <v>0.1</v>
      </c>
      <c r="AJ748" s="13">
        <v>9</v>
      </c>
      <c r="AK748" s="13">
        <v>50</v>
      </c>
      <c r="AL748" s="13">
        <v>15</v>
      </c>
      <c r="AR748" s="13">
        <v>21.1</v>
      </c>
      <c r="AS748" s="13">
        <v>15</v>
      </c>
      <c r="AT748" s="13" t="e">
        <f>LN(25/Table26[[#This Row],[Temperature (C)]]/(1-SQRT((Table26[[#This Row],[Temperature (C)]]-5)/Table26[[#This Row],[Temperature (C)]])))/Table26[[#This Row],[b]]</f>
        <v>#DIV/0!</v>
      </c>
      <c r="AU748" s="13">
        <f>IF(Table26[[#This Row],[b]]&lt;&gt;"",Table26[[#This Row],[T-5]], 0)</f>
        <v>0</v>
      </c>
      <c r="AV748" s="13">
        <f>Table26[[#This Row],[Heating time]]+Table26[[#This Row],[Holding Time (min)]]</f>
        <v>15</v>
      </c>
      <c r="AW748" s="13">
        <v>370</v>
      </c>
      <c r="AY748" t="s">
        <v>503</v>
      </c>
      <c r="AZ748" s="13">
        <v>11.5</v>
      </c>
      <c r="BA748" s="13">
        <v>33.6</v>
      </c>
      <c r="BB748" s="13">
        <v>12.6</v>
      </c>
      <c r="BC748" s="13">
        <v>42.3</v>
      </c>
      <c r="BE748" s="13">
        <v>15.044247787610599</v>
      </c>
      <c r="BI748" s="13">
        <v>74.14</v>
      </c>
      <c r="BJ748" s="13">
        <v>11.88</v>
      </c>
      <c r="BK748" s="13">
        <v>6.63</v>
      </c>
      <c r="BL748" s="13">
        <v>6.75</v>
      </c>
      <c r="BM748" s="13">
        <v>0.6</v>
      </c>
      <c r="BN748" s="13">
        <v>40.85</v>
      </c>
      <c r="BP748" s="13">
        <v>67.53</v>
      </c>
      <c r="BQ748" s="13" t="s">
        <v>506</v>
      </c>
      <c r="CV748" s="13">
        <v>0</v>
      </c>
    </row>
    <row r="749" spans="1:100" x14ac:dyDescent="0.25">
      <c r="A749" t="s">
        <v>457</v>
      </c>
      <c r="B749" t="s">
        <v>155</v>
      </c>
      <c r="C749">
        <v>2020</v>
      </c>
      <c r="D749" t="s">
        <v>458</v>
      </c>
      <c r="E749">
        <v>0</v>
      </c>
      <c r="F749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29.200000000000003</v>
      </c>
      <c r="G749" s="13">
        <v>18.2</v>
      </c>
      <c r="I749" s="13">
        <v>6.4</v>
      </c>
      <c r="J749" s="13">
        <v>4.5999999999999996</v>
      </c>
      <c r="K749" s="13">
        <v>35.299999999999997</v>
      </c>
      <c r="L749" s="13">
        <v>2.9</v>
      </c>
      <c r="M749" s="13">
        <v>6.2</v>
      </c>
      <c r="N749" s="13">
        <v>14.6</v>
      </c>
      <c r="O74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73.600000000000009</v>
      </c>
      <c r="R749" s="13">
        <v>7.2</v>
      </c>
      <c r="AB749" s="13">
        <v>39.700000000000003</v>
      </c>
      <c r="AC749" s="13">
        <v>7.5</v>
      </c>
      <c r="AD749" s="13">
        <v>46.3</v>
      </c>
      <c r="AE749" s="13">
        <v>5.9</v>
      </c>
      <c r="AF749" s="13">
        <v>0.6</v>
      </c>
      <c r="AH749" s="13">
        <v>15.9</v>
      </c>
      <c r="AI749" s="13">
        <v>0.1</v>
      </c>
      <c r="AJ749" s="13">
        <v>9</v>
      </c>
      <c r="AK749" s="13">
        <v>50</v>
      </c>
      <c r="AL749" s="13">
        <v>15</v>
      </c>
      <c r="AR749" s="13">
        <v>21.1</v>
      </c>
      <c r="AS749" s="13">
        <v>30</v>
      </c>
      <c r="AT749" s="13" t="e">
        <f>LN(25/Table26[[#This Row],[Temperature (C)]]/(1-SQRT((Table26[[#This Row],[Temperature (C)]]-5)/Table26[[#This Row],[Temperature (C)]])))/Table26[[#This Row],[b]]</f>
        <v>#DIV/0!</v>
      </c>
      <c r="AU749" s="13">
        <f>IF(Table26[[#This Row],[b]]&lt;&gt;"",Table26[[#This Row],[T-5]], 0)</f>
        <v>0</v>
      </c>
      <c r="AV749" s="13">
        <f>Table26[[#This Row],[Heating time]]+Table26[[#This Row],[Holding Time (min)]]</f>
        <v>30</v>
      </c>
      <c r="AW749" s="13">
        <v>370</v>
      </c>
      <c r="AY749" t="s">
        <v>503</v>
      </c>
      <c r="AZ749" s="13">
        <v>11.5</v>
      </c>
      <c r="BA749" s="13">
        <v>35.299999999999997</v>
      </c>
      <c r="BB749" s="13">
        <v>12.5</v>
      </c>
      <c r="BC749" s="13">
        <v>40.700000000000003</v>
      </c>
      <c r="BE749" s="13">
        <v>34.181415929203503</v>
      </c>
      <c r="BI749" s="13">
        <v>74.489999999999995</v>
      </c>
      <c r="BJ749" s="13">
        <v>11.18</v>
      </c>
      <c r="BK749" s="13">
        <v>7.53</v>
      </c>
      <c r="BL749" s="13">
        <v>6.48</v>
      </c>
      <c r="BM749" s="13">
        <v>0.32</v>
      </c>
      <c r="BN749" s="13">
        <v>39.79</v>
      </c>
      <c r="BP749" s="13">
        <v>69.040000000000006</v>
      </c>
      <c r="BQ749" s="13" t="s">
        <v>506</v>
      </c>
      <c r="CV749" s="13">
        <v>0</v>
      </c>
    </row>
    <row r="750" spans="1:100" x14ac:dyDescent="0.25">
      <c r="A750" t="s">
        <v>457</v>
      </c>
      <c r="B750" t="s">
        <v>155</v>
      </c>
      <c r="C750">
        <v>2020</v>
      </c>
      <c r="D750" t="s">
        <v>458</v>
      </c>
      <c r="E750">
        <v>0</v>
      </c>
      <c r="F750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29.200000000000003</v>
      </c>
      <c r="G750" s="13">
        <v>18.2</v>
      </c>
      <c r="I750" s="13">
        <v>6.4</v>
      </c>
      <c r="J750" s="13">
        <v>4.5999999999999996</v>
      </c>
      <c r="K750" s="13">
        <v>35.299999999999997</v>
      </c>
      <c r="L750" s="13">
        <v>2.9</v>
      </c>
      <c r="M750" s="13">
        <v>6.2</v>
      </c>
      <c r="N750" s="13">
        <v>14.6</v>
      </c>
      <c r="O75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73.600000000000009</v>
      </c>
      <c r="R750" s="13">
        <v>7.2</v>
      </c>
      <c r="AB750" s="13">
        <v>39.700000000000003</v>
      </c>
      <c r="AC750" s="13">
        <v>7.5</v>
      </c>
      <c r="AD750" s="13">
        <v>46.3</v>
      </c>
      <c r="AE750" s="13">
        <v>5.9</v>
      </c>
      <c r="AF750" s="13">
        <v>0.6</v>
      </c>
      <c r="AH750" s="13">
        <v>15.9</v>
      </c>
      <c r="AI750" s="13">
        <v>0.1</v>
      </c>
      <c r="AJ750" s="13">
        <v>9</v>
      </c>
      <c r="AK750" s="13">
        <v>50</v>
      </c>
      <c r="AL750" s="13">
        <v>15</v>
      </c>
      <c r="AR750" s="13">
        <v>21.1</v>
      </c>
      <c r="AS750" s="13">
        <v>45</v>
      </c>
      <c r="AT750" s="13" t="e">
        <f>LN(25/Table26[[#This Row],[Temperature (C)]]/(1-SQRT((Table26[[#This Row],[Temperature (C)]]-5)/Table26[[#This Row],[Temperature (C)]])))/Table26[[#This Row],[b]]</f>
        <v>#DIV/0!</v>
      </c>
      <c r="AU750" s="13">
        <f>IF(Table26[[#This Row],[b]]&lt;&gt;"",Table26[[#This Row],[T-5]], 0)</f>
        <v>0</v>
      </c>
      <c r="AV750" s="13">
        <f>Table26[[#This Row],[Heating time]]+Table26[[#This Row],[Holding Time (min)]]</f>
        <v>45</v>
      </c>
      <c r="AW750" s="13">
        <v>370</v>
      </c>
      <c r="AY750" t="s">
        <v>503</v>
      </c>
      <c r="AZ750" s="13">
        <v>12.1</v>
      </c>
      <c r="BA750" s="13">
        <v>35.6</v>
      </c>
      <c r="BB750" s="13">
        <v>11.3</v>
      </c>
      <c r="BC750" s="13">
        <v>41</v>
      </c>
      <c r="BE750" s="13">
        <v>14.159292035398201</v>
      </c>
      <c r="BI750" s="13">
        <v>73.739999999999995</v>
      </c>
      <c r="BJ750" s="13">
        <v>11.68</v>
      </c>
      <c r="BK750" s="13">
        <v>7.54</v>
      </c>
      <c r="BL750" s="13">
        <v>6.46</v>
      </c>
      <c r="BM750" s="13">
        <v>0.57999999999999996</v>
      </c>
      <c r="BN750" s="13">
        <v>40.270000000000003</v>
      </c>
      <c r="BP750" s="13">
        <v>70.53</v>
      </c>
      <c r="BQ750" s="13" t="s">
        <v>506</v>
      </c>
      <c r="CV750" s="13">
        <v>0</v>
      </c>
    </row>
    <row r="751" spans="1:100" x14ac:dyDescent="0.25">
      <c r="A751" t="s">
        <v>457</v>
      </c>
      <c r="B751" t="s">
        <v>155</v>
      </c>
      <c r="C751">
        <v>2020</v>
      </c>
      <c r="D751" t="s">
        <v>458</v>
      </c>
      <c r="E751">
        <v>0</v>
      </c>
      <c r="F751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29.200000000000003</v>
      </c>
      <c r="G751" s="13">
        <v>18.2</v>
      </c>
      <c r="I751" s="13">
        <v>6.4</v>
      </c>
      <c r="J751" s="13">
        <v>4.5999999999999996</v>
      </c>
      <c r="K751" s="13">
        <v>35.299999999999997</v>
      </c>
      <c r="L751" s="13">
        <v>2.9</v>
      </c>
      <c r="M751" s="13">
        <v>6.2</v>
      </c>
      <c r="N751" s="13">
        <v>14.6</v>
      </c>
      <c r="O75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73.600000000000009</v>
      </c>
      <c r="R751" s="13">
        <v>7.2</v>
      </c>
      <c r="AB751" s="13">
        <v>39.700000000000003</v>
      </c>
      <c r="AC751" s="13">
        <v>7.5</v>
      </c>
      <c r="AD751" s="13">
        <v>46.3</v>
      </c>
      <c r="AE751" s="13">
        <v>5.9</v>
      </c>
      <c r="AF751" s="13">
        <v>0.6</v>
      </c>
      <c r="AH751" s="13">
        <v>15.9</v>
      </c>
      <c r="AI751" s="13">
        <v>0.1</v>
      </c>
      <c r="AJ751" s="13">
        <v>9</v>
      </c>
      <c r="AK751" s="13">
        <v>50</v>
      </c>
      <c r="AL751" s="13">
        <v>15</v>
      </c>
      <c r="AR751" s="13">
        <v>21.1</v>
      </c>
      <c r="AS751" s="13">
        <v>60</v>
      </c>
      <c r="AT751" s="13" t="e">
        <f>LN(25/Table26[[#This Row],[Temperature (C)]]/(1-SQRT((Table26[[#This Row],[Temperature (C)]]-5)/Table26[[#This Row],[Temperature (C)]])))/Table26[[#This Row],[b]]</f>
        <v>#DIV/0!</v>
      </c>
      <c r="AU751" s="13">
        <f>IF(Table26[[#This Row],[b]]&lt;&gt;"",Table26[[#This Row],[T-5]], 0)</f>
        <v>0</v>
      </c>
      <c r="AV751" s="13">
        <f>Table26[[#This Row],[Heating time]]+Table26[[#This Row],[Holding Time (min)]]</f>
        <v>60</v>
      </c>
      <c r="AW751" s="13">
        <v>370</v>
      </c>
      <c r="AY751" t="s">
        <v>503</v>
      </c>
      <c r="AZ751" s="13">
        <v>11.5</v>
      </c>
      <c r="BA751" s="13">
        <v>35.5</v>
      </c>
      <c r="BB751" s="13">
        <v>11.2</v>
      </c>
      <c r="BC751" s="13">
        <v>41.8</v>
      </c>
      <c r="BE751" s="13">
        <v>18.9159292035398</v>
      </c>
      <c r="BI751" s="13">
        <v>74.14</v>
      </c>
      <c r="BJ751" s="13">
        <v>11.6</v>
      </c>
      <c r="BK751" s="13">
        <v>7.5</v>
      </c>
      <c r="BL751" s="13">
        <v>6.36</v>
      </c>
      <c r="BM751" s="13">
        <v>0.4</v>
      </c>
      <c r="BN751" s="13">
        <v>40.28</v>
      </c>
      <c r="BP751" s="13">
        <v>73.42</v>
      </c>
      <c r="BQ751" s="13" t="s">
        <v>506</v>
      </c>
      <c r="CV751" s="13">
        <v>0</v>
      </c>
    </row>
    <row r="752" spans="1:100" x14ac:dyDescent="0.25">
      <c r="A752" t="s">
        <v>467</v>
      </c>
      <c r="B752" t="s">
        <v>468</v>
      </c>
      <c r="C752">
        <v>2021</v>
      </c>
      <c r="D752" t="s">
        <v>469</v>
      </c>
      <c r="E752">
        <v>1</v>
      </c>
      <c r="F752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I752" s="13">
        <v>100</v>
      </c>
      <c r="O75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752" s="13">
        <v>42.6</v>
      </c>
      <c r="AC752" s="13">
        <v>6.6</v>
      </c>
      <c r="AD752" s="13">
        <v>50.8</v>
      </c>
      <c r="AE752" s="13">
        <v>0</v>
      </c>
      <c r="AH752" s="13">
        <v>17.8</v>
      </c>
      <c r="AI752" s="13">
        <v>0.01</v>
      </c>
      <c r="AJ752" s="13">
        <v>0.3896</v>
      </c>
      <c r="AL752" s="13">
        <v>10</v>
      </c>
      <c r="AO752" s="13">
        <v>5</v>
      </c>
      <c r="AP752" s="13">
        <v>0.84699999999999998</v>
      </c>
      <c r="AT752" s="13">
        <f>LN(25/Table26[[#This Row],[Temperature (C)]]/(1-SQRT((Table26[[#This Row],[Temperature (C)]]-5)/Table26[[#This Row],[Temperature (C)]])))/Table26[[#This Row],[b]]</f>
        <v>2.713568052969046</v>
      </c>
      <c r="AU752" s="13">
        <f>IF(Table26[[#This Row],[b]]&lt;&gt;"",Table26[[#This Row],[T-5]], 0)</f>
        <v>2.713568052969046</v>
      </c>
      <c r="AV752" s="13">
        <v>30</v>
      </c>
      <c r="AW752" s="13">
        <v>300</v>
      </c>
      <c r="AY752" t="s">
        <v>503</v>
      </c>
      <c r="BA752" s="13">
        <v>9.1999999999999993</v>
      </c>
      <c r="BE752" s="13">
        <v>14.2231947483588</v>
      </c>
      <c r="BI752" s="13">
        <v>65.3</v>
      </c>
      <c r="BJ752" s="13">
        <v>6</v>
      </c>
      <c r="BK752" s="13">
        <v>28.7</v>
      </c>
      <c r="BN752" s="13">
        <v>26</v>
      </c>
      <c r="BQ752" s="13" t="s">
        <v>506</v>
      </c>
      <c r="CV752" s="13">
        <v>0</v>
      </c>
    </row>
    <row r="753" spans="1:100" x14ac:dyDescent="0.25">
      <c r="A753" t="s">
        <v>467</v>
      </c>
      <c r="B753" t="s">
        <v>468</v>
      </c>
      <c r="C753">
        <v>2021</v>
      </c>
      <c r="D753" t="s">
        <v>469</v>
      </c>
      <c r="E753">
        <v>1</v>
      </c>
      <c r="F753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I753" s="13">
        <v>100</v>
      </c>
      <c r="O75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753" s="13">
        <v>42.6</v>
      </c>
      <c r="AC753" s="13">
        <v>6.6</v>
      </c>
      <c r="AD753" s="13">
        <v>50.8</v>
      </c>
      <c r="AE753" s="13">
        <v>0</v>
      </c>
      <c r="AH753" s="13">
        <v>17.8</v>
      </c>
      <c r="AI753" s="13">
        <v>0.01</v>
      </c>
      <c r="AJ753" s="13">
        <v>0.3896</v>
      </c>
      <c r="AL753" s="13">
        <v>10</v>
      </c>
      <c r="AO753" s="13">
        <v>5</v>
      </c>
      <c r="AP753" s="13">
        <v>0.84699999999999998</v>
      </c>
      <c r="AT753" s="13">
        <f>LN(25/Table26[[#This Row],[Temperature (C)]]/(1-SQRT((Table26[[#This Row],[Temperature (C)]]-5)/Table26[[#This Row],[Temperature (C)]])))/Table26[[#This Row],[b]]</f>
        <v>2.7142790773137535</v>
      </c>
      <c r="AU753" s="13">
        <f>IF(Table26[[#This Row],[b]]&lt;&gt;"",Table26[[#This Row],[T-5]], 0)</f>
        <v>2.7142790773137535</v>
      </c>
      <c r="AV753" s="13">
        <v>30</v>
      </c>
      <c r="AW753" s="13">
        <v>350</v>
      </c>
      <c r="AY753" t="s">
        <v>503</v>
      </c>
      <c r="BA753" s="13">
        <v>9</v>
      </c>
      <c r="BE753" s="13">
        <v>17.614879649890501</v>
      </c>
      <c r="BI753" s="13">
        <v>71.599999999999994</v>
      </c>
      <c r="BJ753" s="13">
        <v>6.1</v>
      </c>
      <c r="BK753" s="13">
        <v>22.3</v>
      </c>
      <c r="BN753" s="13">
        <v>29.2</v>
      </c>
      <c r="BQ753" s="13" t="s">
        <v>506</v>
      </c>
      <c r="CV753" s="13">
        <v>0</v>
      </c>
    </row>
    <row r="754" spans="1:100" x14ac:dyDescent="0.25">
      <c r="A754" t="s">
        <v>467</v>
      </c>
      <c r="B754" t="s">
        <v>468</v>
      </c>
      <c r="C754">
        <v>2021</v>
      </c>
      <c r="D754" t="s">
        <v>469</v>
      </c>
      <c r="E754">
        <v>1</v>
      </c>
      <c r="F754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I754" s="13">
        <v>100</v>
      </c>
      <c r="O75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754" s="13">
        <v>42.6</v>
      </c>
      <c r="AC754" s="13">
        <v>6.6</v>
      </c>
      <c r="AD754" s="13">
        <v>50.8</v>
      </c>
      <c r="AE754" s="13">
        <v>0</v>
      </c>
      <c r="AH754" s="13">
        <v>17.8</v>
      </c>
      <c r="AI754" s="13">
        <v>0.01</v>
      </c>
      <c r="AJ754" s="13">
        <v>0.3896</v>
      </c>
      <c r="AL754" s="13">
        <v>10</v>
      </c>
      <c r="AO754" s="13">
        <v>5</v>
      </c>
      <c r="AP754" s="13">
        <v>0.84699999999999998</v>
      </c>
      <c r="AT754" s="13">
        <f>LN(25/Table26[[#This Row],[Temperature (C)]]/(1-SQRT((Table26[[#This Row],[Temperature (C)]]-5)/Table26[[#This Row],[Temperature (C)]])))/Table26[[#This Row],[b]]</f>
        <v>2.7148115017582559</v>
      </c>
      <c r="AU754" s="13">
        <f>IF(Table26[[#This Row],[b]]&lt;&gt;"",Table26[[#This Row],[T-5]], 0)</f>
        <v>2.7148115017582559</v>
      </c>
      <c r="AV754" s="13">
        <v>30</v>
      </c>
      <c r="AW754" s="13">
        <v>400</v>
      </c>
      <c r="AY754" t="s">
        <v>503</v>
      </c>
      <c r="BA754" s="13">
        <v>5.7</v>
      </c>
      <c r="BE754" s="13">
        <v>27.789934354485698</v>
      </c>
      <c r="BI754" s="13">
        <v>69.5</v>
      </c>
      <c r="BJ754" s="13">
        <v>6.4</v>
      </c>
      <c r="BK754" s="13">
        <v>24.1</v>
      </c>
      <c r="BN754" s="13">
        <v>28.7</v>
      </c>
      <c r="BQ754" s="13" t="s">
        <v>506</v>
      </c>
      <c r="CV754" s="13">
        <v>0</v>
      </c>
    </row>
    <row r="755" spans="1:100" x14ac:dyDescent="0.25">
      <c r="A755" t="s">
        <v>467</v>
      </c>
      <c r="B755" t="s">
        <v>468</v>
      </c>
      <c r="C755">
        <v>2021</v>
      </c>
      <c r="D755" t="s">
        <v>469</v>
      </c>
      <c r="E755">
        <v>1</v>
      </c>
      <c r="F755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I755" s="13">
        <v>100</v>
      </c>
      <c r="O75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755" s="13">
        <v>42.6</v>
      </c>
      <c r="AC755" s="13">
        <v>6.6</v>
      </c>
      <c r="AD755" s="13">
        <v>50.8</v>
      </c>
      <c r="AE755" s="13">
        <v>0</v>
      </c>
      <c r="AH755" s="13">
        <v>17.8</v>
      </c>
      <c r="AI755" s="13">
        <v>0.01</v>
      </c>
      <c r="AJ755" s="13">
        <v>0.3896</v>
      </c>
      <c r="AL755" s="13">
        <v>10</v>
      </c>
      <c r="AO755" s="13">
        <v>5</v>
      </c>
      <c r="AP755" s="13">
        <v>0.84699999999999998</v>
      </c>
      <c r="AT755" s="13">
        <f>LN(25/Table26[[#This Row],[Temperature (C)]]/(1-SQRT((Table26[[#This Row],[Temperature (C)]]-5)/Table26[[#This Row],[Temperature (C)]])))/Table26[[#This Row],[b]]</f>
        <v>2.7150305257090004</v>
      </c>
      <c r="AU755" s="13">
        <f>IF(Table26[[#This Row],[b]]&lt;&gt;"",Table26[[#This Row],[T-5]], 0)</f>
        <v>2.7150305257090004</v>
      </c>
      <c r="AV755" s="13">
        <v>30</v>
      </c>
      <c r="AW755" s="13">
        <v>425</v>
      </c>
      <c r="AY755" t="s">
        <v>503</v>
      </c>
      <c r="BA755" s="13">
        <v>3.3</v>
      </c>
      <c r="BE755" s="13">
        <v>21.772428884026201</v>
      </c>
      <c r="BI755" s="13">
        <v>64.5</v>
      </c>
      <c r="BJ755" s="13">
        <v>7.6</v>
      </c>
      <c r="BK755" s="13">
        <v>27.9</v>
      </c>
      <c r="BN755" s="13">
        <v>27.9</v>
      </c>
      <c r="BQ755" s="13" t="s">
        <v>506</v>
      </c>
      <c r="CV755" s="13">
        <v>0</v>
      </c>
    </row>
    <row r="756" spans="1:100" x14ac:dyDescent="0.25">
      <c r="A756" t="s">
        <v>467</v>
      </c>
      <c r="B756" t="s">
        <v>468</v>
      </c>
      <c r="C756">
        <v>2021</v>
      </c>
      <c r="D756" t="s">
        <v>380</v>
      </c>
      <c r="E756">
        <v>1</v>
      </c>
      <c r="F756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M756" s="13">
        <v>100</v>
      </c>
      <c r="O75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756" s="13">
        <v>47.5</v>
      </c>
      <c r="AC756" s="13">
        <v>5</v>
      </c>
      <c r="AD756" s="13">
        <v>47.4</v>
      </c>
      <c r="AE756" s="13">
        <v>0.1</v>
      </c>
      <c r="AH756" s="13">
        <v>17.600000000000001</v>
      </c>
      <c r="AI756" s="13">
        <v>0.01</v>
      </c>
      <c r="AJ756" s="13">
        <v>0.3896</v>
      </c>
      <c r="AL756" s="13">
        <v>10</v>
      </c>
      <c r="AO756" s="13">
        <v>5</v>
      </c>
      <c r="AP756" s="13">
        <v>0.84699999999999998</v>
      </c>
      <c r="AT756" s="13">
        <f>LN(25/Table26[[#This Row],[Temperature (C)]]/(1-SQRT((Table26[[#This Row],[Temperature (C)]]-5)/Table26[[#This Row],[Temperature (C)]])))/Table26[[#This Row],[b]]</f>
        <v>2.713568052969046</v>
      </c>
      <c r="AU756" s="13">
        <f>IF(Table26[[#This Row],[b]]&lt;&gt;"",Table26[[#This Row],[T-5]], 0)</f>
        <v>2.713568052969046</v>
      </c>
      <c r="AV756" s="13">
        <v>30</v>
      </c>
      <c r="AW756" s="13">
        <v>300</v>
      </c>
      <c r="AY756" t="s">
        <v>503</v>
      </c>
      <c r="BA756" s="13">
        <v>5.2</v>
      </c>
      <c r="BE756" s="13">
        <v>18.271334792122499</v>
      </c>
      <c r="BI756" s="13">
        <v>65.099999999999994</v>
      </c>
      <c r="BJ756" s="13">
        <v>5.7</v>
      </c>
      <c r="BK756" s="13">
        <v>27.9</v>
      </c>
      <c r="BN756" s="13">
        <v>25.5</v>
      </c>
      <c r="BQ756" s="13" t="s">
        <v>506</v>
      </c>
      <c r="CV756" s="13">
        <v>0</v>
      </c>
    </row>
    <row r="757" spans="1:100" x14ac:dyDescent="0.25">
      <c r="A757" t="s">
        <v>467</v>
      </c>
      <c r="B757" t="s">
        <v>468</v>
      </c>
      <c r="C757">
        <v>2021</v>
      </c>
      <c r="D757" t="s">
        <v>380</v>
      </c>
      <c r="E757">
        <v>1</v>
      </c>
      <c r="F757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M757" s="13">
        <v>100</v>
      </c>
      <c r="O75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757" s="13">
        <v>47.5</v>
      </c>
      <c r="AC757" s="13">
        <v>5</v>
      </c>
      <c r="AD757" s="13">
        <v>47.4</v>
      </c>
      <c r="AE757" s="13">
        <v>0.1</v>
      </c>
      <c r="AH757" s="13">
        <v>17.600000000000001</v>
      </c>
      <c r="AI757" s="13">
        <v>0.01</v>
      </c>
      <c r="AJ757" s="13">
        <v>0.3896</v>
      </c>
      <c r="AL757" s="13">
        <v>10</v>
      </c>
      <c r="AO757" s="13">
        <v>5</v>
      </c>
      <c r="AP757" s="13">
        <v>0.84699999999999998</v>
      </c>
      <c r="AT757" s="13">
        <f>LN(25/Table26[[#This Row],[Temperature (C)]]/(1-SQRT((Table26[[#This Row],[Temperature (C)]]-5)/Table26[[#This Row],[Temperature (C)]])))/Table26[[#This Row],[b]]</f>
        <v>2.7142790773137535</v>
      </c>
      <c r="AU757" s="13">
        <f>IF(Table26[[#This Row],[b]]&lt;&gt;"",Table26[[#This Row],[T-5]], 0)</f>
        <v>2.7142790773137535</v>
      </c>
      <c r="AV757" s="13">
        <v>30</v>
      </c>
      <c r="AW757" s="13">
        <v>350</v>
      </c>
      <c r="AY757" t="s">
        <v>503</v>
      </c>
      <c r="BA757" s="13">
        <v>3.5</v>
      </c>
      <c r="BE757" s="13">
        <v>3.2547699214365702</v>
      </c>
      <c r="BI757" s="13">
        <v>70</v>
      </c>
      <c r="BJ757" s="13">
        <v>5.9</v>
      </c>
      <c r="BK757" s="13">
        <v>21.2</v>
      </c>
      <c r="BL757" s="13">
        <v>0.8</v>
      </c>
      <c r="BN757" s="13">
        <v>26.5</v>
      </c>
      <c r="BQ757" s="13" t="s">
        <v>506</v>
      </c>
      <c r="CV757" s="13">
        <v>0</v>
      </c>
    </row>
    <row r="758" spans="1:100" x14ac:dyDescent="0.25">
      <c r="A758" t="s">
        <v>467</v>
      </c>
      <c r="B758" t="s">
        <v>468</v>
      </c>
      <c r="C758">
        <v>2021</v>
      </c>
      <c r="D758" t="s">
        <v>380</v>
      </c>
      <c r="E758">
        <v>1</v>
      </c>
      <c r="F758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M758" s="13">
        <v>100</v>
      </c>
      <c r="O75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758" s="13">
        <v>47.5</v>
      </c>
      <c r="AC758" s="13">
        <v>5</v>
      </c>
      <c r="AD758" s="13">
        <v>47.4</v>
      </c>
      <c r="AE758" s="13">
        <v>0.1</v>
      </c>
      <c r="AH758" s="13">
        <v>17.600000000000001</v>
      </c>
      <c r="AI758" s="13">
        <v>0.01</v>
      </c>
      <c r="AJ758" s="13">
        <v>0.3896</v>
      </c>
      <c r="AL758" s="13">
        <v>10</v>
      </c>
      <c r="AO758" s="13">
        <v>5</v>
      </c>
      <c r="AP758" s="13">
        <v>0.84699999999999998</v>
      </c>
      <c r="AT758" s="13">
        <f>LN(25/Table26[[#This Row],[Temperature (C)]]/(1-SQRT((Table26[[#This Row],[Temperature (C)]]-5)/Table26[[#This Row],[Temperature (C)]])))/Table26[[#This Row],[b]]</f>
        <v>2.7148115017582559</v>
      </c>
      <c r="AU758" s="13">
        <f>IF(Table26[[#This Row],[b]]&lt;&gt;"",Table26[[#This Row],[T-5]], 0)</f>
        <v>2.7148115017582559</v>
      </c>
      <c r="AV758" s="13">
        <v>30</v>
      </c>
      <c r="AW758" s="13">
        <v>400</v>
      </c>
      <c r="AY758" t="s">
        <v>503</v>
      </c>
      <c r="BA758" s="13">
        <v>2.7</v>
      </c>
      <c r="BE758" s="13">
        <v>8.6419753086419693</v>
      </c>
      <c r="BI758" s="13">
        <v>68.099999999999994</v>
      </c>
      <c r="BJ758" s="13">
        <v>5.5</v>
      </c>
      <c r="BK758" s="13">
        <v>24.8</v>
      </c>
      <c r="BL758" s="13">
        <v>0.3</v>
      </c>
      <c r="BN758" s="13">
        <v>28.5</v>
      </c>
      <c r="BQ758" s="13" t="s">
        <v>506</v>
      </c>
      <c r="CV758" s="13">
        <v>0</v>
      </c>
    </row>
    <row r="759" spans="1:100" x14ac:dyDescent="0.25">
      <c r="A759" t="s">
        <v>467</v>
      </c>
      <c r="B759" t="s">
        <v>468</v>
      </c>
      <c r="C759">
        <v>2021</v>
      </c>
      <c r="D759" t="s">
        <v>380</v>
      </c>
      <c r="E759">
        <v>1</v>
      </c>
      <c r="F759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M759" s="13">
        <v>100</v>
      </c>
      <c r="O75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759" s="13">
        <v>47.5</v>
      </c>
      <c r="AC759" s="13">
        <v>5</v>
      </c>
      <c r="AD759" s="13">
        <v>47.4</v>
      </c>
      <c r="AE759" s="13">
        <v>0.1</v>
      </c>
      <c r="AH759" s="13">
        <v>17.600000000000001</v>
      </c>
      <c r="AI759" s="13">
        <v>0.01</v>
      </c>
      <c r="AJ759" s="13">
        <v>0.3896</v>
      </c>
      <c r="AL759" s="13">
        <v>10</v>
      </c>
      <c r="AO759" s="13">
        <v>5</v>
      </c>
      <c r="AP759" s="13">
        <v>0.84699999999999998</v>
      </c>
      <c r="AT759" s="13">
        <f>LN(25/Table26[[#This Row],[Temperature (C)]]/(1-SQRT((Table26[[#This Row],[Temperature (C)]]-5)/Table26[[#This Row],[Temperature (C)]])))/Table26[[#This Row],[b]]</f>
        <v>2.7150305257090004</v>
      </c>
      <c r="AU759" s="13">
        <f>IF(Table26[[#This Row],[b]]&lt;&gt;"",Table26[[#This Row],[T-5]], 0)</f>
        <v>2.7150305257090004</v>
      </c>
      <c r="AV759" s="13">
        <v>30</v>
      </c>
      <c r="AW759" s="13">
        <v>425</v>
      </c>
      <c r="AY759" t="s">
        <v>503</v>
      </c>
      <c r="BA759" s="13">
        <v>1.3</v>
      </c>
      <c r="BE759" s="13">
        <v>2.5813692480359101</v>
      </c>
      <c r="BI759" s="13">
        <v>65.599999999999994</v>
      </c>
      <c r="BJ759" s="13">
        <v>5.7</v>
      </c>
      <c r="BK759" s="13">
        <v>28.7</v>
      </c>
      <c r="BN759" s="13">
        <v>25.6</v>
      </c>
      <c r="BQ759" s="13" t="s">
        <v>506</v>
      </c>
      <c r="CV759" s="13">
        <v>0</v>
      </c>
    </row>
    <row r="760" spans="1:100" x14ac:dyDescent="0.25">
      <c r="A760" t="s">
        <v>467</v>
      </c>
      <c r="B760" t="s">
        <v>468</v>
      </c>
      <c r="C760">
        <v>2021</v>
      </c>
      <c r="D760" t="s">
        <v>141</v>
      </c>
      <c r="E760">
        <v>1</v>
      </c>
      <c r="F760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G760" s="13">
        <v>100</v>
      </c>
      <c r="O76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760" s="13">
        <v>37</v>
      </c>
      <c r="AC760" s="13">
        <v>7.7</v>
      </c>
      <c r="AD760" s="13">
        <v>55.2</v>
      </c>
      <c r="AE760" s="13">
        <v>0.1</v>
      </c>
      <c r="AH760" s="13">
        <v>17</v>
      </c>
      <c r="AI760" s="13">
        <v>0.01</v>
      </c>
      <c r="AJ760" s="13">
        <v>0.3896</v>
      </c>
      <c r="AL760" s="13">
        <v>10</v>
      </c>
      <c r="AO760" s="13">
        <v>5</v>
      </c>
      <c r="AP760" s="13">
        <v>0.84699999999999998</v>
      </c>
      <c r="AT760" s="13">
        <f>LN(25/Table26[[#This Row],[Temperature (C)]]/(1-SQRT((Table26[[#This Row],[Temperature (C)]]-5)/Table26[[#This Row],[Temperature (C)]])))/Table26[[#This Row],[b]]</f>
        <v>2.713568052969046</v>
      </c>
      <c r="AU760" s="13">
        <f>IF(Table26[[#This Row],[b]]&lt;&gt;"",Table26[[#This Row],[T-5]], 0)</f>
        <v>2.713568052969046</v>
      </c>
      <c r="AV760" s="13">
        <v>30</v>
      </c>
      <c r="AW760" s="13">
        <v>300</v>
      </c>
      <c r="AY760" t="s">
        <v>503</v>
      </c>
      <c r="BA760" s="13">
        <v>11.7</v>
      </c>
      <c r="BE760" s="13">
        <v>9.7643097643097594</v>
      </c>
      <c r="BI760" s="13">
        <v>65.7</v>
      </c>
      <c r="BJ760" s="13">
        <v>6.6</v>
      </c>
      <c r="BK760" s="13">
        <v>27.7</v>
      </c>
      <c r="BN760" s="13">
        <v>27.1</v>
      </c>
      <c r="BQ760" s="13" t="s">
        <v>506</v>
      </c>
      <c r="CV760" s="13">
        <v>0</v>
      </c>
    </row>
    <row r="761" spans="1:100" x14ac:dyDescent="0.25">
      <c r="A761" t="s">
        <v>467</v>
      </c>
      <c r="B761" t="s">
        <v>468</v>
      </c>
      <c r="C761">
        <v>2021</v>
      </c>
      <c r="D761" t="s">
        <v>141</v>
      </c>
      <c r="E761">
        <v>1</v>
      </c>
      <c r="F761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G761" s="13">
        <v>100</v>
      </c>
      <c r="O76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761" s="13">
        <v>37</v>
      </c>
      <c r="AC761" s="13">
        <v>7.7</v>
      </c>
      <c r="AD761" s="13">
        <v>55.2</v>
      </c>
      <c r="AE761" s="13">
        <v>0.1</v>
      </c>
      <c r="AH761" s="13">
        <v>17</v>
      </c>
      <c r="AI761" s="13">
        <v>0.01</v>
      </c>
      <c r="AJ761" s="13">
        <v>0.3896</v>
      </c>
      <c r="AL761" s="13">
        <v>10</v>
      </c>
      <c r="AO761" s="13">
        <v>5</v>
      </c>
      <c r="AP761" s="13">
        <v>0.84699999999999998</v>
      </c>
      <c r="AT761" s="13">
        <f>LN(25/Table26[[#This Row],[Temperature (C)]]/(1-SQRT((Table26[[#This Row],[Temperature (C)]]-5)/Table26[[#This Row],[Temperature (C)]])))/Table26[[#This Row],[b]]</f>
        <v>2.7142790773137535</v>
      </c>
      <c r="AU761" s="13">
        <f>IF(Table26[[#This Row],[b]]&lt;&gt;"",Table26[[#This Row],[T-5]], 0)</f>
        <v>2.7142790773137535</v>
      </c>
      <c r="AV761" s="13">
        <v>30</v>
      </c>
      <c r="AW761" s="13">
        <v>350</v>
      </c>
      <c r="AY761" t="s">
        <v>503</v>
      </c>
      <c r="BA761" s="13">
        <v>14.8</v>
      </c>
      <c r="BE761" s="13">
        <v>5.6116722783389497</v>
      </c>
      <c r="BI761" s="13">
        <v>69.900000000000006</v>
      </c>
      <c r="BJ761" s="13">
        <v>5.8</v>
      </c>
      <c r="BK761" s="13">
        <v>24.3</v>
      </c>
      <c r="BN761" s="13">
        <v>28</v>
      </c>
      <c r="BQ761" s="13" t="s">
        <v>506</v>
      </c>
      <c r="CV761" s="13">
        <v>0</v>
      </c>
    </row>
    <row r="762" spans="1:100" x14ac:dyDescent="0.25">
      <c r="A762" t="s">
        <v>467</v>
      </c>
      <c r="B762" t="s">
        <v>468</v>
      </c>
      <c r="C762">
        <v>2021</v>
      </c>
      <c r="D762" t="s">
        <v>141</v>
      </c>
      <c r="E762">
        <v>1</v>
      </c>
      <c r="F762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G762" s="13">
        <v>100</v>
      </c>
      <c r="O76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762" s="13">
        <v>37</v>
      </c>
      <c r="AC762" s="13">
        <v>7.7</v>
      </c>
      <c r="AD762" s="13">
        <v>55.2</v>
      </c>
      <c r="AE762" s="13">
        <v>0.1</v>
      </c>
      <c r="AH762" s="13">
        <v>17</v>
      </c>
      <c r="AI762" s="13">
        <v>0.01</v>
      </c>
      <c r="AJ762" s="13">
        <v>0.3896</v>
      </c>
      <c r="AL762" s="13">
        <v>10</v>
      </c>
      <c r="AO762" s="13">
        <v>5</v>
      </c>
      <c r="AP762" s="13">
        <v>0.84699999999999998</v>
      </c>
      <c r="AT762" s="13">
        <f>LN(25/Table26[[#This Row],[Temperature (C)]]/(1-SQRT((Table26[[#This Row],[Temperature (C)]]-5)/Table26[[#This Row],[Temperature (C)]])))/Table26[[#This Row],[b]]</f>
        <v>2.7148115017582559</v>
      </c>
      <c r="AU762" s="13">
        <f>IF(Table26[[#This Row],[b]]&lt;&gt;"",Table26[[#This Row],[T-5]], 0)</f>
        <v>2.7148115017582559</v>
      </c>
      <c r="AV762" s="13">
        <v>30</v>
      </c>
      <c r="AW762" s="13">
        <v>400</v>
      </c>
      <c r="AY762" t="s">
        <v>503</v>
      </c>
      <c r="BA762" s="13">
        <v>6.4</v>
      </c>
      <c r="BE762" s="13">
        <v>15.2637485970819</v>
      </c>
      <c r="BI762" s="13">
        <v>74.2</v>
      </c>
      <c r="BJ762" s="13">
        <v>7.2</v>
      </c>
      <c r="BK762" s="13">
        <v>18.600000000000001</v>
      </c>
      <c r="BN762" s="13">
        <v>32.1</v>
      </c>
      <c r="BQ762" s="13" t="s">
        <v>506</v>
      </c>
      <c r="CV762" s="13">
        <v>0</v>
      </c>
    </row>
    <row r="763" spans="1:100" x14ac:dyDescent="0.25">
      <c r="A763" t="s">
        <v>467</v>
      </c>
      <c r="B763" t="s">
        <v>468</v>
      </c>
      <c r="C763">
        <v>2021</v>
      </c>
      <c r="D763" t="s">
        <v>141</v>
      </c>
      <c r="E763">
        <v>1</v>
      </c>
      <c r="F763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100</v>
      </c>
      <c r="G763" s="13">
        <v>100</v>
      </c>
      <c r="O76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763" s="13">
        <v>37</v>
      </c>
      <c r="AC763" s="13">
        <v>7.7</v>
      </c>
      <c r="AD763" s="13">
        <v>55.2</v>
      </c>
      <c r="AE763" s="13">
        <v>0.1</v>
      </c>
      <c r="AH763" s="13">
        <v>17</v>
      </c>
      <c r="AI763" s="13">
        <v>0.01</v>
      </c>
      <c r="AJ763" s="13">
        <v>0.3896</v>
      </c>
      <c r="AL763" s="13">
        <v>10</v>
      </c>
      <c r="AO763" s="13">
        <v>5</v>
      </c>
      <c r="AP763" s="13">
        <v>0.84699999999999998</v>
      </c>
      <c r="AT763" s="13">
        <f>LN(25/Table26[[#This Row],[Temperature (C)]]/(1-SQRT((Table26[[#This Row],[Temperature (C)]]-5)/Table26[[#This Row],[Temperature (C)]])))/Table26[[#This Row],[b]]</f>
        <v>2.7150305257090004</v>
      </c>
      <c r="AU763" s="13">
        <f>IF(Table26[[#This Row],[b]]&lt;&gt;"",Table26[[#This Row],[T-5]], 0)</f>
        <v>2.7150305257090004</v>
      </c>
      <c r="AV763" s="13">
        <v>30</v>
      </c>
      <c r="AW763" s="13">
        <v>425</v>
      </c>
      <c r="AY763" t="s">
        <v>503</v>
      </c>
      <c r="BA763" s="13">
        <v>4.3</v>
      </c>
      <c r="BE763" s="13">
        <v>7.9685746352412998</v>
      </c>
      <c r="BI763" s="13">
        <v>74.7</v>
      </c>
      <c r="BJ763" s="13">
        <v>6.8</v>
      </c>
      <c r="BK763" s="13">
        <v>18.5</v>
      </c>
      <c r="BN763" s="13">
        <v>31.8</v>
      </c>
      <c r="BQ763" s="13" t="s">
        <v>506</v>
      </c>
      <c r="CV763" s="13">
        <v>0</v>
      </c>
    </row>
    <row r="764" spans="1:100" x14ac:dyDescent="0.25">
      <c r="A764" t="s">
        <v>467</v>
      </c>
      <c r="B764" t="s">
        <v>468</v>
      </c>
      <c r="C764">
        <v>2021</v>
      </c>
      <c r="D764" t="s">
        <v>470</v>
      </c>
      <c r="E764">
        <v>1</v>
      </c>
      <c r="F764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764" s="13">
        <v>100</v>
      </c>
      <c r="O76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764" s="13">
        <v>48</v>
      </c>
      <c r="AC764" s="13">
        <v>7.3</v>
      </c>
      <c r="AD764" s="13">
        <v>31.3</v>
      </c>
      <c r="AE764" s="13">
        <v>13.4</v>
      </c>
      <c r="AH764" s="13">
        <v>21.4</v>
      </c>
      <c r="AI764" s="13">
        <v>0.01</v>
      </c>
      <c r="AJ764" s="13">
        <v>0.3896</v>
      </c>
      <c r="AL764" s="13">
        <v>10</v>
      </c>
      <c r="AO764" s="13">
        <v>5</v>
      </c>
      <c r="AP764" s="13">
        <v>0.84699999999999998</v>
      </c>
      <c r="AT764" s="13">
        <f>LN(25/Table26[[#This Row],[Temperature (C)]]/(1-SQRT((Table26[[#This Row],[Temperature (C)]]-5)/Table26[[#This Row],[Temperature (C)]])))/Table26[[#This Row],[b]]</f>
        <v>2.713568052969046</v>
      </c>
      <c r="AU764" s="13">
        <f>IF(Table26[[#This Row],[b]]&lt;&gt;"",Table26[[#This Row],[T-5]], 0)</f>
        <v>2.713568052969046</v>
      </c>
      <c r="AV764" s="13">
        <v>30</v>
      </c>
      <c r="AW764" s="13">
        <v>300</v>
      </c>
      <c r="AY764" t="s">
        <v>503</v>
      </c>
      <c r="BA764" s="13">
        <v>24.7</v>
      </c>
      <c r="BE764" s="13">
        <v>7.6318742985409704</v>
      </c>
      <c r="BI764" s="13">
        <v>67.599999999999994</v>
      </c>
      <c r="BJ764" s="13">
        <v>7.2</v>
      </c>
      <c r="BK764" s="13">
        <v>17.3</v>
      </c>
      <c r="BL764" s="13">
        <v>7.3</v>
      </c>
      <c r="BN764" s="13">
        <v>29.1</v>
      </c>
      <c r="BQ764" s="13" t="s">
        <v>506</v>
      </c>
      <c r="CV764" s="13">
        <v>0</v>
      </c>
    </row>
    <row r="765" spans="1:100" x14ac:dyDescent="0.25">
      <c r="A765" t="s">
        <v>467</v>
      </c>
      <c r="B765" t="s">
        <v>468</v>
      </c>
      <c r="C765">
        <v>2021</v>
      </c>
      <c r="D765" t="s">
        <v>470</v>
      </c>
      <c r="E765">
        <v>1</v>
      </c>
      <c r="F765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765" s="13">
        <v>100</v>
      </c>
      <c r="O76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765" s="13">
        <v>48</v>
      </c>
      <c r="AC765" s="13">
        <v>7.3</v>
      </c>
      <c r="AD765" s="13">
        <v>31.3</v>
      </c>
      <c r="AE765" s="13">
        <v>13.4</v>
      </c>
      <c r="AH765" s="13">
        <v>21.4</v>
      </c>
      <c r="AI765" s="13">
        <v>0.01</v>
      </c>
      <c r="AJ765" s="13">
        <v>0.3896</v>
      </c>
      <c r="AL765" s="13">
        <v>10</v>
      </c>
      <c r="AO765" s="13">
        <v>5</v>
      </c>
      <c r="AP765" s="13">
        <v>0.84699999999999998</v>
      </c>
      <c r="AT765" s="13">
        <f>LN(25/Table26[[#This Row],[Temperature (C)]]/(1-SQRT((Table26[[#This Row],[Temperature (C)]]-5)/Table26[[#This Row],[Temperature (C)]])))/Table26[[#This Row],[b]]</f>
        <v>2.7142790773137535</v>
      </c>
      <c r="AU765" s="13">
        <f>IF(Table26[[#This Row],[b]]&lt;&gt;"",Table26[[#This Row],[T-5]], 0)</f>
        <v>2.7142790773137535</v>
      </c>
      <c r="AV765" s="13">
        <v>30</v>
      </c>
      <c r="AW765" s="13">
        <v>350</v>
      </c>
      <c r="AY765" t="s">
        <v>503</v>
      </c>
      <c r="BA765" s="13">
        <v>27.8</v>
      </c>
      <c r="BE765" s="13">
        <v>6.3973063973063997</v>
      </c>
      <c r="BI765" s="13">
        <v>67.5</v>
      </c>
      <c r="BJ765" s="13">
        <v>6.8</v>
      </c>
      <c r="BK765" s="13">
        <v>18.600000000000001</v>
      </c>
      <c r="BL765" s="13">
        <v>6.5</v>
      </c>
      <c r="BN765" s="13">
        <v>28.4</v>
      </c>
      <c r="BQ765" s="13" t="s">
        <v>506</v>
      </c>
      <c r="CV765" s="13">
        <v>0</v>
      </c>
    </row>
    <row r="766" spans="1:100" x14ac:dyDescent="0.25">
      <c r="A766" t="s">
        <v>467</v>
      </c>
      <c r="B766" t="s">
        <v>468</v>
      </c>
      <c r="C766">
        <v>2021</v>
      </c>
      <c r="D766" t="s">
        <v>470</v>
      </c>
      <c r="E766">
        <v>1</v>
      </c>
      <c r="F766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766" s="13">
        <v>100</v>
      </c>
      <c r="O76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766" s="13">
        <v>48</v>
      </c>
      <c r="AC766" s="13">
        <v>7.3</v>
      </c>
      <c r="AD766" s="13">
        <v>31.3</v>
      </c>
      <c r="AE766" s="13">
        <v>13.4</v>
      </c>
      <c r="AH766" s="13">
        <v>21.4</v>
      </c>
      <c r="AI766" s="13">
        <v>0.01</v>
      </c>
      <c r="AJ766" s="13">
        <v>0.3896</v>
      </c>
      <c r="AL766" s="13">
        <v>10</v>
      </c>
      <c r="AO766" s="13">
        <v>5</v>
      </c>
      <c r="AP766" s="13">
        <v>0.84699999999999998</v>
      </c>
      <c r="AT766" s="13">
        <f>LN(25/Table26[[#This Row],[Temperature (C)]]/(1-SQRT((Table26[[#This Row],[Temperature (C)]]-5)/Table26[[#This Row],[Temperature (C)]])))/Table26[[#This Row],[b]]</f>
        <v>2.7148115017582559</v>
      </c>
      <c r="AU766" s="13">
        <f>IF(Table26[[#This Row],[b]]&lt;&gt;"",Table26[[#This Row],[T-5]], 0)</f>
        <v>2.7148115017582559</v>
      </c>
      <c r="AV766" s="13">
        <v>30</v>
      </c>
      <c r="AW766" s="13">
        <v>400</v>
      </c>
      <c r="AY766" t="s">
        <v>503</v>
      </c>
      <c r="BA766" s="13">
        <v>28.2</v>
      </c>
      <c r="BE766" s="13">
        <v>7.8563411896745201</v>
      </c>
      <c r="BI766" s="13">
        <v>70.400000000000006</v>
      </c>
      <c r="BJ766" s="13">
        <v>6</v>
      </c>
      <c r="BK766" s="13">
        <v>18.3</v>
      </c>
      <c r="BL766" s="13">
        <v>5.4</v>
      </c>
      <c r="BN766" s="13">
        <v>28.2</v>
      </c>
      <c r="BQ766" s="13" t="s">
        <v>506</v>
      </c>
      <c r="CV766" s="13">
        <v>0</v>
      </c>
    </row>
    <row r="767" spans="1:100" x14ac:dyDescent="0.25">
      <c r="A767" t="s">
        <v>467</v>
      </c>
      <c r="B767" t="s">
        <v>468</v>
      </c>
      <c r="C767">
        <v>2021</v>
      </c>
      <c r="D767" t="s">
        <v>470</v>
      </c>
      <c r="E767">
        <v>1</v>
      </c>
      <c r="F767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K767" s="13">
        <v>100</v>
      </c>
      <c r="O767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767" s="13">
        <v>48</v>
      </c>
      <c r="AC767" s="13">
        <v>7.3</v>
      </c>
      <c r="AD767" s="13">
        <v>31.3</v>
      </c>
      <c r="AE767" s="13">
        <v>13.4</v>
      </c>
      <c r="AH767" s="13">
        <v>21.4</v>
      </c>
      <c r="AI767" s="13">
        <v>0.01</v>
      </c>
      <c r="AJ767" s="13">
        <v>0.3896</v>
      </c>
      <c r="AL767" s="13">
        <v>10</v>
      </c>
      <c r="AO767" s="13">
        <v>5</v>
      </c>
      <c r="AP767" s="13">
        <v>0.84699999999999998</v>
      </c>
      <c r="AT767" s="13">
        <f>LN(25/Table26[[#This Row],[Temperature (C)]]/(1-SQRT((Table26[[#This Row],[Temperature (C)]]-5)/Table26[[#This Row],[Temperature (C)]])))/Table26[[#This Row],[b]]</f>
        <v>2.7150305257090004</v>
      </c>
      <c r="AU767" s="13">
        <f>IF(Table26[[#This Row],[b]]&lt;&gt;"",Table26[[#This Row],[T-5]], 0)</f>
        <v>2.7150305257090004</v>
      </c>
      <c r="AV767" s="13">
        <v>30</v>
      </c>
      <c r="AW767" s="13">
        <v>425</v>
      </c>
      <c r="AY767" t="s">
        <v>503</v>
      </c>
      <c r="BA767" s="13">
        <v>33.299999999999997</v>
      </c>
      <c r="BE767" s="13">
        <v>6.3063063063063298</v>
      </c>
      <c r="BI767" s="13">
        <v>70.3</v>
      </c>
      <c r="BJ767" s="13">
        <v>6.2</v>
      </c>
      <c r="BK767" s="13">
        <v>15.1</v>
      </c>
      <c r="BL767" s="13">
        <v>7.9</v>
      </c>
      <c r="BN767" s="13">
        <v>28.9</v>
      </c>
      <c r="BQ767" s="13" t="s">
        <v>506</v>
      </c>
      <c r="CV767" s="13">
        <v>0</v>
      </c>
    </row>
    <row r="768" spans="1:100" x14ac:dyDescent="0.25">
      <c r="A768" t="s">
        <v>467</v>
      </c>
      <c r="B768" t="s">
        <v>468</v>
      </c>
      <c r="C768">
        <v>2021</v>
      </c>
      <c r="D768" t="s">
        <v>471</v>
      </c>
      <c r="E768">
        <v>1</v>
      </c>
      <c r="F768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L768" s="13">
        <v>100</v>
      </c>
      <c r="O768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768" s="13">
        <v>75</v>
      </c>
      <c r="AC768" s="13">
        <v>12.5</v>
      </c>
      <c r="AD768" s="13">
        <v>12.5</v>
      </c>
      <c r="AE768" s="13">
        <v>0</v>
      </c>
      <c r="AH768" s="13">
        <v>41</v>
      </c>
      <c r="AI768" s="13">
        <v>0.01</v>
      </c>
      <c r="AJ768" s="13">
        <v>0.3896</v>
      </c>
      <c r="AL768" s="13">
        <v>10</v>
      </c>
      <c r="AO768" s="13">
        <v>5</v>
      </c>
      <c r="AP768" s="13">
        <v>0.84699999999999998</v>
      </c>
      <c r="AT768" s="13">
        <f>LN(25/Table26[[#This Row],[Temperature (C)]]/(1-SQRT((Table26[[#This Row],[Temperature (C)]]-5)/Table26[[#This Row],[Temperature (C)]])))/Table26[[#This Row],[b]]</f>
        <v>2.713568052969046</v>
      </c>
      <c r="AU768" s="13">
        <f>IF(Table26[[#This Row],[b]]&lt;&gt;"",Table26[[#This Row],[T-5]], 0)</f>
        <v>2.713568052969046</v>
      </c>
      <c r="AV768" s="13">
        <v>30</v>
      </c>
      <c r="AW768" s="13">
        <v>300</v>
      </c>
      <c r="AY768" t="s">
        <v>503</v>
      </c>
      <c r="BA768" s="13">
        <v>86.8</v>
      </c>
      <c r="BE768" s="13">
        <v>15.4279279279279</v>
      </c>
      <c r="BI768" s="13">
        <v>68.599999999999994</v>
      </c>
      <c r="BJ768" s="13">
        <v>8.6</v>
      </c>
      <c r="BK768" s="13">
        <v>22.8</v>
      </c>
      <c r="BN768" s="13">
        <v>31.7</v>
      </c>
      <c r="BQ768" s="13" t="s">
        <v>506</v>
      </c>
      <c r="CV768" s="13">
        <v>0</v>
      </c>
    </row>
    <row r="769" spans="1:100" x14ac:dyDescent="0.25">
      <c r="A769" t="s">
        <v>467</v>
      </c>
      <c r="B769" t="s">
        <v>468</v>
      </c>
      <c r="C769">
        <v>2021</v>
      </c>
      <c r="D769" t="s">
        <v>471</v>
      </c>
      <c r="E769">
        <v>1</v>
      </c>
      <c r="F769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L769" s="13">
        <v>100</v>
      </c>
      <c r="O769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769" s="13">
        <v>75</v>
      </c>
      <c r="AC769" s="13">
        <v>12.5</v>
      </c>
      <c r="AD769" s="13">
        <v>12.5</v>
      </c>
      <c r="AE769" s="13">
        <v>0</v>
      </c>
      <c r="AH769" s="13">
        <v>41</v>
      </c>
      <c r="AI769" s="13">
        <v>0.01</v>
      </c>
      <c r="AJ769" s="13">
        <v>0.3896</v>
      </c>
      <c r="AL769" s="13">
        <v>10</v>
      </c>
      <c r="AO769" s="13">
        <v>5</v>
      </c>
      <c r="AP769" s="13">
        <v>0.84699999999999998</v>
      </c>
      <c r="AT769" s="13">
        <f>LN(25/Table26[[#This Row],[Temperature (C)]]/(1-SQRT((Table26[[#This Row],[Temperature (C)]]-5)/Table26[[#This Row],[Temperature (C)]])))/Table26[[#This Row],[b]]</f>
        <v>2.7142790773137535</v>
      </c>
      <c r="AU769" s="13">
        <f>IF(Table26[[#This Row],[b]]&lt;&gt;"",Table26[[#This Row],[T-5]], 0)</f>
        <v>2.7142790773137535</v>
      </c>
      <c r="AV769" s="13">
        <v>30</v>
      </c>
      <c r="AW769" s="13">
        <v>350</v>
      </c>
      <c r="AY769" t="s">
        <v>503</v>
      </c>
      <c r="BA769" s="13">
        <v>86.3</v>
      </c>
      <c r="BE769" s="13">
        <v>10.3603603603603</v>
      </c>
      <c r="BI769" s="13">
        <v>74.599999999999994</v>
      </c>
      <c r="BJ769" s="13">
        <v>8.6</v>
      </c>
      <c r="BK769" s="13">
        <v>16.8</v>
      </c>
      <c r="BN769" s="13">
        <v>34.6</v>
      </c>
      <c r="BQ769" s="13" t="s">
        <v>506</v>
      </c>
      <c r="CV769" s="13">
        <v>0</v>
      </c>
    </row>
    <row r="770" spans="1:100" x14ac:dyDescent="0.25">
      <c r="A770" t="s">
        <v>467</v>
      </c>
      <c r="B770" t="s">
        <v>468</v>
      </c>
      <c r="C770">
        <v>2021</v>
      </c>
      <c r="D770" t="s">
        <v>471</v>
      </c>
      <c r="E770">
        <v>1</v>
      </c>
      <c r="F770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L770" s="13">
        <v>100</v>
      </c>
      <c r="O77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770" s="13">
        <v>75</v>
      </c>
      <c r="AC770" s="13">
        <v>12.5</v>
      </c>
      <c r="AD770" s="13">
        <v>12.5</v>
      </c>
      <c r="AE770" s="13">
        <v>0</v>
      </c>
      <c r="AH770" s="13">
        <v>41</v>
      </c>
      <c r="AI770" s="13">
        <v>0.01</v>
      </c>
      <c r="AJ770" s="13">
        <v>0.3896</v>
      </c>
      <c r="AL770" s="13">
        <v>10</v>
      </c>
      <c r="AO770" s="13">
        <v>5</v>
      </c>
      <c r="AP770" s="13">
        <v>0.84699999999999998</v>
      </c>
      <c r="AT770" s="13">
        <f>LN(25/Table26[[#This Row],[Temperature (C)]]/(1-SQRT((Table26[[#This Row],[Temperature (C)]]-5)/Table26[[#This Row],[Temperature (C)]])))/Table26[[#This Row],[b]]</f>
        <v>2.7148115017582559</v>
      </c>
      <c r="AU770" s="13">
        <f>IF(Table26[[#This Row],[b]]&lt;&gt;"",Table26[[#This Row],[T-5]], 0)</f>
        <v>2.7148115017582559</v>
      </c>
      <c r="AV770" s="13">
        <v>30</v>
      </c>
      <c r="AW770" s="13">
        <v>400</v>
      </c>
      <c r="AY770" t="s">
        <v>503</v>
      </c>
      <c r="BA770" s="13">
        <v>10.6</v>
      </c>
      <c r="BE770" s="13">
        <v>2.3648648648648298</v>
      </c>
      <c r="BI770" s="13">
        <v>75.8</v>
      </c>
      <c r="BJ770" s="13">
        <v>8.5</v>
      </c>
      <c r="BK770" s="13">
        <v>15.7</v>
      </c>
      <c r="BN770" s="13">
        <v>35</v>
      </c>
      <c r="BQ770" s="13" t="s">
        <v>506</v>
      </c>
      <c r="CV770" s="13">
        <v>0</v>
      </c>
    </row>
    <row r="771" spans="1:100" x14ac:dyDescent="0.25">
      <c r="A771" t="s">
        <v>467</v>
      </c>
      <c r="B771" t="s">
        <v>468</v>
      </c>
      <c r="C771">
        <v>2021</v>
      </c>
      <c r="D771" t="s">
        <v>471</v>
      </c>
      <c r="E771">
        <v>1</v>
      </c>
      <c r="F771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L771" s="13">
        <v>100</v>
      </c>
      <c r="O77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B771" s="13">
        <v>75</v>
      </c>
      <c r="AC771" s="13">
        <v>12.5</v>
      </c>
      <c r="AD771" s="13">
        <v>12.5</v>
      </c>
      <c r="AE771" s="13">
        <v>0</v>
      </c>
      <c r="AH771" s="13">
        <v>41</v>
      </c>
      <c r="AI771" s="13">
        <v>0.01</v>
      </c>
      <c r="AJ771" s="13">
        <v>0.3896</v>
      </c>
      <c r="AL771" s="13">
        <v>10</v>
      </c>
      <c r="AO771" s="13">
        <v>5</v>
      </c>
      <c r="AP771" s="13">
        <v>0.84699999999999998</v>
      </c>
      <c r="AT771" s="13">
        <f>LN(25/Table26[[#This Row],[Temperature (C)]]/(1-SQRT((Table26[[#This Row],[Temperature (C)]]-5)/Table26[[#This Row],[Temperature (C)]])))/Table26[[#This Row],[b]]</f>
        <v>2.7150305257090004</v>
      </c>
      <c r="AU771" s="13">
        <f>IF(Table26[[#This Row],[b]]&lt;&gt;"",Table26[[#This Row],[T-5]], 0)</f>
        <v>2.7150305257090004</v>
      </c>
      <c r="AV771" s="13">
        <v>30</v>
      </c>
      <c r="AW771" s="13">
        <v>425</v>
      </c>
      <c r="AY771" t="s">
        <v>503</v>
      </c>
      <c r="BA771" s="13">
        <v>11.9</v>
      </c>
      <c r="BE771" s="13">
        <v>15.090090090089999</v>
      </c>
      <c r="BI771" s="13">
        <v>65.5</v>
      </c>
      <c r="BJ771" s="13">
        <v>10</v>
      </c>
      <c r="BK771" s="13">
        <v>24.5</v>
      </c>
      <c r="BN771" s="13">
        <v>32.4</v>
      </c>
      <c r="BQ771" s="13" t="s">
        <v>506</v>
      </c>
      <c r="CV771" s="13">
        <v>0</v>
      </c>
    </row>
    <row r="772" spans="1:100" x14ac:dyDescent="0.25">
      <c r="A772" t="s">
        <v>467</v>
      </c>
      <c r="B772" t="s">
        <v>468</v>
      </c>
      <c r="C772">
        <v>2021</v>
      </c>
      <c r="D772" t="s">
        <v>472</v>
      </c>
      <c r="E772">
        <v>1</v>
      </c>
      <c r="F772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74</v>
      </c>
      <c r="G772" s="13">
        <v>9</v>
      </c>
      <c r="I772" s="13">
        <v>65</v>
      </c>
      <c r="K772" s="13">
        <v>8</v>
      </c>
      <c r="L772" s="13">
        <v>5</v>
      </c>
      <c r="M772" s="13">
        <v>13</v>
      </c>
      <c r="O77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772" s="13">
        <v>0.01</v>
      </c>
      <c r="AJ772" s="13">
        <v>0.1948</v>
      </c>
      <c r="AL772" s="13">
        <v>10</v>
      </c>
      <c r="AO772" s="13">
        <v>5</v>
      </c>
      <c r="AP772" s="13">
        <v>0.84699999999999998</v>
      </c>
      <c r="AT772" s="13">
        <f>LN(25/Table26[[#This Row],[Temperature (C)]]/(1-SQRT((Table26[[#This Row],[Temperature (C)]]-5)/Table26[[#This Row],[Temperature (C)]])))/Table26[[#This Row],[b]]</f>
        <v>2.713568052969046</v>
      </c>
      <c r="AU772" s="13">
        <f>IF(Table26[[#This Row],[b]]&lt;&gt;"",Table26[[#This Row],[T-5]], 0)</f>
        <v>2.713568052969046</v>
      </c>
      <c r="AV772" s="13">
        <v>30</v>
      </c>
      <c r="AW772" s="13">
        <v>300</v>
      </c>
      <c r="AY772" t="s">
        <v>503</v>
      </c>
      <c r="BA772" s="13">
        <v>17.399999999999999</v>
      </c>
      <c r="BE772" s="13" t="s">
        <v>506</v>
      </c>
      <c r="BI772" s="13">
        <v>65.099999999999994</v>
      </c>
      <c r="BJ772" s="13">
        <v>7.2</v>
      </c>
      <c r="BK772" s="13">
        <v>26</v>
      </c>
      <c r="BL772" s="13">
        <v>1.5</v>
      </c>
      <c r="BN772" s="13">
        <v>27.9</v>
      </c>
      <c r="BQ772" s="13" t="s">
        <v>506</v>
      </c>
      <c r="CV772" s="13">
        <v>0</v>
      </c>
    </row>
    <row r="773" spans="1:100" x14ac:dyDescent="0.25">
      <c r="A773" t="s">
        <v>467</v>
      </c>
      <c r="B773" t="s">
        <v>468</v>
      </c>
      <c r="C773">
        <v>2021</v>
      </c>
      <c r="D773" t="s">
        <v>472</v>
      </c>
      <c r="E773">
        <v>1</v>
      </c>
      <c r="F773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74</v>
      </c>
      <c r="G773" s="13">
        <v>9</v>
      </c>
      <c r="I773" s="13">
        <v>65</v>
      </c>
      <c r="K773" s="13">
        <v>8</v>
      </c>
      <c r="L773" s="13">
        <v>5</v>
      </c>
      <c r="M773" s="13">
        <v>13</v>
      </c>
      <c r="O77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773" s="13">
        <v>0.01</v>
      </c>
      <c r="AJ773" s="13">
        <v>0.1948</v>
      </c>
      <c r="AL773" s="13">
        <v>10</v>
      </c>
      <c r="AO773" s="13">
        <v>5</v>
      </c>
      <c r="AP773" s="13">
        <v>0.84699999999999998</v>
      </c>
      <c r="AT773" s="13">
        <f>LN(25/Table26[[#This Row],[Temperature (C)]]/(1-SQRT((Table26[[#This Row],[Temperature (C)]]-5)/Table26[[#This Row],[Temperature (C)]])))/Table26[[#This Row],[b]]</f>
        <v>2.7142790773137535</v>
      </c>
      <c r="AU773" s="13">
        <f>IF(Table26[[#This Row],[b]]&lt;&gt;"",Table26[[#This Row],[T-5]], 0)</f>
        <v>2.7142790773137535</v>
      </c>
      <c r="AV773" s="13">
        <v>30</v>
      </c>
      <c r="AW773" s="13">
        <v>350</v>
      </c>
      <c r="AY773" t="s">
        <v>503</v>
      </c>
      <c r="BA773" s="13">
        <v>23.3</v>
      </c>
      <c r="BE773" s="13" t="s">
        <v>506</v>
      </c>
      <c r="BI773" s="13">
        <v>73.400000000000006</v>
      </c>
      <c r="BJ773" s="13">
        <v>7.3</v>
      </c>
      <c r="BK773" s="13">
        <v>17.399999999999999</v>
      </c>
      <c r="BL773" s="13">
        <v>1.6</v>
      </c>
      <c r="BN773" s="13">
        <v>32.1</v>
      </c>
      <c r="BQ773" s="13" t="s">
        <v>506</v>
      </c>
      <c r="CV773" s="13">
        <v>0</v>
      </c>
    </row>
    <row r="774" spans="1:100" x14ac:dyDescent="0.25">
      <c r="A774" t="s">
        <v>467</v>
      </c>
      <c r="B774" t="s">
        <v>468</v>
      </c>
      <c r="C774">
        <v>2021</v>
      </c>
      <c r="D774" t="s">
        <v>472</v>
      </c>
      <c r="E774">
        <v>1</v>
      </c>
      <c r="F774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74</v>
      </c>
      <c r="G774" s="13">
        <v>9</v>
      </c>
      <c r="I774" s="13">
        <v>65</v>
      </c>
      <c r="K774" s="13">
        <v>8</v>
      </c>
      <c r="L774" s="13">
        <v>5</v>
      </c>
      <c r="M774" s="13">
        <v>13</v>
      </c>
      <c r="O77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774" s="13">
        <v>0.01</v>
      </c>
      <c r="AJ774" s="13">
        <v>0.1948</v>
      </c>
      <c r="AL774" s="13">
        <v>10</v>
      </c>
      <c r="AO774" s="13">
        <v>5</v>
      </c>
      <c r="AP774" s="13">
        <v>0.84699999999999998</v>
      </c>
      <c r="AT774" s="13">
        <f>LN(25/Table26[[#This Row],[Temperature (C)]]/(1-SQRT((Table26[[#This Row],[Temperature (C)]]-5)/Table26[[#This Row],[Temperature (C)]])))/Table26[[#This Row],[b]]</f>
        <v>2.7148115017582559</v>
      </c>
      <c r="AU774" s="13">
        <f>IF(Table26[[#This Row],[b]]&lt;&gt;"",Table26[[#This Row],[T-5]], 0)</f>
        <v>2.7148115017582559</v>
      </c>
      <c r="AV774" s="13">
        <v>30</v>
      </c>
      <c r="AW774" s="13">
        <v>400</v>
      </c>
      <c r="AY774" t="s">
        <v>503</v>
      </c>
      <c r="BA774" s="13">
        <v>20.3</v>
      </c>
      <c r="BE774" s="13" t="s">
        <v>506</v>
      </c>
      <c r="BI774" s="13">
        <v>74.900000000000006</v>
      </c>
      <c r="BJ774" s="13">
        <v>6.1</v>
      </c>
      <c r="BK774" s="13">
        <v>16.600000000000001</v>
      </c>
      <c r="BL774" s="13">
        <v>1.8</v>
      </c>
      <c r="BN774" s="13">
        <v>31</v>
      </c>
      <c r="BQ774" s="13" t="s">
        <v>506</v>
      </c>
      <c r="CV774" s="13">
        <v>0</v>
      </c>
    </row>
    <row r="775" spans="1:100" x14ac:dyDescent="0.25">
      <c r="A775" t="s">
        <v>467</v>
      </c>
      <c r="B775" t="s">
        <v>468</v>
      </c>
      <c r="C775">
        <v>2021</v>
      </c>
      <c r="D775" t="s">
        <v>472</v>
      </c>
      <c r="E775">
        <v>1</v>
      </c>
      <c r="F775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74</v>
      </c>
      <c r="G775" s="13">
        <v>9</v>
      </c>
      <c r="I775" s="13">
        <v>65</v>
      </c>
      <c r="K775" s="13">
        <v>8</v>
      </c>
      <c r="L775" s="13">
        <v>5</v>
      </c>
      <c r="M775" s="13">
        <v>13</v>
      </c>
      <c r="O775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100</v>
      </c>
      <c r="AI775" s="13">
        <v>0.01</v>
      </c>
      <c r="AJ775" s="13">
        <v>0.1948</v>
      </c>
      <c r="AL775" s="13">
        <v>10</v>
      </c>
      <c r="AO775" s="13">
        <v>5</v>
      </c>
      <c r="AP775" s="13">
        <v>0.84699999999999998</v>
      </c>
      <c r="AT775" s="13">
        <f>LN(25/Table26[[#This Row],[Temperature (C)]]/(1-SQRT((Table26[[#This Row],[Temperature (C)]]-5)/Table26[[#This Row],[Temperature (C)]])))/Table26[[#This Row],[b]]</f>
        <v>2.7150305257090004</v>
      </c>
      <c r="AU775" s="13">
        <f>IF(Table26[[#This Row],[b]]&lt;&gt;"",Table26[[#This Row],[T-5]], 0)</f>
        <v>2.7150305257090004</v>
      </c>
      <c r="AV775" s="13">
        <v>30</v>
      </c>
      <c r="AW775" s="13">
        <v>425</v>
      </c>
      <c r="AY775" t="s">
        <v>503</v>
      </c>
      <c r="BA775" s="13">
        <v>14</v>
      </c>
      <c r="BE775" s="13" t="s">
        <v>506</v>
      </c>
      <c r="BI775" s="13">
        <v>73.599999999999994</v>
      </c>
      <c r="BJ775" s="13">
        <v>6.9</v>
      </c>
      <c r="BK775" s="13">
        <v>17.5</v>
      </c>
      <c r="BL775" s="13">
        <v>1.9</v>
      </c>
      <c r="BN775" s="13">
        <v>31.5</v>
      </c>
      <c r="BQ775" s="13" t="s">
        <v>506</v>
      </c>
      <c r="CV775" s="13">
        <v>0</v>
      </c>
    </row>
    <row r="776" spans="1:100" x14ac:dyDescent="0.25">
      <c r="A776" t="s">
        <v>473</v>
      </c>
      <c r="B776" t="s">
        <v>157</v>
      </c>
      <c r="C776">
        <v>2019</v>
      </c>
      <c r="D776" t="s">
        <v>344</v>
      </c>
      <c r="E776">
        <v>1</v>
      </c>
      <c r="F776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N776" s="13">
        <v>35.5</v>
      </c>
      <c r="O776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R776" s="13">
        <v>83.43</v>
      </c>
      <c r="AB776" s="13">
        <v>33.85</v>
      </c>
      <c r="AC776" s="13">
        <v>5.14</v>
      </c>
      <c r="AD776" s="13">
        <v>16.5</v>
      </c>
      <c r="AE776" s="13">
        <v>5.81</v>
      </c>
      <c r="AF776" s="13">
        <v>3.2010000000000001</v>
      </c>
      <c r="AH776" s="13">
        <v>16.14</v>
      </c>
      <c r="AI776" s="13">
        <v>4.8999999999999998E-3</v>
      </c>
      <c r="AJ776" s="13">
        <v>0.2712</v>
      </c>
      <c r="AK776" s="13">
        <v>2.7</v>
      </c>
      <c r="AL776" s="13">
        <f>Table26[[#This Row],[Solids (g)]]/(Table26[[#This Row],[Solids (g)]]+Table26[[#This Row],[Water mL]])*100</f>
        <v>9.1276252019386099</v>
      </c>
      <c r="AR776" s="13">
        <v>18</v>
      </c>
      <c r="AT776" s="13" t="e">
        <f>LN(25/Table26[[#This Row],[Temperature (C)]]/(1-SQRT((Table26[[#This Row],[Temperature (C)]]-5)/Table26[[#This Row],[Temperature (C)]])))/Table26[[#This Row],[b]]</f>
        <v>#DIV/0!</v>
      </c>
      <c r="AU776" s="13">
        <f>IF(Table26[[#This Row],[b]]&lt;&gt;"",Table26[[#This Row],[T-5]], 0)</f>
        <v>0</v>
      </c>
      <c r="AV776" s="13">
        <v>30</v>
      </c>
      <c r="AW776" s="13">
        <v>340</v>
      </c>
      <c r="AY776" t="s">
        <v>503</v>
      </c>
      <c r="AZ776" s="13">
        <v>38.3549783549783</v>
      </c>
      <c r="BA776" s="13">
        <v>23.670103092783499</v>
      </c>
      <c r="BE776" s="13" t="s">
        <v>506</v>
      </c>
      <c r="BI776" s="13">
        <v>71.87</v>
      </c>
      <c r="BJ776" s="13">
        <v>8.1199999999999992</v>
      </c>
      <c r="BK776" s="13">
        <v>11.02</v>
      </c>
      <c r="BL776" s="13">
        <v>6.01</v>
      </c>
      <c r="BM776" s="13">
        <v>2.98</v>
      </c>
      <c r="BN776" s="13">
        <v>34.200000000000003</v>
      </c>
      <c r="BP776" s="13">
        <v>52.73</v>
      </c>
      <c r="BQ776" s="13" t="s">
        <v>506</v>
      </c>
      <c r="CV776" s="13">
        <v>0</v>
      </c>
    </row>
    <row r="777" spans="1:100" x14ac:dyDescent="0.25">
      <c r="A777" t="s">
        <v>473</v>
      </c>
      <c r="B777" t="s">
        <v>157</v>
      </c>
      <c r="C777">
        <v>2019</v>
      </c>
      <c r="D777" t="s">
        <v>475</v>
      </c>
      <c r="E777">
        <v>1</v>
      </c>
      <c r="F777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777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AI777" s="13">
        <v>4.8999999999999998E-3</v>
      </c>
      <c r="AJ777" s="13">
        <v>0.2712</v>
      </c>
      <c r="AK777" s="13">
        <v>2.7</v>
      </c>
      <c r="AL777" s="13">
        <f>Table26[[#This Row],[Solids (g)]]/(Table26[[#This Row],[Solids (g)]]+Table26[[#This Row],[Water mL]])*100</f>
        <v>9.1276252019386099</v>
      </c>
      <c r="AR777" s="13">
        <v>18</v>
      </c>
      <c r="AT777" s="13" t="e">
        <f>LN(25/Table26[[#This Row],[Temperature (C)]]/(1-SQRT((Table26[[#This Row],[Temperature (C)]]-5)/Table26[[#This Row],[Temperature (C)]])))/Table26[[#This Row],[b]]</f>
        <v>#DIV/0!</v>
      </c>
      <c r="AU777" s="13">
        <f>IF(Table26[[#This Row],[b]]&lt;&gt;"",Table26[[#This Row],[T-5]], 0)</f>
        <v>0</v>
      </c>
      <c r="AV777" s="13">
        <v>30</v>
      </c>
      <c r="AW777" s="13">
        <v>340</v>
      </c>
      <c r="AY777" t="s">
        <v>503</v>
      </c>
      <c r="AZ777" s="13">
        <v>31.2554112554112</v>
      </c>
      <c r="BA777" s="13">
        <v>24.536082474226799</v>
      </c>
      <c r="BE777" s="13" t="s">
        <v>506</v>
      </c>
      <c r="BI777" s="13">
        <v>71.8</v>
      </c>
      <c r="BJ777" s="13">
        <v>8.15</v>
      </c>
      <c r="BK777" s="13">
        <v>11.66</v>
      </c>
      <c r="BL777" s="13">
        <v>6.2</v>
      </c>
      <c r="BM777" s="13">
        <v>2.19</v>
      </c>
      <c r="BN777" s="13">
        <v>34.04</v>
      </c>
      <c r="BP777" s="13">
        <v>54.71</v>
      </c>
      <c r="BQ777" s="13" t="s">
        <v>506</v>
      </c>
      <c r="CV777" s="13">
        <v>0</v>
      </c>
    </row>
    <row r="778" spans="1:100" x14ac:dyDescent="0.25">
      <c r="A778" t="s">
        <v>473</v>
      </c>
      <c r="B778" t="s">
        <v>157</v>
      </c>
      <c r="C778">
        <v>2019</v>
      </c>
      <c r="D778" t="s">
        <v>476</v>
      </c>
      <c r="E778">
        <v>1</v>
      </c>
      <c r="F778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778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AI778" s="13">
        <v>4.8999999999999998E-3</v>
      </c>
      <c r="AJ778" s="13">
        <v>0.2712</v>
      </c>
      <c r="AK778" s="13">
        <v>2.7</v>
      </c>
      <c r="AL778" s="13">
        <f>Table26[[#This Row],[Solids (g)]]/(Table26[[#This Row],[Solids (g)]]+Table26[[#This Row],[Water mL]])*100</f>
        <v>9.1276252019386099</v>
      </c>
      <c r="AR778" s="13">
        <v>18</v>
      </c>
      <c r="AT778" s="13" t="e">
        <f>LN(25/Table26[[#This Row],[Temperature (C)]]/(1-SQRT((Table26[[#This Row],[Temperature (C)]]-5)/Table26[[#This Row],[Temperature (C)]])))/Table26[[#This Row],[b]]</f>
        <v>#DIV/0!</v>
      </c>
      <c r="AU778" s="13">
        <f>IF(Table26[[#This Row],[b]]&lt;&gt;"",Table26[[#This Row],[T-5]], 0)</f>
        <v>0</v>
      </c>
      <c r="AV778" s="13">
        <v>30</v>
      </c>
      <c r="AW778" s="13">
        <v>340</v>
      </c>
      <c r="AY778" t="s">
        <v>503</v>
      </c>
      <c r="AZ778" s="13">
        <v>24.069264069264001</v>
      </c>
      <c r="BA778" s="13">
        <v>26.845360824742201</v>
      </c>
      <c r="BE778" s="13" t="s">
        <v>506</v>
      </c>
      <c r="BI778" s="13">
        <v>70.88</v>
      </c>
      <c r="BJ778" s="13">
        <v>8.09</v>
      </c>
      <c r="BK778" s="13">
        <v>12.61</v>
      </c>
      <c r="BL778" s="13">
        <v>6.52</v>
      </c>
      <c r="BM778" s="13">
        <v>1.9</v>
      </c>
      <c r="BN778" s="13">
        <v>33.44</v>
      </c>
      <c r="BP778" s="13">
        <v>57.87</v>
      </c>
      <c r="BQ778" s="13" t="s">
        <v>506</v>
      </c>
      <c r="CV778" s="13">
        <v>0</v>
      </c>
    </row>
    <row r="779" spans="1:100" x14ac:dyDescent="0.25">
      <c r="A779" t="s">
        <v>473</v>
      </c>
      <c r="B779" t="s">
        <v>157</v>
      </c>
      <c r="C779">
        <v>2019</v>
      </c>
      <c r="D779" t="s">
        <v>477</v>
      </c>
      <c r="E779">
        <v>1</v>
      </c>
      <c r="F779" s="13" t="str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/>
      </c>
      <c r="O779" s="13" t="str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/>
      </c>
      <c r="AI779" s="13">
        <v>4.8999999999999998E-3</v>
      </c>
      <c r="AJ779" s="13">
        <v>0.2712</v>
      </c>
      <c r="AK779" s="13">
        <v>2.7</v>
      </c>
      <c r="AL779" s="13">
        <f>Table26[[#This Row],[Solids (g)]]/(Table26[[#This Row],[Solids (g)]]+Table26[[#This Row],[Water mL]])*100</f>
        <v>9.1276252019386099</v>
      </c>
      <c r="AR779" s="13">
        <v>18</v>
      </c>
      <c r="AT779" s="13" t="e">
        <f>LN(25/Table26[[#This Row],[Temperature (C)]]/(1-SQRT((Table26[[#This Row],[Temperature (C)]]-5)/Table26[[#This Row],[Temperature (C)]])))/Table26[[#This Row],[b]]</f>
        <v>#DIV/0!</v>
      </c>
      <c r="AU779" s="13">
        <f>IF(Table26[[#This Row],[b]]&lt;&gt;"",Table26[[#This Row],[T-5]], 0)</f>
        <v>0</v>
      </c>
      <c r="AV779" s="13">
        <v>30</v>
      </c>
      <c r="AW779" s="13">
        <v>340</v>
      </c>
      <c r="AY779" t="s">
        <v>503</v>
      </c>
      <c r="AZ779" s="13">
        <v>20.606060606060598</v>
      </c>
      <c r="BA779" s="13">
        <v>23.886597938144298</v>
      </c>
      <c r="BE779" s="13" t="s">
        <v>506</v>
      </c>
      <c r="BI779" s="13">
        <v>70.849999999999994</v>
      </c>
      <c r="BJ779" s="13">
        <v>8.1999999999999993</v>
      </c>
      <c r="BK779" s="13">
        <v>12.79</v>
      </c>
      <c r="BL779" s="13">
        <v>6.66</v>
      </c>
      <c r="BM779" s="13">
        <v>1.5</v>
      </c>
      <c r="BN779" s="13">
        <v>33.520000000000003</v>
      </c>
      <c r="BP779" s="13">
        <v>50.55</v>
      </c>
      <c r="BQ779" s="13" t="s">
        <v>506</v>
      </c>
      <c r="CV779" s="13">
        <v>0</v>
      </c>
    </row>
    <row r="780" spans="1:100" x14ac:dyDescent="0.25">
      <c r="A780" t="s">
        <v>478</v>
      </c>
      <c r="B780" t="s">
        <v>334</v>
      </c>
      <c r="C780">
        <v>2020</v>
      </c>
      <c r="D780" t="s">
        <v>205</v>
      </c>
      <c r="E780">
        <v>0</v>
      </c>
      <c r="F780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1.21</v>
      </c>
      <c r="I780" s="13">
        <v>0.3</v>
      </c>
      <c r="J780" s="13">
        <v>0.91</v>
      </c>
      <c r="K780" s="13">
        <v>45.63</v>
      </c>
      <c r="L780" s="13">
        <v>6.2</v>
      </c>
      <c r="M780" s="13">
        <v>0.52</v>
      </c>
      <c r="N780" s="13">
        <v>8.2799999999999994</v>
      </c>
      <c r="O780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53.560000000000009</v>
      </c>
      <c r="R780" s="13">
        <v>4.0999999999999996</v>
      </c>
      <c r="S780" s="13">
        <v>5.34</v>
      </c>
      <c r="T780" s="13">
        <v>82.28</v>
      </c>
      <c r="AB780" s="13">
        <v>48.41</v>
      </c>
      <c r="AC780" s="13">
        <v>9.01</v>
      </c>
      <c r="AD780" s="13">
        <v>33.909999999999997</v>
      </c>
      <c r="AE780" s="13">
        <v>7.38</v>
      </c>
      <c r="AF780" s="13">
        <v>1.29</v>
      </c>
      <c r="AI780" s="13">
        <v>0.1</v>
      </c>
      <c r="AJ780" s="13">
        <v>9</v>
      </c>
      <c r="AK780" s="13">
        <v>51</v>
      </c>
      <c r="AL780" s="13">
        <f>Table26[[#This Row],[Solids (g)]]/(Table26[[#This Row],[Solids (g)]]+Table26[[#This Row],[Water mL]])*100</f>
        <v>15</v>
      </c>
      <c r="AS780" s="13">
        <v>30</v>
      </c>
      <c r="AT780" s="13" t="e">
        <f>LN(25/Table26[[#This Row],[Temperature (C)]]/(1-SQRT((Table26[[#This Row],[Temperature (C)]]-5)/Table26[[#This Row],[Temperature (C)]])))/Table26[[#This Row],[b]]</f>
        <v>#DIV/0!</v>
      </c>
      <c r="AU780" s="13">
        <f>IF(Table26[[#This Row],[b]]&lt;&gt;"",Table26[[#This Row],[T-5]], 0)</f>
        <v>0</v>
      </c>
      <c r="AV780" s="13">
        <f>Table26[[#This Row],[Heating time]]+Table26[[#This Row],[Holding Time (min)]]</f>
        <v>30</v>
      </c>
      <c r="AW780" s="13">
        <v>260</v>
      </c>
      <c r="AY780" t="s">
        <v>503</v>
      </c>
      <c r="AZ780" s="13">
        <v>11.04</v>
      </c>
      <c r="BA780" s="13">
        <v>39.049999999999997</v>
      </c>
      <c r="BB780" s="13">
        <v>33.96</v>
      </c>
      <c r="BC780" s="13">
        <v>15.95</v>
      </c>
      <c r="BE780" s="13" t="s">
        <v>506</v>
      </c>
      <c r="BI780" s="13">
        <v>72.150000000000006</v>
      </c>
      <c r="BJ780" s="13">
        <v>9.59</v>
      </c>
      <c r="BK780" s="13">
        <v>12.37</v>
      </c>
      <c r="BL780" s="13">
        <v>5.24</v>
      </c>
      <c r="BM780" s="13">
        <v>0.63</v>
      </c>
      <c r="BN780" s="13">
        <v>35.92</v>
      </c>
      <c r="BP780" s="13">
        <v>62.5</v>
      </c>
      <c r="BQ780" s="13" t="s">
        <v>506</v>
      </c>
      <c r="CV780" s="13">
        <v>0</v>
      </c>
    </row>
    <row r="781" spans="1:100" x14ac:dyDescent="0.25">
      <c r="A781" t="s">
        <v>478</v>
      </c>
      <c r="B781" t="s">
        <v>334</v>
      </c>
      <c r="C781">
        <v>2020</v>
      </c>
      <c r="D781" t="s">
        <v>205</v>
      </c>
      <c r="E781">
        <v>0</v>
      </c>
      <c r="F781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1.21</v>
      </c>
      <c r="I781" s="13">
        <v>0.3</v>
      </c>
      <c r="J781" s="13">
        <v>0.91</v>
      </c>
      <c r="K781" s="13">
        <v>45.63</v>
      </c>
      <c r="L781" s="13">
        <v>6.2</v>
      </c>
      <c r="M781" s="13">
        <v>0.52</v>
      </c>
      <c r="N781" s="13">
        <v>8.2799999999999994</v>
      </c>
      <c r="O781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53.560000000000009</v>
      </c>
      <c r="R781" s="13">
        <v>4.0999999999999996</v>
      </c>
      <c r="S781" s="13">
        <v>5.34</v>
      </c>
      <c r="T781" s="13">
        <v>82.28</v>
      </c>
      <c r="AB781" s="13">
        <v>48.41</v>
      </c>
      <c r="AC781" s="13">
        <v>9.01</v>
      </c>
      <c r="AD781" s="13">
        <v>33.909999999999997</v>
      </c>
      <c r="AE781" s="13">
        <v>7.38</v>
      </c>
      <c r="AF781" s="13">
        <v>1.29</v>
      </c>
      <c r="AI781" s="13">
        <v>0.1</v>
      </c>
      <c r="AJ781" s="13">
        <v>9</v>
      </c>
      <c r="AK781" s="13">
        <v>51</v>
      </c>
      <c r="AL781" s="13">
        <f>Table26[[#This Row],[Solids (g)]]/(Table26[[#This Row],[Solids (g)]]+Table26[[#This Row],[Water mL]])*100</f>
        <v>15</v>
      </c>
      <c r="AS781" s="13">
        <v>30</v>
      </c>
      <c r="AT781" s="13" t="e">
        <f>LN(25/Table26[[#This Row],[Temperature (C)]]/(1-SQRT((Table26[[#This Row],[Temperature (C)]]-5)/Table26[[#This Row],[Temperature (C)]])))/Table26[[#This Row],[b]]</f>
        <v>#DIV/0!</v>
      </c>
      <c r="AU781" s="13">
        <f>IF(Table26[[#This Row],[b]]&lt;&gt;"",Table26[[#This Row],[T-5]], 0)</f>
        <v>0</v>
      </c>
      <c r="AV781" s="13">
        <f>Table26[[#This Row],[Heating time]]+Table26[[#This Row],[Holding Time (min)]]</f>
        <v>30</v>
      </c>
      <c r="AW781" s="13">
        <v>280</v>
      </c>
      <c r="AY781" t="s">
        <v>503</v>
      </c>
      <c r="AZ781" s="13">
        <v>6.72</v>
      </c>
      <c r="BA781" s="13">
        <v>43.55</v>
      </c>
      <c r="BB781" s="13">
        <v>30.93</v>
      </c>
      <c r="BC781" s="13">
        <v>18.8</v>
      </c>
      <c r="BE781" s="13" t="s">
        <v>506</v>
      </c>
      <c r="BI781" s="13">
        <v>73.89</v>
      </c>
      <c r="BJ781" s="13">
        <v>9.73</v>
      </c>
      <c r="BK781" s="13">
        <v>10.63</v>
      </c>
      <c r="BL781" s="13">
        <v>5.24</v>
      </c>
      <c r="BM781" s="13">
        <v>0.5</v>
      </c>
      <c r="BN781" s="13">
        <v>37.020000000000003</v>
      </c>
      <c r="BP781" s="13">
        <v>71.849999999999994</v>
      </c>
      <c r="BQ781" s="13" t="s">
        <v>506</v>
      </c>
      <c r="CV781" s="13">
        <v>0</v>
      </c>
    </row>
    <row r="782" spans="1:100" x14ac:dyDescent="0.25">
      <c r="A782" t="s">
        <v>478</v>
      </c>
      <c r="B782" t="s">
        <v>334</v>
      </c>
      <c r="C782">
        <v>2020</v>
      </c>
      <c r="D782" t="s">
        <v>205</v>
      </c>
      <c r="E782">
        <v>0</v>
      </c>
      <c r="F782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1.21</v>
      </c>
      <c r="I782" s="13">
        <v>0.3</v>
      </c>
      <c r="J782" s="13">
        <v>0.91</v>
      </c>
      <c r="K782" s="13">
        <v>45.63</v>
      </c>
      <c r="L782" s="13">
        <v>6.2</v>
      </c>
      <c r="M782" s="13">
        <v>0.52</v>
      </c>
      <c r="N782" s="13">
        <v>8.2799999999999994</v>
      </c>
      <c r="O782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53.560000000000009</v>
      </c>
      <c r="R782" s="13">
        <v>4.0999999999999996</v>
      </c>
      <c r="S782" s="13">
        <v>5.34</v>
      </c>
      <c r="T782" s="13">
        <v>82.28</v>
      </c>
      <c r="AB782" s="13">
        <v>48.41</v>
      </c>
      <c r="AC782" s="13">
        <v>9.01</v>
      </c>
      <c r="AD782" s="13">
        <v>33.909999999999997</v>
      </c>
      <c r="AE782" s="13">
        <v>7.38</v>
      </c>
      <c r="AF782" s="13">
        <v>1.29</v>
      </c>
      <c r="AI782" s="13">
        <v>0.1</v>
      </c>
      <c r="AJ782" s="13">
        <v>9</v>
      </c>
      <c r="AK782" s="13">
        <v>51</v>
      </c>
      <c r="AL782" s="13">
        <f>Table26[[#This Row],[Solids (g)]]/(Table26[[#This Row],[Solids (g)]]+Table26[[#This Row],[Water mL]])*100</f>
        <v>15</v>
      </c>
      <c r="AS782" s="13">
        <v>30</v>
      </c>
      <c r="AT782" s="13" t="e">
        <f>LN(25/Table26[[#This Row],[Temperature (C)]]/(1-SQRT((Table26[[#This Row],[Temperature (C)]]-5)/Table26[[#This Row],[Temperature (C)]])))/Table26[[#This Row],[b]]</f>
        <v>#DIV/0!</v>
      </c>
      <c r="AU782" s="13">
        <f>IF(Table26[[#This Row],[b]]&lt;&gt;"",Table26[[#This Row],[T-5]], 0)</f>
        <v>0</v>
      </c>
      <c r="AV782" s="13">
        <f>Table26[[#This Row],[Heating time]]+Table26[[#This Row],[Holding Time (min)]]</f>
        <v>30</v>
      </c>
      <c r="AW782" s="13">
        <v>300</v>
      </c>
      <c r="AY782" t="s">
        <v>503</v>
      </c>
      <c r="AZ782" s="13">
        <v>4.8499999999999996</v>
      </c>
      <c r="BA782" s="13">
        <v>45.35</v>
      </c>
      <c r="BB782" s="13">
        <v>25.86</v>
      </c>
      <c r="BC782" s="13">
        <v>23.94</v>
      </c>
      <c r="BE782" s="13" t="s">
        <v>506</v>
      </c>
      <c r="BI782" s="13">
        <v>74.819999999999993</v>
      </c>
      <c r="BJ782" s="13">
        <v>9.7899999999999991</v>
      </c>
      <c r="BK782" s="13">
        <v>9.59</v>
      </c>
      <c r="BL782" s="13">
        <v>5.41</v>
      </c>
      <c r="BM782" s="13">
        <v>0.4</v>
      </c>
      <c r="BN782" s="13">
        <v>37.6</v>
      </c>
      <c r="BP782" s="13">
        <v>75.989999999999995</v>
      </c>
      <c r="BQ782" s="13" t="s">
        <v>506</v>
      </c>
      <c r="CV782" s="13">
        <v>0</v>
      </c>
    </row>
    <row r="783" spans="1:100" x14ac:dyDescent="0.25">
      <c r="A783" t="s">
        <v>478</v>
      </c>
      <c r="B783" t="s">
        <v>334</v>
      </c>
      <c r="C783">
        <v>2020</v>
      </c>
      <c r="D783" t="s">
        <v>205</v>
      </c>
      <c r="E783">
        <v>0</v>
      </c>
      <c r="F783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1.21</v>
      </c>
      <c r="I783" s="13">
        <v>0.3</v>
      </c>
      <c r="J783" s="13">
        <v>0.91</v>
      </c>
      <c r="K783" s="13">
        <v>45.63</v>
      </c>
      <c r="L783" s="13">
        <v>6.2</v>
      </c>
      <c r="M783" s="13">
        <v>0.52</v>
      </c>
      <c r="N783" s="13">
        <v>8.2799999999999994</v>
      </c>
      <c r="O783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53.560000000000009</v>
      </c>
      <c r="R783" s="13">
        <v>4.0999999999999996</v>
      </c>
      <c r="S783" s="13">
        <v>5.34</v>
      </c>
      <c r="T783" s="13">
        <v>82.28</v>
      </c>
      <c r="AB783" s="13">
        <v>48.41</v>
      </c>
      <c r="AC783" s="13">
        <v>9.01</v>
      </c>
      <c r="AD783" s="13">
        <v>33.909999999999997</v>
      </c>
      <c r="AE783" s="13">
        <v>7.38</v>
      </c>
      <c r="AF783" s="13">
        <v>1.29</v>
      </c>
      <c r="AI783" s="13">
        <v>0.1</v>
      </c>
      <c r="AJ783" s="13">
        <v>9</v>
      </c>
      <c r="AK783" s="13">
        <v>51</v>
      </c>
      <c r="AL783" s="13">
        <f>Table26[[#This Row],[Solids (g)]]/(Table26[[#This Row],[Solids (g)]]+Table26[[#This Row],[Water mL]])*100</f>
        <v>15</v>
      </c>
      <c r="AS783" s="13">
        <v>30</v>
      </c>
      <c r="AT783" s="13" t="e">
        <f>LN(25/Table26[[#This Row],[Temperature (C)]]/(1-SQRT((Table26[[#This Row],[Temperature (C)]]-5)/Table26[[#This Row],[Temperature (C)]])))/Table26[[#This Row],[b]]</f>
        <v>#DIV/0!</v>
      </c>
      <c r="AU783" s="13">
        <f>IF(Table26[[#This Row],[b]]&lt;&gt;"",Table26[[#This Row],[T-5]], 0)</f>
        <v>0</v>
      </c>
      <c r="AV783" s="13">
        <f>Table26[[#This Row],[Heating time]]+Table26[[#This Row],[Holding Time (min)]]</f>
        <v>30</v>
      </c>
      <c r="AW783" s="13">
        <v>320</v>
      </c>
      <c r="AY783" t="s">
        <v>503</v>
      </c>
      <c r="AZ783" s="13">
        <v>3.1</v>
      </c>
      <c r="BA783" s="13">
        <v>54.11</v>
      </c>
      <c r="BB783" s="13">
        <v>21.96</v>
      </c>
      <c r="BC783" s="13">
        <v>20.83</v>
      </c>
      <c r="BE783" s="13" t="s">
        <v>506</v>
      </c>
      <c r="BI783" s="13">
        <v>74.64</v>
      </c>
      <c r="BJ783" s="13">
        <v>9.68</v>
      </c>
      <c r="BK783" s="13">
        <v>10.39</v>
      </c>
      <c r="BL783" s="13">
        <v>4.8899999999999997</v>
      </c>
      <c r="BM783" s="13">
        <v>0.4</v>
      </c>
      <c r="BN783" s="13">
        <v>37.229999999999997</v>
      </c>
      <c r="BP783" s="13">
        <v>89.76</v>
      </c>
      <c r="BQ783" s="13" t="s">
        <v>506</v>
      </c>
      <c r="CV783" s="13">
        <v>0</v>
      </c>
    </row>
    <row r="784" spans="1:100" x14ac:dyDescent="0.25">
      <c r="A784" t="s">
        <v>478</v>
      </c>
      <c r="B784" t="s">
        <v>334</v>
      </c>
      <c r="C784">
        <v>2020</v>
      </c>
      <c r="D784" t="s">
        <v>205</v>
      </c>
      <c r="E784">
        <v>0</v>
      </c>
      <c r="F784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1.21</v>
      </c>
      <c r="I784" s="13">
        <v>0.3</v>
      </c>
      <c r="J784" s="13">
        <v>0.91</v>
      </c>
      <c r="K784" s="13">
        <v>45.63</v>
      </c>
      <c r="L784" s="13">
        <v>6.2</v>
      </c>
      <c r="M784" s="13">
        <v>0.52</v>
      </c>
      <c r="N784" s="13">
        <v>8.2799999999999994</v>
      </c>
      <c r="O784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53.560000000000009</v>
      </c>
      <c r="R784" s="13">
        <v>4.0999999999999996</v>
      </c>
      <c r="S784" s="13">
        <v>5.34</v>
      </c>
      <c r="T784" s="13">
        <v>82.28</v>
      </c>
      <c r="AB784" s="13">
        <v>48.41</v>
      </c>
      <c r="AC784" s="13">
        <v>9.01</v>
      </c>
      <c r="AD784" s="13">
        <v>33.909999999999997</v>
      </c>
      <c r="AE784" s="13">
        <v>7.38</v>
      </c>
      <c r="AF784" s="13">
        <v>1.29</v>
      </c>
      <c r="AI784" s="13">
        <v>0.1</v>
      </c>
      <c r="AJ784" s="13">
        <v>9</v>
      </c>
      <c r="AK784" s="13">
        <v>51</v>
      </c>
      <c r="AL784" s="13">
        <f>Table26[[#This Row],[Solids (g)]]/(Table26[[#This Row],[Solids (g)]]+Table26[[#This Row],[Water mL]])*100</f>
        <v>15</v>
      </c>
      <c r="AS784" s="13">
        <v>30</v>
      </c>
      <c r="AT784" s="13" t="e">
        <f>LN(25/Table26[[#This Row],[Temperature (C)]]/(1-SQRT((Table26[[#This Row],[Temperature (C)]]-5)/Table26[[#This Row],[Temperature (C)]])))/Table26[[#This Row],[b]]</f>
        <v>#DIV/0!</v>
      </c>
      <c r="AU784" s="13">
        <f>IF(Table26[[#This Row],[b]]&lt;&gt;"",Table26[[#This Row],[T-5]], 0)</f>
        <v>0</v>
      </c>
      <c r="AV784" s="13">
        <f>Table26[[#This Row],[Heating time]]+Table26[[#This Row],[Holding Time (min)]]</f>
        <v>30</v>
      </c>
      <c r="AW784" s="13">
        <v>340</v>
      </c>
      <c r="AY784" t="s">
        <v>503</v>
      </c>
      <c r="AZ784" s="13">
        <v>4.3899999999999997</v>
      </c>
      <c r="BA784" s="13">
        <v>41.73</v>
      </c>
      <c r="BB784" s="13">
        <v>16.91</v>
      </c>
      <c r="BC784" s="13">
        <v>36.97</v>
      </c>
      <c r="BE784" s="13" t="s">
        <v>506</v>
      </c>
      <c r="BI784" s="13">
        <v>75.7</v>
      </c>
      <c r="BJ784" s="13">
        <v>9.7200000000000006</v>
      </c>
      <c r="BK784" s="13">
        <v>9.01</v>
      </c>
      <c r="BL784" s="13">
        <v>5.28</v>
      </c>
      <c r="BM784" s="13">
        <v>0.28999999999999998</v>
      </c>
      <c r="BN784" s="13">
        <v>37.880000000000003</v>
      </c>
      <c r="BP784" s="13">
        <v>70.45</v>
      </c>
      <c r="BQ784" s="13" t="s">
        <v>506</v>
      </c>
      <c r="CV784" s="13">
        <v>0</v>
      </c>
    </row>
    <row r="785" spans="1:100" x14ac:dyDescent="0.25">
      <c r="A785" s="12" t="s">
        <v>478</v>
      </c>
      <c r="B785" s="10" t="s">
        <v>334</v>
      </c>
      <c r="C785" s="10">
        <v>2020</v>
      </c>
      <c r="D785" s="10" t="s">
        <v>479</v>
      </c>
      <c r="E785">
        <v>0</v>
      </c>
      <c r="F785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47.66</v>
      </c>
      <c r="I785" s="14">
        <v>9.0399999999999991</v>
      </c>
      <c r="J785" s="14">
        <v>38.619999999999997</v>
      </c>
      <c r="K785" s="14">
        <v>9.9499999999999993</v>
      </c>
      <c r="L785" s="14">
        <v>0.8</v>
      </c>
      <c r="M785" s="14">
        <v>13.05</v>
      </c>
      <c r="N785" s="14">
        <v>43.43</v>
      </c>
      <c r="O785" s="14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71.459999999999994</v>
      </c>
      <c r="P785" s="14"/>
      <c r="Q785" s="14"/>
      <c r="R785" s="14">
        <v>4.01</v>
      </c>
      <c r="S785" s="14">
        <v>2.52</v>
      </c>
      <c r="T785" s="14">
        <v>50.04</v>
      </c>
      <c r="U785" s="14"/>
      <c r="V785" s="14"/>
      <c r="W785" s="14"/>
      <c r="X785" s="14"/>
      <c r="Y785" s="14"/>
      <c r="Z785" s="14"/>
      <c r="AA785" s="14"/>
      <c r="AB785" s="14">
        <v>28.5</v>
      </c>
      <c r="AC785" s="14">
        <v>2.78</v>
      </c>
      <c r="AD785" s="14">
        <v>65.400000000000006</v>
      </c>
      <c r="AE785" s="14">
        <v>2.13</v>
      </c>
      <c r="AF785" s="14">
        <v>1.19</v>
      </c>
      <c r="AG785" s="14"/>
      <c r="AH785" s="14"/>
      <c r="AI785" s="14">
        <v>0.1</v>
      </c>
      <c r="AJ785" s="14">
        <v>9</v>
      </c>
      <c r="AK785" s="14">
        <v>51</v>
      </c>
      <c r="AL785" s="13">
        <f>Table26[[#This Row],[Solids (g)]]/(Table26[[#This Row],[Solids (g)]]+Table26[[#This Row],[Water mL]])*100</f>
        <v>15</v>
      </c>
      <c r="AS785" s="13">
        <v>30</v>
      </c>
      <c r="AT785" s="13" t="e">
        <f>LN(25/Table26[[#This Row],[Temperature (C)]]/(1-SQRT((Table26[[#This Row],[Temperature (C)]]-5)/Table26[[#This Row],[Temperature (C)]])))/Table26[[#This Row],[b]]</f>
        <v>#DIV/0!</v>
      </c>
      <c r="AU785" s="13">
        <f>IF(Table26[[#This Row],[b]]&lt;&gt;"",Table26[[#This Row],[T-5]], 0)</f>
        <v>0</v>
      </c>
      <c r="AV785" s="13">
        <f>Table26[[#This Row],[Heating time]]+Table26[[#This Row],[Holding Time (min)]]</f>
        <v>30</v>
      </c>
      <c r="AW785" s="13">
        <v>260</v>
      </c>
      <c r="AY785" t="s">
        <v>503</v>
      </c>
      <c r="AZ785" s="13">
        <v>40.04</v>
      </c>
      <c r="BA785" s="13">
        <v>3.11</v>
      </c>
      <c r="BB785" s="13">
        <v>34.630000000000003</v>
      </c>
      <c r="BC785" s="13">
        <v>22.22</v>
      </c>
      <c r="BE785" s="13" t="s">
        <v>506</v>
      </c>
      <c r="BI785" s="13">
        <v>71.739999999999995</v>
      </c>
      <c r="BJ785" s="13">
        <v>8.19</v>
      </c>
      <c r="BK785" s="13">
        <v>13.86</v>
      </c>
      <c r="BL785" s="13">
        <v>4.59</v>
      </c>
      <c r="BM785" s="13">
        <v>1.62</v>
      </c>
      <c r="BN785" s="13">
        <v>33.630000000000003</v>
      </c>
      <c r="BP785" s="13">
        <v>9.92</v>
      </c>
      <c r="BQ785" s="13" t="s">
        <v>506</v>
      </c>
      <c r="CV785" s="13">
        <v>0</v>
      </c>
    </row>
    <row r="786" spans="1:100" x14ac:dyDescent="0.25">
      <c r="A786" s="12" t="s">
        <v>478</v>
      </c>
      <c r="B786" s="10" t="s">
        <v>334</v>
      </c>
      <c r="C786" s="10">
        <v>2020</v>
      </c>
      <c r="D786" s="10" t="s">
        <v>479</v>
      </c>
      <c r="E786">
        <v>0</v>
      </c>
      <c r="F786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47.66</v>
      </c>
      <c r="I786" s="14">
        <v>9.0399999999999991</v>
      </c>
      <c r="J786" s="14">
        <v>38.619999999999997</v>
      </c>
      <c r="K786" s="14">
        <v>9.9499999999999993</v>
      </c>
      <c r="L786" s="14">
        <v>0.8</v>
      </c>
      <c r="M786" s="14">
        <v>13.05</v>
      </c>
      <c r="N786" s="14">
        <v>43.43</v>
      </c>
      <c r="O786" s="14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71.459999999999994</v>
      </c>
      <c r="P786" s="14"/>
      <c r="Q786" s="14"/>
      <c r="R786" s="14">
        <v>4.01</v>
      </c>
      <c r="S786" s="14">
        <v>2.52</v>
      </c>
      <c r="T786" s="14">
        <v>50.04</v>
      </c>
      <c r="U786" s="14"/>
      <c r="V786" s="14"/>
      <c r="W786" s="14"/>
      <c r="X786" s="14"/>
      <c r="Y786" s="14"/>
      <c r="Z786" s="14"/>
      <c r="AA786" s="14"/>
      <c r="AB786" s="14">
        <v>28.5</v>
      </c>
      <c r="AC786" s="14">
        <v>2.78</v>
      </c>
      <c r="AD786" s="14">
        <v>65.400000000000006</v>
      </c>
      <c r="AE786" s="14">
        <v>2.13</v>
      </c>
      <c r="AF786" s="14">
        <v>1.19</v>
      </c>
      <c r="AG786" s="14"/>
      <c r="AH786" s="14"/>
      <c r="AI786" s="14">
        <v>0.1</v>
      </c>
      <c r="AJ786" s="14">
        <v>9</v>
      </c>
      <c r="AK786" s="14">
        <v>51</v>
      </c>
      <c r="AL786" s="13">
        <f>Table26[[#This Row],[Solids (g)]]/(Table26[[#This Row],[Solids (g)]]+Table26[[#This Row],[Water mL]])*100</f>
        <v>15</v>
      </c>
      <c r="AS786" s="13">
        <v>30</v>
      </c>
      <c r="AT786" s="13" t="e">
        <f>LN(25/Table26[[#This Row],[Temperature (C)]]/(1-SQRT((Table26[[#This Row],[Temperature (C)]]-5)/Table26[[#This Row],[Temperature (C)]])))/Table26[[#This Row],[b]]</f>
        <v>#DIV/0!</v>
      </c>
      <c r="AU786" s="13">
        <f>IF(Table26[[#This Row],[b]]&lt;&gt;"",Table26[[#This Row],[T-5]], 0)</f>
        <v>0</v>
      </c>
      <c r="AV786" s="13">
        <f>Table26[[#This Row],[Heating time]]+Table26[[#This Row],[Holding Time (min)]]</f>
        <v>30</v>
      </c>
      <c r="AW786" s="13">
        <v>280</v>
      </c>
      <c r="AY786" t="s">
        <v>503</v>
      </c>
      <c r="AZ786" s="13">
        <v>36.36</v>
      </c>
      <c r="BA786" s="13">
        <v>5.99</v>
      </c>
      <c r="BB786" s="13">
        <v>35.26</v>
      </c>
      <c r="BC786" s="13">
        <v>22.39</v>
      </c>
      <c r="BE786" s="13" t="s">
        <v>506</v>
      </c>
      <c r="BI786" s="13">
        <v>71.67</v>
      </c>
      <c r="BJ786" s="13">
        <v>8.24</v>
      </c>
      <c r="BK786" s="13">
        <v>13.75</v>
      </c>
      <c r="BL786" s="13">
        <v>4.54</v>
      </c>
      <c r="BM786" s="13">
        <v>1.8</v>
      </c>
      <c r="BN786" s="13">
        <v>33.71</v>
      </c>
      <c r="BP786" s="13">
        <v>19.16</v>
      </c>
      <c r="BQ786" s="13" t="s">
        <v>506</v>
      </c>
      <c r="CV786" s="13">
        <v>0</v>
      </c>
    </row>
    <row r="787" spans="1:100" x14ac:dyDescent="0.25">
      <c r="A787" s="12" t="s">
        <v>478</v>
      </c>
      <c r="B787" s="10" t="s">
        <v>334</v>
      </c>
      <c r="C787" s="10">
        <v>2020</v>
      </c>
      <c r="D787" s="10" t="s">
        <v>479</v>
      </c>
      <c r="E787">
        <v>0</v>
      </c>
      <c r="F787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47.66</v>
      </c>
      <c r="I787" s="14">
        <v>9.0399999999999991</v>
      </c>
      <c r="J787" s="14">
        <v>38.619999999999997</v>
      </c>
      <c r="K787" s="14">
        <v>9.9499999999999993</v>
      </c>
      <c r="L787" s="14">
        <v>0.8</v>
      </c>
      <c r="M787" s="14">
        <v>13.05</v>
      </c>
      <c r="N787" s="14">
        <v>43.43</v>
      </c>
      <c r="O787" s="14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71.459999999999994</v>
      </c>
      <c r="P787" s="14"/>
      <c r="Q787" s="14"/>
      <c r="R787" s="14">
        <v>4.01</v>
      </c>
      <c r="S787" s="14">
        <v>2.52</v>
      </c>
      <c r="T787" s="14">
        <v>50.04</v>
      </c>
      <c r="U787" s="14"/>
      <c r="V787" s="14"/>
      <c r="W787" s="14"/>
      <c r="X787" s="14"/>
      <c r="Y787" s="14"/>
      <c r="Z787" s="14"/>
      <c r="AA787" s="14"/>
      <c r="AB787" s="14">
        <v>28.5</v>
      </c>
      <c r="AC787" s="14">
        <v>2.78</v>
      </c>
      <c r="AD787" s="14">
        <v>65.400000000000006</v>
      </c>
      <c r="AE787" s="14">
        <v>2.13</v>
      </c>
      <c r="AF787" s="14">
        <v>1.19</v>
      </c>
      <c r="AG787" s="14"/>
      <c r="AH787" s="14"/>
      <c r="AI787" s="14">
        <v>0.1</v>
      </c>
      <c r="AJ787" s="14">
        <v>9</v>
      </c>
      <c r="AK787" s="14">
        <v>51</v>
      </c>
      <c r="AL787" s="13">
        <f>Table26[[#This Row],[Solids (g)]]/(Table26[[#This Row],[Solids (g)]]+Table26[[#This Row],[Water mL]])*100</f>
        <v>15</v>
      </c>
      <c r="AS787" s="13">
        <v>30</v>
      </c>
      <c r="AT787" s="13" t="e">
        <f>LN(25/Table26[[#This Row],[Temperature (C)]]/(1-SQRT((Table26[[#This Row],[Temperature (C)]]-5)/Table26[[#This Row],[Temperature (C)]])))/Table26[[#This Row],[b]]</f>
        <v>#DIV/0!</v>
      </c>
      <c r="AU787" s="13">
        <f>IF(Table26[[#This Row],[b]]&lt;&gt;"",Table26[[#This Row],[T-5]], 0)</f>
        <v>0</v>
      </c>
      <c r="AV787" s="13">
        <f>Table26[[#This Row],[Heating time]]+Table26[[#This Row],[Holding Time (min)]]</f>
        <v>30</v>
      </c>
      <c r="AW787" s="13">
        <v>300</v>
      </c>
      <c r="AY787" t="s">
        <v>503</v>
      </c>
      <c r="AZ787" s="13">
        <v>36.119999999999997</v>
      </c>
      <c r="BA787" s="13">
        <v>6.93</v>
      </c>
      <c r="BB787" s="13">
        <v>32.99</v>
      </c>
      <c r="BC787" s="13">
        <v>23.96</v>
      </c>
      <c r="BE787" s="13" t="s">
        <v>506</v>
      </c>
      <c r="BI787" s="13">
        <v>73.56</v>
      </c>
      <c r="BJ787" s="13">
        <v>8.27</v>
      </c>
      <c r="BK787" s="13">
        <v>11.94</v>
      </c>
      <c r="BL787" s="13">
        <v>4.5</v>
      </c>
      <c r="BM787" s="13">
        <v>1.74</v>
      </c>
      <c r="BN787" s="13">
        <v>34.71</v>
      </c>
      <c r="BP787" s="13">
        <v>22.81</v>
      </c>
      <c r="BQ787" s="13" t="s">
        <v>506</v>
      </c>
      <c r="CV787" s="13">
        <v>0</v>
      </c>
    </row>
    <row r="788" spans="1:100" x14ac:dyDescent="0.25">
      <c r="A788" s="12" t="s">
        <v>478</v>
      </c>
      <c r="B788" s="10" t="s">
        <v>334</v>
      </c>
      <c r="C788" s="10">
        <v>2020</v>
      </c>
      <c r="D788" s="10" t="s">
        <v>479</v>
      </c>
      <c r="E788">
        <v>0</v>
      </c>
      <c r="F788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47.66</v>
      </c>
      <c r="I788" s="14">
        <v>9.0399999999999991</v>
      </c>
      <c r="J788" s="14">
        <v>38.619999999999997</v>
      </c>
      <c r="K788" s="14">
        <v>9.9499999999999993</v>
      </c>
      <c r="L788" s="14">
        <v>0.8</v>
      </c>
      <c r="M788" s="14">
        <v>13.05</v>
      </c>
      <c r="N788" s="14">
        <v>43.43</v>
      </c>
      <c r="O788" s="14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71.459999999999994</v>
      </c>
      <c r="P788" s="14"/>
      <c r="Q788" s="14"/>
      <c r="R788" s="14">
        <v>4.01</v>
      </c>
      <c r="S788" s="14">
        <v>2.52</v>
      </c>
      <c r="T788" s="14">
        <v>50.04</v>
      </c>
      <c r="U788" s="14"/>
      <c r="V788" s="14"/>
      <c r="W788" s="14"/>
      <c r="X788" s="14"/>
      <c r="Y788" s="14"/>
      <c r="Z788" s="14"/>
      <c r="AA788" s="14"/>
      <c r="AB788" s="14">
        <v>28.5</v>
      </c>
      <c r="AC788" s="14">
        <v>2.78</v>
      </c>
      <c r="AD788" s="14">
        <v>65.400000000000006</v>
      </c>
      <c r="AE788" s="14">
        <v>2.13</v>
      </c>
      <c r="AF788" s="14">
        <v>1.19</v>
      </c>
      <c r="AG788" s="14"/>
      <c r="AH788" s="14"/>
      <c r="AI788" s="14">
        <v>0.1</v>
      </c>
      <c r="AJ788" s="14">
        <v>9</v>
      </c>
      <c r="AK788" s="14">
        <v>51</v>
      </c>
      <c r="AL788" s="13">
        <f>Table26[[#This Row],[Solids (g)]]/(Table26[[#This Row],[Solids (g)]]+Table26[[#This Row],[Water mL]])*100</f>
        <v>15</v>
      </c>
      <c r="AS788" s="13">
        <v>30</v>
      </c>
      <c r="AT788" s="13" t="e">
        <f>LN(25/Table26[[#This Row],[Temperature (C)]]/(1-SQRT((Table26[[#This Row],[Temperature (C)]]-5)/Table26[[#This Row],[Temperature (C)]])))/Table26[[#This Row],[b]]</f>
        <v>#DIV/0!</v>
      </c>
      <c r="AU788" s="13">
        <f>IF(Table26[[#This Row],[b]]&lt;&gt;"",Table26[[#This Row],[T-5]], 0)</f>
        <v>0</v>
      </c>
      <c r="AV788" s="13">
        <f>Table26[[#This Row],[Heating time]]+Table26[[#This Row],[Holding Time (min)]]</f>
        <v>30</v>
      </c>
      <c r="AW788" s="13">
        <v>320</v>
      </c>
      <c r="AY788" t="s">
        <v>503</v>
      </c>
      <c r="AZ788" s="13">
        <v>32.08</v>
      </c>
      <c r="BA788" s="13">
        <v>8.43</v>
      </c>
      <c r="BB788" s="13">
        <v>34.11</v>
      </c>
      <c r="BC788" s="13">
        <v>25.38</v>
      </c>
      <c r="BE788" s="13" t="s">
        <v>506</v>
      </c>
      <c r="BI788" s="13">
        <v>74.62</v>
      </c>
      <c r="BJ788" s="13">
        <v>8.23</v>
      </c>
      <c r="BK788" s="13">
        <v>11.17</v>
      </c>
      <c r="BL788" s="13">
        <v>4.3</v>
      </c>
      <c r="BM788" s="13">
        <v>1.68</v>
      </c>
      <c r="BN788" s="13">
        <v>35.14</v>
      </c>
      <c r="BP788" s="13">
        <v>28.1</v>
      </c>
      <c r="BQ788" s="13" t="s">
        <v>506</v>
      </c>
      <c r="CV788" s="13">
        <v>0</v>
      </c>
    </row>
    <row r="789" spans="1:100" x14ac:dyDescent="0.25">
      <c r="A789" s="11" t="s">
        <v>478</v>
      </c>
      <c r="B789" s="9" t="s">
        <v>334</v>
      </c>
      <c r="C789" s="9">
        <v>2020</v>
      </c>
      <c r="D789" s="9" t="s">
        <v>479</v>
      </c>
      <c r="E789">
        <v>0</v>
      </c>
      <c r="F789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47.66</v>
      </c>
      <c r="I789" s="17">
        <v>9.0399999999999991</v>
      </c>
      <c r="J789" s="17">
        <v>38.619999999999997</v>
      </c>
      <c r="K789" s="17">
        <v>9.9499999999999993</v>
      </c>
      <c r="L789" s="17">
        <v>0.8</v>
      </c>
      <c r="M789" s="17">
        <v>13.05</v>
      </c>
      <c r="N789" s="17">
        <v>43.43</v>
      </c>
      <c r="O789" s="17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71.459999999999994</v>
      </c>
      <c r="P789" s="17"/>
      <c r="Q789" s="17"/>
      <c r="R789" s="17">
        <v>4.01</v>
      </c>
      <c r="S789" s="17">
        <v>2.52</v>
      </c>
      <c r="T789" s="17">
        <v>50.04</v>
      </c>
      <c r="U789" s="17"/>
      <c r="V789" s="17"/>
      <c r="W789" s="17"/>
      <c r="X789" s="17"/>
      <c r="Y789" s="17"/>
      <c r="Z789" s="17"/>
      <c r="AA789" s="17"/>
      <c r="AB789" s="17">
        <v>28.5</v>
      </c>
      <c r="AC789" s="17">
        <v>2.78</v>
      </c>
      <c r="AD789" s="17">
        <v>65.400000000000006</v>
      </c>
      <c r="AE789" s="17">
        <v>2.13</v>
      </c>
      <c r="AF789" s="17">
        <v>1.19</v>
      </c>
      <c r="AG789" s="17"/>
      <c r="AH789" s="17"/>
      <c r="AI789" s="17">
        <v>0.1</v>
      </c>
      <c r="AJ789" s="17">
        <v>9</v>
      </c>
      <c r="AK789" s="17">
        <v>51</v>
      </c>
      <c r="AL789" s="13">
        <f>Table26[[#This Row],[Solids (g)]]/(Table26[[#This Row],[Solids (g)]]+Table26[[#This Row],[Water mL]])*100</f>
        <v>15</v>
      </c>
      <c r="AS789" s="13">
        <v>30</v>
      </c>
      <c r="AT789" s="13" t="e">
        <f>LN(25/Table26[[#This Row],[Temperature (C)]]/(1-SQRT((Table26[[#This Row],[Temperature (C)]]-5)/Table26[[#This Row],[Temperature (C)]])))/Table26[[#This Row],[b]]</f>
        <v>#DIV/0!</v>
      </c>
      <c r="AU789" s="13">
        <f>IF(Table26[[#This Row],[b]]&lt;&gt;"",Table26[[#This Row],[T-5]], 0)</f>
        <v>0</v>
      </c>
      <c r="AV789" s="13">
        <f>Table26[[#This Row],[Heating time]]+Table26[[#This Row],[Holding Time (min)]]</f>
        <v>30</v>
      </c>
      <c r="AW789" s="13">
        <v>340</v>
      </c>
      <c r="AY789" t="s">
        <v>503</v>
      </c>
      <c r="AZ789" s="13">
        <v>32.04</v>
      </c>
      <c r="BA789" s="13">
        <v>9.49</v>
      </c>
      <c r="BB789" s="13">
        <v>32.270000000000003</v>
      </c>
      <c r="BC789" s="13">
        <v>26.2</v>
      </c>
      <c r="BE789" s="13" t="s">
        <v>506</v>
      </c>
      <c r="BI789" s="13">
        <v>74.989999999999995</v>
      </c>
      <c r="BJ789" s="13">
        <v>8.1999999999999993</v>
      </c>
      <c r="BK789" s="13">
        <v>11.09</v>
      </c>
      <c r="BL789" s="13">
        <v>4.1500000000000004</v>
      </c>
      <c r="BM789" s="13">
        <v>1.56</v>
      </c>
      <c r="BN789" s="13">
        <v>35.229999999999997</v>
      </c>
      <c r="BP789" s="13">
        <v>31.72</v>
      </c>
      <c r="BQ789" s="13" t="s">
        <v>506</v>
      </c>
      <c r="CV789" s="13">
        <v>0</v>
      </c>
    </row>
    <row r="790" spans="1:100" x14ac:dyDescent="0.25">
      <c r="A790" t="s">
        <v>437</v>
      </c>
      <c r="B790" t="s">
        <v>157</v>
      </c>
      <c r="C790">
        <v>2018</v>
      </c>
      <c r="D790" t="s">
        <v>344</v>
      </c>
      <c r="N790" s="13">
        <v>35.5</v>
      </c>
      <c r="R790" s="13">
        <v>90</v>
      </c>
      <c r="AB790" s="13">
        <v>33.85</v>
      </c>
      <c r="AC790" s="13">
        <v>5.14</v>
      </c>
      <c r="AD790" s="13">
        <v>16.5</v>
      </c>
      <c r="AE790" s="13">
        <v>5.81</v>
      </c>
      <c r="AF790" s="13">
        <v>3.2</v>
      </c>
      <c r="AH790" s="13">
        <v>16.100000000000001</v>
      </c>
      <c r="AI790" s="13">
        <v>4.4000000000000003E-3</v>
      </c>
      <c r="AL790" s="13">
        <v>20</v>
      </c>
      <c r="AO790" s="13">
        <v>3</v>
      </c>
      <c r="AT790" s="13" t="e">
        <f>LN(25/Table26[[#This Row],[Temperature (C)]]/(1-SQRT((Table26[[#This Row],[Temperature (C)]]-5)/Table26[[#This Row],[Temperature (C)]])))/Table26[[#This Row],[b]]</f>
        <v>#DIV/0!</v>
      </c>
      <c r="AU790" s="13">
        <f>IF(Table26[[#This Row],[b]]&lt;&gt;"",Table26[[#This Row],[T-5]], 0)</f>
        <v>0</v>
      </c>
      <c r="AV790" s="13">
        <v>10</v>
      </c>
      <c r="AW790" s="13">
        <v>260</v>
      </c>
      <c r="AY790" s="13" t="s">
        <v>504</v>
      </c>
      <c r="AZ790" s="13">
        <v>50.2165605095541</v>
      </c>
      <c r="BA790" s="13">
        <v>15.286624203821599</v>
      </c>
      <c r="BB790" s="13">
        <v>31.643312101910801</v>
      </c>
      <c r="BC790" s="13">
        <v>1.37579617834398</v>
      </c>
      <c r="BE790" s="13" t="s">
        <v>506</v>
      </c>
      <c r="BI790" s="13">
        <v>70.989999999999995</v>
      </c>
      <c r="BJ790" s="13">
        <v>9.27</v>
      </c>
      <c r="BK790" s="13">
        <v>14.05</v>
      </c>
      <c r="BL790" s="13">
        <v>4.4000000000000004</v>
      </c>
      <c r="BM790" s="13">
        <v>1.29</v>
      </c>
      <c r="BN790" s="13">
        <v>34.840000000000003</v>
      </c>
      <c r="BP790" s="13">
        <v>32.6</v>
      </c>
      <c r="BQ790" s="13" t="s">
        <v>506</v>
      </c>
      <c r="CV790" s="13">
        <v>0</v>
      </c>
    </row>
    <row r="791" spans="1:100" x14ac:dyDescent="0.25">
      <c r="A791" t="s">
        <v>437</v>
      </c>
      <c r="B791" t="s">
        <v>157</v>
      </c>
      <c r="C791">
        <v>2018</v>
      </c>
      <c r="D791" t="s">
        <v>344</v>
      </c>
      <c r="N791" s="13">
        <v>35.5</v>
      </c>
      <c r="R791" s="13">
        <v>90</v>
      </c>
      <c r="AB791" s="13">
        <v>33.85</v>
      </c>
      <c r="AC791" s="13">
        <v>5.14</v>
      </c>
      <c r="AD791" s="13">
        <v>16.5</v>
      </c>
      <c r="AE791" s="13">
        <v>5.81</v>
      </c>
      <c r="AF791" s="13">
        <v>3.2</v>
      </c>
      <c r="AH791" s="13">
        <v>16.100000000000001</v>
      </c>
      <c r="AI791" s="13">
        <v>4.4000000000000003E-3</v>
      </c>
      <c r="AL791" s="13">
        <v>20</v>
      </c>
      <c r="AO791" s="13">
        <v>3</v>
      </c>
      <c r="AT791" s="13" t="e">
        <f>LN(25/Table26[[#This Row],[Temperature (C)]]/(1-SQRT((Table26[[#This Row],[Temperature (C)]]-5)/Table26[[#This Row],[Temperature (C)]])))/Table26[[#This Row],[b]]</f>
        <v>#DIV/0!</v>
      </c>
      <c r="AU791" s="13">
        <f>IF(Table26[[#This Row],[b]]&lt;&gt;"",Table26[[#This Row],[T-5]], 0)</f>
        <v>0</v>
      </c>
      <c r="AV791" s="13">
        <v>10</v>
      </c>
      <c r="AW791" s="13">
        <v>280</v>
      </c>
      <c r="AY791" s="13" t="s">
        <v>504</v>
      </c>
      <c r="AZ791" s="13">
        <v>47.235668789808898</v>
      </c>
      <c r="BA791" s="13">
        <v>19.261146496815201</v>
      </c>
      <c r="BB791" s="13">
        <v>27.5159235668789</v>
      </c>
      <c r="BC791" s="13">
        <v>2.06369426751594</v>
      </c>
      <c r="BE791" s="13" t="s">
        <v>506</v>
      </c>
      <c r="BQ791" s="13" t="s">
        <v>506</v>
      </c>
      <c r="CV791" s="13">
        <v>0</v>
      </c>
    </row>
    <row r="792" spans="1:100" x14ac:dyDescent="0.25">
      <c r="A792" t="s">
        <v>437</v>
      </c>
      <c r="B792" t="s">
        <v>157</v>
      </c>
      <c r="C792">
        <v>2018</v>
      </c>
      <c r="D792" t="s">
        <v>344</v>
      </c>
      <c r="N792" s="13">
        <v>35.5</v>
      </c>
      <c r="R792" s="13">
        <v>90</v>
      </c>
      <c r="AB792" s="13">
        <v>33.85</v>
      </c>
      <c r="AC792" s="13">
        <v>5.14</v>
      </c>
      <c r="AD792" s="13">
        <v>16.5</v>
      </c>
      <c r="AE792" s="13">
        <v>5.81</v>
      </c>
      <c r="AF792" s="13">
        <v>3.2</v>
      </c>
      <c r="AH792" s="13">
        <v>16.100000000000001</v>
      </c>
      <c r="AI792" s="13">
        <v>4.4000000000000003E-3</v>
      </c>
      <c r="AL792" s="13">
        <v>20</v>
      </c>
      <c r="AO792" s="13">
        <v>3</v>
      </c>
      <c r="AT792" s="13" t="e">
        <f>LN(25/Table26[[#This Row],[Temperature (C)]]/(1-SQRT((Table26[[#This Row],[Temperature (C)]]-5)/Table26[[#This Row],[Temperature (C)]])))/Table26[[#This Row],[b]]</f>
        <v>#DIV/0!</v>
      </c>
      <c r="AU792" s="13">
        <f>IF(Table26[[#This Row],[b]]&lt;&gt;"",Table26[[#This Row],[T-5]], 0)</f>
        <v>0</v>
      </c>
      <c r="AV792" s="13">
        <v>10</v>
      </c>
      <c r="AW792" s="13">
        <v>300</v>
      </c>
      <c r="AY792" s="13" t="s">
        <v>504</v>
      </c>
      <c r="AZ792" s="13">
        <v>45.936305732484001</v>
      </c>
      <c r="BA792" s="13">
        <v>20.4076433121019</v>
      </c>
      <c r="BB792" s="13">
        <v>23.9235668789809</v>
      </c>
      <c r="BC792" s="13">
        <v>2.3694267515923899</v>
      </c>
      <c r="BE792" s="13" t="s">
        <v>506</v>
      </c>
      <c r="BI792" s="13">
        <v>72.36</v>
      </c>
      <c r="BJ792" s="13">
        <v>9.1</v>
      </c>
      <c r="BK792" s="13">
        <v>12.59</v>
      </c>
      <c r="BL792" s="13">
        <v>4.49</v>
      </c>
      <c r="BM792" s="13">
        <v>1.46</v>
      </c>
      <c r="BN792" s="13">
        <v>35.35</v>
      </c>
      <c r="BP792" s="13">
        <v>44.2</v>
      </c>
      <c r="BQ792" s="13" t="s">
        <v>506</v>
      </c>
      <c r="CV792" s="13">
        <v>0</v>
      </c>
    </row>
    <row r="793" spans="1:100" x14ac:dyDescent="0.25">
      <c r="A793" t="s">
        <v>437</v>
      </c>
      <c r="B793" t="s">
        <v>157</v>
      </c>
      <c r="C793">
        <v>2018</v>
      </c>
      <c r="D793" t="s">
        <v>344</v>
      </c>
      <c r="N793" s="13">
        <v>35.5</v>
      </c>
      <c r="R793" s="13">
        <v>90</v>
      </c>
      <c r="AB793" s="13">
        <v>33.85</v>
      </c>
      <c r="AC793" s="13">
        <v>5.14</v>
      </c>
      <c r="AD793" s="13">
        <v>16.5</v>
      </c>
      <c r="AE793" s="13">
        <v>5.81</v>
      </c>
      <c r="AF793" s="13">
        <v>3.2</v>
      </c>
      <c r="AH793" s="13">
        <v>16.100000000000001</v>
      </c>
      <c r="AI793" s="13">
        <v>4.4000000000000003E-3</v>
      </c>
      <c r="AL793" s="13">
        <v>20</v>
      </c>
      <c r="AO793" s="13">
        <v>3</v>
      </c>
      <c r="AT793" s="13" t="e">
        <f>LN(25/Table26[[#This Row],[Temperature (C)]]/(1-SQRT((Table26[[#This Row],[Temperature (C)]]-5)/Table26[[#This Row],[Temperature (C)]])))/Table26[[#This Row],[b]]</f>
        <v>#DIV/0!</v>
      </c>
      <c r="AU793" s="13">
        <f>IF(Table26[[#This Row],[b]]&lt;&gt;"",Table26[[#This Row],[T-5]], 0)</f>
        <v>0</v>
      </c>
      <c r="AV793" s="13">
        <v>10</v>
      </c>
      <c r="AW793" s="13">
        <v>320</v>
      </c>
      <c r="AY793" s="13" t="s">
        <v>504</v>
      </c>
      <c r="AZ793" s="13">
        <v>43.719745222929902</v>
      </c>
      <c r="BA793" s="13">
        <v>20.789808917197401</v>
      </c>
      <c r="BB793" s="13">
        <v>20.942675159235598</v>
      </c>
      <c r="BC793" s="13">
        <v>3.4394904458598998</v>
      </c>
      <c r="BE793" s="13" t="s">
        <v>506</v>
      </c>
      <c r="BQ793" s="13" t="s">
        <v>506</v>
      </c>
      <c r="CV793" s="13">
        <v>0</v>
      </c>
    </row>
    <row r="794" spans="1:100" x14ac:dyDescent="0.25">
      <c r="A794" t="s">
        <v>437</v>
      </c>
      <c r="B794" t="s">
        <v>157</v>
      </c>
      <c r="C794">
        <v>2018</v>
      </c>
      <c r="D794" t="s">
        <v>344</v>
      </c>
      <c r="N794" s="13">
        <v>35.5</v>
      </c>
      <c r="R794" s="13">
        <v>90</v>
      </c>
      <c r="AB794" s="13">
        <v>33.85</v>
      </c>
      <c r="AC794" s="13">
        <v>5.14</v>
      </c>
      <c r="AD794" s="13">
        <v>16.5</v>
      </c>
      <c r="AE794" s="13">
        <v>5.81</v>
      </c>
      <c r="AF794" s="13">
        <v>3.2</v>
      </c>
      <c r="AH794" s="13">
        <v>16.100000000000001</v>
      </c>
      <c r="AI794" s="13">
        <v>4.4000000000000003E-3</v>
      </c>
      <c r="AL794" s="13">
        <v>20</v>
      </c>
      <c r="AO794" s="13">
        <v>3</v>
      </c>
      <c r="AT794" s="13" t="e">
        <f>LN(25/Table26[[#This Row],[Temperature (C)]]/(1-SQRT((Table26[[#This Row],[Temperature (C)]]-5)/Table26[[#This Row],[Temperature (C)]])))/Table26[[#This Row],[b]]</f>
        <v>#DIV/0!</v>
      </c>
      <c r="AU794" s="13">
        <f>IF(Table26[[#This Row],[b]]&lt;&gt;"",Table26[[#This Row],[T-5]], 0)</f>
        <v>0</v>
      </c>
      <c r="AV794" s="13">
        <v>10</v>
      </c>
      <c r="AW794" s="13">
        <v>340</v>
      </c>
      <c r="AY794" s="13" t="s">
        <v>504</v>
      </c>
      <c r="AZ794" s="13">
        <v>42.343949044585898</v>
      </c>
      <c r="BA794" s="13">
        <v>23.006369426751601</v>
      </c>
      <c r="BB794" s="13">
        <v>18.191082802547701</v>
      </c>
      <c r="BC794" s="13">
        <v>5.3503184713376202</v>
      </c>
      <c r="BE794" s="13" t="s">
        <v>506</v>
      </c>
      <c r="BI794" s="13">
        <v>72.36</v>
      </c>
      <c r="BJ794" s="13">
        <v>9.0399999999999991</v>
      </c>
      <c r="BK794" s="13">
        <v>11.91</v>
      </c>
      <c r="BL794" s="13">
        <v>4.88</v>
      </c>
      <c r="BM794" s="13">
        <v>1.81</v>
      </c>
      <c r="BN794" s="13">
        <v>35.409999999999997</v>
      </c>
      <c r="BP794" s="13">
        <v>50.2</v>
      </c>
      <c r="BQ794" s="13" t="s">
        <v>506</v>
      </c>
      <c r="CV794" s="13">
        <v>0</v>
      </c>
    </row>
    <row r="795" spans="1:100" x14ac:dyDescent="0.25">
      <c r="A795" t="s">
        <v>437</v>
      </c>
      <c r="B795" t="s">
        <v>157</v>
      </c>
      <c r="C795">
        <v>2018</v>
      </c>
      <c r="D795" t="s">
        <v>344</v>
      </c>
      <c r="N795" s="13">
        <v>35.5</v>
      </c>
      <c r="R795" s="13">
        <v>90</v>
      </c>
      <c r="AB795" s="13">
        <v>33.85</v>
      </c>
      <c r="AC795" s="13">
        <v>5.14</v>
      </c>
      <c r="AD795" s="13">
        <v>16.5</v>
      </c>
      <c r="AE795" s="13">
        <v>5.81</v>
      </c>
      <c r="AF795" s="13">
        <v>3.2</v>
      </c>
      <c r="AH795" s="13">
        <v>16.100000000000001</v>
      </c>
      <c r="AI795" s="13">
        <v>4.4000000000000003E-3</v>
      </c>
      <c r="AL795" s="13">
        <v>20</v>
      </c>
      <c r="AO795" s="13">
        <v>3</v>
      </c>
      <c r="AT795" s="13" t="e">
        <f>LN(25/Table26[[#This Row],[Temperature (C)]]/(1-SQRT((Table26[[#This Row],[Temperature (C)]]-5)/Table26[[#This Row],[Temperature (C)]])))/Table26[[#This Row],[b]]</f>
        <v>#DIV/0!</v>
      </c>
      <c r="AU795" s="13">
        <f>IF(Table26[[#This Row],[b]]&lt;&gt;"",Table26[[#This Row],[T-5]], 0)</f>
        <v>0</v>
      </c>
      <c r="AV795" s="13">
        <v>10</v>
      </c>
      <c r="AW795" s="13">
        <v>350</v>
      </c>
      <c r="AY795" s="13" t="s">
        <v>504</v>
      </c>
      <c r="AZ795" s="13">
        <v>39.745222929936297</v>
      </c>
      <c r="BA795" s="13">
        <v>20.025477707006299</v>
      </c>
      <c r="BB795" s="13">
        <v>16.203821656050899</v>
      </c>
      <c r="BC795" s="13">
        <v>10.471337579617799</v>
      </c>
      <c r="BE795" s="13" t="s">
        <v>506</v>
      </c>
      <c r="BI795" s="13">
        <v>73.12</v>
      </c>
      <c r="BJ795" s="13">
        <v>9.1999999999999993</v>
      </c>
      <c r="BK795" s="13">
        <v>11.58</v>
      </c>
      <c r="BL795" s="13">
        <v>4.43</v>
      </c>
      <c r="BM795" s="13">
        <v>1.67</v>
      </c>
      <c r="BN795" s="13">
        <v>35.94</v>
      </c>
      <c r="BP795" s="13">
        <v>44.1</v>
      </c>
      <c r="BQ795" s="13" t="s">
        <v>506</v>
      </c>
      <c r="CV795" s="13">
        <v>0</v>
      </c>
    </row>
    <row r="796" spans="1:100" x14ac:dyDescent="0.25">
      <c r="A796" t="s">
        <v>124</v>
      </c>
      <c r="B796" t="s">
        <v>154</v>
      </c>
      <c r="C796">
        <v>1995</v>
      </c>
      <c r="D796" t="s">
        <v>123</v>
      </c>
      <c r="E796">
        <v>1</v>
      </c>
      <c r="F796" s="13">
        <f>IF(Table26[[#This Row],[Other Carbs wt%]]+Table26[[#This Row],[Cellulose wt%]]+Table26[[#This Row],[Hemicellulose wt%]]+ Table26[[#This Row],[Starch wt%]]=0,"",Table26[[#This Row],[Other Carbs wt%]]+Table26[[#This Row],[Cellulose wt%]]+Table26[[#This Row],[Hemicellulose wt%]]+ Table26[[#This Row],[Starch wt%]])</f>
        <v>55</v>
      </c>
      <c r="G796" s="13">
        <v>55</v>
      </c>
      <c r="K796" s="13">
        <v>18.399999999999999</v>
      </c>
      <c r="L796" s="13">
        <v>5.3</v>
      </c>
      <c r="M796" s="13">
        <v>6.1</v>
      </c>
      <c r="N796" s="13">
        <v>25.3</v>
      </c>
      <c r="O796" s="13">
        <f>IF(NOT(SUM(Table26[[#This Row],[Carbs wt%]],Table26[[#This Row],[Protein wt%]],Table26[[#This Row],[Lipids wt%]],Table26[[#This Row],[Lignin wt%]])=0),SUM(Table26[[#This Row],[Carbs wt%]],Table26[[#This Row],[Protein wt%]],Table26[[#This Row],[Lipids wt%]],Table26[[#This Row],[Lignin wt%]]),"")</f>
        <v>84.8</v>
      </c>
      <c r="AB796" s="13">
        <v>44.2</v>
      </c>
      <c r="AC796" s="13">
        <v>5.8</v>
      </c>
      <c r="AD796" s="13">
        <v>31.2</v>
      </c>
      <c r="AE796" s="13">
        <v>3.5</v>
      </c>
      <c r="AH796" s="13">
        <v>17.7</v>
      </c>
      <c r="AI796" s="13">
        <v>0.3</v>
      </c>
      <c r="AL796" s="13">
        <v>4</v>
      </c>
      <c r="AR796" s="13">
        <v>18</v>
      </c>
      <c r="AS796" s="13">
        <v>30</v>
      </c>
      <c r="AT796" s="13" t="e">
        <f>LN(25/Table26[[#This Row],[Temperature (C)]]/(1-SQRT((Table26[[#This Row],[Temperature (C)]]-5)/Table26[[#This Row],[Temperature (C)]])))/Table26[[#This Row],[b]]</f>
        <v>#DIV/0!</v>
      </c>
      <c r="AU796" s="13">
        <f>IF(Table26[[#This Row],[b]]&lt;&gt;"",Table26[[#This Row],[T-5]], 0)</f>
        <v>0</v>
      </c>
      <c r="AV796" s="13">
        <f>Table26[[#This Row],[Holding Time (min)]]+Table26[[#This Row],[Heating time]]</f>
        <v>30</v>
      </c>
      <c r="AW796" s="13">
        <v>340</v>
      </c>
      <c r="AY796" t="s">
        <v>503</v>
      </c>
      <c r="BA796" s="13">
        <v>27.6</v>
      </c>
      <c r="BE796" s="13" t="s">
        <v>506</v>
      </c>
      <c r="BI796" s="13">
        <v>73.599999999999994</v>
      </c>
      <c r="BJ796" s="13">
        <v>9.1</v>
      </c>
      <c r="BK796" s="13">
        <v>12.7</v>
      </c>
      <c r="BL796" s="13">
        <v>4.5999999999999996</v>
      </c>
      <c r="BN796" s="13">
        <v>36</v>
      </c>
      <c r="BQ796" s="13" t="s">
        <v>506</v>
      </c>
      <c r="CV796" s="13">
        <v>0</v>
      </c>
    </row>
  </sheetData>
  <phoneticPr fontId="2" type="noConversion"/>
  <hyperlinks>
    <hyperlink ref="A4" r:id="rId1" xr:uid="{22BA74AC-B6DB-48A5-B192-3FDE883A17B7}"/>
    <hyperlink ref="A8" r:id="rId2" xr:uid="{B59CAED2-E469-440F-94D4-46122900955D}"/>
    <hyperlink ref="A10" r:id="rId3" xr:uid="{F308C42B-A150-4A4E-B47B-B6A389070BB2}"/>
    <hyperlink ref="A11" r:id="rId4" xr:uid="{B4BD853C-FB2F-48A1-8FF1-A13CF2823E3C}"/>
    <hyperlink ref="A338" r:id="rId5" xr:uid="{2CB91ED3-93AD-4CAC-AEC2-3E896E067E96}"/>
    <hyperlink ref="A18" r:id="rId6" xr:uid="{DAF136F9-EE03-4FB4-9C7D-C57C96FE915F}"/>
    <hyperlink ref="A20" r:id="rId7" xr:uid="{A22E2EED-6A48-464C-9141-D6D44A6305C9}"/>
    <hyperlink ref="A59" r:id="rId8" xr:uid="{8D813803-F94C-463E-9489-0495281F0894}"/>
    <hyperlink ref="A256" r:id="rId9" xr:uid="{8F206A4F-11B9-4F4D-9922-6AD04B2A9257}"/>
    <hyperlink ref="A31" r:id="rId10" xr:uid="{45101229-6275-4F2A-94AA-738AB606B553}"/>
    <hyperlink ref="A277" r:id="rId11" xr:uid="{B56B65EA-A4C3-4B09-9B2D-167B9EEB3C24}"/>
    <hyperlink ref="A282" r:id="rId12" xr:uid="{FC208CCD-AA45-41F1-B682-FCF63480041D}"/>
    <hyperlink ref="A382" r:id="rId13" xr:uid="{526107AB-E412-4398-828D-A35A91CDDB11}"/>
    <hyperlink ref="A470" r:id="rId14" xr:uid="{93A48D6A-70B9-482A-AEB6-F89BA7E9F317}"/>
    <hyperlink ref="A653" r:id="rId15" xr:uid="{FD420674-E6D0-4B9C-A89C-BA2A4E966D03}"/>
    <hyperlink ref="A5" r:id="rId16" xr:uid="{E10277D1-58E0-4875-92D6-458EA51D5AD9}"/>
    <hyperlink ref="A9" r:id="rId17" xr:uid="{58DF9721-F627-435C-88B8-8A1D7636BB12}"/>
    <hyperlink ref="A796" r:id="rId18" xr:uid="{7274BDE3-F71F-423A-B00B-7C7E73C21FC2}"/>
  </hyperlinks>
  <pageMargins left="0.7" right="0.7" top="0.75" bottom="0.75" header="0.3" footer="0.3"/>
  <pageSetup orientation="portrait" horizontalDpi="1200" verticalDpi="1200" r:id="rId19"/>
  <tableParts count="1">
    <tablePart r:id="rId20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��< ? x m l   v e r s i o n = " 1 . 0 "   e n c o d i n g = " u t f - 1 6 " ? > < D a t a M a s h u p   s q m i d = " a 3 e a 6 5 4 1 - 0 1 0 e - 4 7 2 3 - b e 1 8 - 5 a 7 b d 7 c 5 f 3 2 2 "   x m l n s = " h t t p : / / s c h e m a s . m i c r o s o f t . c o m / D a t a M a s h u p " > A A A A A D g G A A B Q S w M E F A A C A A g A e L c M V W p 7 9 T q j A A A A 9 g A A A B I A H A B D b 2 5 m a W c v U G F j a 2 F n Z S 5 4 b W w g o h g A K K A U A A A A A A A A A A A A A A A A A A A A A A A A A A A A h Y + x D o I w F E V / h X S n L X X Q k E c Z X C U x I R r X B i o 0 w s P Q Y v k 3 B z / J X x C j q J v j P f c M 9 9 6 v N 0 j H t g k u u r e m w 4 R E l J N A Y 9 G V B q u E D O 4 Y r k g q Y a u K k 6 p 0 M M l o 4 9 G W C a m d O 8 e M e e + p X 9 C u r 5 j g P G K H b J M X t W 4 V + c j m v x w a t E 5 h o Y m E / W u M F D T i S y r 4 t A n Y D C E z + B X E 1 D 3 b H w j r o X F D r 6 X G c J c D m y O w 9 w f 5 A F B L A w Q U A A I A C A B 4 t w x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e L c M V d W 8 j P 8 z A w A A 0 R g A A B M A H A B G b 3 J t d W x h c y 9 T Z W N 0 a W 9 u M S 5 t I K I Y A C i g F A A A A A A A A A A A A A A A A A A A A A A A A A A A A O 2 Y 3 W 7 a M B T H 7 5 F 4 B y v V J C L R K I 4 p I Z u 4 2 G i n c r E N F T a p A o o M c d t I s R 3 F R t 2 E e K c 9 w 5 5 s T g m 0 J f H K V 2 m r l R u k / z k c n / j 8 D s e O I C M Z c A b a s 2 / 4 o V g o F s Q 1 j o k P D o w O H o b E t h 1 Q a u E r A h z T A H U Q E l k s A P V p 8 3 E 8 I k p p + Z f W r a s o f Q 5 C Y j U 4 k 4 R J U T I a 7 3 v f B Y l F L y K S x L 1 j f s N C j n 3 R g 4 f C s e z D t o 3 s q l O F H v Q Q 9 D w P H V I 6 g l b k X x p m G X S b N A o J V a F w k l z d g B Y y + m Z 5 t v w i u X q a y a T b 9 O u L n I 3 + t H u M J e 6 n 7 g d G 4 x q z K / V c n V 8 R S R 7 k 1 t P q x J i J S x 7 T B g / H l C V G U Z o H K U 8 m x k y H R h l I Z Q O S / J T T M p j r j k Z H G r 2 i 0 Y 8 0 e l W j u x q 9 p t E 9 j Q 7 t B 4 a p W S w E L H f H c t F A K R r o J a K B 8 t F A u 0 A D P U S j y W S 1 Y i U e S 2 z k G h Z w s D E d k j g P j 4 x l b 4 B k V t 4 S E b h 7 R M S o O r R h 7 c g d i G C g V l i L C p h P B c x S 0 Y o 5 5 V I 9 y y n B v s r j j o z U k u p z J q D K I L V 8 D M P 2 C I c 4 F n U Z j 8 k i h 7 V Q y 8 k g o a 5 N J G j x g E n Q I T Q i M Z b j m I D S x Y R P Q c P M M t c J q D I L M 1 P 4 E y E D i p P w q w V q K K l F 1 M a p / b 0 i d / q p R v 9 2 M c H T z K p f N d 7 t r S j z U s p q u 6 T M H d p O 7 a i y C W V e P m X e 9 p R 5 + 6 G s M 5 g I B V q U g D Y F p T + / 9 W j R g J k 5 / x 7 n g 0 k U q 7 g B U 7 + / k e 9 M T e E T P x L J w C f i U U f B w 8 B / 3 A 2 r l F a I h i n l L M C P + g 0 D P o r H P v m 3 4 x c s B P i k y s E U c T r H T b l 2 n 3 D A 1 h C s u q i 2 / o B 9 9 Z A 3 j 9 c 4 1 r G R l V E 7 G U V m F J b t m / O A h P 7 K A / o k L U T Y 4 D T i I k g K 0 l V 8 9 V c 7 0 9 0 z 6 E 6 x U H e M h d l z 7 O n p j 2 y G Z 0 t / 3 o s a n R G G q d r 1 W b h 7 d Z 8 Z U r m 0 V M y k N s l G G t K C x l L P L E f M a x t o 7 3 4 c 7 K x t V H J 5 b a O q t m 3 b Q P s Z 2 2 Z P 7 Z E 9 1 6 7 b H i t e h T Z r m 9 f Q H c 5 8 q D h P e a P f t D 2 c / K n i b D 9 V n O e c K m / t 8 e z c o / l U c J 7 y d c W m 3 K P 8 s Y C 2 H w v o b S z 8 1 9 x X 3 P k r m M o L 5 F 5 l l 8 d 9 x d 2 a + 4 r 7 d o v Y 6 + E n 9 8 6 w X / z / A l B L A Q I t A B Q A A g A I A H i 3 D F V q e / U 6 o w A A A P Y A A A A S A A A A A A A A A A A A A A A A A A A A A A B D b 2 5 m a W c v U G F j a 2 F n Z S 5 4 b W x Q S w E C L Q A U A A I A C A B 4 t w x V D 8 r p q 6 Q A A A D p A A A A E w A A A A A A A A A A A A A A A A D v A A A A W 0 N v b n R l b n R f V H l w Z X N d L n h t b F B L A Q I t A B Q A A g A I A H i 3 D F X V v I z / M w M A A N E Y A A A T A A A A A A A A A A A A A A A A A O A B A A B G b 3 J t d W x h c y 9 T Z W N 0 a W 9 u M S 5 t U E s F B g A A A A A D A A M A w g A A A G A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S F A A A A A A A A 0 o U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M D A y J T I w K F B h Z 2 U l M j A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I g K F B h Z 2 U g M i k v Q X V 0 b 1 J l b W 9 2 Z W R D b 2 x 1 b W 5 z M S 5 7 Q 2 9 s d W 1 u M S w w f S Z x d W 9 0 O y w m c X V v d D t T Z W N 0 a W 9 u M S 9 U Y W J s Z T A w M i A o U G F n Z S A y K S 9 B d X R v U m V t b 3 Z l Z E N v b H V t b n M x L n t D b 2 x 1 b W 4 y L D F 9 J n F 1 b 3 Q 7 L C Z x d W 9 0 O 1 N l Y 3 R p b 2 4 x L 1 R h Y m x l M D A y I C h Q Y W d l I D I p L 0 F 1 d G 9 S Z W 1 v d m V k Q 2 9 s d W 1 u c z E u e 0 N v b H V t b j M s M n 0 m c X V v d D s s J n F 1 b 3 Q 7 U 2 V j d G l v b j E v V G F i b G U w M D I g K F B h Z 2 U g M i k v Q X V 0 b 1 J l b W 9 2 Z W R D b 2 x 1 b W 5 z M S 5 7 Q 2 9 s d W 1 u N C w z f S Z x d W 9 0 O y w m c X V v d D t T Z W N 0 a W 9 u M S 9 U Y W J s Z T A w M i A o U G F n Z S A y K S 9 B d X R v U m V t b 3 Z l Z E N v b H V t b n M x L n t D b 2 x 1 b W 4 1 L D R 9 J n F 1 b 3 Q 7 L C Z x d W 9 0 O 1 N l Y 3 R p b 2 4 x L 1 R h Y m x l M D A y I C h Q Y W d l I D I p L 0 F 1 d G 9 S Z W 1 v d m V k Q 2 9 s d W 1 u c z E u e 0 N v b H V t b j Y s N X 0 m c X V v d D s s J n F 1 b 3 Q 7 U 2 V j d G l v b j E v V G F i b G U w M D I g K F B h Z 2 U g M i k v Q X V 0 b 1 J l b W 9 2 Z W R D b 2 x 1 b W 5 z M S 5 7 Q 2 9 s d W 1 u N y w 2 f S Z x d W 9 0 O y w m c X V v d D t T Z W N 0 a W 9 u M S 9 U Y W J s Z T A w M i A o U G F n Z S A y K S 9 B d X R v U m V t b 3 Z l Z E N v b H V t b n M x L n t D b 2 x 1 b W 4 4 L D d 9 J n F 1 b 3 Q 7 L C Z x d W 9 0 O 1 N l Y 3 R p b 2 4 x L 1 R h Y m x l M D A y I C h Q Y W d l I D I p L 0 F 1 d G 9 S Z W 1 v d m V k Q 2 9 s d W 1 u c z E u e 0 N v b H V t b j k s O H 0 m c X V v d D s s J n F 1 b 3 Q 7 U 2 V j d G l v b j E v V G F i b G U w M D I g K F B h Z 2 U g M i k v Q X V 0 b 1 J l b W 9 2 Z W R D b 2 x 1 b W 5 z M S 5 7 Q 2 9 s d W 1 u M T A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1 R h Y m x l M D A y I C h Q Y W d l I D I p L 0 F 1 d G 9 S Z W 1 v d m V k Q 2 9 s d W 1 u c z E u e 0 N v b H V t b j E s M H 0 m c X V v d D s s J n F 1 b 3 Q 7 U 2 V j d G l v b j E v V G F i b G U w M D I g K F B h Z 2 U g M i k v Q X V 0 b 1 J l b W 9 2 Z W R D b 2 x 1 b W 5 z M S 5 7 Q 2 9 s d W 1 u M i w x f S Z x d W 9 0 O y w m c X V v d D t T Z W N 0 a W 9 u M S 9 U Y W J s Z T A w M i A o U G F n Z S A y K S 9 B d X R v U m V t b 3 Z l Z E N v b H V t b n M x L n t D b 2 x 1 b W 4 z L D J 9 J n F 1 b 3 Q 7 L C Z x d W 9 0 O 1 N l Y 3 R p b 2 4 x L 1 R h Y m x l M D A y I C h Q Y W d l I D I p L 0 F 1 d G 9 S Z W 1 v d m V k Q 2 9 s d W 1 u c z E u e 0 N v b H V t b j Q s M 3 0 m c X V v d D s s J n F 1 b 3 Q 7 U 2 V j d G l v b j E v V G F i b G U w M D I g K F B h Z 2 U g M i k v Q X V 0 b 1 J l b W 9 2 Z W R D b 2 x 1 b W 5 z M S 5 7 Q 2 9 s d W 1 u N S w 0 f S Z x d W 9 0 O y w m c X V v d D t T Z W N 0 a W 9 u M S 9 U Y W J s Z T A w M i A o U G F n Z S A y K S 9 B d X R v U m V t b 3 Z l Z E N v b H V t b n M x L n t D b 2 x 1 b W 4 2 L D V 9 J n F 1 b 3 Q 7 L C Z x d W 9 0 O 1 N l Y 3 R p b 2 4 x L 1 R h Y m x l M D A y I C h Q Y W d l I D I p L 0 F 1 d G 9 S Z W 1 v d m V k Q 2 9 s d W 1 u c z E u e 0 N v b H V t b j c s N n 0 m c X V v d D s s J n F 1 b 3 Q 7 U 2 V j d G l v b j E v V G F i b G U w M D I g K F B h Z 2 U g M i k v Q X V 0 b 1 J l b W 9 2 Z W R D b 2 x 1 b W 5 z M S 5 7 Q 2 9 s d W 1 u O C w 3 f S Z x d W 9 0 O y w m c X V v d D t T Z W N 0 a W 9 u M S 9 U Y W J s Z T A w M i A o U G F n Z S A y K S 9 B d X R v U m V t b 3 Z l Z E N v b H V t b n M x L n t D b 2 x 1 b W 4 5 L D h 9 J n F 1 b 3 Q 7 L C Z x d W 9 0 O 1 N l Y 3 R p b 2 4 x L 1 R h Y m x l M D A y I C h Q Y W d l I D I p L 0 F 1 d G 9 S Z W 1 v d m V k Q 2 9 s d W 1 u c z E u e 0 N v b H V t b j E w L D l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1 0 i I C 8 + P E V u d H J 5 I F R 5 c G U 9 I k Z p b G x D b 2 x 1 b W 5 U e X B l c y I g V m F s d W U 9 I n N C Z 1 l H Q m d Z R 0 J n W U d C Z z 0 9 I i A v P j x F b n R y e S B U e X B l P S J G a W x s T G F z d F V w Z G F 0 Z W Q i I F Z h b H V l P S J k M j A y M i 0 w O C 0 x M l Q y M T o 1 N D o w M y 4 0 N T g z N D U 1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z c i I C 8 + P E V u d H J 5 I F R 5 c G U 9 I k F k Z G V k V G 9 E Y X R h T W 9 k Z W w i I F Z h b H V l P S J s M C I g L z 4 8 R W 5 0 c n k g V H l w Z T 0 i U X V l c n l J R C I g V m F s d W U 9 I n M w O D k 4 M 2 U y N i 0 y M W E 4 L T Q 3 O W E t O W N m N i 0 5 O G R l Z T M y Y z k z M m I i I C 8 + P C 9 T d G F i b G V F b n R y a W V z P j w v S X R l b T 4 8 S X R l b T 4 8 S X R l b U x v Y 2 F 0 a W 9 u P j x J d G V t V H l w Z T 5 G b 3 J t d W x h P C 9 J d G V t V H l w Z T 4 8 S X R l b V B h d G g + U 2 V j d G l v b j E v V G F i b G U w M D I l M j A o U G F n Z S U y M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y J T I w K F B h Z 2 U l M j A y K S 9 U Y W J s Z T A w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y J T I w K F B h Z 2 U l M j A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z J T I w K F B h Z 2 U l M j A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4 L T E y V D I x O j U 0 O j U 0 L j Y 2 M T Q w N j J a I i A v P j x F b n R y e S B U e X B l P S J G a W x s Q 2 9 s d W 1 u V H l w Z X M i I F Z h b H V l P S J z Q X d N R k J R W U d C Z 1 l G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M y A o U G F n Z S A z K S 9 B d X R v U m V t b 3 Z l Z E N v b H V t b n M x L n t D b 2 x 1 b W 4 x L D B 9 J n F 1 b 3 Q 7 L C Z x d W 9 0 O 1 N l Y 3 R p b 2 4 x L 1 R h Y m x l M D A z I C h Q Y W d l I D M p L 0 F 1 d G 9 S Z W 1 v d m V k Q 2 9 s d W 1 u c z E u e 0 N v b H V t b j I s M X 0 m c X V v d D s s J n F 1 b 3 Q 7 U 2 V j d G l v b j E v V G F i b G U w M D M g K F B h Z 2 U g M y k v Q X V 0 b 1 J l b W 9 2 Z W R D b 2 x 1 b W 5 z M S 5 7 Q 2 9 s d W 1 u M y w y f S Z x d W 9 0 O y w m c X V v d D t T Z W N 0 a W 9 u M S 9 U Y W J s Z T A w M y A o U G F n Z S A z K S 9 B d X R v U m V t b 3 Z l Z E N v b H V t b n M x L n t D b 2 x 1 b W 4 0 L D N 9 J n F 1 b 3 Q 7 L C Z x d W 9 0 O 1 N l Y 3 R p b 2 4 x L 1 R h Y m x l M D A z I C h Q Y W d l I D M p L 0 F 1 d G 9 S Z W 1 v d m V k Q 2 9 s d W 1 u c z E u e 0 N v b H V t b j U s N H 0 m c X V v d D s s J n F 1 b 3 Q 7 U 2 V j d G l v b j E v V G F i b G U w M D M g K F B h Z 2 U g M y k v Q X V 0 b 1 J l b W 9 2 Z W R D b 2 x 1 b W 5 z M S 5 7 Q 2 9 s d W 1 u N i w 1 f S Z x d W 9 0 O y w m c X V v d D t T Z W N 0 a W 9 u M S 9 U Y W J s Z T A w M y A o U G F n Z S A z K S 9 B d X R v U m V t b 3 Z l Z E N v b H V t b n M x L n t D b 2 x 1 b W 4 3 L D Z 9 J n F 1 b 3 Q 7 L C Z x d W 9 0 O 1 N l Y 3 R p b 2 4 x L 1 R h Y m x l M D A z I C h Q Y W d l I D M p L 0 F 1 d G 9 S Z W 1 v d m V k Q 2 9 s d W 1 u c z E u e 0 N v b H V t b j g s N 3 0 m c X V v d D s s J n F 1 b 3 Q 7 U 2 V j d G l v b j E v V G F i b G U w M D M g K F B h Z 2 U g M y k v Q X V 0 b 1 J l b W 9 2 Z W R D b 2 x 1 b W 5 z M S 5 7 Q 2 9 s d W 1 u O S w 4 f S Z x d W 9 0 O y w m c X V v d D t T Z W N 0 a W 9 u M S 9 U Y W J s Z T A w M y A o U G F n Z S A z K S 9 B d X R v U m V t b 3 Z l Z E N v b H V t b n M x L n t D b 2 x 1 b W 4 x M C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V G F i b G U w M D M g K F B h Z 2 U g M y k v Q X V 0 b 1 J l b W 9 2 Z W R D b 2 x 1 b W 5 z M S 5 7 Q 2 9 s d W 1 u M S w w f S Z x d W 9 0 O y w m c X V v d D t T Z W N 0 a W 9 u M S 9 U Y W J s Z T A w M y A o U G F n Z S A z K S 9 B d X R v U m V t b 3 Z l Z E N v b H V t b n M x L n t D b 2 x 1 b W 4 y L D F 9 J n F 1 b 3 Q 7 L C Z x d W 9 0 O 1 N l Y 3 R p b 2 4 x L 1 R h Y m x l M D A z I C h Q Y W d l I D M p L 0 F 1 d G 9 S Z W 1 v d m V k Q 2 9 s d W 1 u c z E u e 0 N v b H V t b j M s M n 0 m c X V v d D s s J n F 1 b 3 Q 7 U 2 V j d G l v b j E v V G F i b G U w M D M g K F B h Z 2 U g M y k v Q X V 0 b 1 J l b W 9 2 Z W R D b 2 x 1 b W 5 z M S 5 7 Q 2 9 s d W 1 u N C w z f S Z x d W 9 0 O y w m c X V v d D t T Z W N 0 a W 9 u M S 9 U Y W J s Z T A w M y A o U G F n Z S A z K S 9 B d X R v U m V t b 3 Z l Z E N v b H V t b n M x L n t D b 2 x 1 b W 4 1 L D R 9 J n F 1 b 3 Q 7 L C Z x d W 9 0 O 1 N l Y 3 R p b 2 4 x L 1 R h Y m x l M D A z I C h Q Y W d l I D M p L 0 F 1 d G 9 S Z W 1 v d m V k Q 2 9 s d W 1 u c z E u e 0 N v b H V t b j Y s N X 0 m c X V v d D s s J n F 1 b 3 Q 7 U 2 V j d G l v b j E v V G F i b G U w M D M g K F B h Z 2 U g M y k v Q X V 0 b 1 J l b W 9 2 Z W R D b 2 x 1 b W 5 z M S 5 7 Q 2 9 s d W 1 u N y w 2 f S Z x d W 9 0 O y w m c X V v d D t T Z W N 0 a W 9 u M S 9 U Y W J s Z T A w M y A o U G F n Z S A z K S 9 B d X R v U m V t b 3 Z l Z E N v b H V t b n M x L n t D b 2 x 1 b W 4 4 L D d 9 J n F 1 b 3 Q 7 L C Z x d W 9 0 O 1 N l Y 3 R p b 2 4 x L 1 R h Y m x l M D A z I C h Q Y W d l I D M p L 0 F 1 d G 9 S Z W 1 v d m V k Q 2 9 s d W 1 u c z E u e 0 N v b H V t b j k s O H 0 m c X V v d D s s J n F 1 b 3 Q 7 U 2 V j d G l v b j E v V G F i b G U w M D M g K F B h Z 2 U g M y k v Q X V 0 b 1 J l b W 9 2 Z W R D b 2 x 1 b W 5 z M S 5 7 Q 2 9 s d W 1 u M T A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A z J T I w K F B h Z 2 U l M j A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y U y M C h Q Y W d l J T I w M y k v V G F i b G U w M D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y U y M C h Q Y W d l J T I w M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C 0 x M 1 Q w M D o x M T o 0 M i 4 5 M j g w N D Q 4 W i I g L z 4 8 R W 5 0 c n k g V H l w Z T 0 i R m l s b E N v b H V t b l R 5 c G V z I i B W Y W x 1 Z T 0 i c 0 F 3 W U R C Q V F H Q k F Z P S I g L z 4 8 R W 5 0 c n k g V H l w Z T 0 i R m l s b E N v b H V t b k 5 h b W V z I i B W Y W x 1 Z T 0 i c 1 s m c X V v d D t T Z X Q g U G 9 p b n Q g V G V t c G V y Y X R 1 c m U g K F 5 7 b 3 0 g Q y k m c X V v d D s s J n F 1 b 3 Q 7 V G l t Z S A o c y k m c X V v d D s s J n F 1 b 3 Q 7 R X N 0 a W 1 h d G V k I F R l b X B l c m F 0 d X J l I C h e e 2 9 9 I E M p J n F 1 b 3 Q 7 L C Z x d W 9 0 O 0 M m c X V v d D s s J n F 1 b 3 Q 7 S C Z x d W 9 0 O y w m c X V v d D t P X n t h f S Z x d W 9 0 O y w m c X V v d D t O J n F 1 b 3 Q 7 L C Z x d W 9 0 O 1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M S A o U G F n Z S A z K S 9 B d X R v U m V t b 3 Z l Z E N v b H V t b n M x L n t T Z X Q g U G 9 p b n Q g V G V t c G V y Y X R 1 c m U g K F 5 7 e 2 9 9 I E M p L D B 9 J n F 1 b 3 Q 7 L C Z x d W 9 0 O 1 N l Y 3 R p b 2 4 x L 1 R h Y m x l M D A x I C h Q Y W d l I D M p L 0 F 1 d G 9 S Z W 1 v d m V k Q 2 9 s d W 1 u c z E u e 1 R p b W U g K H M p L D F 9 J n F 1 b 3 Q 7 L C Z x d W 9 0 O 1 N l Y 3 R p b 2 4 x L 1 R h Y m x l M D A x I C h Q Y W d l I D M p L 0 F 1 d G 9 S Z W 1 v d m V k Q 2 9 s d W 1 u c z E u e 0 V z d G l t Y X R l Z C B U Z W 1 w Z X J h d H V y Z S A o X n t 7 b 3 0 g Q y k s M n 0 m c X V v d D s s J n F 1 b 3 Q 7 U 2 V j d G l v b j E v V G F i b G U w M D E g K F B h Z 2 U g M y k v Q X V 0 b 1 J l b W 9 2 Z W R D b 2 x 1 b W 5 z M S 5 7 Q y w z f S Z x d W 9 0 O y w m c X V v d D t T Z W N 0 a W 9 u M S 9 U Y W J s Z T A w M S A o U G F n Z S A z K S 9 B d X R v U m V t b 3 Z l Z E N v b H V t b n M x L n t I L D R 9 J n F 1 b 3 Q 7 L C Z x d W 9 0 O 1 N l Y 3 R p b 2 4 x L 1 R h Y m x l M D A x I C h Q Y W d l I D M p L 0 F 1 d G 9 S Z W 1 v d m V k Q 2 9 s d W 1 u c z E u e 0 9 e e 3 t h f S w 1 f S Z x d W 9 0 O y w m c X V v d D t T Z W N 0 a W 9 u M S 9 U Y W J s Z T A w M S A o U G F n Z S A z K S 9 B d X R v U m V t b 3 Z l Z E N v b H V t b n M x L n t O L D Z 9 J n F 1 b 3 Q 7 L C Z x d W 9 0 O 1 N l Y 3 R p b 2 4 x L 1 R h Y m x l M D A x I C h Q Y W d l I D M p L 0 F 1 d G 9 S Z W 1 v d m V k Q 2 9 s d W 1 u c z E u e 1 M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V G F i b G U w M D E g K F B h Z 2 U g M y k v Q X V 0 b 1 J l b W 9 2 Z W R D b 2 x 1 b W 5 z M S 5 7 U 2 V 0 I F B v a W 5 0 I F R l b X B l c m F 0 d X J l I C h e e 3 t v f S B D K S w w f S Z x d W 9 0 O y w m c X V v d D t T Z W N 0 a W 9 u M S 9 U Y W J s Z T A w M S A o U G F n Z S A z K S 9 B d X R v U m V t b 3 Z l Z E N v b H V t b n M x L n t U a W 1 l I C h z K S w x f S Z x d W 9 0 O y w m c X V v d D t T Z W N 0 a W 9 u M S 9 U Y W J s Z T A w M S A o U G F n Z S A z K S 9 B d X R v U m V t b 3 Z l Z E N v b H V t b n M x L n t F c 3 R p b W F 0 Z W Q g V G V t c G V y Y X R 1 c m U g K F 5 7 e 2 9 9 I E M p L D J 9 J n F 1 b 3 Q 7 L C Z x d W 9 0 O 1 N l Y 3 R p b 2 4 x L 1 R h Y m x l M D A x I C h Q Y W d l I D M p L 0 F 1 d G 9 S Z W 1 v d m V k Q 2 9 s d W 1 u c z E u e 0 M s M 3 0 m c X V v d D s s J n F 1 b 3 Q 7 U 2 V j d G l v b j E v V G F i b G U w M D E g K F B h Z 2 U g M y k v Q X V 0 b 1 J l b W 9 2 Z W R D b 2 x 1 b W 5 z M S 5 7 S C w 0 f S Z x d W 9 0 O y w m c X V v d D t T Z W N 0 a W 9 u M S 9 U Y W J s Z T A w M S A o U G F n Z S A z K S 9 B d X R v U m V t b 3 Z l Z E N v b H V t b n M x L n t P X n t 7 Y X 0 s N X 0 m c X V v d D s s J n F 1 b 3 Q 7 U 2 V j d G l v b j E v V G F i b G U w M D E g K F B h Z 2 U g M y k v Q X V 0 b 1 J l b W 9 2 Z W R D b 2 x 1 b W 5 z M S 5 7 T i w 2 f S Z x d W 9 0 O y w m c X V v d D t T Z W N 0 a W 9 u M S 9 U Y W J s Z T A w M S A o U G F n Z S A z K S 9 B d X R v U m V t b 3 Z l Z E N v b H V t b n M x L n t T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w M S U y M C h Q Y W d l J T I w M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M p L 1 R h Y m x l M D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M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z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5 J T I w K F B h Z 2 U l M j A 4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4 L T E z V D A w O j U 4 O j E y L j M 4 M j E w M D h a I i A v P j x F b n R y e S B U e X B l P S J G a W x s Q 2 9 s d W 1 u V H l w Z X M i I F Z h b H V l P S J z Q X d V R U J B U U V C Q V F F I i A v P j x F b n R y e S B U e X B l P S J G a W x s Q 2 9 s d W 1 u T m F t Z X M i I F Z h b H V l P S J z W y Z x d W 9 0 O 1 R f e 3 N l d C B w b 2 l u d H 0 g K M K w Q y k m c X V v d D s s J n F 1 b 3 Q 7 V G l t Z S A o b W l u K S Z x d W 9 0 O y w m c X V v d D t Z X 3 t w c m 9 0 Z W l u f S A o d 3 Q l K S Z x d W 9 0 O y w m c X V v d D t Z X 3 t w Z X B 0 a W R l c 3 0 g K H d 0 J S k m c X V v d D s s J n F 1 b 3 Q 7 W V 9 7 c 2 9 s a W R z f S A o d 3 Q l K S Z x d W 9 0 O y w m c X V v d D t Z X 3 t h b W l u Z X N 9 I C h 3 d C U p J n F 1 b 3 Q 7 L C Z x d W 9 0 O 1 l f e 2 F t b W 9 u a W F 9 I C h 3 d C U p J n F 1 b 3 Q 7 L C Z x d W 9 0 O 1 l f e 2 J p b 2 N y d W R l f S A o d 3 Q l K S Z x d W 9 0 O y w m c X V v d D t N Y X N z I E J h b G F u Y 2 U g K H d 0 J S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O S A o U G F n Z S A 4 K S 9 B d X R v U m V t b 3 Z l Z E N v b H V t b n M x L n t U X 3 t 7 c 2 V 0 I H B v a W 5 0 f S A o w r B D K S w w f S Z x d W 9 0 O y w m c X V v d D t T Z W N 0 a W 9 u M S 9 U Y W J s Z T A w O S A o U G F n Z S A 4 K S 9 B d X R v U m V t b 3 Z l Z E N v b H V t b n M x L n t U a W 1 l I C h t a W 4 p L D F 9 J n F 1 b 3 Q 7 L C Z x d W 9 0 O 1 N l Y 3 R p b 2 4 x L 1 R h Y m x l M D A 5 I C h Q Y W d l I D g p L 0 F 1 d G 9 S Z W 1 v d m V k Q 2 9 s d W 1 u c z E u e 1 l f e 3 t w c m 9 0 Z W l u f S A o d 3 Q l K S w y f S Z x d W 9 0 O y w m c X V v d D t T Z W N 0 a W 9 u M S 9 U Y W J s Z T A w O S A o U G F n Z S A 4 K S 9 B d X R v U m V t b 3 Z l Z E N v b H V t b n M x L n t Z X 3 t 7 c G V w d G l k Z X N 9 I C h 3 d C U p L D N 9 J n F 1 b 3 Q 7 L C Z x d W 9 0 O 1 N l Y 3 R p b 2 4 x L 1 R h Y m x l M D A 5 I C h Q Y W d l I D g p L 0 F 1 d G 9 S Z W 1 v d m V k Q 2 9 s d W 1 u c z E u e 1 l f e 3 t z b 2 x p Z H N 9 I C h 3 d C U p L D R 9 J n F 1 b 3 Q 7 L C Z x d W 9 0 O 1 N l Y 3 R p b 2 4 x L 1 R h Y m x l M D A 5 I C h Q Y W d l I D g p L 0 F 1 d G 9 S Z W 1 v d m V k Q 2 9 s d W 1 u c z E u e 1 l f e 3 t h b W l u Z X N 9 I C h 3 d C U p L D V 9 J n F 1 b 3 Q 7 L C Z x d W 9 0 O 1 N l Y 3 R p b 2 4 x L 1 R h Y m x l M D A 5 I C h Q Y W d l I D g p L 0 F 1 d G 9 S Z W 1 v d m V k Q 2 9 s d W 1 u c z E u e 1 l f e 3 t h b W 1 v b m l h f S A o d 3 Q l K S w 2 f S Z x d W 9 0 O y w m c X V v d D t T Z W N 0 a W 9 u M S 9 U Y W J s Z T A w O S A o U G F n Z S A 4 K S 9 B d X R v U m V t b 3 Z l Z E N v b H V t b n M x L n t Z X 3 t 7 Y m l v Y 3 J 1 Z G V 9 I C h 3 d C U p L D d 9 J n F 1 b 3 Q 7 L C Z x d W 9 0 O 1 N l Y 3 R p b 2 4 x L 1 R h Y m x l M D A 5 I C h Q Y W d l I D g p L 0 F 1 d G 9 S Z W 1 v d m V k Q 2 9 s d W 1 u c z E u e 0 1 h c 3 M g Q m F s Y W 5 j Z S A o d 3 Q l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A w O S A o U G F n Z S A 4 K S 9 B d X R v U m V t b 3 Z l Z E N v b H V t b n M x L n t U X 3 t 7 c 2 V 0 I H B v a W 5 0 f S A o w r B D K S w w f S Z x d W 9 0 O y w m c X V v d D t T Z W N 0 a W 9 u M S 9 U Y W J s Z T A w O S A o U G F n Z S A 4 K S 9 B d X R v U m V t b 3 Z l Z E N v b H V t b n M x L n t U a W 1 l I C h t a W 4 p L D F 9 J n F 1 b 3 Q 7 L C Z x d W 9 0 O 1 N l Y 3 R p b 2 4 x L 1 R h Y m x l M D A 5 I C h Q Y W d l I D g p L 0 F 1 d G 9 S Z W 1 v d m V k Q 2 9 s d W 1 u c z E u e 1 l f e 3 t w c m 9 0 Z W l u f S A o d 3 Q l K S w y f S Z x d W 9 0 O y w m c X V v d D t T Z W N 0 a W 9 u M S 9 U Y W J s Z T A w O S A o U G F n Z S A 4 K S 9 B d X R v U m V t b 3 Z l Z E N v b H V t b n M x L n t Z X 3 t 7 c G V w d G l k Z X N 9 I C h 3 d C U p L D N 9 J n F 1 b 3 Q 7 L C Z x d W 9 0 O 1 N l Y 3 R p b 2 4 x L 1 R h Y m x l M D A 5 I C h Q Y W d l I D g p L 0 F 1 d G 9 S Z W 1 v d m V k Q 2 9 s d W 1 u c z E u e 1 l f e 3 t z b 2 x p Z H N 9 I C h 3 d C U p L D R 9 J n F 1 b 3 Q 7 L C Z x d W 9 0 O 1 N l Y 3 R p b 2 4 x L 1 R h Y m x l M D A 5 I C h Q Y W d l I D g p L 0 F 1 d G 9 S Z W 1 v d m V k Q 2 9 s d W 1 u c z E u e 1 l f e 3 t h b W l u Z X N 9 I C h 3 d C U p L D V 9 J n F 1 b 3 Q 7 L C Z x d W 9 0 O 1 N l Y 3 R p b 2 4 x L 1 R h Y m x l M D A 5 I C h Q Y W d l I D g p L 0 F 1 d G 9 S Z W 1 v d m V k Q 2 9 s d W 1 u c z E u e 1 l f e 3 t h b W 1 v b m l h f S A o d 3 Q l K S w 2 f S Z x d W 9 0 O y w m c X V v d D t T Z W N 0 a W 9 u M S 9 U Y W J s Z T A w O S A o U G F n Z S A 4 K S 9 B d X R v U m V t b 3 Z l Z E N v b H V t b n M x L n t Z X 3 t 7 Y m l v Y 3 J 1 Z G V 9 I C h 3 d C U p L D d 9 J n F 1 b 3 Q 7 L C Z x d W 9 0 O 1 N l Y 3 R p b 2 4 x L 1 R h Y m x l M D A 5 I C h Q Y W d l I D g p L 0 F 1 d G 9 S Z W 1 v d m V k Q 2 9 s d W 1 u c z E u e 0 1 h c 3 M g Q m F s Y W 5 j Z S A o d 3 Q l K S w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D k l M j A o U G F n Z S U y M D g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5 J T I w K F B h Z 2 U l M j A 4 K S 9 U Y W J s Z T A w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5 J T I w K F B h Z 2 U l M j A 4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O S U y M C h Q Y W d l J T I w O C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O S U y M C h Q Y W d l J T I w N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C 0 x M 1 Q w M j o x M T o 0 M y 4 0 N D I 0 N T c 3 W i I g L z 4 8 R W 5 0 c n k g V H l w Z T 0 i R m l s b E N v b H V t b l R 5 c G V z I i B W Y W x 1 Z T 0 i c 0 J n W U d C Z 1 l E Q m d Z R 0 J n W U d C Z 1 l H I i A v P j x F b n R y e S B U e X B l P S J G a W x s Q 2 9 s d W 1 u T m F t Z X M i I F Z h b H V l P S J z W y Z x d W 9 0 O 0 l E J n F 1 b 3 Q 7 L C Z x d W 9 0 O 0 N v b H V t b j I m c X V v d D s s J n F 1 b 3 Q 7 Q 2 9 u Y y 4 m c X V v d D s s J n F 1 b 3 Q 7 V C Z x d W 9 0 O y w m c X V v d D t 0 L j E m c X V v d D s s J n F 1 b 3 Q 7 b i Z x d W 9 0 O y w m c X V v d D t Z a W V s Z C Z x d W 9 0 O y w m c X V v d D t D b 2 x 1 b W 4 4 J n F 1 b 3 Q 7 L C Z x d W 9 0 O 0 V s Z W 1 l b n R h b E N v b X B v c 2 l 0 a W 9 u W 3 d 0 J V 0 m c X V v d D s s J n F 1 b 3 Q 7 Q 2 9 s d W 1 u M T A m c X V v d D s s J n F 1 b 3 Q 7 Q 2 9 s d W 1 u M T E m c X V v d D s s J n F 1 b 3 Q 7 Q 2 9 s d W 1 u M T I m c X V v d D s s J n F 1 b 3 Q 7 Q 2 9 s d W 1 u M T M m c X V v d D s s J n F 1 b 3 Q 7 S E h W J n F 1 b 3 Q 7 L C Z x d W 9 0 O 0 V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5 I C h Q Y W d l I D c p L 0 F 1 d G 9 S Z W 1 v d m V k Q 2 9 s d W 1 u c z E u e 0 l E L D B 9 J n F 1 b 3 Q 7 L C Z x d W 9 0 O 1 N l Y 3 R p b 2 4 x L 1 R h Y m x l M D A 5 I C h Q Y W d l I D c p L 0 F 1 d G 9 S Z W 1 v d m V k Q 2 9 s d W 1 u c z E u e 0 N v b H V t b j I s M X 0 m c X V v d D s s J n F 1 b 3 Q 7 U 2 V j d G l v b j E v V G F i b G U w M D k g K F B h Z 2 U g N y k v Q X V 0 b 1 J l b W 9 2 Z W R D b 2 x 1 b W 5 z M S 5 7 Q 2 9 u Y y 4 s M n 0 m c X V v d D s s J n F 1 b 3 Q 7 U 2 V j d G l v b j E v V G F i b G U w M D k g K F B h Z 2 U g N y k v Q X V 0 b 1 J l b W 9 2 Z W R D b 2 x 1 b W 5 z M S 5 7 V C w z f S Z x d W 9 0 O y w m c X V v d D t T Z W N 0 a W 9 u M S 9 U Y W J s Z T A w O S A o U G F n Z S A 3 K S 9 B d X R v U m V t b 3 Z l Z E N v b H V t b n M x L n t 0 L j E s N H 0 m c X V v d D s s J n F 1 b 3 Q 7 U 2 V j d G l v b j E v V G F i b G U w M D k g K F B h Z 2 U g N y k v Q X V 0 b 1 J l b W 9 2 Z W R D b 2 x 1 b W 5 z M S 5 7 b i w 1 f S Z x d W 9 0 O y w m c X V v d D t T Z W N 0 a W 9 u M S 9 U Y W J s Z T A w O S A o U G F n Z S A 3 K S 9 B d X R v U m V t b 3 Z l Z E N v b H V t b n M x L n t Z a W V s Z C w 2 f S Z x d W 9 0 O y w m c X V v d D t T Z W N 0 a W 9 u M S 9 U Y W J s Z T A w O S A o U G F n Z S A 3 K S 9 B d X R v U m V t b 3 Z l Z E N v b H V t b n M x L n t D b 2 x 1 b W 4 4 L D d 9 J n F 1 b 3 Q 7 L C Z x d W 9 0 O 1 N l Y 3 R p b 2 4 x L 1 R h Y m x l M D A 5 I C h Q Y W d l I D c p L 0 F 1 d G 9 S Z W 1 v d m V k Q 2 9 s d W 1 u c z E u e 0 V s Z W 1 l b n R h b E N v b X B v c 2 l 0 a W 9 u W 3 d 0 J V 0 s O H 0 m c X V v d D s s J n F 1 b 3 Q 7 U 2 V j d G l v b j E v V G F i b G U w M D k g K F B h Z 2 U g N y k v Q X V 0 b 1 J l b W 9 2 Z W R D b 2 x 1 b W 5 z M S 5 7 Q 2 9 s d W 1 u M T A s O X 0 m c X V v d D s s J n F 1 b 3 Q 7 U 2 V j d G l v b j E v V G F i b G U w M D k g K F B h Z 2 U g N y k v Q X V 0 b 1 J l b W 9 2 Z W R D b 2 x 1 b W 5 z M S 5 7 Q 2 9 s d W 1 u M T E s M T B 9 J n F 1 b 3 Q 7 L C Z x d W 9 0 O 1 N l Y 3 R p b 2 4 x L 1 R h Y m x l M D A 5 I C h Q Y W d l I D c p L 0 F 1 d G 9 S Z W 1 v d m V k Q 2 9 s d W 1 u c z E u e 0 N v b H V t b j E y L D E x f S Z x d W 9 0 O y w m c X V v d D t T Z W N 0 a W 9 u M S 9 U Y W J s Z T A w O S A o U G F n Z S A 3 K S 9 B d X R v U m V t b 3 Z l Z E N v b H V t b n M x L n t D b 2 x 1 b W 4 x M y w x M n 0 m c X V v d D s s J n F 1 b 3 Q 7 U 2 V j d G l v b j E v V G F i b G U w M D k g K F B h Z 2 U g N y k v Q X V 0 b 1 J l b W 9 2 Z W R D b 2 x 1 b W 5 z M S 5 7 S E h W L D E z f S Z x d W 9 0 O y w m c X V v d D t T Z W N 0 a W 9 u M S 9 U Y W J s Z T A w O S A o U G F n Z S A 3 K S 9 B d X R v U m V t b 3 Z l Z E N v b H V t b n M x L n t F U i w x N H 0 m c X V v d D t d L C Z x d W 9 0 O 0 N v b H V t b k N v d W 5 0 J n F 1 b 3 Q 7 O j E 1 L C Z x d W 9 0 O 0 t l e U N v b H V t b k 5 h b W V z J n F 1 b 3 Q 7 O l t d L C Z x d W 9 0 O 0 N v b H V t b k l k Z W 5 0 a X R p Z X M m c X V v d D s 6 W y Z x d W 9 0 O 1 N l Y 3 R p b 2 4 x L 1 R h Y m x l M D A 5 I C h Q Y W d l I D c p L 0 F 1 d G 9 S Z W 1 v d m V k Q 2 9 s d W 1 u c z E u e 0 l E L D B 9 J n F 1 b 3 Q 7 L C Z x d W 9 0 O 1 N l Y 3 R p b 2 4 x L 1 R h Y m x l M D A 5 I C h Q Y W d l I D c p L 0 F 1 d G 9 S Z W 1 v d m V k Q 2 9 s d W 1 u c z E u e 0 N v b H V t b j I s M X 0 m c X V v d D s s J n F 1 b 3 Q 7 U 2 V j d G l v b j E v V G F i b G U w M D k g K F B h Z 2 U g N y k v Q X V 0 b 1 J l b W 9 2 Z W R D b 2 x 1 b W 5 z M S 5 7 Q 2 9 u Y y 4 s M n 0 m c X V v d D s s J n F 1 b 3 Q 7 U 2 V j d G l v b j E v V G F i b G U w M D k g K F B h Z 2 U g N y k v Q X V 0 b 1 J l b W 9 2 Z W R D b 2 x 1 b W 5 z M S 5 7 V C w z f S Z x d W 9 0 O y w m c X V v d D t T Z W N 0 a W 9 u M S 9 U Y W J s Z T A w O S A o U G F n Z S A 3 K S 9 B d X R v U m V t b 3 Z l Z E N v b H V t b n M x L n t 0 L j E s N H 0 m c X V v d D s s J n F 1 b 3 Q 7 U 2 V j d G l v b j E v V G F i b G U w M D k g K F B h Z 2 U g N y k v Q X V 0 b 1 J l b W 9 2 Z W R D b 2 x 1 b W 5 z M S 5 7 b i w 1 f S Z x d W 9 0 O y w m c X V v d D t T Z W N 0 a W 9 u M S 9 U Y W J s Z T A w O S A o U G F n Z S A 3 K S 9 B d X R v U m V t b 3 Z l Z E N v b H V t b n M x L n t Z a W V s Z C w 2 f S Z x d W 9 0 O y w m c X V v d D t T Z W N 0 a W 9 u M S 9 U Y W J s Z T A w O S A o U G F n Z S A 3 K S 9 B d X R v U m V t b 3 Z l Z E N v b H V t b n M x L n t D b 2 x 1 b W 4 4 L D d 9 J n F 1 b 3 Q 7 L C Z x d W 9 0 O 1 N l Y 3 R p b 2 4 x L 1 R h Y m x l M D A 5 I C h Q Y W d l I D c p L 0 F 1 d G 9 S Z W 1 v d m V k Q 2 9 s d W 1 u c z E u e 0 V s Z W 1 l b n R h b E N v b X B v c 2 l 0 a W 9 u W 3 d 0 J V 0 s O H 0 m c X V v d D s s J n F 1 b 3 Q 7 U 2 V j d G l v b j E v V G F i b G U w M D k g K F B h Z 2 U g N y k v Q X V 0 b 1 J l b W 9 2 Z W R D b 2 x 1 b W 5 z M S 5 7 Q 2 9 s d W 1 u M T A s O X 0 m c X V v d D s s J n F 1 b 3 Q 7 U 2 V j d G l v b j E v V G F i b G U w M D k g K F B h Z 2 U g N y k v Q X V 0 b 1 J l b W 9 2 Z W R D b 2 x 1 b W 5 z M S 5 7 Q 2 9 s d W 1 u M T E s M T B 9 J n F 1 b 3 Q 7 L C Z x d W 9 0 O 1 N l Y 3 R p b 2 4 x L 1 R h Y m x l M D A 5 I C h Q Y W d l I D c p L 0 F 1 d G 9 S Z W 1 v d m V k Q 2 9 s d W 1 u c z E u e 0 N v b H V t b j E y L D E x f S Z x d W 9 0 O y w m c X V v d D t T Z W N 0 a W 9 u M S 9 U Y W J s Z T A w O S A o U G F n Z S A 3 K S 9 B d X R v U m V t b 3 Z l Z E N v b H V t b n M x L n t D b 2 x 1 b W 4 x M y w x M n 0 m c X V v d D s s J n F 1 b 3 Q 7 U 2 V j d G l v b j E v V G F i b G U w M D k g K F B h Z 2 U g N y k v Q X V 0 b 1 J l b W 9 2 Z W R D b 2 x 1 b W 5 z M S 5 7 S E h W L D E z f S Z x d W 9 0 O y w m c X V v d D t T Z W N 0 a W 9 u M S 9 U Y W J s Z T A w O S A o U G F n Z S A 3 K S 9 B d X R v U m V t b 3 Z l Z E N v b H V t b n M x L n t F U i w x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A 5 J T I w K F B h Z 2 U l M j A 3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O S U y M C h Q Y W d l J T I w N y k v V G F i b G U w M D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O S U y M C h Q Y W d l J T I w N y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k l M j A o U G F n Z S U y M D c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k l M j A o U G F n Z S U y M D c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A l M j A o U G F n Z S U y M D g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g t M T N U M D I 6 M j I 6 M z A u N z I z N T I w M l o i I C 8 + P E V u d H J 5 I F R 5 c G U 9 I k Z p b G x D b 2 x 1 b W 5 U e X B l c y I g V m F s d W U 9 I n N C Z 1 l H Q m d N R 0 J n W U d C Z 1 l H Q m d Z P S I g L z 4 8 R W 5 0 c n k g V H l w Z T 0 i R m l s b E N v b H V t b k 5 h b W V z I i B W Y W x 1 Z T 0 i c 1 s m c X V v d D t J R C Z x d W 9 0 O y w m c X V v d D t D b 2 5 j L i Z x d W 9 0 O y w m c X V v d D t U J n F 1 b 3 Q 7 L C Z x d W 9 0 O 3 Q u M S Z x d W 9 0 O y w m c X V v d D t u J n F 1 b 3 Q 7 L C Z x d W 9 0 O 1 l p Z W x k J n F 1 b 3 Q 7 L C Z x d W 9 0 O 0 N v b H V t b j c m c X V v d D s s J n F 1 b 3 Q 7 R W x l b W V u d G F s Q 2 9 t c G 9 z a X R p b 2 5 b d 3 Q l X S Z x d W 9 0 O y w m c X V v d D t D b 2 x 1 b W 4 5 J n F 1 b 3 Q 7 L C Z x d W 9 0 O 0 N v b H V t b j E w J n F 1 b 3 Q 7 L C Z x d W 9 0 O 0 N v b H V t b j E x J n F 1 b 3 Q 7 L C Z x d W 9 0 O 0 N v b H V t b j E y J n F 1 b 3 Q 7 L C Z x d W 9 0 O 0 h I V i Z x d W 9 0 O y w m c X V v d D t F U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x M C A o U G F n Z S A 4 K S 9 B d X R v U m V t b 3 Z l Z E N v b H V t b n M x L n t J R C w w f S Z x d W 9 0 O y w m c X V v d D t T Z W N 0 a W 9 u M S 9 U Y W J s Z T A x M C A o U G F n Z S A 4 K S 9 B d X R v U m V t b 3 Z l Z E N v b H V t b n M x L n t D b 2 5 j L i w x f S Z x d W 9 0 O y w m c X V v d D t T Z W N 0 a W 9 u M S 9 U Y W J s Z T A x M C A o U G F n Z S A 4 K S 9 B d X R v U m V t b 3 Z l Z E N v b H V t b n M x L n t U L D J 9 J n F 1 b 3 Q 7 L C Z x d W 9 0 O 1 N l Y 3 R p b 2 4 x L 1 R h Y m x l M D E w I C h Q Y W d l I D g p L 0 F 1 d G 9 S Z W 1 v d m V k Q 2 9 s d W 1 u c z E u e 3 Q u M S w z f S Z x d W 9 0 O y w m c X V v d D t T Z W N 0 a W 9 u M S 9 U Y W J s Z T A x M C A o U G F n Z S A 4 K S 9 B d X R v U m V t b 3 Z l Z E N v b H V t b n M x L n t u L D R 9 J n F 1 b 3 Q 7 L C Z x d W 9 0 O 1 N l Y 3 R p b 2 4 x L 1 R h Y m x l M D E w I C h Q Y W d l I D g p L 0 F 1 d G 9 S Z W 1 v d m V k Q 2 9 s d W 1 u c z E u e 1 l p Z W x k L D V 9 J n F 1 b 3 Q 7 L C Z x d W 9 0 O 1 N l Y 3 R p b 2 4 x L 1 R h Y m x l M D E w I C h Q Y W d l I D g p L 0 F 1 d G 9 S Z W 1 v d m V k Q 2 9 s d W 1 u c z E u e 0 N v b H V t b j c s N n 0 m c X V v d D s s J n F 1 b 3 Q 7 U 2 V j d G l v b j E v V G F i b G U w M T A g K F B h Z 2 U g O C k v Q X V 0 b 1 J l b W 9 2 Z W R D b 2 x 1 b W 5 z M S 5 7 R W x l b W V u d G F s Q 2 9 t c G 9 z a X R p b 2 5 b d 3 Q l X S w 3 f S Z x d W 9 0 O y w m c X V v d D t T Z W N 0 a W 9 u M S 9 U Y W J s Z T A x M C A o U G F n Z S A 4 K S 9 B d X R v U m V t b 3 Z l Z E N v b H V t b n M x L n t D b 2 x 1 b W 4 5 L D h 9 J n F 1 b 3 Q 7 L C Z x d W 9 0 O 1 N l Y 3 R p b 2 4 x L 1 R h Y m x l M D E w I C h Q Y W d l I D g p L 0 F 1 d G 9 S Z W 1 v d m V k Q 2 9 s d W 1 u c z E u e 0 N v b H V t b j E w L D l 9 J n F 1 b 3 Q 7 L C Z x d W 9 0 O 1 N l Y 3 R p b 2 4 x L 1 R h Y m x l M D E w I C h Q Y W d l I D g p L 0 F 1 d G 9 S Z W 1 v d m V k Q 2 9 s d W 1 u c z E u e 0 N v b H V t b j E x L D E w f S Z x d W 9 0 O y w m c X V v d D t T Z W N 0 a W 9 u M S 9 U Y W J s Z T A x M C A o U G F n Z S A 4 K S 9 B d X R v U m V t b 3 Z l Z E N v b H V t b n M x L n t D b 2 x 1 b W 4 x M i w x M X 0 m c X V v d D s s J n F 1 b 3 Q 7 U 2 V j d G l v b j E v V G F i b G U w M T A g K F B h Z 2 U g O C k v Q X V 0 b 1 J l b W 9 2 Z W R D b 2 x 1 b W 5 z M S 5 7 S E h W L D E y f S Z x d W 9 0 O y w m c X V v d D t T Z W N 0 a W 9 u M S 9 U Y W J s Z T A x M C A o U G F n Z S A 4 K S 9 B d X R v U m V t b 3 Z l Z E N v b H V t b n M x L n t F U i w x M 3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1 R h Y m x l M D E w I C h Q Y W d l I D g p L 0 F 1 d G 9 S Z W 1 v d m V k Q 2 9 s d W 1 u c z E u e 0 l E L D B 9 J n F 1 b 3 Q 7 L C Z x d W 9 0 O 1 N l Y 3 R p b 2 4 x L 1 R h Y m x l M D E w I C h Q Y W d l I D g p L 0 F 1 d G 9 S Z W 1 v d m V k Q 2 9 s d W 1 u c z E u e 0 N v b m M u L D F 9 J n F 1 b 3 Q 7 L C Z x d W 9 0 O 1 N l Y 3 R p b 2 4 x L 1 R h Y m x l M D E w I C h Q Y W d l I D g p L 0 F 1 d G 9 S Z W 1 v d m V k Q 2 9 s d W 1 u c z E u e 1 Q s M n 0 m c X V v d D s s J n F 1 b 3 Q 7 U 2 V j d G l v b j E v V G F i b G U w M T A g K F B h Z 2 U g O C k v Q X V 0 b 1 J l b W 9 2 Z W R D b 2 x 1 b W 5 z M S 5 7 d C 4 x L D N 9 J n F 1 b 3 Q 7 L C Z x d W 9 0 O 1 N l Y 3 R p b 2 4 x L 1 R h Y m x l M D E w I C h Q Y W d l I D g p L 0 F 1 d G 9 S Z W 1 v d m V k Q 2 9 s d W 1 u c z E u e 2 4 s N H 0 m c X V v d D s s J n F 1 b 3 Q 7 U 2 V j d G l v b j E v V G F i b G U w M T A g K F B h Z 2 U g O C k v Q X V 0 b 1 J l b W 9 2 Z W R D b 2 x 1 b W 5 z M S 5 7 W W l l b G Q s N X 0 m c X V v d D s s J n F 1 b 3 Q 7 U 2 V j d G l v b j E v V G F i b G U w M T A g K F B h Z 2 U g O C k v Q X V 0 b 1 J l b W 9 2 Z W R D b 2 x 1 b W 5 z M S 5 7 Q 2 9 s d W 1 u N y w 2 f S Z x d W 9 0 O y w m c X V v d D t T Z W N 0 a W 9 u M S 9 U Y W J s Z T A x M C A o U G F n Z S A 4 K S 9 B d X R v U m V t b 3 Z l Z E N v b H V t b n M x L n t F b G V t Z W 5 0 Y W x D b 2 1 w b 3 N p d G l v b l t 3 d C V d L D d 9 J n F 1 b 3 Q 7 L C Z x d W 9 0 O 1 N l Y 3 R p b 2 4 x L 1 R h Y m x l M D E w I C h Q Y W d l I D g p L 0 F 1 d G 9 S Z W 1 v d m V k Q 2 9 s d W 1 u c z E u e 0 N v b H V t b j k s O H 0 m c X V v d D s s J n F 1 b 3 Q 7 U 2 V j d G l v b j E v V G F i b G U w M T A g K F B h Z 2 U g O C k v Q X V 0 b 1 J l b W 9 2 Z W R D b 2 x 1 b W 5 z M S 5 7 Q 2 9 s d W 1 u M T A s O X 0 m c X V v d D s s J n F 1 b 3 Q 7 U 2 V j d G l v b j E v V G F i b G U w M T A g K F B h Z 2 U g O C k v Q X V 0 b 1 J l b W 9 2 Z W R D b 2 x 1 b W 5 z M S 5 7 Q 2 9 s d W 1 u M T E s M T B 9 J n F 1 b 3 Q 7 L C Z x d W 9 0 O 1 N l Y 3 R p b 2 4 x L 1 R h Y m x l M D E w I C h Q Y W d l I D g p L 0 F 1 d G 9 S Z W 1 v d m V k Q 2 9 s d W 1 u c z E u e 0 N v b H V t b j E y L D E x f S Z x d W 9 0 O y w m c X V v d D t T Z W N 0 a W 9 u M S 9 U Y W J s Z T A x M C A o U G F n Z S A 4 K S 9 B d X R v U m V t b 3 Z l Z E N v b H V t b n M x L n t I S F Y s M T J 9 J n F 1 b 3 Q 7 L C Z x d W 9 0 O 1 N l Y 3 R p b 2 4 x L 1 R h Y m x l M D E w I C h Q Y W d l I D g p L 0 F 1 d G 9 S Z W 1 v d m V k Q 2 9 s d W 1 u c z E u e 0 V S L D E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T A l M j A o U G F n Z S U y M D g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w J T I w K F B h Z 2 U l M j A 4 K S 9 U Y W J s Z T A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w J T I w K F B h Z 2 U l M j A 4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M C U y M C h Q Y W d l J T I w O C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M C U y M C h Q Y W d l J T I w O C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O S U y M C h Q Y W d l J T I w M j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M T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I 5 I C h Q Y W d l I D I y K S 9 B d X R v U m V t b 3 Z l Z E N v b H V t b n M x L n t J R C w w f S Z x d W 9 0 O y w m c X V v d D t T Z W N 0 a W 9 u M S 9 U Y W J s Z T A y O S A o U G F n Z S A y M i k v Q X V 0 b 1 J l b W 9 2 Z W R D b 2 x 1 b W 5 z M S 5 7 Q 2 9 u Y y 4 s M X 0 m c X V v d D s s J n F 1 b 3 Q 7 U 2 V j d G l v b j E v V G F i b G U w M j k g K F B h Z 2 U g M j I p L 0 F 1 d G 9 S Z W 1 v d m V k Q 2 9 s d W 1 u c z E u e 1 Q s M n 0 m c X V v d D s s J n F 1 b 3 Q 7 U 2 V j d G l v b j E v V G F i b G U w M j k g K F B h Z 2 U g M j I p L 0 F 1 d G 9 S Z W 1 v d m V k Q 2 9 s d W 1 u c z E u e 3 Q u M S w z f S Z x d W 9 0 O y w m c X V v d D t T Z W N 0 a W 9 u M S 9 U Y W J s Z T A y O S A o U G F n Z S A y M i k v Q X V 0 b 1 J l b W 9 2 Z W R D b 2 x 1 b W 5 z M S 5 7 b i w 0 f S Z x d W 9 0 O y w m c X V v d D t T Z W N 0 a W 9 u M S 9 U Y W J s Z T A y O S A o U G F n Z S A y M i k v Q X V 0 b 1 J l b W 9 2 Z W R D b 2 x 1 b W 5 z M S 5 7 W W l l b G Q s N X 0 m c X V v d D s s J n F 1 b 3 Q 7 U 2 V j d G l v b j E v V G F i b G U w M j k g K F B h Z 2 U g M j I p L 0 F 1 d G 9 S Z W 1 v d m V k Q 2 9 s d W 1 u c z E u e 0 N v b H V t b j c s N n 0 m c X V v d D s s J n F 1 b 3 Q 7 U 2 V j d G l v b j E v V G F i b G U w M j k g K F B h Z 2 U g M j I p L 0 F 1 d G 9 S Z W 1 v d m V k Q 2 9 s d W 1 u c z E u e 0 V s Z W 1 l b n R h b E N v b X B v c 2 l 0 a W 9 u W 3 d 0 J V 0 s N 3 0 m c X V v d D s s J n F 1 b 3 Q 7 U 2 V j d G l v b j E v V G F i b G U w M j k g K F B h Z 2 U g M j I p L 0 F 1 d G 9 S Z W 1 v d m V k Q 2 9 s d W 1 u c z E u e 0 N v b H V t b j k s O H 0 m c X V v d D s s J n F 1 b 3 Q 7 U 2 V j d G l v b j E v V G F i b G U w M j k g K F B h Z 2 U g M j I p L 0 F 1 d G 9 S Z W 1 v d m V k Q 2 9 s d W 1 u c z E u e 0 N v b H V t b j E w L D l 9 J n F 1 b 3 Q 7 L C Z x d W 9 0 O 1 N l Y 3 R p b 2 4 x L 1 R h Y m x l M D I 5 I C h Q Y W d l I D I y K S 9 B d X R v U m V t b 3 Z l Z E N v b H V t b n M x L n t D b 2 x 1 b W 4 x M S w x M H 0 m c X V v d D s s J n F 1 b 3 Q 7 U 2 V j d G l v b j E v V G F i b G U w M j k g K F B h Z 2 U g M j I p L 0 F 1 d G 9 S Z W 1 v d m V k Q 2 9 s d W 1 u c z E u e 0 N v b H V t b j E y L D E x f S Z x d W 9 0 O 1 0 s J n F 1 b 3 Q 7 Q 2 9 s d W 1 u Q 2 9 1 b n Q m c X V v d D s 6 M T I s J n F 1 b 3 Q 7 S 2 V 5 Q 2 9 s d W 1 u T m F t Z X M m c X V v d D s 6 W 1 0 s J n F 1 b 3 Q 7 Q 2 9 s d W 1 u S W R l b n R p d G l l c y Z x d W 9 0 O z p b J n F 1 b 3 Q 7 U 2 V j d G l v b j E v V G F i b G U w M j k g K F B h Z 2 U g M j I p L 0 F 1 d G 9 S Z W 1 v d m V k Q 2 9 s d W 1 u c z E u e 0 l E L D B 9 J n F 1 b 3 Q 7 L C Z x d W 9 0 O 1 N l Y 3 R p b 2 4 x L 1 R h Y m x l M D I 5 I C h Q Y W d l I D I y K S 9 B d X R v U m V t b 3 Z l Z E N v b H V t b n M x L n t D b 2 5 j L i w x f S Z x d W 9 0 O y w m c X V v d D t T Z W N 0 a W 9 u M S 9 U Y W J s Z T A y O S A o U G F n Z S A y M i k v Q X V 0 b 1 J l b W 9 2 Z W R D b 2 x 1 b W 5 z M S 5 7 V C w y f S Z x d W 9 0 O y w m c X V v d D t T Z W N 0 a W 9 u M S 9 U Y W J s Z T A y O S A o U G F n Z S A y M i k v Q X V 0 b 1 J l b W 9 2 Z W R D b 2 x 1 b W 5 z M S 5 7 d C 4 x L D N 9 J n F 1 b 3 Q 7 L C Z x d W 9 0 O 1 N l Y 3 R p b 2 4 x L 1 R h Y m x l M D I 5 I C h Q Y W d l I D I y K S 9 B d X R v U m V t b 3 Z l Z E N v b H V t b n M x L n t u L D R 9 J n F 1 b 3 Q 7 L C Z x d W 9 0 O 1 N l Y 3 R p b 2 4 x L 1 R h Y m x l M D I 5 I C h Q Y W d l I D I y K S 9 B d X R v U m V t b 3 Z l Z E N v b H V t b n M x L n t Z a W V s Z C w 1 f S Z x d W 9 0 O y w m c X V v d D t T Z W N 0 a W 9 u M S 9 U Y W J s Z T A y O S A o U G F n Z S A y M i k v Q X V 0 b 1 J l b W 9 2 Z W R D b 2 x 1 b W 5 z M S 5 7 Q 2 9 s d W 1 u N y w 2 f S Z x d W 9 0 O y w m c X V v d D t T Z W N 0 a W 9 u M S 9 U Y W J s Z T A y O S A o U G F n Z S A y M i k v Q X V 0 b 1 J l b W 9 2 Z W R D b 2 x 1 b W 5 z M S 5 7 R W x l b W V u d G F s Q 2 9 t c G 9 z a X R p b 2 5 b d 3 Q l X S w 3 f S Z x d W 9 0 O y w m c X V v d D t T Z W N 0 a W 9 u M S 9 U Y W J s Z T A y O S A o U G F n Z S A y M i k v Q X V 0 b 1 J l b W 9 2 Z W R D b 2 x 1 b W 5 z M S 5 7 Q 2 9 s d W 1 u O S w 4 f S Z x d W 9 0 O y w m c X V v d D t T Z W N 0 a W 9 u M S 9 U Y W J s Z T A y O S A o U G F n Z S A y M i k v Q X V 0 b 1 J l b W 9 2 Z W R D b 2 x 1 b W 5 z M S 5 7 Q 2 9 s d W 1 u M T A s O X 0 m c X V v d D s s J n F 1 b 3 Q 7 U 2 V j d G l v b j E v V G F i b G U w M j k g K F B h Z 2 U g M j I p L 0 F 1 d G 9 S Z W 1 v d m V k Q 2 9 s d W 1 u c z E u e 0 N v b H V t b j E x L D E w f S Z x d W 9 0 O y w m c X V v d D t T Z W N 0 a W 9 u M S 9 U Y W J s Z T A y O S A o U G F n Z S A y M i k v Q X V 0 b 1 J l b W 9 2 Z W R D b 2 x 1 b W 5 z M S 5 7 Q 2 9 s d W 1 u M T I s M T F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J R C Z x d W 9 0 O y w m c X V v d D t D b 2 5 j L i Z x d W 9 0 O y w m c X V v d D t U J n F 1 b 3 Q 7 L C Z x d W 9 0 O 3 Q u M S Z x d W 9 0 O y w m c X V v d D t u J n F 1 b 3 Q 7 L C Z x d W 9 0 O 1 l p Z W x k J n F 1 b 3 Q 7 L C Z x d W 9 0 O 0 N v b H V t b j c m c X V v d D s s J n F 1 b 3 Q 7 R W x l b W V u d G F s Q 2 9 t c G 9 z a X R p b 2 5 b d 3 Q l X S Z x d W 9 0 O y w m c X V v d D t D b 2 x 1 b W 4 5 J n F 1 b 3 Q 7 L C Z x d W 9 0 O 0 N v b H V t b j E w J n F 1 b 3 Q 7 L C Z x d W 9 0 O 0 N v b H V t b j E x J n F 1 b 3 Q 7 L C Z x d W 9 0 O 0 N v b H V t b j E y J n F 1 b 3 Q 7 X S I g L z 4 8 R W 5 0 c n k g V H l w Z T 0 i R m l s b E N v b H V t b l R 5 c G V z I i B W Y W x 1 Z T 0 i c 0 J n W U d C Z 0 1 H Q m d Z R 0 J n W U c i I C 8 + P E V u d H J 5 I F R 5 c G U 9 I k Z p b G x M Y X N 0 V X B k Y X R l Z C I g V m F s d W U 9 I m Q y M D I y L T A 4 L T E z V D A y O j M 5 O j I 4 L j g 4 N D E w O D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1 N C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M D I 5 J T I w K F B h Z 2 U l M j A y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k l M j A o U G F n Z S U y M D I y K S 9 U Y W J s Z T A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5 J T I w K F B h Z 2 U l M j A y M i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k l M j A o U G F n Z S U y M D I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5 J T I w K F B h Z 2 U l M j A y M i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z M C U y M C h Q Y W d l J T I w M j M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g t M T N U M D I 6 N D I 6 N T U u N j U y N z A 2 O F o i I C 8 + P E V u d H J 5 I F R 5 c G U 9 I k Z p b G x D b 2 x 1 b W 5 U e X B l c y I g V m F s d W U 9 I n N C Z 1 l H Q m d N R 0 J n W U d C Z 1 l H I i A v P j x F b n R y e S B U e X B l P S J G a W x s Q 2 9 s d W 1 u T m F t Z X M i I F Z h b H V l P S J z W y Z x d W 9 0 O 0 l E J n F 1 b 3 Q 7 L C Z x d W 9 0 O 0 N v b m M u J n F 1 b 3 Q 7 L C Z x d W 9 0 O 1 Q m c X V v d D s s J n F 1 b 3 Q 7 d C 4 x J n F 1 b 3 Q 7 L C Z x d W 9 0 O 2 4 m c X V v d D s s J n F 1 b 3 Q 7 W W l l b G Q m c X V v d D s s J n F 1 b 3 Q 7 Q 2 9 s d W 1 u N y Z x d W 9 0 O y w m c X V v d D t F b G V t Z W 5 0 Y W x D b 2 1 w b 3 N p d G l v b l t 3 d C V d J n F 1 b 3 Q 7 L C Z x d W 9 0 O 0 N v b H V t b j k m c X V v d D s s J n F 1 b 3 Q 7 Q 2 9 s d W 1 u M T A m c X V v d D s s J n F 1 b 3 Q 7 Q 2 9 s d W 1 u M T E m c X V v d D s s J n F 1 b 3 Q 7 Q 2 9 s d W 1 u M T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z A g K F B h Z 2 U g M j M p L 0 F 1 d G 9 S Z W 1 v d m V k Q 2 9 s d W 1 u c z E u e 0 l E L D B 9 J n F 1 b 3 Q 7 L C Z x d W 9 0 O 1 N l Y 3 R p b 2 4 x L 1 R h Y m x l M D M w I C h Q Y W d l I D I z K S 9 B d X R v U m V t b 3 Z l Z E N v b H V t b n M x L n t D b 2 5 j L i w x f S Z x d W 9 0 O y w m c X V v d D t T Z W N 0 a W 9 u M S 9 U Y W J s Z T A z M C A o U G F n Z S A y M y k v Q X V 0 b 1 J l b W 9 2 Z W R D b 2 x 1 b W 5 z M S 5 7 V C w y f S Z x d W 9 0 O y w m c X V v d D t T Z W N 0 a W 9 u M S 9 U Y W J s Z T A z M C A o U G F n Z S A y M y k v Q X V 0 b 1 J l b W 9 2 Z W R D b 2 x 1 b W 5 z M S 5 7 d C 4 x L D N 9 J n F 1 b 3 Q 7 L C Z x d W 9 0 O 1 N l Y 3 R p b 2 4 x L 1 R h Y m x l M D M w I C h Q Y W d l I D I z K S 9 B d X R v U m V t b 3 Z l Z E N v b H V t b n M x L n t u L D R 9 J n F 1 b 3 Q 7 L C Z x d W 9 0 O 1 N l Y 3 R p b 2 4 x L 1 R h Y m x l M D M w I C h Q Y W d l I D I z K S 9 B d X R v U m V t b 3 Z l Z E N v b H V t b n M x L n t Z a W V s Z C w 1 f S Z x d W 9 0 O y w m c X V v d D t T Z W N 0 a W 9 u M S 9 U Y W J s Z T A z M C A o U G F n Z S A y M y k v Q X V 0 b 1 J l b W 9 2 Z W R D b 2 x 1 b W 5 z M S 5 7 Q 2 9 s d W 1 u N y w 2 f S Z x d W 9 0 O y w m c X V v d D t T Z W N 0 a W 9 u M S 9 U Y W J s Z T A z M C A o U G F n Z S A y M y k v Q X V 0 b 1 J l b W 9 2 Z W R D b 2 x 1 b W 5 z M S 5 7 R W x l b W V u d G F s Q 2 9 t c G 9 z a X R p b 2 5 b d 3 Q l X S w 3 f S Z x d W 9 0 O y w m c X V v d D t T Z W N 0 a W 9 u M S 9 U Y W J s Z T A z M C A o U G F n Z S A y M y k v Q X V 0 b 1 J l b W 9 2 Z W R D b 2 x 1 b W 5 z M S 5 7 Q 2 9 s d W 1 u O S w 4 f S Z x d W 9 0 O y w m c X V v d D t T Z W N 0 a W 9 u M S 9 U Y W J s Z T A z M C A o U G F n Z S A y M y k v Q X V 0 b 1 J l b W 9 2 Z W R D b 2 x 1 b W 5 z M S 5 7 Q 2 9 s d W 1 u M T A s O X 0 m c X V v d D s s J n F 1 b 3 Q 7 U 2 V j d G l v b j E v V G F i b G U w M z A g K F B h Z 2 U g M j M p L 0 F 1 d G 9 S Z W 1 v d m V k Q 2 9 s d W 1 u c z E u e 0 N v b H V t b j E x L D E w f S Z x d W 9 0 O y w m c X V v d D t T Z W N 0 a W 9 u M S 9 U Y W J s Z T A z M C A o U G F n Z S A y M y k v Q X V 0 b 1 J l b W 9 2 Z W R D b 2 x 1 b W 5 z M S 5 7 Q 2 9 s d W 1 u M T I s M T F 9 J n F 1 b 3 Q 7 X S w m c X V v d D t D b 2 x 1 b W 5 D b 3 V u d C Z x d W 9 0 O z o x M i w m c X V v d D t L Z X l D b 2 x 1 b W 5 O Y W 1 l c y Z x d W 9 0 O z p b X S w m c X V v d D t D b 2 x 1 b W 5 J Z G V u d G l 0 a W V z J n F 1 b 3 Q 7 O l s m c X V v d D t T Z W N 0 a W 9 u M S 9 U Y W J s Z T A z M C A o U G F n Z S A y M y k v Q X V 0 b 1 J l b W 9 2 Z W R D b 2 x 1 b W 5 z M S 5 7 S U Q s M H 0 m c X V v d D s s J n F 1 b 3 Q 7 U 2 V j d G l v b j E v V G F i b G U w M z A g K F B h Z 2 U g M j M p L 0 F 1 d G 9 S Z W 1 v d m V k Q 2 9 s d W 1 u c z E u e 0 N v b m M u L D F 9 J n F 1 b 3 Q 7 L C Z x d W 9 0 O 1 N l Y 3 R p b 2 4 x L 1 R h Y m x l M D M w I C h Q Y W d l I D I z K S 9 B d X R v U m V t b 3 Z l Z E N v b H V t b n M x L n t U L D J 9 J n F 1 b 3 Q 7 L C Z x d W 9 0 O 1 N l Y 3 R p b 2 4 x L 1 R h Y m x l M D M w I C h Q Y W d l I D I z K S 9 B d X R v U m V t b 3 Z l Z E N v b H V t b n M x L n t 0 L j E s M 3 0 m c X V v d D s s J n F 1 b 3 Q 7 U 2 V j d G l v b j E v V G F i b G U w M z A g K F B h Z 2 U g M j M p L 0 F 1 d G 9 S Z W 1 v d m V k Q 2 9 s d W 1 u c z E u e 2 4 s N H 0 m c X V v d D s s J n F 1 b 3 Q 7 U 2 V j d G l v b j E v V G F i b G U w M z A g K F B h Z 2 U g M j M p L 0 F 1 d G 9 S Z W 1 v d m V k Q 2 9 s d W 1 u c z E u e 1 l p Z W x k L D V 9 J n F 1 b 3 Q 7 L C Z x d W 9 0 O 1 N l Y 3 R p b 2 4 x L 1 R h Y m x l M D M w I C h Q Y W d l I D I z K S 9 B d X R v U m V t b 3 Z l Z E N v b H V t b n M x L n t D b 2 x 1 b W 4 3 L D Z 9 J n F 1 b 3 Q 7 L C Z x d W 9 0 O 1 N l Y 3 R p b 2 4 x L 1 R h Y m x l M D M w I C h Q Y W d l I D I z K S 9 B d X R v U m V t b 3 Z l Z E N v b H V t b n M x L n t F b G V t Z W 5 0 Y W x D b 2 1 w b 3 N p d G l v b l t 3 d C V d L D d 9 J n F 1 b 3 Q 7 L C Z x d W 9 0 O 1 N l Y 3 R p b 2 4 x L 1 R h Y m x l M D M w I C h Q Y W d l I D I z K S 9 B d X R v U m V t b 3 Z l Z E N v b H V t b n M x L n t D b 2 x 1 b W 4 5 L D h 9 J n F 1 b 3 Q 7 L C Z x d W 9 0 O 1 N l Y 3 R p b 2 4 x L 1 R h Y m x l M D M w I C h Q Y W d l I D I z K S 9 B d X R v U m V t b 3 Z l Z E N v b H V t b n M x L n t D b 2 x 1 b W 4 x M C w 5 f S Z x d W 9 0 O y w m c X V v d D t T Z W N 0 a W 9 u M S 9 U Y W J s Z T A z M C A o U G F n Z S A y M y k v Q X V 0 b 1 J l b W 9 2 Z W R D b 2 x 1 b W 5 z M S 5 7 Q 2 9 s d W 1 u M T E s M T B 9 J n F 1 b 3 Q 7 L C Z x d W 9 0 O 1 N l Y 3 R p b 2 4 x L 1 R h Y m x l M D M w I C h Q Y W d l I D I z K S 9 B d X R v U m V t b 3 Z l Z E N v b H V t b n M x L n t D b 2 x 1 b W 4 x M i w x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M w J T I w K F B h Z 2 U l M j A y M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z A l M j A o U G F n Z S U y M D I z K S 9 U Y W J s Z T A z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M w J T I w K F B h Z 2 U l M j A y M y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z A l M j A o U G F n Z S U y M D I z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M w J T I w K F B h Z 2 U l M j A y M y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0 N y U y M C h Q Y W d l J T I w M z Q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j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g t M T N U M D I 6 N T A 6 N D c u M z g x M j I 0 N l o i I C 8 + P E V u d H J 5 I F R 5 c G U 9 I k Z p b G x D b 2 x 1 b W 5 U e X B l c y I g V m F s d W U 9 I n N C Z 1 l H Q m d Z R E J n W U d C Z 1 l H Q m c 9 P S I g L z 4 8 R W 5 0 c n k g V H l w Z T 0 i R m l s b E N v b H V t b k 5 h b W V z I i B W Y W x 1 Z T 0 i c 1 s m c X V v d D t J R C Z x d W 9 0 O y w m c X V v d D t D b 2 x 1 b W 4 y J n F 1 b 3 Q 7 L C Z x d W 9 0 O 0 N v b m M u J n F 1 b 3 Q 7 L C Z x d W 9 0 O 1 Q m c X V v d D s s J n F 1 b 3 Q 7 d C 4 x J n F 1 b 3 Q 7 L C Z x d W 9 0 O 2 4 m c X V v d D s s J n F 1 b 3 Q 7 W W l l b G Q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Q 3 I C h Q Y W d l I D M 0 K S 9 B d X R v U m V t b 3 Z l Z E N v b H V t b n M x L n t J R C w w f S Z x d W 9 0 O y w m c X V v d D t T Z W N 0 a W 9 u M S 9 U Y W J s Z T A 0 N y A o U G F n Z S A z N C k v Q X V 0 b 1 J l b W 9 2 Z W R D b 2 x 1 b W 5 z M S 5 7 Q 2 9 s d W 1 u M i w x f S Z x d W 9 0 O y w m c X V v d D t T Z W N 0 a W 9 u M S 9 U Y W J s Z T A 0 N y A o U G F n Z S A z N C k v Q X V 0 b 1 J l b W 9 2 Z W R D b 2 x 1 b W 5 z M S 5 7 Q 2 9 u Y y 4 s M n 0 m c X V v d D s s J n F 1 b 3 Q 7 U 2 V j d G l v b j E v V G F i b G U w N D c g K F B h Z 2 U g M z Q p L 0 F 1 d G 9 S Z W 1 v d m V k Q 2 9 s d W 1 u c z E u e 1 Q s M 3 0 m c X V v d D s s J n F 1 b 3 Q 7 U 2 V j d G l v b j E v V G F i b G U w N D c g K F B h Z 2 U g M z Q p L 0 F 1 d G 9 S Z W 1 v d m V k Q 2 9 s d W 1 u c z E u e 3 Q u M S w 0 f S Z x d W 9 0 O y w m c X V v d D t T Z W N 0 a W 9 u M S 9 U Y W J s Z T A 0 N y A o U G F n Z S A z N C k v Q X V 0 b 1 J l b W 9 2 Z W R D b 2 x 1 b W 5 z M S 5 7 b i w 1 f S Z x d W 9 0 O y w m c X V v d D t T Z W N 0 a W 9 u M S 9 U Y W J s Z T A 0 N y A o U G F n Z S A z N C k v Q X V 0 b 1 J l b W 9 2 Z W R D b 2 x 1 b W 5 z M S 5 7 W W l l b G Q s N n 0 m c X V v d D s s J n F 1 b 3 Q 7 U 2 V j d G l v b j E v V G F i b G U w N D c g K F B h Z 2 U g M z Q p L 0 F 1 d G 9 S Z W 1 v d m V k Q 2 9 s d W 1 u c z E u e 0 N v b H V t b j g s N 3 0 m c X V v d D s s J n F 1 b 3 Q 7 U 2 V j d G l v b j E v V G F i b G U w N D c g K F B h Z 2 U g M z Q p L 0 F 1 d G 9 S Z W 1 v d m V k Q 2 9 s d W 1 u c z E u e 0 N v b H V t b j k s O H 0 m c X V v d D s s J n F 1 b 3 Q 7 U 2 V j d G l v b j E v V G F i b G U w N D c g K F B h Z 2 U g M z Q p L 0 F 1 d G 9 S Z W 1 v d m V k Q 2 9 s d W 1 u c z E u e 0 N v b H V t b j E w L D l 9 J n F 1 b 3 Q 7 L C Z x d W 9 0 O 1 N l Y 3 R p b 2 4 x L 1 R h Y m x l M D Q 3 I C h Q Y W d l I D M 0 K S 9 B d X R v U m V t b 3 Z l Z E N v b H V t b n M x L n t D b 2 x 1 b W 4 x M S w x M H 0 m c X V v d D s s J n F 1 b 3 Q 7 U 2 V j d G l v b j E v V G F i b G U w N D c g K F B h Z 2 U g M z Q p L 0 F 1 d G 9 S Z W 1 v d m V k Q 2 9 s d W 1 u c z E u e 0 N v b H V t b j E y L D E x f S Z x d W 9 0 O y w m c X V v d D t T Z W N 0 a W 9 u M S 9 U Y W J s Z T A 0 N y A o U G F n Z S A z N C k v Q X V 0 b 1 J l b W 9 2 Z W R D b 2 x 1 b W 5 z M S 5 7 Q 2 9 s d W 1 u M T M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9 U Y W J s Z T A 0 N y A o U G F n Z S A z N C k v Q X V 0 b 1 J l b W 9 2 Z W R D b 2 x 1 b W 5 z M S 5 7 S U Q s M H 0 m c X V v d D s s J n F 1 b 3 Q 7 U 2 V j d G l v b j E v V G F i b G U w N D c g K F B h Z 2 U g M z Q p L 0 F 1 d G 9 S Z W 1 v d m V k Q 2 9 s d W 1 u c z E u e 0 N v b H V t b j I s M X 0 m c X V v d D s s J n F 1 b 3 Q 7 U 2 V j d G l v b j E v V G F i b G U w N D c g K F B h Z 2 U g M z Q p L 0 F 1 d G 9 S Z W 1 v d m V k Q 2 9 s d W 1 u c z E u e 0 N v b m M u L D J 9 J n F 1 b 3 Q 7 L C Z x d W 9 0 O 1 N l Y 3 R p b 2 4 x L 1 R h Y m x l M D Q 3 I C h Q Y W d l I D M 0 K S 9 B d X R v U m V t b 3 Z l Z E N v b H V t b n M x L n t U L D N 9 J n F 1 b 3 Q 7 L C Z x d W 9 0 O 1 N l Y 3 R p b 2 4 x L 1 R h Y m x l M D Q 3 I C h Q Y W d l I D M 0 K S 9 B d X R v U m V t b 3 Z l Z E N v b H V t b n M x L n t 0 L j E s N H 0 m c X V v d D s s J n F 1 b 3 Q 7 U 2 V j d G l v b j E v V G F i b G U w N D c g K F B h Z 2 U g M z Q p L 0 F 1 d G 9 S Z W 1 v d m V k Q 2 9 s d W 1 u c z E u e 2 4 s N X 0 m c X V v d D s s J n F 1 b 3 Q 7 U 2 V j d G l v b j E v V G F i b G U w N D c g K F B h Z 2 U g M z Q p L 0 F 1 d G 9 S Z W 1 v d m V k Q 2 9 s d W 1 u c z E u e 1 l p Z W x k L D Z 9 J n F 1 b 3 Q 7 L C Z x d W 9 0 O 1 N l Y 3 R p b 2 4 x L 1 R h Y m x l M D Q 3 I C h Q Y W d l I D M 0 K S 9 B d X R v U m V t b 3 Z l Z E N v b H V t b n M x L n t D b 2 x 1 b W 4 4 L D d 9 J n F 1 b 3 Q 7 L C Z x d W 9 0 O 1 N l Y 3 R p b 2 4 x L 1 R h Y m x l M D Q 3 I C h Q Y W d l I D M 0 K S 9 B d X R v U m V t b 3 Z l Z E N v b H V t b n M x L n t D b 2 x 1 b W 4 5 L D h 9 J n F 1 b 3 Q 7 L C Z x d W 9 0 O 1 N l Y 3 R p b 2 4 x L 1 R h Y m x l M D Q 3 I C h Q Y W d l I D M 0 K S 9 B d X R v U m V t b 3 Z l Z E N v b H V t b n M x L n t D b 2 x 1 b W 4 x M C w 5 f S Z x d W 9 0 O y w m c X V v d D t T Z W N 0 a W 9 u M S 9 U Y W J s Z T A 0 N y A o U G F n Z S A z N C k v Q X V 0 b 1 J l b W 9 2 Z W R D b 2 x 1 b W 5 z M S 5 7 Q 2 9 s d W 1 u M T E s M T B 9 J n F 1 b 3 Q 7 L C Z x d W 9 0 O 1 N l Y 3 R p b 2 4 x L 1 R h Y m x l M D Q 3 I C h Q Y W d l I D M 0 K S 9 B d X R v U m V t b 3 Z l Z E N v b H V t b n M x L n t D b 2 x 1 b W 4 x M i w x M X 0 m c X V v d D s s J n F 1 b 3 Q 7 U 2 V j d G l v b j E v V G F i b G U w N D c g K F B h Z 2 U g M z Q p L 0 F 1 d G 9 S Z W 1 v d m V k Q 2 9 s d W 1 u c z E u e 0 N v b H V t b j E z L D E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N D c l M j A o U G F n Z S U y M D M 0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0 N y U y M C h Q Y W d l J T I w M z Q p L 1 R h Y m x l M D Q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N D c l M j A o U G F n Z S U y M D M 0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0 N y U y M C h Q Y W d l J T I w M z Q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N D c l M j A o U G F n Z S U y M D M 0 K S 9 S Z W 5 h b W V k J T I w Q 2 9 s d W 1 u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2 c I i E N l x N R q u K J a g t p U N f A A A A A A I A A A A A A B B m A A A A A Q A A I A A A A H 7 G M 2 X z B w I F Z 4 c K Q p + I a g H A C A b r e / T F 6 o a + 7 v 2 y D 3 p 8 A A A A A A 6 A A A A A A g A A I A A A A L 7 Q c J 4 9 a L H 7 w 2 a 8 j m w W Q S O L w P n Z / r M / u v R e a J 7 6 y u 1 N U A A A A D J V 1 Y h / + E D 8 D t 4 G 7 Z w F 8 E 7 A 4 3 I / L z m I 9 + A Y S S R 1 T z M f V f M 8 p Y Y m 7 S j i o N a B W C G P f i 2 f D X z 0 0 Z S E 7 2 V + M F 9 P L T D Z 6 b Y O P N 4 B o z 8 s s i r o p 8 G R Q A A A A G e z A 9 T W U o s m m V 1 d k 6 y h H s l C r q A Q Z 0 5 C O S S k k H N B W U f b E p 1 8 X + 4 p v l D J 4 6 I p D E 5 p T 0 Q L x W k m M 6 i X B / v l H p P i z j 8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DC485749299F4889608BA49981D165" ma:contentTypeVersion="14" ma:contentTypeDescription="Create a new document." ma:contentTypeScope="" ma:versionID="c14daa83716b0b5f808d8aa77a654a22">
  <xsd:schema xmlns:xsd="http://www.w3.org/2001/XMLSchema" xmlns:xs="http://www.w3.org/2001/XMLSchema" xmlns:p="http://schemas.microsoft.com/office/2006/metadata/properties" xmlns:ns3="557c1f13-c53b-45c1-8192-e7f38dae990c" xmlns:ns4="e46db283-567c-4890-9886-cc330c920a2f" targetNamespace="http://schemas.microsoft.com/office/2006/metadata/properties" ma:root="true" ma:fieldsID="79d4b444d39c422690ca0341f817a71a" ns3:_="" ns4:_="">
    <xsd:import namespace="557c1f13-c53b-45c1-8192-e7f38dae990c"/>
    <xsd:import namespace="e46db283-567c-4890-9886-cc330c920a2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7c1f13-c53b-45c1-8192-e7f38dae99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6db283-567c-4890-9886-cc330c920a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A4F4F6-713C-49D8-8A15-51C1D9A1EE16}">
  <ds:schemaRefs>
    <ds:schemaRef ds:uri="http://schemas.openxmlformats.org/package/2006/metadata/core-properties"/>
    <ds:schemaRef ds:uri="e46db283-567c-4890-9886-cc330c920a2f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557c1f13-c53b-45c1-8192-e7f38dae990c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C852CFB-68F8-4D7B-915E-7D836B344B91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A6F29612-3CEF-4824-860B-4A9D0501B1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7c1f13-c53b-45c1-8192-e7f38dae990c"/>
    <ds:schemaRef ds:uri="e46db283-567c-4890-9886-cc330c920a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2C95A2A-F6E1-459A-BB29-E5AB5FF0E81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cf48d45-3ddb-4389-a9c1-c115526eb52e}" enabled="0" method="" siteId="{7cf48d45-3ddb-4389-a9c1-c115526eb52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Algae</vt:lpstr>
      <vt:lpstr>Biomass</vt:lpstr>
      <vt:lpstr>Biomass!btblfn0015</vt:lpstr>
      <vt:lpstr>Algae!btblfn5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Guirguis</dc:creator>
  <cp:lastModifiedBy>Guirguis, Peter Mahfouz</cp:lastModifiedBy>
  <dcterms:created xsi:type="dcterms:W3CDTF">2022-07-19T17:35:20Z</dcterms:created>
  <dcterms:modified xsi:type="dcterms:W3CDTF">2024-02-07T17:42:13Z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0x010100BCDC485749299F4889608BA49981D165</vt:lpwstr>
  </property>
</Properties>
</file>