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ATA\Docs\Mes_Documents\i-PLD\"/>
    </mc:Choice>
  </mc:AlternateContent>
  <bookViews>
    <workbookView xWindow="-120" yWindow="-120" windowWidth="19320" windowHeight="6590" activeTab="14"/>
  </bookViews>
  <sheets>
    <sheet name="LSC82" sheetId="1" r:id="rId1"/>
    <sheet name="LSC82-CaO" sheetId="8" r:id="rId2"/>
    <sheet name="LSC82-SnO2" sheetId="5" r:id="rId3"/>
    <sheet name="LSC82-SrO" sheetId="7" r:id="rId4"/>
    <sheet name="LSC82-Decorations" sheetId="9" r:id="rId5"/>
    <sheet name="LSC91" sheetId="11" r:id="rId6"/>
    <sheet name="LSC91-CaO" sheetId="12" r:id="rId7"/>
    <sheet name="LSC91-SnO2" sheetId="13" r:id="rId8"/>
    <sheet name="LSC91-SrO" sheetId="14" r:id="rId9"/>
    <sheet name="LSC91-Decorations" sheetId="15" r:id="rId10"/>
    <sheet name="LSC95-5" sheetId="16" r:id="rId11"/>
    <sheet name="LSC95-5-CaO" sheetId="17" r:id="rId12"/>
    <sheet name="LSC95-5-SnO2" sheetId="18" r:id="rId13"/>
    <sheet name="LSC95-5-SrO" sheetId="19" r:id="rId14"/>
    <sheet name="LSC95-5-Decoration" sheetId="20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0" l="1"/>
  <c r="C6" i="20"/>
  <c r="D6" i="20"/>
  <c r="B7" i="20"/>
  <c r="C7" i="20"/>
  <c r="D7" i="20"/>
  <c r="C13" i="19"/>
  <c r="D13" i="19"/>
  <c r="E13" i="19"/>
  <c r="G13" i="19" s="1"/>
  <c r="H13" i="19"/>
  <c r="F13" i="19" s="1"/>
  <c r="L13" i="19"/>
  <c r="M13" i="19"/>
  <c r="P13" i="19" s="1"/>
  <c r="N13" i="19"/>
  <c r="Q13" i="19"/>
  <c r="O13" i="19" s="1"/>
  <c r="T13" i="19"/>
  <c r="Y13" i="19" s="1"/>
  <c r="V13" i="19"/>
  <c r="Z13" i="19" s="1"/>
  <c r="W13" i="19"/>
  <c r="X13" i="19" s="1"/>
  <c r="C14" i="19"/>
  <c r="D14" i="19"/>
  <c r="E14" i="19"/>
  <c r="G14" i="19"/>
  <c r="H14" i="19"/>
  <c r="L14" i="19"/>
  <c r="N14" i="19" s="1"/>
  <c r="M14" i="19"/>
  <c r="P14" i="19" s="1"/>
  <c r="Q14" i="19"/>
  <c r="O14" i="19" s="1"/>
  <c r="S14" i="19"/>
  <c r="T14" i="19"/>
  <c r="U14" i="19" s="1"/>
  <c r="V14" i="19"/>
  <c r="W14" i="19"/>
  <c r="X14" i="19" s="1"/>
  <c r="Z14" i="19"/>
  <c r="A15" i="19"/>
  <c r="F16" i="19" s="1"/>
  <c r="C15" i="19"/>
  <c r="D15" i="19"/>
  <c r="E15" i="19"/>
  <c r="H15" i="19"/>
  <c r="F15" i="19" s="1"/>
  <c r="L15" i="19"/>
  <c r="N15" i="19" s="1"/>
  <c r="M15" i="19"/>
  <c r="P15" i="19" s="1"/>
  <c r="Q15" i="19"/>
  <c r="O15" i="19" s="1"/>
  <c r="T15" i="19"/>
  <c r="Y15" i="19" s="1"/>
  <c r="U15" i="19"/>
  <c r="V15" i="19"/>
  <c r="Z15" i="19" s="1"/>
  <c r="W15" i="19"/>
  <c r="X15" i="19" s="1"/>
  <c r="C16" i="19"/>
  <c r="D16" i="19"/>
  <c r="E16" i="19"/>
  <c r="G16" i="19" s="1"/>
  <c r="H16" i="19"/>
  <c r="L16" i="19"/>
  <c r="M16" i="19"/>
  <c r="N16" i="19"/>
  <c r="Q16" i="19"/>
  <c r="O16" i="19" s="1"/>
  <c r="T16" i="19"/>
  <c r="U16" i="19" s="1"/>
  <c r="V16" i="19"/>
  <c r="W16" i="19"/>
  <c r="X16" i="19"/>
  <c r="Z16" i="19"/>
  <c r="A17" i="19"/>
  <c r="C17" i="19"/>
  <c r="D17" i="19"/>
  <c r="E17" i="19"/>
  <c r="G17" i="19" s="1"/>
  <c r="H17" i="19"/>
  <c r="F17" i="19" s="1"/>
  <c r="L17" i="19"/>
  <c r="N17" i="19" s="1"/>
  <c r="M17" i="19"/>
  <c r="Q17" i="19"/>
  <c r="O17" i="19" s="1"/>
  <c r="C18" i="19"/>
  <c r="D18" i="19"/>
  <c r="E18" i="19"/>
  <c r="G18" i="19" s="1"/>
  <c r="H18" i="19"/>
  <c r="F18" i="19" s="1"/>
  <c r="L18" i="19"/>
  <c r="N18" i="19" s="1"/>
  <c r="M18" i="19"/>
  <c r="P18" i="19"/>
  <c r="Q18" i="19"/>
  <c r="C19" i="19"/>
  <c r="D19" i="19"/>
  <c r="E19" i="19"/>
  <c r="G19" i="19" s="1"/>
  <c r="H19" i="19"/>
  <c r="F19" i="19" s="1"/>
  <c r="C20" i="19"/>
  <c r="D20" i="19"/>
  <c r="E20" i="19"/>
  <c r="H20" i="19"/>
  <c r="F20" i="19" s="1"/>
  <c r="C10" i="18"/>
  <c r="D10" i="18"/>
  <c r="E10" i="18"/>
  <c r="G10" i="18" s="1"/>
  <c r="H10" i="18"/>
  <c r="F10" i="18" s="1"/>
  <c r="L10" i="18"/>
  <c r="M10" i="18"/>
  <c r="N10" i="18"/>
  <c r="O10" i="18"/>
  <c r="P10" i="18"/>
  <c r="Q10" i="18"/>
  <c r="C11" i="18"/>
  <c r="D11" i="18"/>
  <c r="E11" i="18"/>
  <c r="G11" i="18" s="1"/>
  <c r="H11" i="18"/>
  <c r="F11" i="18" s="1"/>
  <c r="L11" i="18"/>
  <c r="N11" i="18" s="1"/>
  <c r="M11" i="18"/>
  <c r="P11" i="18" s="1"/>
  <c r="Q11" i="18"/>
  <c r="O11" i="18" s="1"/>
  <c r="A12" i="18"/>
  <c r="C12" i="18"/>
  <c r="D12" i="18"/>
  <c r="E12" i="18"/>
  <c r="G12" i="18" s="1"/>
  <c r="H12" i="18"/>
  <c r="F12" i="18" s="1"/>
  <c r="L12" i="18"/>
  <c r="M12" i="18"/>
  <c r="N12" i="18"/>
  <c r="O12" i="18"/>
  <c r="Q12" i="18"/>
  <c r="P12" i="18" s="1"/>
  <c r="C13" i="18"/>
  <c r="D13" i="18"/>
  <c r="E13" i="18"/>
  <c r="H13" i="18"/>
  <c r="F13" i="18" s="1"/>
  <c r="L13" i="18"/>
  <c r="N13" i="18" s="1"/>
  <c r="M13" i="18"/>
  <c r="P13" i="18" s="1"/>
  <c r="Q13" i="18"/>
  <c r="O13" i="18" s="1"/>
  <c r="A14" i="18"/>
  <c r="C14" i="18"/>
  <c r="D14" i="18"/>
  <c r="E14" i="18"/>
  <c r="G14" i="18" s="1"/>
  <c r="H14" i="18"/>
  <c r="F14" i="18" s="1"/>
  <c r="L14" i="18"/>
  <c r="M14" i="18"/>
  <c r="P14" i="18" s="1"/>
  <c r="N14" i="18"/>
  <c r="Q14" i="18"/>
  <c r="O14" i="18" s="1"/>
  <c r="C15" i="18"/>
  <c r="D15" i="18"/>
  <c r="E15" i="18"/>
  <c r="F15" i="18"/>
  <c r="G15" i="18"/>
  <c r="H15" i="18"/>
  <c r="L15" i="18"/>
  <c r="N15" i="18" s="1"/>
  <c r="M15" i="18"/>
  <c r="Q15" i="18"/>
  <c r="O15" i="18" s="1"/>
  <c r="C9" i="17"/>
  <c r="D9" i="17"/>
  <c r="G9" i="17" s="1"/>
  <c r="E9" i="17"/>
  <c r="I9" i="17"/>
  <c r="F9" i="17" s="1"/>
  <c r="L9" i="17"/>
  <c r="N9" i="17" s="1"/>
  <c r="M9" i="17"/>
  <c r="Q9" i="17"/>
  <c r="O9" i="17" s="1"/>
  <c r="U9" i="17"/>
  <c r="Y9" i="17" s="1"/>
  <c r="V9" i="17"/>
  <c r="W9" i="17"/>
  <c r="X9" i="17"/>
  <c r="C10" i="17"/>
  <c r="D10" i="17"/>
  <c r="E10" i="17"/>
  <c r="G10" i="17"/>
  <c r="I10" i="17"/>
  <c r="H10" i="17" s="1"/>
  <c r="L10" i="17"/>
  <c r="M10" i="17"/>
  <c r="N10" i="17"/>
  <c r="Q10" i="17"/>
  <c r="P10" i="17" s="1"/>
  <c r="U10" i="17"/>
  <c r="V10" i="17" s="1"/>
  <c r="W10" i="17"/>
  <c r="X10" i="17"/>
  <c r="Z10" i="17"/>
  <c r="A11" i="17"/>
  <c r="F10" i="17" s="1"/>
  <c r="C11" i="17"/>
  <c r="D11" i="17"/>
  <c r="G11" i="17" s="1"/>
  <c r="E11" i="17"/>
  <c r="I11" i="17"/>
  <c r="F11" i="17" s="1"/>
  <c r="L11" i="17"/>
  <c r="N11" i="17" s="1"/>
  <c r="M11" i="17"/>
  <c r="Q11" i="17"/>
  <c r="O11" i="17" s="1"/>
  <c r="U11" i="17"/>
  <c r="Y11" i="17" s="1"/>
  <c r="V11" i="17"/>
  <c r="W11" i="17"/>
  <c r="X11" i="17"/>
  <c r="C12" i="17"/>
  <c r="D12" i="17"/>
  <c r="E12" i="17"/>
  <c r="H12" i="17" s="1"/>
  <c r="F12" i="17"/>
  <c r="G12" i="17"/>
  <c r="I12" i="17"/>
  <c r="L12" i="17"/>
  <c r="N12" i="17" s="1"/>
  <c r="M12" i="17"/>
  <c r="P12" i="17"/>
  <c r="Q12" i="17"/>
  <c r="U12" i="17"/>
  <c r="T12" i="17" s="1"/>
  <c r="W12" i="17"/>
  <c r="X12" i="17"/>
  <c r="Z12" i="17"/>
  <c r="A13" i="17"/>
  <c r="C13" i="17"/>
  <c r="D13" i="17"/>
  <c r="G13" i="17" s="1"/>
  <c r="E13" i="17"/>
  <c r="I13" i="17"/>
  <c r="F13" i="17" s="1"/>
  <c r="L13" i="17"/>
  <c r="M13" i="17"/>
  <c r="N13" i="17"/>
  <c r="P13" i="17"/>
  <c r="Q13" i="17"/>
  <c r="O13" i="17" s="1"/>
  <c r="L14" i="17"/>
  <c r="N14" i="17" s="1"/>
  <c r="M14" i="17"/>
  <c r="Q14" i="17"/>
  <c r="O14" i="17" s="1"/>
  <c r="E4" i="16"/>
  <c r="J4" i="16" s="1"/>
  <c r="G4" i="16"/>
  <c r="K4" i="16" s="1"/>
  <c r="H4" i="16"/>
  <c r="I4" i="16"/>
  <c r="E5" i="16"/>
  <c r="G5" i="16"/>
  <c r="H5" i="16"/>
  <c r="I5" i="16"/>
  <c r="J5" i="16"/>
  <c r="K5" i="16"/>
  <c r="E6" i="16"/>
  <c r="K6" i="16" s="1"/>
  <c r="G6" i="16"/>
  <c r="H6" i="16"/>
  <c r="I6" i="16"/>
  <c r="E7" i="16"/>
  <c r="J7" i="16" s="1"/>
  <c r="G7" i="16"/>
  <c r="K7" i="16" s="1"/>
  <c r="H7" i="16"/>
  <c r="I7" i="16"/>
  <c r="E8" i="16"/>
  <c r="J8" i="16" s="1"/>
  <c r="G8" i="16"/>
  <c r="K8" i="16" s="1"/>
  <c r="H8" i="16"/>
  <c r="I8" i="16"/>
  <c r="E9" i="16"/>
  <c r="G9" i="16"/>
  <c r="H9" i="16"/>
  <c r="I9" i="16"/>
  <c r="J9" i="16"/>
  <c r="K9" i="16"/>
  <c r="E10" i="16"/>
  <c r="K10" i="16" s="1"/>
  <c r="G10" i="16"/>
  <c r="H10" i="16"/>
  <c r="I10" i="16"/>
  <c r="J10" i="16"/>
  <c r="E11" i="16"/>
  <c r="J11" i="16" s="1"/>
  <c r="G11" i="16"/>
  <c r="K11" i="16" s="1"/>
  <c r="H11" i="16"/>
  <c r="I11" i="16"/>
  <c r="E12" i="16"/>
  <c r="K12" i="16" s="1"/>
  <c r="G12" i="16"/>
  <c r="H12" i="16"/>
  <c r="I12" i="16"/>
  <c r="C16" i="16"/>
  <c r="J6" i="16" s="1"/>
  <c r="E16" i="16"/>
  <c r="G16" i="16"/>
  <c r="K16" i="16" s="1"/>
  <c r="H16" i="16"/>
  <c r="I16" i="16"/>
  <c r="J16" i="16"/>
  <c r="E17" i="16"/>
  <c r="J17" i="16" s="1"/>
  <c r="G17" i="16"/>
  <c r="H17" i="16"/>
  <c r="I17" i="16"/>
  <c r="K17" i="16"/>
  <c r="C18" i="16"/>
  <c r="E18" i="16"/>
  <c r="G18" i="16"/>
  <c r="K18" i="16" s="1"/>
  <c r="H18" i="16"/>
  <c r="I18" i="16"/>
  <c r="J18" i="16"/>
  <c r="E19" i="16"/>
  <c r="J19" i="16" s="1"/>
  <c r="G19" i="16"/>
  <c r="K19" i="16" s="1"/>
  <c r="H19" i="16"/>
  <c r="I19" i="16" s="1"/>
  <c r="E20" i="16"/>
  <c r="K20" i="16" s="1"/>
  <c r="G20" i="16"/>
  <c r="H20" i="16"/>
  <c r="I20" i="16"/>
  <c r="E21" i="16"/>
  <c r="G21" i="16"/>
  <c r="H21" i="16"/>
  <c r="I21" i="16" s="1"/>
  <c r="J21" i="16"/>
  <c r="K21" i="16"/>
  <c r="F25" i="16"/>
  <c r="E25" i="16" s="1"/>
  <c r="G25" i="16"/>
  <c r="H25" i="16"/>
  <c r="I25" i="16"/>
  <c r="J25" i="16" s="1"/>
  <c r="K25" i="16"/>
  <c r="L25" i="16"/>
  <c r="F26" i="16"/>
  <c r="G26" i="16" s="1"/>
  <c r="H26" i="16"/>
  <c r="I26" i="16"/>
  <c r="J26" i="16" s="1"/>
  <c r="K26" i="16"/>
  <c r="L26" i="16"/>
  <c r="F27" i="16"/>
  <c r="G27" i="16" s="1"/>
  <c r="H27" i="16"/>
  <c r="I27" i="16"/>
  <c r="J27" i="16" s="1"/>
  <c r="K27" i="16"/>
  <c r="L27" i="16"/>
  <c r="F28" i="16"/>
  <c r="G28" i="16" s="1"/>
  <c r="H28" i="16"/>
  <c r="I28" i="16"/>
  <c r="J28" i="16" s="1"/>
  <c r="K28" i="16"/>
  <c r="L28" i="16"/>
  <c r="Y12" i="17" l="1"/>
  <c r="E28" i="16"/>
  <c r="E27" i="16"/>
  <c r="E26" i="16"/>
  <c r="J20" i="16"/>
  <c r="J12" i="16"/>
  <c r="T10" i="17"/>
  <c r="S16" i="19"/>
  <c r="H13" i="17"/>
  <c r="O12" i="17"/>
  <c r="G13" i="18"/>
  <c r="P16" i="19"/>
  <c r="T11" i="17"/>
  <c r="H11" i="17"/>
  <c r="Y10" i="17"/>
  <c r="O10" i="17"/>
  <c r="P15" i="18"/>
  <c r="Y14" i="19"/>
  <c r="U13" i="19"/>
  <c r="T9" i="17"/>
  <c r="H9" i="17"/>
  <c r="S15" i="19"/>
  <c r="G15" i="19"/>
  <c r="O18" i="19"/>
  <c r="Y16" i="19"/>
  <c r="F14" i="19"/>
  <c r="V12" i="17"/>
  <c r="Z11" i="17"/>
  <c r="P11" i="17"/>
  <c r="G20" i="19"/>
  <c r="P17" i="19"/>
  <c r="S13" i="19"/>
  <c r="P14" i="17"/>
  <c r="Z9" i="17"/>
  <c r="P9" i="17"/>
  <c r="B7" i="15"/>
  <c r="C7" i="15"/>
  <c r="D7" i="15"/>
  <c r="B8" i="15"/>
  <c r="C8" i="15"/>
  <c r="D8" i="15"/>
  <c r="E8" i="15"/>
  <c r="B2" i="14"/>
  <c r="B7" i="14"/>
  <c r="B9" i="14"/>
  <c r="E13" i="14"/>
  <c r="F13" i="14"/>
  <c r="G13" i="14"/>
  <c r="J13" i="14"/>
  <c r="H13" i="14" s="1"/>
  <c r="N13" i="14"/>
  <c r="P13" i="14" s="1"/>
  <c r="O13" i="14"/>
  <c r="R13" i="14" s="1"/>
  <c r="S13" i="14"/>
  <c r="Q13" i="14" s="1"/>
  <c r="W13" i="14"/>
  <c r="AB13" i="14" s="1"/>
  <c r="Y13" i="14"/>
  <c r="AC13" i="14" s="1"/>
  <c r="Z13" i="14"/>
  <c r="AA13" i="14" s="1"/>
  <c r="D14" i="14"/>
  <c r="B3" i="14" s="1"/>
  <c r="E14" i="14"/>
  <c r="F14" i="14"/>
  <c r="G14" i="14"/>
  <c r="I14" i="14" s="1"/>
  <c r="J14" i="14"/>
  <c r="H14" i="14" s="1"/>
  <c r="N14" i="14"/>
  <c r="O14" i="14"/>
  <c r="P14" i="14"/>
  <c r="Q14" i="14"/>
  <c r="R14" i="14"/>
  <c r="S14" i="14"/>
  <c r="W14" i="14"/>
  <c r="V14" i="14" s="1"/>
  <c r="Y14" i="14"/>
  <c r="AC14" i="14" s="1"/>
  <c r="Z14" i="14"/>
  <c r="AA14" i="14" s="1"/>
  <c r="AB14" i="14"/>
  <c r="B15" i="14"/>
  <c r="D15" i="14"/>
  <c r="B4" i="14" s="1"/>
  <c r="F15" i="14"/>
  <c r="H15" i="14" s="1"/>
  <c r="G15" i="14"/>
  <c r="I15" i="14"/>
  <c r="J15" i="14"/>
  <c r="N15" i="14"/>
  <c r="O15" i="14"/>
  <c r="P15" i="14"/>
  <c r="R15" i="14"/>
  <c r="S15" i="14"/>
  <c r="Q15" i="14" s="1"/>
  <c r="V15" i="14"/>
  <c r="W15" i="14"/>
  <c r="X15" i="14" s="1"/>
  <c r="Y15" i="14"/>
  <c r="Z15" i="14"/>
  <c r="AA15" i="14"/>
  <c r="AB15" i="14"/>
  <c r="AC15" i="14"/>
  <c r="D16" i="14"/>
  <c r="B5" i="14" s="1"/>
  <c r="F16" i="14"/>
  <c r="G16" i="14"/>
  <c r="I16" i="14" s="1"/>
  <c r="J16" i="14"/>
  <c r="H16" i="14" s="1"/>
  <c r="O16" i="14"/>
  <c r="R16" i="14" s="1"/>
  <c r="P16" i="14"/>
  <c r="S16" i="14"/>
  <c r="Q16" i="14" s="1"/>
  <c r="W16" i="14"/>
  <c r="AB16" i="14" s="1"/>
  <c r="X16" i="14"/>
  <c r="Y16" i="14"/>
  <c r="AC16" i="14" s="1"/>
  <c r="Z16" i="14"/>
  <c r="AA16" i="14" s="1"/>
  <c r="B17" i="14"/>
  <c r="D17" i="14"/>
  <c r="B6" i="14" s="1"/>
  <c r="E17" i="14"/>
  <c r="F17" i="14"/>
  <c r="G17" i="14"/>
  <c r="I17" i="14" s="1"/>
  <c r="J17" i="14"/>
  <c r="H17" i="14" s="1"/>
  <c r="N17" i="14"/>
  <c r="O17" i="14"/>
  <c r="P17" i="14"/>
  <c r="Q17" i="14"/>
  <c r="R17" i="14"/>
  <c r="S17" i="14"/>
  <c r="D18" i="14"/>
  <c r="E18" i="14"/>
  <c r="F18" i="14"/>
  <c r="G18" i="14"/>
  <c r="J18" i="14"/>
  <c r="H18" i="14" s="1"/>
  <c r="N18" i="14"/>
  <c r="O18" i="14"/>
  <c r="P18" i="14"/>
  <c r="S18" i="14"/>
  <c r="Q18" i="14" s="1"/>
  <c r="D19" i="14"/>
  <c r="B8" i="14" s="1"/>
  <c r="E19" i="14"/>
  <c r="F19" i="14"/>
  <c r="G19" i="14"/>
  <c r="H19" i="14"/>
  <c r="J19" i="14"/>
  <c r="I19" i="14" s="1"/>
  <c r="D20" i="14"/>
  <c r="E20" i="14" s="1"/>
  <c r="F20" i="14"/>
  <c r="G20" i="14"/>
  <c r="I20" i="14"/>
  <c r="J20" i="14"/>
  <c r="H20" i="14" s="1"/>
  <c r="B32" i="14"/>
  <c r="B33" i="14"/>
  <c r="B34" i="14"/>
  <c r="B35" i="14"/>
  <c r="D13" i="13"/>
  <c r="E13" i="13"/>
  <c r="F13" i="13"/>
  <c r="G13" i="13"/>
  <c r="I13" i="13"/>
  <c r="J13" i="13"/>
  <c r="H13" i="13" s="1"/>
  <c r="N13" i="13"/>
  <c r="P13" i="13" s="1"/>
  <c r="O13" i="13"/>
  <c r="R13" i="13" s="1"/>
  <c r="S13" i="13"/>
  <c r="U13" i="13"/>
  <c r="V13" i="13"/>
  <c r="AA13" i="13" s="1"/>
  <c r="W13" i="13"/>
  <c r="X13" i="13"/>
  <c r="Y13" i="13"/>
  <c r="Z13" i="13"/>
  <c r="C14" i="13"/>
  <c r="D14" i="13" s="1"/>
  <c r="E14" i="13"/>
  <c r="G14" i="13" s="1"/>
  <c r="F14" i="13"/>
  <c r="I14" i="13" s="1"/>
  <c r="J14" i="13"/>
  <c r="N14" i="13"/>
  <c r="O14" i="13"/>
  <c r="R14" i="13" s="1"/>
  <c r="P14" i="13"/>
  <c r="S14" i="13"/>
  <c r="Q14" i="13" s="1"/>
  <c r="V14" i="13"/>
  <c r="AA14" i="13" s="1"/>
  <c r="W14" i="13"/>
  <c r="X14" i="13"/>
  <c r="Y14" i="13"/>
  <c r="Z14" i="13" s="1"/>
  <c r="AB14" i="13"/>
  <c r="A15" i="13"/>
  <c r="C15" i="13"/>
  <c r="D15" i="13"/>
  <c r="E15" i="13"/>
  <c r="G15" i="13" s="1"/>
  <c r="F15" i="13"/>
  <c r="I15" i="13" s="1"/>
  <c r="J15" i="13"/>
  <c r="H15" i="13" s="1"/>
  <c r="N15" i="13"/>
  <c r="O15" i="13"/>
  <c r="R15" i="13" s="1"/>
  <c r="P15" i="13"/>
  <c r="Q15" i="13"/>
  <c r="S15" i="13"/>
  <c r="U15" i="13"/>
  <c r="V15" i="13"/>
  <c r="AA15" i="13" s="1"/>
  <c r="W15" i="13"/>
  <c r="X15" i="13"/>
  <c r="AB15" i="13" s="1"/>
  <c r="Y15" i="13"/>
  <c r="Z15" i="13"/>
  <c r="C16" i="13"/>
  <c r="D16" i="13" s="1"/>
  <c r="E16" i="13"/>
  <c r="G16" i="13" s="1"/>
  <c r="F16" i="13"/>
  <c r="I16" i="13" s="1"/>
  <c r="H16" i="13"/>
  <c r="J16" i="13"/>
  <c r="N16" i="13"/>
  <c r="P16" i="13" s="1"/>
  <c r="O16" i="13"/>
  <c r="S16" i="13"/>
  <c r="Q16" i="13" s="1"/>
  <c r="U16" i="13"/>
  <c r="V16" i="13"/>
  <c r="W16" i="13"/>
  <c r="X16" i="13"/>
  <c r="Y16" i="13"/>
  <c r="AA16" i="13" s="1"/>
  <c r="Z16" i="13"/>
  <c r="AB16" i="13"/>
  <c r="A17" i="13"/>
  <c r="C17" i="13"/>
  <c r="D17" i="13"/>
  <c r="E17" i="13"/>
  <c r="F17" i="13"/>
  <c r="G17" i="13"/>
  <c r="H17" i="13"/>
  <c r="I17" i="13"/>
  <c r="J17" i="13"/>
  <c r="N17" i="13"/>
  <c r="O17" i="13"/>
  <c r="R17" i="13" s="1"/>
  <c r="P17" i="13"/>
  <c r="S17" i="13"/>
  <c r="Q17" i="13" s="1"/>
  <c r="C18" i="13"/>
  <c r="D18" i="13" s="1"/>
  <c r="E18" i="13"/>
  <c r="F18" i="13"/>
  <c r="I18" i="13" s="1"/>
  <c r="G18" i="13"/>
  <c r="J18" i="13"/>
  <c r="H18" i="13" s="1"/>
  <c r="N18" i="13"/>
  <c r="P18" i="13" s="1"/>
  <c r="O18" i="13"/>
  <c r="R18" i="13" s="1"/>
  <c r="S18" i="13"/>
  <c r="Q18" i="13" s="1"/>
  <c r="B2" i="12"/>
  <c r="B3" i="12"/>
  <c r="E13" i="12"/>
  <c r="F13" i="12"/>
  <c r="G13" i="12"/>
  <c r="I13" i="12"/>
  <c r="J13" i="12"/>
  <c r="N13" i="12"/>
  <c r="O13" i="12"/>
  <c r="P13" i="12"/>
  <c r="Q13" i="12"/>
  <c r="T13" i="12"/>
  <c r="R13" i="12" s="1"/>
  <c r="V13" i="12"/>
  <c r="W13" i="12"/>
  <c r="X13" i="12"/>
  <c r="Y13" i="12"/>
  <c r="Z13" i="12"/>
  <c r="AA13" i="12" s="1"/>
  <c r="AC13" i="12"/>
  <c r="D14" i="12"/>
  <c r="E14" i="12"/>
  <c r="F14" i="12"/>
  <c r="G14" i="12"/>
  <c r="J14" i="12"/>
  <c r="H14" i="12" s="1"/>
  <c r="N14" i="12"/>
  <c r="Q14" i="12" s="1"/>
  <c r="P14" i="12"/>
  <c r="T14" i="12"/>
  <c r="R14" i="12" s="1"/>
  <c r="W14" i="12"/>
  <c r="AB14" i="12" s="1"/>
  <c r="Y14" i="12"/>
  <c r="Z14" i="12"/>
  <c r="AA14" i="12" s="1"/>
  <c r="B15" i="12"/>
  <c r="H13" i="12" s="1"/>
  <c r="D15" i="12"/>
  <c r="B4" i="12" s="1"/>
  <c r="E15" i="12"/>
  <c r="F15" i="12"/>
  <c r="G15" i="12"/>
  <c r="J15" i="12"/>
  <c r="H15" i="12" s="1"/>
  <c r="N15" i="12"/>
  <c r="Q15" i="12" s="1"/>
  <c r="O15" i="12"/>
  <c r="P15" i="12"/>
  <c r="T15" i="12"/>
  <c r="R15" i="12" s="1"/>
  <c r="W15" i="12"/>
  <c r="AB15" i="12" s="1"/>
  <c r="X15" i="12"/>
  <c r="Y15" i="12"/>
  <c r="Z15" i="12"/>
  <c r="AA15" i="12"/>
  <c r="D16" i="12"/>
  <c r="B5" i="12" s="1"/>
  <c r="E16" i="12"/>
  <c r="F16" i="12"/>
  <c r="G16" i="12"/>
  <c r="I16" i="12"/>
  <c r="J16" i="12"/>
  <c r="H16" i="12" s="1"/>
  <c r="N16" i="12"/>
  <c r="O16" i="12"/>
  <c r="P16" i="12"/>
  <c r="S16" i="12" s="1"/>
  <c r="Q16" i="12"/>
  <c r="T16" i="12"/>
  <c r="R16" i="12" s="1"/>
  <c r="W16" i="12"/>
  <c r="AB16" i="12" s="1"/>
  <c r="Y16" i="12"/>
  <c r="AC16" i="12" s="1"/>
  <c r="Z16" i="12"/>
  <c r="AA16" i="12" s="1"/>
  <c r="B17" i="12"/>
  <c r="D17" i="12"/>
  <c r="B6" i="12" s="1"/>
  <c r="E17" i="12"/>
  <c r="F17" i="12"/>
  <c r="G17" i="12"/>
  <c r="I17" i="12" s="1"/>
  <c r="J17" i="12"/>
  <c r="H17" i="12" s="1"/>
  <c r="N17" i="12"/>
  <c r="O17" i="12"/>
  <c r="P17" i="12"/>
  <c r="S17" i="12" s="1"/>
  <c r="Q17" i="12"/>
  <c r="R17" i="12"/>
  <c r="T17" i="12"/>
  <c r="D18" i="12"/>
  <c r="B7" i="12" s="1"/>
  <c r="E18" i="12"/>
  <c r="F18" i="12"/>
  <c r="G18" i="12"/>
  <c r="H18" i="12"/>
  <c r="I18" i="12"/>
  <c r="J18" i="12"/>
  <c r="N18" i="12"/>
  <c r="O18" i="12"/>
  <c r="P18" i="12"/>
  <c r="Q18" i="12"/>
  <c r="T18" i="12"/>
  <c r="R18" i="12" s="1"/>
  <c r="B30" i="12"/>
  <c r="B31" i="12"/>
  <c r="B32" i="12"/>
  <c r="B33" i="12"/>
  <c r="A14" i="11"/>
  <c r="C14" i="11"/>
  <c r="D14" i="11"/>
  <c r="E14" i="11"/>
  <c r="F14" i="11"/>
  <c r="H14" i="11"/>
  <c r="G14" i="11" s="1"/>
  <c r="M14" i="11"/>
  <c r="N14" i="11"/>
  <c r="O14" i="11"/>
  <c r="R14" i="11" s="1"/>
  <c r="P14" i="11"/>
  <c r="Q14" i="11"/>
  <c r="V14" i="11"/>
  <c r="U14" i="11" s="1"/>
  <c r="X14" i="11"/>
  <c r="AB14" i="11" s="1"/>
  <c r="Y14" i="11"/>
  <c r="Z14" i="11"/>
  <c r="AA14" i="11"/>
  <c r="C15" i="11"/>
  <c r="D15" i="11"/>
  <c r="E15" i="11" s="1"/>
  <c r="F15" i="11"/>
  <c r="H15" i="11"/>
  <c r="G15" i="11" s="1"/>
  <c r="M15" i="11"/>
  <c r="Q15" i="11" s="1"/>
  <c r="N15" i="11"/>
  <c r="O15" i="11"/>
  <c r="P15" i="11"/>
  <c r="V15" i="11"/>
  <c r="AA15" i="11" s="1"/>
  <c r="W15" i="11"/>
  <c r="X15" i="11"/>
  <c r="Y15" i="11"/>
  <c r="Z15" i="11"/>
  <c r="A16" i="11"/>
  <c r="B16" i="11"/>
  <c r="C16" i="11"/>
  <c r="D16" i="11"/>
  <c r="E16" i="11"/>
  <c r="F16" i="11"/>
  <c r="H16" i="11"/>
  <c r="G16" i="11" s="1"/>
  <c r="M16" i="11"/>
  <c r="Q16" i="11" s="1"/>
  <c r="N16" i="11"/>
  <c r="P16" i="11" s="1"/>
  <c r="O16" i="11"/>
  <c r="R16" i="11" s="1"/>
  <c r="V16" i="11"/>
  <c r="AA16" i="11" s="1"/>
  <c r="X16" i="11"/>
  <c r="AB16" i="11" s="1"/>
  <c r="Y16" i="11"/>
  <c r="Z16" i="11" s="1"/>
  <c r="B17" i="11"/>
  <c r="C17" i="11"/>
  <c r="D17" i="11"/>
  <c r="E17" i="11"/>
  <c r="F17" i="11"/>
  <c r="H17" i="11"/>
  <c r="G17" i="11" s="1"/>
  <c r="M17" i="11"/>
  <c r="Q17" i="11" s="1"/>
  <c r="N17" i="11"/>
  <c r="O17" i="11"/>
  <c r="P17" i="11"/>
  <c r="R17" i="11"/>
  <c r="V17" i="11"/>
  <c r="U17" i="11" s="1"/>
  <c r="W17" i="11"/>
  <c r="X17" i="11"/>
  <c r="Y17" i="11"/>
  <c r="Z17" i="11" s="1"/>
  <c r="AA17" i="11"/>
  <c r="AB17" i="11"/>
  <c r="A18" i="11"/>
  <c r="C18" i="11"/>
  <c r="D18" i="11"/>
  <c r="E18" i="11" s="1"/>
  <c r="F18" i="11"/>
  <c r="H18" i="11"/>
  <c r="G18" i="11" s="1"/>
  <c r="M18" i="11"/>
  <c r="Q18" i="11" s="1"/>
  <c r="N18" i="11"/>
  <c r="O18" i="11"/>
  <c r="P18" i="11"/>
  <c r="C19" i="11"/>
  <c r="D19" i="11"/>
  <c r="E19" i="11"/>
  <c r="F19" i="11"/>
  <c r="H19" i="11"/>
  <c r="G19" i="11" s="1"/>
  <c r="M19" i="11"/>
  <c r="N19" i="11"/>
  <c r="O19" i="11"/>
  <c r="R19" i="11" s="1"/>
  <c r="P19" i="11"/>
  <c r="Q19" i="11"/>
  <c r="C20" i="11"/>
  <c r="D20" i="11"/>
  <c r="E20" i="11" s="1"/>
  <c r="F20" i="11"/>
  <c r="H20" i="11"/>
  <c r="G20" i="11" s="1"/>
  <c r="C21" i="11"/>
  <c r="D21" i="11"/>
  <c r="E21" i="11"/>
  <c r="F21" i="11"/>
  <c r="H21" i="11"/>
  <c r="G21" i="11" s="1"/>
  <c r="C22" i="11"/>
  <c r="D22" i="11"/>
  <c r="E22" i="11"/>
  <c r="F22" i="11"/>
  <c r="H22" i="11"/>
  <c r="G22" i="11" s="1"/>
  <c r="C23" i="11"/>
  <c r="D23" i="11"/>
  <c r="E23" i="11" s="1"/>
  <c r="F23" i="11"/>
  <c r="G23" i="11"/>
  <c r="H23" i="11"/>
  <c r="B34" i="11"/>
  <c r="B35" i="11"/>
  <c r="B36" i="11"/>
  <c r="B37" i="11"/>
  <c r="Y61" i="1"/>
  <c r="X14" i="12" l="1"/>
  <c r="O14" i="12"/>
  <c r="E16" i="14"/>
  <c r="S18" i="12"/>
  <c r="V14" i="12"/>
  <c r="AB13" i="12"/>
  <c r="S13" i="12"/>
  <c r="R16" i="13"/>
  <c r="I18" i="14"/>
  <c r="X13" i="14"/>
  <c r="W16" i="11"/>
  <c r="U15" i="11"/>
  <c r="X16" i="12"/>
  <c r="V15" i="12"/>
  <c r="AC14" i="12"/>
  <c r="I14" i="12"/>
  <c r="R18" i="11"/>
  <c r="AB15" i="11"/>
  <c r="R15" i="11"/>
  <c r="AC15" i="12"/>
  <c r="I15" i="12"/>
  <c r="S14" i="12"/>
  <c r="AB13" i="13"/>
  <c r="R18" i="14"/>
  <c r="V13" i="14"/>
  <c r="I13" i="14"/>
  <c r="U16" i="11"/>
  <c r="W14" i="11"/>
  <c r="V16" i="12"/>
  <c r="S15" i="12"/>
  <c r="U14" i="13"/>
  <c r="V16" i="14"/>
  <c r="E15" i="14"/>
  <c r="X14" i="14"/>
  <c r="H14" i="13"/>
  <c r="Q13" i="13"/>
  <c r="B3" i="8"/>
  <c r="B4" i="8"/>
  <c r="B5" i="8"/>
  <c r="B6" i="8"/>
  <c r="B7" i="8"/>
  <c r="B2" i="8"/>
  <c r="D15" i="8"/>
  <c r="D16" i="8"/>
  <c r="D17" i="8"/>
  <c r="D18" i="8"/>
  <c r="D14" i="8"/>
  <c r="B3" i="5"/>
  <c r="B4" i="5"/>
  <c r="B5" i="5"/>
  <c r="B6" i="5"/>
  <c r="B7" i="5"/>
  <c r="B2" i="5"/>
  <c r="B3" i="7"/>
  <c r="B4" i="7"/>
  <c r="B5" i="7"/>
  <c r="B6" i="7"/>
  <c r="B7" i="7"/>
  <c r="B8" i="7"/>
  <c r="B9" i="7"/>
  <c r="B2" i="7"/>
  <c r="F14" i="1"/>
  <c r="F13" i="1"/>
  <c r="Z14" i="8"/>
  <c r="Z15" i="8"/>
  <c r="Z16" i="8"/>
  <c r="Z13" i="8"/>
  <c r="R14" i="8"/>
  <c r="R15" i="8"/>
  <c r="R16" i="8"/>
  <c r="R17" i="8"/>
  <c r="R18" i="8"/>
  <c r="R13" i="8"/>
  <c r="H16" i="8"/>
  <c r="H15" i="8"/>
  <c r="H14" i="8"/>
  <c r="H13" i="8"/>
  <c r="H17" i="8"/>
  <c r="H18" i="8"/>
  <c r="AD14" i="7"/>
  <c r="AD15" i="7"/>
  <c r="AD16" i="7"/>
  <c r="AD13" i="7"/>
  <c r="K14" i="7"/>
  <c r="K15" i="7"/>
  <c r="K16" i="7"/>
  <c r="K17" i="7"/>
  <c r="K18" i="7"/>
  <c r="K19" i="7"/>
  <c r="K20" i="7"/>
  <c r="K13" i="7"/>
  <c r="S13" i="7"/>
  <c r="S14" i="7"/>
  <c r="S15" i="7"/>
  <c r="S16" i="7"/>
  <c r="S17" i="7"/>
  <c r="S18" i="7"/>
  <c r="H14" i="7" l="1"/>
  <c r="H15" i="7"/>
  <c r="H16" i="7"/>
  <c r="H17" i="7"/>
  <c r="H18" i="7"/>
  <c r="H19" i="7"/>
  <c r="H20" i="7"/>
  <c r="H13" i="7"/>
  <c r="D11" i="5"/>
  <c r="D12" i="5"/>
  <c r="D13" i="5"/>
  <c r="D14" i="5"/>
  <c r="D15" i="5"/>
  <c r="D10" i="5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13" i="7"/>
  <c r="D14" i="7"/>
  <c r="E14" i="7" s="1"/>
  <c r="A17" i="7"/>
  <c r="B14" i="5"/>
  <c r="A17" i="1"/>
  <c r="B12" i="5"/>
  <c r="M14" i="8"/>
  <c r="M15" i="8"/>
  <c r="M16" i="8"/>
  <c r="M17" i="8"/>
  <c r="M18" i="8"/>
  <c r="M13" i="8"/>
  <c r="A17" i="8"/>
  <c r="A15" i="8"/>
  <c r="O18" i="7"/>
  <c r="Q18" i="7" s="1"/>
  <c r="O16" i="7"/>
  <c r="Q16" i="7" s="1"/>
  <c r="I14" i="1"/>
  <c r="I15" i="1"/>
  <c r="I16" i="1"/>
  <c r="I17" i="1"/>
  <c r="I18" i="1"/>
  <c r="I13" i="1"/>
  <c r="N14" i="7"/>
  <c r="N15" i="7"/>
  <c r="N16" i="7"/>
  <c r="N17" i="7"/>
  <c r="N18" i="7"/>
  <c r="N13" i="7"/>
  <c r="L11" i="5"/>
  <c r="L12" i="5"/>
  <c r="L13" i="5"/>
  <c r="L14" i="5"/>
  <c r="L15" i="5"/>
  <c r="L10" i="5"/>
  <c r="B35" i="7"/>
  <c r="B34" i="7"/>
  <c r="B33" i="7"/>
  <c r="B32" i="7"/>
  <c r="Q16" i="8" l="1"/>
  <c r="B30" i="5" l="1"/>
  <c r="B29" i="5"/>
  <c r="B28" i="5"/>
  <c r="B27" i="5"/>
  <c r="B33" i="8"/>
  <c r="B32" i="8"/>
  <c r="B31" i="8"/>
  <c r="B30" i="8"/>
  <c r="A15" i="1"/>
  <c r="R43" i="1" l="1"/>
  <c r="R45" i="1"/>
  <c r="R46" i="1"/>
  <c r="R47" i="1"/>
  <c r="R48" i="1"/>
  <c r="R44" i="1"/>
  <c r="J17" i="1"/>
  <c r="K17" i="1"/>
  <c r="K18" i="1"/>
  <c r="J18" i="1"/>
  <c r="L18" i="1" s="1"/>
  <c r="B8" i="9"/>
  <c r="D8" i="9"/>
  <c r="N17" i="1" l="1"/>
  <c r="Q47" i="1"/>
  <c r="S47" i="1" s="1"/>
  <c r="N18" i="1"/>
  <c r="Q48" i="1"/>
  <c r="S48" i="1" s="1"/>
  <c r="O13" i="8"/>
  <c r="N13" i="8"/>
  <c r="Q13" i="8" s="1"/>
  <c r="P16" i="8"/>
  <c r="P13" i="8"/>
  <c r="T14" i="1"/>
  <c r="T15" i="1"/>
  <c r="T13" i="1"/>
  <c r="U13" i="1"/>
  <c r="B33" i="1" l="1"/>
  <c r="B34" i="1"/>
  <c r="B35" i="1"/>
  <c r="B32" i="1"/>
  <c r="R13" i="1"/>
  <c r="V13" i="1" s="1"/>
  <c r="W13" i="1" l="1"/>
  <c r="W15" i="8"/>
  <c r="W14" i="8"/>
  <c r="W13" i="8"/>
  <c r="O17" i="7" l="1"/>
  <c r="O15" i="7"/>
  <c r="O14" i="7"/>
  <c r="O13" i="7"/>
  <c r="T13" i="5"/>
  <c r="X13" i="5" s="1"/>
  <c r="V13" i="5"/>
  <c r="W13" i="5"/>
  <c r="W12" i="5"/>
  <c r="T12" i="5"/>
  <c r="V12" i="5"/>
  <c r="W10" i="5"/>
  <c r="W11" i="5"/>
  <c r="Y13" i="5" l="1"/>
  <c r="Y12" i="5"/>
  <c r="X12" i="5"/>
  <c r="Q14" i="7"/>
  <c r="Q15" i="7"/>
  <c r="Q13" i="7"/>
  <c r="Q17" i="7"/>
  <c r="N15" i="8"/>
  <c r="O15" i="8"/>
  <c r="N14" i="8"/>
  <c r="N18" i="8"/>
  <c r="N17" i="8"/>
  <c r="E17" i="8"/>
  <c r="E14" i="8"/>
  <c r="E13" i="8"/>
  <c r="F13" i="8"/>
  <c r="P17" i="8" l="1"/>
  <c r="Q17" i="8"/>
  <c r="P14" i="8"/>
  <c r="Q14" i="8"/>
  <c r="P18" i="8"/>
  <c r="Q18" i="8"/>
  <c r="P15" i="8"/>
  <c r="Q15" i="8"/>
  <c r="C8" i="9"/>
  <c r="C7" i="9" l="1"/>
  <c r="D7" i="9"/>
  <c r="B7" i="9"/>
  <c r="G13" i="7" l="1"/>
  <c r="J13" i="7"/>
  <c r="A15" i="7" l="1"/>
  <c r="F21" i="1"/>
  <c r="R18" i="7" l="1"/>
  <c r="R16" i="7"/>
  <c r="R15" i="7"/>
  <c r="R14" i="7"/>
  <c r="R17" i="7"/>
  <c r="R13" i="7"/>
  <c r="V11" i="5"/>
  <c r="V10" i="5"/>
  <c r="AA16" i="7"/>
  <c r="AB16" i="7" s="1"/>
  <c r="AA15" i="7"/>
  <c r="AB15" i="7" s="1"/>
  <c r="AA14" i="7"/>
  <c r="AB14" i="7" s="1"/>
  <c r="AA13" i="7"/>
  <c r="AB13" i="7" s="1"/>
  <c r="Z14" i="7"/>
  <c r="Z13" i="7"/>
  <c r="P18" i="7" l="1"/>
  <c r="P17" i="7"/>
  <c r="P16" i="7"/>
  <c r="P15" i="7" l="1"/>
  <c r="O14" i="8" l="1"/>
  <c r="E10" i="5" l="1"/>
  <c r="J14" i="7" l="1"/>
  <c r="J15" i="7"/>
  <c r="J16" i="7"/>
  <c r="J17" i="7"/>
  <c r="J18" i="7"/>
  <c r="J19" i="7"/>
  <c r="J20" i="7"/>
  <c r="I11" i="5"/>
  <c r="I12" i="5"/>
  <c r="I13" i="5"/>
  <c r="I14" i="5"/>
  <c r="I15" i="5"/>
  <c r="I10" i="5"/>
  <c r="G10" i="5" s="1"/>
  <c r="I14" i="8"/>
  <c r="I15" i="8"/>
  <c r="I16" i="8"/>
  <c r="I17" i="8"/>
  <c r="I18" i="8"/>
  <c r="I13" i="8"/>
  <c r="G13" i="8" l="1"/>
  <c r="L17" i="1"/>
  <c r="E13" i="1" l="1"/>
  <c r="N11" i="5"/>
  <c r="Q11" i="5" s="1"/>
  <c r="M11" i="5"/>
  <c r="K16" i="1"/>
  <c r="J16" i="1"/>
  <c r="L16" i="1" s="1"/>
  <c r="R16" i="1"/>
  <c r="R15" i="1"/>
  <c r="W15" i="1" l="1"/>
  <c r="N16" i="1"/>
  <c r="Q46" i="1"/>
  <c r="S46" i="1" s="1"/>
  <c r="P11" i="5"/>
  <c r="O11" i="5"/>
  <c r="M18" i="1"/>
  <c r="Q16" i="1"/>
  <c r="Z16" i="7"/>
  <c r="Z15" i="7"/>
  <c r="X13" i="7"/>
  <c r="AC13" i="7" s="1"/>
  <c r="P14" i="7"/>
  <c r="P13" i="7"/>
  <c r="G14" i="7"/>
  <c r="G15" i="7"/>
  <c r="G16" i="7"/>
  <c r="G17" i="7"/>
  <c r="G18" i="7"/>
  <c r="G19" i="7"/>
  <c r="G20" i="7"/>
  <c r="F14" i="7"/>
  <c r="I14" i="7" s="1"/>
  <c r="F15" i="7"/>
  <c r="I15" i="7" s="1"/>
  <c r="F16" i="7"/>
  <c r="I16" i="7" s="1"/>
  <c r="F17" i="7"/>
  <c r="I17" i="7" s="1"/>
  <c r="F18" i="7"/>
  <c r="I18" i="7" s="1"/>
  <c r="F19" i="7"/>
  <c r="I19" i="7" s="1"/>
  <c r="F20" i="7"/>
  <c r="I20" i="7" s="1"/>
  <c r="F13" i="7"/>
  <c r="I13" i="7" s="1"/>
  <c r="T10" i="5"/>
  <c r="M12" i="5"/>
  <c r="M13" i="5"/>
  <c r="M14" i="5"/>
  <c r="M15" i="5"/>
  <c r="M10" i="5"/>
  <c r="E15" i="5"/>
  <c r="G15" i="5" s="1"/>
  <c r="F11" i="5"/>
  <c r="H11" i="5" s="1"/>
  <c r="F12" i="5"/>
  <c r="H12" i="5" s="1"/>
  <c r="F13" i="5"/>
  <c r="H13" i="5" s="1"/>
  <c r="F14" i="5"/>
  <c r="H14" i="5" s="1"/>
  <c r="F15" i="5"/>
  <c r="H15" i="5" s="1"/>
  <c r="F10" i="5"/>
  <c r="H10" i="5" s="1"/>
  <c r="E11" i="5"/>
  <c r="G11" i="5" s="1"/>
  <c r="E12" i="5"/>
  <c r="G12" i="5" s="1"/>
  <c r="E13" i="5"/>
  <c r="G13" i="5" s="1"/>
  <c r="E14" i="5"/>
  <c r="G14" i="5" s="1"/>
  <c r="X13" i="8"/>
  <c r="U13" i="8"/>
  <c r="U16" i="8"/>
  <c r="U15" i="8"/>
  <c r="U14" i="8"/>
  <c r="O16" i="8"/>
  <c r="O17" i="8"/>
  <c r="O18" i="8"/>
  <c r="F14" i="8"/>
  <c r="F15" i="8"/>
  <c r="F16" i="8"/>
  <c r="F17" i="8"/>
  <c r="F18" i="8"/>
  <c r="E15" i="8"/>
  <c r="E16" i="8"/>
  <c r="E18" i="8"/>
  <c r="X16" i="8"/>
  <c r="W16" i="8"/>
  <c r="X15" i="8"/>
  <c r="X14" i="8"/>
  <c r="J15" i="1"/>
  <c r="T16" i="1"/>
  <c r="U14" i="1"/>
  <c r="U15" i="1"/>
  <c r="V15" i="1" s="1"/>
  <c r="U16" i="1"/>
  <c r="V16" i="1" s="1"/>
  <c r="R14" i="1"/>
  <c r="K13" i="1"/>
  <c r="J14" i="1"/>
  <c r="M14" i="1" s="1"/>
  <c r="J13" i="1"/>
  <c r="M13" i="1" s="1"/>
  <c r="F15" i="1"/>
  <c r="F16" i="1"/>
  <c r="F17" i="1"/>
  <c r="F18" i="1"/>
  <c r="F19" i="1"/>
  <c r="F20" i="1"/>
  <c r="E14" i="1"/>
  <c r="E15" i="1"/>
  <c r="E16" i="1"/>
  <c r="E17" i="1"/>
  <c r="E18" i="1"/>
  <c r="E19" i="1"/>
  <c r="E20" i="1"/>
  <c r="E21" i="1"/>
  <c r="D14" i="1"/>
  <c r="D15" i="1"/>
  <c r="D16" i="1"/>
  <c r="D17" i="1"/>
  <c r="D18" i="1"/>
  <c r="D19" i="1"/>
  <c r="D20" i="1"/>
  <c r="D21" i="1"/>
  <c r="D13" i="1"/>
  <c r="W16" i="1" l="1"/>
  <c r="Q43" i="1"/>
  <c r="S43" i="1" s="1"/>
  <c r="N13" i="1"/>
  <c r="W14" i="1"/>
  <c r="V14" i="1"/>
  <c r="O10" i="5"/>
  <c r="O15" i="5"/>
  <c r="O14" i="5"/>
  <c r="O13" i="5"/>
  <c r="O12" i="5"/>
  <c r="X10" i="5"/>
  <c r="Y10" i="5"/>
  <c r="L15" i="1"/>
  <c r="M15" i="1"/>
  <c r="L14" i="1"/>
  <c r="V14" i="8"/>
  <c r="Y14" i="8"/>
  <c r="Y15" i="8"/>
  <c r="V16" i="8"/>
  <c r="Y16" i="8"/>
  <c r="Y13" i="8"/>
  <c r="L13" i="1"/>
  <c r="V15" i="8"/>
  <c r="T13" i="8"/>
  <c r="T15" i="8"/>
  <c r="T14" i="8"/>
  <c r="V13" i="8"/>
  <c r="T16" i="8"/>
  <c r="X14" i="7"/>
  <c r="X15" i="7"/>
  <c r="X16" i="7"/>
  <c r="AC16" i="7" s="1"/>
  <c r="W13" i="7"/>
  <c r="N12" i="5"/>
  <c r="Q12" i="5" s="1"/>
  <c r="N13" i="5"/>
  <c r="Q13" i="5" s="1"/>
  <c r="N14" i="5"/>
  <c r="Q14" i="5" s="1"/>
  <c r="N15" i="5"/>
  <c r="Q15" i="5" s="1"/>
  <c r="N10" i="5"/>
  <c r="Q10" i="5" s="1"/>
  <c r="P13" i="5" l="1"/>
  <c r="P14" i="5"/>
  <c r="P15" i="5"/>
  <c r="P10" i="5"/>
  <c r="P12" i="5"/>
  <c r="G17" i="8"/>
  <c r="G14" i="8"/>
  <c r="G16" i="8"/>
  <c r="G18" i="8"/>
  <c r="G15" i="8"/>
  <c r="M16" i="1"/>
  <c r="AC14" i="7"/>
  <c r="AC15" i="7"/>
  <c r="M17" i="1"/>
  <c r="E13" i="7"/>
  <c r="Y16" i="7"/>
  <c r="Y15" i="7"/>
  <c r="Y14" i="7"/>
  <c r="S10" i="5"/>
  <c r="T11" i="5"/>
  <c r="Q14" i="1"/>
  <c r="Q15" i="1"/>
  <c r="S16" i="1"/>
  <c r="S13" i="1"/>
  <c r="X11" i="5" l="1"/>
  <c r="Y11" i="5"/>
  <c r="U11" i="5"/>
  <c r="S13" i="5"/>
  <c r="U12" i="5"/>
  <c r="Y13" i="7"/>
  <c r="W14" i="7"/>
  <c r="W15" i="7"/>
  <c r="W16" i="7"/>
  <c r="S12" i="5"/>
  <c r="U13" i="5"/>
  <c r="U10" i="5"/>
  <c r="S11" i="5"/>
  <c r="S14" i="1"/>
  <c r="S15" i="1"/>
  <c r="Q13" i="1"/>
  <c r="K14" i="1" l="1"/>
  <c r="K15" i="1"/>
  <c r="N15" i="1" l="1"/>
  <c r="Q45" i="1"/>
  <c r="S45" i="1" s="1"/>
  <c r="N14" i="1"/>
  <c r="Q44" i="1"/>
  <c r="S44" i="1" s="1"/>
</calcChain>
</file>

<file path=xl/sharedStrings.xml><?xml version="1.0" encoding="utf-8"?>
<sst xmlns="http://schemas.openxmlformats.org/spreadsheetml/2006/main" count="2006" uniqueCount="457">
  <si>
    <t>Chi-Sqr</t>
  </si>
  <si>
    <t>Sum-Sqr</t>
  </si>
  <si>
    <t>L1(+)</t>
  </si>
  <si>
    <t>L1(Error)</t>
  </si>
  <si>
    <t>L1(Error%)</t>
  </si>
  <si>
    <t>R1(+)</t>
  </si>
  <si>
    <t>R1(Error)</t>
  </si>
  <si>
    <t>R1(Error%)</t>
  </si>
  <si>
    <t>CPE1-T(+)</t>
  </si>
  <si>
    <t>CPE1-T(Error)</t>
  </si>
  <si>
    <t>CPE1-T(Error%)</t>
  </si>
  <si>
    <t>CPE1-P(+)</t>
  </si>
  <si>
    <t>CPE1-P(Error)</t>
  </si>
  <si>
    <t>CPE1-P(Error%)</t>
  </si>
  <si>
    <t>R2(+)</t>
  </si>
  <si>
    <t>R2(Error)</t>
  </si>
  <si>
    <t>R2(Error%)</t>
  </si>
  <si>
    <t>CPE2-T(+)</t>
  </si>
  <si>
    <t>CPE2-T(Error)</t>
  </si>
  <si>
    <t>CPE2-T(Error%)</t>
  </si>
  <si>
    <t>CPE2-P(+)</t>
  </si>
  <si>
    <t>CPE2-P(Error)</t>
  </si>
  <si>
    <t>CPE2-P(Error%)</t>
  </si>
  <si>
    <t>R3(+)</t>
  </si>
  <si>
    <t>R3(Error)</t>
  </si>
  <si>
    <t>R3(Error%)</t>
  </si>
  <si>
    <t>CPE3-T(+)</t>
  </si>
  <si>
    <t>CPE3-T(Error)</t>
  </si>
  <si>
    <t>CPE3-T(Error%)</t>
  </si>
  <si>
    <t>CPE3-P(+)</t>
  </si>
  <si>
    <t>CPE3-P(Error)</t>
  </si>
  <si>
    <t>CPE3-P(Error%)</t>
  </si>
  <si>
    <t>Cchem</t>
  </si>
  <si>
    <t>YSZ(+)</t>
  </si>
  <si>
    <t>YSZ(Error)</t>
  </si>
  <si>
    <t>YSZ(Error%)</t>
  </si>
  <si>
    <t>R3(X)</t>
  </si>
  <si>
    <t>CPE3-T(X)</t>
  </si>
  <si>
    <t>CPE3-P(X)</t>
  </si>
  <si>
    <t>number of pulses</t>
  </si>
  <si>
    <t>R</t>
  </si>
  <si>
    <t>PO2</t>
  </si>
  <si>
    <t>thickness (nm)</t>
  </si>
  <si>
    <t>R1(X)</t>
  </si>
  <si>
    <t>CPE1-T(X)</t>
  </si>
  <si>
    <t>CPE1-P(X)</t>
  </si>
  <si>
    <t>1000/T</t>
  </si>
  <si>
    <t>T(K)</t>
  </si>
  <si>
    <t>T(°C)</t>
  </si>
  <si>
    <t>C</t>
  </si>
  <si>
    <t xml:space="preserve">R </t>
  </si>
  <si>
    <t>GdC_95pls_5nm_LSC82_50nm_CaOCO3_res_20nm_CaO_0,673nm_res_720pls_20nm_SnO2_5pls_0,56nm_LSC82_1440pls_40nm_4_channel1.dat</t>
  </si>
  <si>
    <t>kq</t>
  </si>
  <si>
    <t>Co-Cv</t>
  </si>
  <si>
    <t>T (K)</t>
  </si>
  <si>
    <t>R norm</t>
  </si>
  <si>
    <t>eq monolayers</t>
  </si>
  <si>
    <t>PO2 (mbar)</t>
  </si>
  <si>
    <t>Co</t>
  </si>
  <si>
    <t>SrO</t>
  </si>
  <si>
    <t>SnO2</t>
  </si>
  <si>
    <t>CaO</t>
  </si>
  <si>
    <t>p/nm</t>
  </si>
  <si>
    <t>GdC_95pls_5nm_LSC82_50nm_CaOCO3_res_20nm_CaO_0,673nm_res_720pls_20nm_SnO2_5pls_0,56nm_LSC82_1440pls_40nm_SrO_12pls_0,48nm_2_channel1.dat</t>
  </si>
  <si>
    <t>GdC_95pls_5nm_LSC82_50nm_CaOCO3_res_20nm_CaO_0,673nm_res_720pls_20nm_SnO2_5pls_0,56nm_LSC82_1440pls_40nm_SrO_15pls_0,60nm_2_channel1.dat</t>
  </si>
  <si>
    <t>GdC_95pls_5nm_LSC82_50nm_CaOCO3_res_20nm_CaO_0,673nm_res_720pls_20nm_SnO2_5pls_0,56nm_LSC82_1440pls_40nm_SrO_18pls_0,72nm_2_channel1.dat</t>
  </si>
  <si>
    <t>GdC_95pls_5nm_LSC82_50nm_CaOCO3_res_20nm_CaO_0,673nm_res_720pls_20nm_SnO2_5pls_0,56nm_LSC82_1440pls_40nm_SrO_21pls_0,84nm_2_channel1.dat</t>
  </si>
  <si>
    <t>GdC_95pls_5nm_LSC82_50nm_CaOCO3_res_20nm_CaO_0,673nm_res_720pls_20nm_SnO2_5pls_0,56nm_LSC82_1440pls_40nm_SrO_3pls_2_channel1.dat</t>
  </si>
  <si>
    <t>GdC_95pls_5nm_LSC82_50nm_CaOCO3_res_20nm_CaO_0,673nm_res_720pls_20nm_SnO2_5pls_0,56nm_LSC82_1440pls_40nm_SrO_6pls_0,24nm_2_channel1.dat</t>
  </si>
  <si>
    <t>GdC_95pls_5nm_LSC82_50nm_CaOCO3_res_20nm_CaO_0,673nm_res_720pls_20nm_SnO2_5pls_0,56nm_LSC82_1440pls_40nm_SrO_9pls_0,36nm_2_channel1.dat</t>
  </si>
  <si>
    <t>GdC_95pls_5nm_LSC82_50nm_CaOCO3_res_20nm_CaO_0,673nm_res_720pls_20nm_SnO2_5pls_0,56nm_LSC82_1440pls_40nm_SrO_21pls_0,84nm_0,1mbar_2_channel1.dat</t>
  </si>
  <si>
    <t>GdC_95pls_5nm_LSC82_50nm_CaOCO3_res_20nm_CaO_0,673nm_res_720pls_20nm_SnO2_5pls_0,56nm_LSC82_1440pls_40nm_SrO_21pls_0,84nm_1mbar_2_channel1.dat</t>
  </si>
  <si>
    <t>GdC_95pls_5nm_LSC82_50nm_CaOCO3_res_20nm_CaO_0,673nm_res_720pls_20nm_SnO2_5pls_0,56nm_LSC82_1440pls_40nm_SrO_21pls_0,84nm_10mbar_2_channel1.dat</t>
  </si>
  <si>
    <t>GdC_95pls_5nm_LSC82_50nm_CaOCO3_res_20nm_CaO_0,673nm_res_720pls_20nm_SnO2_5pls_0,56nm_LSC82_1440pls_40nm_SrO_21pls_0,84nm_T1_2_channel1.dat</t>
  </si>
  <si>
    <t>GdC_95pls_5nm_LSC82_50nm_CaOCO3_res_20nm_CaO_0,673nm_res_720pls_20nm_SnO2_5pls_0,56nm_LSC82_1440pls_40nm_SrO_21pls_0,84nm_T2_2_channel1.dat</t>
  </si>
  <si>
    <t>GdC_95pls_5nm_LSC82_50nm_CaOCO3_res_20nm_CaO_0,673nm_res_720pls_20nm_SnO2_5pls_0,56nm_LSC82_1440pls_40nm_SrO_21pls_0,84nm_T3_2_channel1.dat</t>
  </si>
  <si>
    <t>GdC_95pls_5nm_LSC82_50nm_CaOCO3_res_20nm_CaO_0,673nm_res_720pls_20nm_SnO2_5pls_0,56nm_LSC82_1440pls_40nm_SrO_21pls_0,84nm_T4_4_channel1.dat</t>
  </si>
  <si>
    <t>ASR</t>
  </si>
  <si>
    <t>GdC_95pls_5nm_LSC82_1nm_3_channel1.dat</t>
  </si>
  <si>
    <t>GdC_95pls_5nm_LSC82_114pls_3nm_4_channel1.dat</t>
  </si>
  <si>
    <t>GdC_95pls_5nm_LSC82_190pls_5nm_3_channel1.dat</t>
  </si>
  <si>
    <t>GdC_95pls_5nm_LSC82_380pls_10nm_3_channel1.dat</t>
  </si>
  <si>
    <t>GdC_95pls_5nm_LSC82_570pls_15nm_2_channel1.dat</t>
  </si>
  <si>
    <t>GdC_95pls_5nm_LSC82_860pls_20nm_3_channel1.dat</t>
  </si>
  <si>
    <t>GdC_95pls_5nm_LSC82_1140pls_30nm_3_channel1.dat</t>
  </si>
  <si>
    <t>GdC_95pls_5nm_LSC82_1520pls_40nm_2_channel1.dat</t>
  </si>
  <si>
    <t>GdC_95pls_5nm_LSC82_1900pls_50nm_3_channel1.dat</t>
  </si>
  <si>
    <t>GdC_95pls_5nm_LSC82_1900pls_50nm_0,01mbar_2_channel1.dat</t>
  </si>
  <si>
    <t>GdC_95pls_5nm_LSC82_1900pls_50nm_0,1mbar_2_channel1.dat</t>
  </si>
  <si>
    <t>GdC_95pls_5nm_LSC82_1900pls_50nm_1mbar_3_channel1.dat</t>
  </si>
  <si>
    <t>GdC_95pls_5nm_LSC82_1900pls_50nm_10mbar_2_channel1.dat</t>
  </si>
  <si>
    <t>GdC_95pls_5nm_LSC82_1900pls_50nm_100mbar_2_channel1.dat</t>
  </si>
  <si>
    <t>GdC_95pls_5nm_LSC82_1900pls_50nm_T1_2_channel1.dat</t>
  </si>
  <si>
    <t>GdC_95pls_5nm_LSC82_1900pls_50nm_T2_2_channel1.dat</t>
  </si>
  <si>
    <t>GdC_95pls_5nm_LSC82_1900pls_50nm_T3_2_channel1.dat</t>
  </si>
  <si>
    <t>GdC_95pls_5nm_LSC82_1900pls_50nm_T4_2_channel1.dat</t>
  </si>
  <si>
    <t>GdC_95pls_5nm_LSC82_50nm_CaOCO3_restoration_20nm_CaO_0pls_2_channel1.dat</t>
  </si>
  <si>
    <t>GdC_95pls_5nm_LSC82_50nm_CaOCO3_restoration_20nm_CaO_21pls_0.135nm_2_channel1.dat</t>
  </si>
  <si>
    <t>GdC_95pls_5nm_LSC82_50nm_CaOCO3_restoration_20nm_CaO_42pls_0.269nm_3_channel1.dat</t>
  </si>
  <si>
    <t>GdC_95pls_5nm_LSC82_50nm_CaOCO3_restoration_20nm_CaO_63pls_0.404nm_2_channel1.dat</t>
  </si>
  <si>
    <t>GdC_95pls_5nm_LSC82_50nm_CaOCO3_restoration_20nm_CaO_84pls_0.538nm_2_channel1.dat</t>
  </si>
  <si>
    <t>GdC_95pls_5nm_LSC82_50nm_CaOCO3_restoration_20nm_CaO_105pls_0.673nm_2_channel1.dat</t>
  </si>
  <si>
    <t>GdC_95pls_5nm_LSC82_50nm_CaOCO3_restoration_20nm_CaO_105pls_0.673nm_0.01mbar_2_channel1.dat</t>
  </si>
  <si>
    <t>GdC_95pls_5nm_LSC82_50nm_CaOCO3_restoration_20nm_CaO_105pls_0.673nm_0.1mbar_2_channel1.dat</t>
  </si>
  <si>
    <t>GdC_95pls_5nm_LSC82_50nm_CaOCO3_restoration_20nm_CaO_105pls_0.673nm_1mbar_2_channel1.dat</t>
  </si>
  <si>
    <t>GdC_95pls_5nm_LSC82_50nm_CaOCO3_restoration_20nm_CaO_105pls_0.673nm_10mbar_2_channel1.dat</t>
  </si>
  <si>
    <t>GdC_95pls_5nm_LSC82_50nm_CaOCO3_restoration_20nm_CaO_105pls_0.673nm_100mbar_2_channel1.dat</t>
  </si>
  <si>
    <t>GdC_95pls_5nm_LSC82_50nm_CaOCO3_restoration_20nm_CaO_105pls_0.673nm_T1_2_channel1.dat</t>
  </si>
  <si>
    <t>GdC_95pls_5nm_LSC82_50nm_CaOCO3_restoration_20nm_CaO_105pls_0.673nm_T2_2_channel1.dat</t>
  </si>
  <si>
    <t>GdC_95pls_5nm_LSC82_50nm_CaOCO3_restoration_20nm_CaO_105pls_0.673nm_T3_2_channel1.dat</t>
  </si>
  <si>
    <t>GdC_95pls_5nm_LSC82_50nm_CaOCO3_restoration_20nm_CaO_105pls_0.673nm_T4_2_channel1.dat</t>
  </si>
  <si>
    <t>SnO2 deposition\GdC_95pls_5nm_LSC82_50nm_CaOCO3_res_20nm_CaO_0.673nm_res_720pls_20nm_2_channel1.dat</t>
  </si>
  <si>
    <t>SnO2 deposition\GdC_95pls_5nm_LSC82_50nm_CaOCO3_res_20nm_CaO_0.673nm_res_720pls_20nm_SnO2_1pls_0.11nm_2_channel1.dat</t>
  </si>
  <si>
    <t>SnO2 deposition\GdC_95pls_5nm_LSC82_50nm_CaOCO3_res_20nm_CaO_0.673nm_res_720pls_20nm_SnO2_2pls_0.22nm_2_channel1.dat</t>
  </si>
  <si>
    <t>SnO2 deposition\GdC_95pls_5nm_LSC82_50nm_CaOCO3_res_20nm_CaO_0.673nm_res_720pls_20nm_SnO2_3pls_0.33nm_2_channel1.dat</t>
  </si>
  <si>
    <t>SnO2 deposition\GdC_95pls_5nm_LSC82_50nm_CaOCO3_res_20nm_CaO_0.673nm_res_720pls_20nm_SnO2_4pls_0.44nm_2_channel1.dat</t>
  </si>
  <si>
    <t>SnO2 deposition\GdC_95pls_5nm_LSC82_50nm_CaOCO3_res_20nm_CaO_0.673nm_res_720pls_20nm_SnO2_5pls_0.56nm_2_channel1.dat</t>
  </si>
  <si>
    <t>SnO2 deposition\GdC_95pls_5nm_LSC82_50nm_CaOCO3_res_20nm_CaO_0.673nm_res_720pls_20nm_SnO2_5pls_0.56nm_0.01mba_2r_channel1.dat</t>
  </si>
  <si>
    <t>SnO2 deposition\GdC_95pls_5nm_LSC82_50nm_CaOCO3_res_20nm_CaO_0.673nm_res_720pls_20nm_SnO2_5pls_0.56nm_0.1mbar_2_channel1.dat</t>
  </si>
  <si>
    <t>SnO2 deposition\GdC_95pls_5nm_LSC82_50nm_CaOCO3_res_20nm_CaO_0.673nm_res_720pls_20nm_SnO2_5pls_0.56nm_1mbar_3_channel1.dat</t>
  </si>
  <si>
    <t>SnO2 deposition\GdC_95pls_5nm_LSC82_50nm_CaOCO3_res_20nm_CaO_0.673nm_res_720pls_20nm_SnO2_5pls_0.56nm_10mbar_2_channel1.dat</t>
  </si>
  <si>
    <t>SnO2 deposition\GdC_95pls_5nm_LSC82_50nm_CaOCO3_res_20nm_CaO_0.673nm_res_720pls_20nm_SnO2_5pls_0.56nm_100mbar_3_channel1.dat</t>
  </si>
  <si>
    <t>SnO2 deposition\GdC_95pls_5nm_LSC82_50nm_CaOCO3_res_20nm_CaO_0.673nm_res_720pls_20nm_SnO2_5pls_0.56nm_T1_2_channel1.dat</t>
  </si>
  <si>
    <t>SnO2 deposition\GdC_95pls_5nm_LSC82_50nm_CaOCO3_res_20nm_CaO_0.673nm_res_720pls_20nm_SnO2_5pls_0.56nm_T2_2_channel1.dat</t>
  </si>
  <si>
    <t>SnO2 deposition\GdC_95pls_5nm_LSC82_50nm_CaOCO3_res_20nm_CaO_0.673nm_res_720pls_20nm_SnO2_5pls_0.56nm_T3_3_channel1.dat</t>
  </si>
  <si>
    <t>SnO2 deposition\GdC_95pls_5nm_LSC82_50nm_CaOCO3_res_20nm_CaO_0.673nm_res_720pls_20nm_SnO2_5pls_0.56nm_T4_2_channel1.dat</t>
  </si>
  <si>
    <t>GdC_95pls_5nm_LSC82_50nm_CaOCO3_res_20nm_CaO_0,673nm_res_720pls_20nm_SnO2_5pls_0,56nm_LSC82_1440pls_40nm_SrO_21pls_0,84nm_0,01mbar_2_channel1.dat</t>
  </si>
  <si>
    <t>Deposited thickness  (nm)</t>
  </si>
  <si>
    <t>pO2 (mbar)</t>
  </si>
  <si>
    <t>Cv (dop)</t>
  </si>
  <si>
    <t>Co (Cchem)</t>
  </si>
  <si>
    <t>Co (dop)</t>
  </si>
  <si>
    <t>Active surface (cm²)</t>
  </si>
  <si>
    <t>mean value</t>
  </si>
  <si>
    <t>standard deviation</t>
  </si>
  <si>
    <t>GdC_95pls_5nm_LSC82_50nm_CaOCO3_res_20nm_CaO_0,673nm_res_720pls_20nm_SnO2_5pls_0,56nm_LSC82_1440pls_40nm_SrO_21pls_0,84nm_100mbar_2_channel1.dat</t>
  </si>
  <si>
    <t>deposited thickness (nm)</t>
  </si>
  <si>
    <t>Cv (Cchem)</t>
  </si>
  <si>
    <t>Co variation (%)</t>
  </si>
  <si>
    <r>
      <t>Change of pO</t>
    </r>
    <r>
      <rPr>
        <vertAlign val="subscript"/>
        <sz val="11"/>
        <color theme="1"/>
        <rFont val="Calibri"/>
        <family val="2"/>
        <scheme val="minor"/>
      </rPr>
      <t>2</t>
    </r>
  </si>
  <si>
    <t>Change of Temperature</t>
  </si>
  <si>
    <t>Cv variation</t>
  </si>
  <si>
    <t>LSC82</t>
  </si>
  <si>
    <t>LSC91</t>
  </si>
  <si>
    <t>LSC95</t>
  </si>
  <si>
    <t>Cv variation (%)</t>
  </si>
  <si>
    <t>Buffer_GdC_90pls_5nm_2Hz_LSC91_1950pls_50nm_T1_2_channel1.dat</t>
  </si>
  <si>
    <t>Buffer_GdC_90pls_5nm_2Hz_LSC91_1950pls_50nm_T2_2_channel1.dat</t>
  </si>
  <si>
    <t>Buffer_GdC_90pls_5nm_2Hz_LSC91_1950pls_50nm_T3_3_channel1.dat</t>
  </si>
  <si>
    <t>Buffer_GdC_90pls_5nm_2Hz_LSC91_1950pls_50nm_T4_3_channel1.dat</t>
  </si>
  <si>
    <t>Model: C:\DATA\Docs\Mes_Documents\PLD\Modelecircuit.mdl</t>
  </si>
  <si>
    <t>Buffer_GdC_90pls_5nm_2Hz_LSC91_1950pls_50nm_100mbar_2_channel1.dat</t>
  </si>
  <si>
    <t>Buffer_GdC_90pls_5nm_2Hz_LSC91_1950pls_50nm_10mbar_3_channel1.dat</t>
  </si>
  <si>
    <t>Buffer_GdC_90pls_5nm_2Hz_LSC91_1950pls_50nm_1mbar_2_channel1.dat</t>
  </si>
  <si>
    <t>Buffer_GdC_90pls_5nm_2Hz_LSC91_1950pls_50nm_0,1mbar_2_channel1.dat</t>
  </si>
  <si>
    <t>Buffer_GdC_90pls_5nm_2Hz_LSC91_1950pls_50nm_2_channel1.dat</t>
  </si>
  <si>
    <t>Buffer_GdC_90pls_5nm_2Hz_LSC91_1950pls_50nm_0,01mbar_2_channel1.dat</t>
  </si>
  <si>
    <t>Buffer_GdC_90pls_5nm_2Hz_LSC91_1560pls_40nm_4_channel1.dat</t>
  </si>
  <si>
    <t>Buffer_GdC_90pls_5nm_2Hz_LSC91_1170pls_30nm_2_channel1.dat</t>
  </si>
  <si>
    <t>Buffer_GdC_90pls_5nm_2Hz_LSC91_780pls_20nm_3_channel1.dat</t>
  </si>
  <si>
    <t>Buffer_GdC_90pls_5nm_2Hz_LSC91_585pls_15nm_2_channel1.dat</t>
  </si>
  <si>
    <t>Buffer_GdC_90pls_5nm_2Hz_LSC91_390pls_10nm_2_channel1.dat</t>
  </si>
  <si>
    <t>Buffer_GdC_90pls_5nm_2Hz_LSC91_195pls_5nm_2_channel1.dat</t>
  </si>
  <si>
    <t>Buffer_GdC_90pls_5nm_2Hz_LSC91_111pls_3nm_2_channel1.dat</t>
  </si>
  <si>
    <t>Buffer_GdC_90pls_5nm_2Hz_LSC91_39pls_1nm_2_channel1.dat</t>
  </si>
  <si>
    <t>Buffer_GdC_90pls_5nm_2Hz_channel1.dat</t>
  </si>
  <si>
    <t>deposited thickness</t>
  </si>
  <si>
    <t>Buffer_GdC_90pls_5nm_2Hz_LSC91_1950pls_50nm_CaO_115pls_0,66nm_2Hz_T1_2_channel1.dat</t>
  </si>
  <si>
    <t>Buffer_GdC_90pls_5nm_2Hz_LSC91_1950pls_50nm_CaO_115pls_0,66nm_2Hz_T2_2_channel1.dat</t>
  </si>
  <si>
    <t>Buffer_GdC_90pls_5nm_2Hz_LSC91_1950pls_50nm_CaO_115pls_0,66nm_2Hz_T3_3_channel1.dat</t>
  </si>
  <si>
    <t>Buffer_GdC_90pls_5nm_2Hz_LSC91_1950pls_50nm_CaO_115pls_0,66nm_2Hz_T4_3_channel1.dat</t>
  </si>
  <si>
    <t>Buffer_GdC_90pls_5nm_2Hz_LSC91_1950pls_50nm_CaO_115pls_0,66nm_2Hz_100mbar_2_channel1.dat</t>
  </si>
  <si>
    <t>Buffer_GdC_90pls_5nm_2Hz_LSC91_1950pls_50nm_CaO_115pls_0,66nm_2Hz_10mbar_2_channel1.dat</t>
  </si>
  <si>
    <t>Buffer_GdC_90pls_5nm_2Hz_LSC91_1950pls_50nm_CaO_115pls_0,66nm_2Hz_1mbar_2_channel1.dat</t>
  </si>
  <si>
    <t>Buffer_GdC_90pls_5nm_2Hz_LSC91_1950pls_50nm_CaO_115pls_0,66nm_2Hz_0,1mbar_2_channel1.dat</t>
  </si>
  <si>
    <t>Buffer_GdC_90pls_5nm_2Hz_LSC91_1950pls_50nm_CaO_115pls_0,66nm_2Hz_2_channel1.dat</t>
  </si>
  <si>
    <t>Buffer_GdC_90pls_5nm_2Hz_LSC91_1950pls_50nm_CaO_115pls_0,66nm_2Hz_0,01mbar_2_channel1.dat</t>
  </si>
  <si>
    <t>Model: C:\DATA\Docs\Mes_Documents\i-PLD\Modelecircuit.mdl</t>
  </si>
  <si>
    <t>Buffer_GdC_90pls_5nm_2Hz_LSC91_1950pls_50nm_CaO_92pls_0,53nm_2Hz_2_channel1.dat</t>
  </si>
  <si>
    <t>Buffer_GdC_90pls_5nm_2Hz_LSC91_1950pls_50nm_CaO_69pls_0,40nm_2Hz_2_channel1.dat</t>
  </si>
  <si>
    <t>Buffer_GdC_90pls_5nm_2Hz_LSC91_1950pls_50nm_CaO_46pls_0,26nm_2Hz_2_channel1.dat</t>
  </si>
  <si>
    <t>Buffer_GdC_90pls_5nm_2Hz_LSC91_1950pls_50nm_CaO_23pls_0,13nm_2Hz_2_channel1.dat</t>
  </si>
  <si>
    <t>Buffer_GdC_90pls_5nm_2Hz_LSC91_1950pls_50nm_CaO_0pls_0nm_2Hz_3_channel1.dat</t>
  </si>
  <si>
    <t>Buffer_GdC_5nm_LSC91_50nm_CaO_restoration_LSC91_20nm_SnO2_5pls_T4_3_channel1.dat</t>
  </si>
  <si>
    <t>Buffer_GdC_5nm_LSC91_50nm_CaO_restoration_LSC91_20nm_SnO2_5pls_T3_2_channel1.dat</t>
  </si>
  <si>
    <t>Buffer_GdC_5nm_LSC91_50nm_CaO_restoration_LSC91_20nm_SnO2_5pls_T2_2_channel1.dat</t>
  </si>
  <si>
    <t>Buffer_GdC_5nm_LSC91_50nm_CaO_restoration_LSC91_20nm_SnO2_5pls_T1_2_channel1.dat</t>
  </si>
  <si>
    <t>Buffer_GdC_5nm_LSC91_50nm_CaO_restoration_LSC91_20nm_SnO2_5pls_100mbar_2_channel1.dat</t>
  </si>
  <si>
    <t>Buffer_GdC_5nm_LSC91_50nm_CaO_restoration_LSC91_20nm_SnO2_5pls_10mbar_2_channel1.dat</t>
  </si>
  <si>
    <t>Buffer_GdC_5nm_LSC91_50nm_CaO_restoration_LSC91_20nm_SnO2_5pls_1mbar_2_channel1.dat</t>
  </si>
  <si>
    <t>Buffer_GdC_5nm_LSC91_50nm_CaO_restoration_LSC91_20nm_SnO2_5pls_0,1mbar_2_channel1.dat</t>
  </si>
  <si>
    <t>Buffer_GdC_5nm_LSC91_50nm_CaO_restoration_LSC91_20nm_SnO2_5pls_2_channel1.dat</t>
  </si>
  <si>
    <t>Buffer_GdC_5nm_LSC91_50nm_CaO_restoration_LSC91_20nm_SnO2_5pls_0,01mbar_2_channel1.dat</t>
  </si>
  <si>
    <t>Co(Cchem)</t>
  </si>
  <si>
    <t>Buffer_GdC_5nm_LSC91_50nm_CaO_restoration_LSC91_20nm_SnO2_4pls_2_channel1.dat</t>
  </si>
  <si>
    <t>Buffer_GdC_5nm_LSC91_50nm_CaO_restoration_LSC91_20nm_SnO2_3pls_2_channel1.dat</t>
  </si>
  <si>
    <t>Buffer_GdC_5nm_LSC91_50nm_CaO_restoration_LSC91_20nm_SnO2_2pls_2_channel1.dat</t>
  </si>
  <si>
    <t>Buffer_GdC_5nm_LSC91_50nm_CaO_restoration_LSC91_20nm_SnO2_1pls_2_channel1.dat</t>
  </si>
  <si>
    <t>C:\DATA\Docs\Mes_Documents\PLD\LSC91_decoration\Buffer_GdC_5nm_LSC91_50nm_CaO_restoration_780pls_20nm_2Hz_2_channel1.dat</t>
  </si>
  <si>
    <t>Buffer_GdC_5nm_LSC91_50nm_CaO_restoration_LSC91_20nm_SnO2_5pls_restoration_1550pls_SrO_21pls_T4_2_channel1.dat</t>
  </si>
  <si>
    <t>Buffer_GdC_5nm_LSC91_50nm_CaO_restoration_LSC91_20nm_SnO2_5pls_restoration_1550pls_SrO_21pls_T3_2_channel1.dat</t>
  </si>
  <si>
    <t>Buffer_GdC_5nm_LSC91_50nm_CaO_restoration_LSC91_20nm_SnO2_5pls_restoration_1550pls_SrO_21pls_T2_2_channel1.dat</t>
  </si>
  <si>
    <t>Buffer_GdC_5nm_LSC91_50nm_CaO_restoration_LSC91_20nm_SnO2_5pls_restoration_1550pls_SrO_21pls_T1_2_channel1.dat</t>
  </si>
  <si>
    <t>Buffer_GdC_5nm_LSC91_50nm_CaO_restoration_LSC91_20nm_SnO2_5pls_restoration_1550pls_SrO_21pls_100mbar_3_channel1.dat</t>
  </si>
  <si>
    <t>Buffer_GdC_5nm_LSC91_50nm_CaO_restoration_LSC91_20nm_SnO2_5pls_restoration_1550pls_SrO_21pls_10mbar_2_channel1.dat</t>
  </si>
  <si>
    <t>Buffer_GdC_5nm_LSC91_50nm_CaO_restoration_LSC91_20nm_SnO2_5pls_restoration_1550pls_SrO_21pls_1mbar__channel1.dat</t>
  </si>
  <si>
    <t>Buffer_GdC_5nm_LSC91_50nm_CaO_restoration_LSC91_20nm_SnO2_5pls_restoration_1550pls_SrO_21pls_0.1mbar_3_channel1.dat</t>
  </si>
  <si>
    <t>Buffer_GdC_5nm_LSC91_50nm_CaO_restoration_LSC91_20nm_SnO2_5pls_restoration_1550pls_SrO_21pls_2_channel1.dat</t>
  </si>
  <si>
    <t>Buffer_GdC_5nm_LSC91_50nm_CaO_restoration_LSC91_20nm_SnO2_5pls_restoration_1550pls_SrO_21pls_0.01mbar_3_channel1.dat</t>
  </si>
  <si>
    <t>Buffer_GdC_5nm_LSC91_50nm_CaO_restoration_LSC91_20nm_SnO2_5pls_restoration_1550pls_SrO_18pls_2_channel1.dat</t>
  </si>
  <si>
    <t>Buffer_GdC_5nm_LSC91_50nm_CaO_restoration_LSC91_20nm_SnO2_5pls_restoration_1550pls_SrO_15pls_2_channel1.dat</t>
  </si>
  <si>
    <t>Buffer_GdC_5nm_LSC91_50nm_CaO_restoration_LSC91_20nm_SnO2_5pls_restoration_1550pls_SrO_12pls_2_channel1.dat</t>
  </si>
  <si>
    <t>Buffer_GdC_5nm_LSC91_50nm_CaO_restoration_LSC91_20nm_SnO2_5pls_restoration_1550pls_SrO_9pls_2_channel1.dat</t>
  </si>
  <si>
    <t>Buffer_GdC_5nm_LSC91_50nm_CaO_restoration_LSC91_20nm_SnO2_5pls_restoration_1550pls_SrO_6pls_2_channel1.dat</t>
  </si>
  <si>
    <t>Buffer_GdC_5nm_LSC91_50nm_CaO_restoration_LSC91_20nm_SnO2_5pls_restoration_1550pls_SrO_3pls_2_channel1.dat</t>
  </si>
  <si>
    <t>Buffer_GdC_5nm_LSC91_50nm_CaO_restoration_LSC91_20nm_SnO2_5pls_restoration_1550pls_2_channel1.dat</t>
  </si>
  <si>
    <t>C:\DATA\Docs\Mes_Documents\i-PLD\LSC95_decoration\85_pulses_GDC_2100pls_50nm_LSC95_T4_channel1.dat</t>
  </si>
  <si>
    <t>C:\DATA\Docs\Mes_Documents\i-PLD\LSC95_decoration\85_pulses_GDC_2100pls_50nm_LSC95_T3_2_channel1.dat</t>
  </si>
  <si>
    <t>C:\DATA\Docs\Mes_Documents\i-PLD\LSC95_decoration\85_pulses_GDC_2100pls_50nm_LSC95_T2_2_channel1.dat</t>
  </si>
  <si>
    <t>C:\DATA\Docs\Mes_Documents\i-PLD\LSC95_decoration\85_pulses_GDC_2100pls_50nm_LSC95_T1_2_channel1.dat</t>
  </si>
  <si>
    <t>C:\DATA\Docs\Mes_Documents\i-PLD\LSC95_decoration\85_pulses_GDC_2100pls_50nm_LSC95_100mbar_3_channel1.dat</t>
  </si>
  <si>
    <t>C:\DATA\Docs\Mes_Documents\i-PLD\LSC95_decoration\85_pulses_GDC_2100pls_50nm_LSC95_10mbar_2_channel1.dat</t>
  </si>
  <si>
    <t>C:\DATA\Docs\Mes_Documents\i-PLD\LSC95_decoration\85_pulses_GDC_2100pls_50nm_LSC95_1mbar_2_channel1.dat</t>
  </si>
  <si>
    <t>C:\DATA\Docs\Mes_Documents\i-PLD\LSC95_decoration\85_pulses_GDC_2100pls_50nm_LSC95_0.1mbar_2_channel1.dat</t>
  </si>
  <si>
    <t>C:\DATA\Docs\Mes_Documents\i-PLD\LSC95_decoration\85_pulses_GDC_2100pls_50nm_LSC95_0.04mbar_channel1.dat</t>
  </si>
  <si>
    <t>Cv(dop)</t>
  </si>
  <si>
    <t>C:\DATA\Docs\Mes_Documents\i-PLD\LSC95_decoration\85_pulses_GDC_2100pls_50nm_LSC95_0.01mbar_3_channel1.dat</t>
  </si>
  <si>
    <t>Model: C:\DATA\Docs\Mes_Documents\i-PLD\Modelecircuit_vienna.mdl</t>
  </si>
  <si>
    <t>T</t>
  </si>
  <si>
    <t>C:\DATA\Docs\Mes_Documents\i-PLD\LSC95_decoration\85_pulses_GDC_1680pls_40nm_LSC95_2_channel1.dat</t>
  </si>
  <si>
    <t>C:\DATA\Docs\Mes_Documents\i-PLD\LSC95_decoration\85_pulses_GDC_1260pls_30nm_LSC95_2_channel1.dat</t>
  </si>
  <si>
    <t>C:\DATA\Docs\Mes_Documents\i-PLD\LSC95_decoration\85_pulses_GDC_840pls_20nm_LSC95_2_channel1.dat</t>
  </si>
  <si>
    <t>C:\DATA\Docs\Mes_Documents\i-PLD\LSC95_decoration\85_pulses_GDC_630pls_15nm_LSC95_2_channel1.dat</t>
  </si>
  <si>
    <t>C:\DATA\Docs\Mes_Documents\i-PLD\LSC95_decoration\85_pulses_GDC_420pls_10nm_LSC95_2_channel1.dat</t>
  </si>
  <si>
    <t>C:\DATA\Docs\Mes_Documents\i-PLD\LSC95_decoration\85_pulses_GDC_210pls_5nm_LSC95_2_channel1.dat</t>
  </si>
  <si>
    <t>C:\DATA\Docs\Mes_Documents\i-PLD\LSC95_decoration\85_pulses_GDC_136pls_3nm_LSC95_2_channel1.dat</t>
  </si>
  <si>
    <t>C:\DATA\Docs\Mes_Documents\i-PLD\LSC95_decoration\85_pulses_GDC_42pls_1nm_LSC95_2_channel1.dat</t>
  </si>
  <si>
    <t>0,8691</t>
  </si>
  <si>
    <t>0,0082271</t>
  </si>
  <si>
    <t>0,94662</t>
  </si>
  <si>
    <t>2,9741</t>
  </si>
  <si>
    <t>1,0444E-05</t>
  </si>
  <si>
    <t>0,00035117</t>
  </si>
  <si>
    <t>2,0207</t>
  </si>
  <si>
    <t>0,17091</t>
  </si>
  <si>
    <t>8,458</t>
  </si>
  <si>
    <t>7,3297</t>
  </si>
  <si>
    <t>0,040772</t>
  </si>
  <si>
    <t>0,55626</t>
  </si>
  <si>
    <t>43,178</t>
  </si>
  <si>
    <t>0,00067124</t>
  </si>
  <si>
    <t>0,0015546</t>
  </si>
  <si>
    <t>9,2313</t>
  </si>
  <si>
    <t>0,20355</t>
  </si>
  <si>
    <t>2,205</t>
  </si>
  <si>
    <t>0,081919</t>
  </si>
  <si>
    <t>0,040861</t>
  </si>
  <si>
    <t>49,88</t>
  </si>
  <si>
    <t>0,12605</t>
  </si>
  <si>
    <t>7,2939E-09</t>
  </si>
  <si>
    <t>5,7866E-06</t>
  </si>
  <si>
    <t>4,3756E-05</t>
  </si>
  <si>
    <t>8,103E-07</t>
  </si>
  <si>
    <t>C:\DATA\Docs\Mes_Documents\i-PLD\LSC95_decoration\85_pulses_GDC_2100pls_50nm_LSC95_56pls_CaO_100mbar_2_channel1.dat</t>
  </si>
  <si>
    <t>0,46221</t>
  </si>
  <si>
    <t>0,00449</t>
  </si>
  <si>
    <t>0,97142</t>
  </si>
  <si>
    <t>1,6785</t>
  </si>
  <si>
    <t>4,4314E-06</t>
  </si>
  <si>
    <t>0,00026401</t>
  </si>
  <si>
    <t>0,8357</t>
  </si>
  <si>
    <t>0,17441</t>
  </si>
  <si>
    <t>20,87</t>
  </si>
  <si>
    <t>10,966</t>
  </si>
  <si>
    <t>0,060488</t>
  </si>
  <si>
    <t>0,55162</t>
  </si>
  <si>
    <t>61,379</t>
  </si>
  <si>
    <t>0,0014213</t>
  </si>
  <si>
    <t>0,0023156</t>
  </si>
  <si>
    <t>11,6</t>
  </si>
  <si>
    <t>0,20416</t>
  </si>
  <si>
    <t>1,76</t>
  </si>
  <si>
    <t>0,10831</t>
  </si>
  <si>
    <t>0,052683</t>
  </si>
  <si>
    <t>48,64</t>
  </si>
  <si>
    <t>0,17883</t>
  </si>
  <si>
    <t>1,0489E-08</t>
  </si>
  <si>
    <t>5,8652E-06</t>
  </si>
  <si>
    <t>9,8814E-05</t>
  </si>
  <si>
    <t>1,8299E-06</t>
  </si>
  <si>
    <t>C:\DATA\Docs\Mes_Documents\i-PLD\LSC95_decoration\85_pulses_GDC_2100pls_50nm_LSC95_56pls_CaO_10mbar_2_channel1.dat</t>
  </si>
  <si>
    <t>0,41058</t>
  </si>
  <si>
    <t>0,0039877</t>
  </si>
  <si>
    <t>0,97124</t>
  </si>
  <si>
    <t>1,5575</t>
  </si>
  <si>
    <t>3,9434E-06</t>
  </si>
  <si>
    <t>0,00025319</t>
  </si>
  <si>
    <t>0,62952</t>
  </si>
  <si>
    <t>0,18445</t>
  </si>
  <si>
    <t>29,3</t>
  </si>
  <si>
    <t>17,249</t>
  </si>
  <si>
    <t>0,085582</t>
  </si>
  <si>
    <t>0,49616</t>
  </si>
  <si>
    <t>85,597</t>
  </si>
  <si>
    <t>0,002407</t>
  </si>
  <si>
    <t>0,002812</t>
  </si>
  <si>
    <t>15,312</t>
  </si>
  <si>
    <t>0,25832</t>
  </si>
  <si>
    <t>1,687</t>
  </si>
  <si>
    <t>0,22415</t>
  </si>
  <si>
    <t>0,10802</t>
  </si>
  <si>
    <t>48,19</t>
  </si>
  <si>
    <t>0,25718</t>
  </si>
  <si>
    <t>1,4944E-08</t>
  </si>
  <si>
    <t>5,8108E-06</t>
  </si>
  <si>
    <t>0,00018001</t>
  </si>
  <si>
    <t>3,2144E-06</t>
  </si>
  <si>
    <t>C:\DATA\Docs\Mes_Documents\i-PLD\LSC95_decoration\85_pulses_GDC_2100pls_50nm_LSC95_56pls_CaO_1mbar_2_channel1.dat</t>
  </si>
  <si>
    <t>0,17924</t>
  </si>
  <si>
    <t>0,0017178</t>
  </si>
  <si>
    <t>0,95837</t>
  </si>
  <si>
    <t>0,66803</t>
  </si>
  <si>
    <t>1,9715E-06</t>
  </si>
  <si>
    <t>0,00029512</t>
  </si>
  <si>
    <t>0,21487</t>
  </si>
  <si>
    <t>0,18376</t>
  </si>
  <si>
    <t>85,52</t>
  </si>
  <si>
    <t>18,157</t>
  </si>
  <si>
    <t>0,091487</t>
  </si>
  <si>
    <t>0,50386</t>
  </si>
  <si>
    <t>87,235</t>
  </si>
  <si>
    <t>0,0014925</t>
  </si>
  <si>
    <t>0,0017109</t>
  </si>
  <si>
    <t>15,393</t>
  </si>
  <si>
    <t>0,21935</t>
  </si>
  <si>
    <t>1,425</t>
  </si>
  <si>
    <t>0,32428</t>
  </si>
  <si>
    <t>0,15455</t>
  </si>
  <si>
    <t>47,66</t>
  </si>
  <si>
    <t>0,28933</t>
  </si>
  <si>
    <t>1,7541E-08</t>
  </si>
  <si>
    <t>6,0626E-06</t>
  </si>
  <si>
    <t>0,00020901</t>
  </si>
  <si>
    <t>3,7323E-06</t>
  </si>
  <si>
    <t>C:\DATA\Docs\Mes_Documents\i-PLD\LSC95_decoration\85_pulses_GDC_2100pls_50nm_LSC95_56pls_CaO_0,1mbar_2_channel1.dat</t>
  </si>
  <si>
    <t>15,07</t>
  </si>
  <si>
    <t>0,054701</t>
  </si>
  <si>
    <t>0,36298</t>
  </si>
  <si>
    <t>47,777</t>
  </si>
  <si>
    <t>0,0037313</t>
  </si>
  <si>
    <t>0,0078098</t>
  </si>
  <si>
    <t>13,388</t>
  </si>
  <si>
    <t>0,29547</t>
  </si>
  <si>
    <t>2,207</t>
  </si>
  <si>
    <t>0,17229</t>
  </si>
  <si>
    <t>0,0016576</t>
  </si>
  <si>
    <t>0,9621</t>
  </si>
  <si>
    <t>0,46187</t>
  </si>
  <si>
    <t>1,4368E-06</t>
  </si>
  <si>
    <t>0,00031108</t>
  </si>
  <si>
    <t>0,74284</t>
  </si>
  <si>
    <t>0,96569</t>
  </si>
  <si>
    <t>5,413</t>
  </si>
  <si>
    <t>0,056349</t>
  </si>
  <si>
    <t>1,041</t>
  </si>
  <si>
    <t>19,347</t>
  </si>
  <si>
    <t>0,0068977</t>
  </si>
  <si>
    <t>0,035653</t>
  </si>
  <si>
    <t>15,891</t>
  </si>
  <si>
    <t>0,98252</t>
  </si>
  <si>
    <t>6,183</t>
  </si>
  <si>
    <t>0,33562</t>
  </si>
  <si>
    <t>0,16224</t>
  </si>
  <si>
    <t>48,34</t>
  </si>
  <si>
    <t>0,16921</t>
  </si>
  <si>
    <t>1,0748E-08</t>
  </si>
  <si>
    <t>6,3518E-06</t>
  </si>
  <si>
    <t>7,4242E-05</t>
  </si>
  <si>
    <t>1,2171E-06</t>
  </si>
  <si>
    <t>C:\DATA\Docs\Mes_Documents\i-PLD\LSC95_decoration\85_pulses_GDC_2100pls_50nm_LSC95_56pls_CaO_2_channel1.dat</t>
  </si>
  <si>
    <t>11,05</t>
  </si>
  <si>
    <t>0,048788</t>
  </si>
  <si>
    <t>0,44154</t>
  </si>
  <si>
    <t>44,124</t>
  </si>
  <si>
    <t>0,0014305</t>
  </si>
  <si>
    <t>0,003242</t>
  </si>
  <si>
    <t>9,1873</t>
  </si>
  <si>
    <t>0,17851</t>
  </si>
  <si>
    <t>1,943</t>
  </si>
  <si>
    <t>0,13537</t>
  </si>
  <si>
    <t>0,0012933</t>
  </si>
  <si>
    <t>0,95541</t>
  </si>
  <si>
    <t>0,35575</t>
  </si>
  <si>
    <t>1,2362E-06</t>
  </si>
  <si>
    <t>0,00034749</t>
  </si>
  <si>
    <t>1,1</t>
  </si>
  <si>
    <t>3,1461</t>
  </si>
  <si>
    <t>4,447</t>
  </si>
  <si>
    <t>0,042614</t>
  </si>
  <si>
    <t>0,95826</t>
  </si>
  <si>
    <t>19,288</t>
  </si>
  <si>
    <t>0,0038284</t>
  </si>
  <si>
    <t>0,019849</t>
  </si>
  <si>
    <t>13,065</t>
  </si>
  <si>
    <t>3,5133</t>
  </si>
  <si>
    <t>26,89</t>
  </si>
  <si>
    <t>0,22813</t>
  </si>
  <si>
    <t>0,11696</t>
  </si>
  <si>
    <t>51,27</t>
  </si>
  <si>
    <t>0,18818</t>
  </si>
  <si>
    <t>1,1765E-08</t>
  </si>
  <si>
    <t>6,252E-06</t>
  </si>
  <si>
    <t>9,5863E-05</t>
  </si>
  <si>
    <t>1,5216E-06</t>
  </si>
  <si>
    <t>C:\DATA\Docs\Mes_Documents\i-PLD\LSC95_decoration\85_pulses_GDC_2100pls_50nm_LSC95_56pls_CaO_0,01mbar_2_channel1.dat</t>
  </si>
  <si>
    <t>C:\DATA\Docs\Mes_Documents\i-PLD\LSC95_decoration\85_pulses_GDC_2100pls_50nm_LSC95_56pls_CaO_T4_2_channel1.dat</t>
  </si>
  <si>
    <t>C:\DATA\Docs\Mes_Documents\i-PLD\LSC95_decoration\85_pulses_GDC_2100pls_50nm_LSC95_56pls_CaO_T3_3_channel1.dat</t>
  </si>
  <si>
    <t>C:\DATA\Docs\Mes_Documents\i-PLD\LSC95_decoration\85_pulses_GDC_2100pls_50nm_LSC95_56pls_CaO_T2_2_channel1.dat</t>
  </si>
  <si>
    <t>C:\DATA\Docs\Mes_Documents\i-PLD\LSC95_decoration\85_pulses_GDC_2100pls_50nm_LSC95_56pls_CaO_T1_3_channel1.dat</t>
  </si>
  <si>
    <t>C:\DATA\Docs\Mes_Documents\i-PLD\LSC95_decoration\85_pulses_GDC_2100pls_50nm_LSC95_56pls_CaO_0.1mbar_2_channel1.dat</t>
  </si>
  <si>
    <t>C:\DATA\Docs\Mes_Documents\i-PLD\LSC95_decoration\85_pulses_GDC_2100pls_50nm_LSC95_56pls_CaO_0.01mbar_2_channel1.dat</t>
  </si>
  <si>
    <t>Co(dop)</t>
  </si>
  <si>
    <t>thickness</t>
  </si>
  <si>
    <t>Active area</t>
  </si>
  <si>
    <t>C:\DATA\Docs\Mes_Documents\i-PLD\LSC95_decoration\85_pulses_GDC_2100pls_50nm_LSC95_42pls_CaO_2_channel1.dat</t>
  </si>
  <si>
    <t>C:\DATA\Docs\Mes_Documents\i-PLD\LSC95_decoration\85_pulses_GDC_2100pls_50nm_LSC95_28pls_CaO_2_channel1.dat</t>
  </si>
  <si>
    <t>C:\DATA\Docs\Mes_Documents\i-PLD\LSC95_decoration\85_pulses_GDC_2100pls_50nm_LSC95_14pls_CaO_2_channel1.dat</t>
  </si>
  <si>
    <t>C:\DATA\Docs\Mes_Documents\i-PLD\LSC95_decoration\85_pulses_GDC_2100pls_50nm_LSC95_0pls_CaO_5_channel1.dat</t>
  </si>
  <si>
    <t>C:\DATA\Docs\Mes_Documents\PLD\LSC95_decoration\85_pulses_GDC_2100pls_50nm_LSC95_56pls_CaO_restoration_840pls_SnO2_5pls_100mbar_2_channel1.dat</t>
  </si>
  <si>
    <t>C:\DATA\Docs\Mes_Documents\PLD\LSC95_decoration\85_pulses_GDC_2100pls_50nm_LSC95_56pls_CaO_restoration_840pls_SnO2_5pls_10mbar_2_channel1.dat</t>
  </si>
  <si>
    <t>C:\DATA\Docs\Mes_Documents\PLD\LSC95_decoration\85_pulses_GDC_2100pls_50nm_LSC95_56pls_CaO_restoration_840pls_SnO2_5pls_1mbar_2_channel1.dat</t>
  </si>
  <si>
    <t>C:\DATA\Docs\Mes_Documents\PLD\LSC95_decoration\85_pulses_GDC_2100pls_50nm_LSC95_56pls_CaO_restoration_840pls_SnO2_5pls_0,1mbar_3_channel1.dat</t>
  </si>
  <si>
    <t>C:\DATA\Docs\Mes_Documents\PLD\LSC95_decoration\85_pulses_GDC_2100pls_50nm_LSC95_56pls_CaO_restoration_840pls_SnO2_5pls_2_channel1.dat</t>
  </si>
  <si>
    <t>C:\DATA\Docs\Mes_Documents\PLD\LSC95_decoration\85_pulses_GDC_2100pls_50nm_LSC95_56pls_CaO_restoration_840pls_SnO2_5pls_0,01mbar_2_channel1.dat</t>
  </si>
  <si>
    <t>C:\DATA\Docs\Mes_Documents\PLD\LSC95_decoration\85_pulses_GDC_2100pls_50nm_LSC95_56pls_CaO_restoration_840pls_SnO2_4pls_2_channel1.dat</t>
  </si>
  <si>
    <t>C:\DATA\Docs\Mes_Documents\PLD\LSC95_decoration\85_pulses_GDC_2100pls_50nm_LSC95_56pls_CaO_restoration_840pls_SnO2_3pls_2_channel1.dat</t>
  </si>
  <si>
    <t>C:\DATA\Docs\Mes_Documents\PLD\LSC95_decoration\85_pulses_GDC_2100pls_50nm_LSC95_56pls_CaO_restoration_840pls_SnO2_2pls_2_channel1.dat</t>
  </si>
  <si>
    <t>C:\DATA\Docs\Mes_Documents\PLD\LSC95_decoration\85_pulses_GDC_2100pls_50nm_LSC95_56pls_CaO_restoration_840pls_SnO2_1pls_2_channel1.dat</t>
  </si>
  <si>
    <t>C:\DATA\Docs\Mes_Documents\PLD\LSC95_decoration\85_pulses_GDC_2100pls_50nm_LSC95_56pls_CaO_restoration_840pls_2_channel1.dat</t>
  </si>
  <si>
    <t>C:\DATA\Docs\Mes_Documents\i-PLD\LSC95_decoration\LSC95_SrOdeco\GdC_102pls_LSC9505_1950pls_21pls_SrO_0,01mbar_3_channel1.dat</t>
  </si>
  <si>
    <t>C:\DATA\Docs\Mes_Documents\i-PLD\LSC95_decoration\LSC95_SrOdeco\GdC_102pls_LSC9505_1950pls_21pls_SrO_2_channel1.dat</t>
  </si>
  <si>
    <t>C:\DATA\Docs\Mes_Documents\i-PLD\LSC95_decoration\LSC95_SrOdeco\GdC_102pls_LSC9505_1950pls_21pls_SrO_0,1mbar_2_channel1.dat</t>
  </si>
  <si>
    <t>C:\DATA\Docs\Mes_Documents\i-PLD\LSC95_decoration\LSC95_SrOdeco\GdC_102pls_LSC9505_1950pls_21pls_SrO_1mbar_2_channel1.dat</t>
  </si>
  <si>
    <t>C:\DATA\Docs\Mes_Documents\i-PLD\LSC95_decoration\LSC95_SrOdeco\GdC_102pls_LSC9505_1950pls_21pls_SrO_10mbar_2_channel1.dat</t>
  </si>
  <si>
    <t>C:\DATA\Docs\Mes_Documents\i-PLD\LSC95_decoration\LSC95_SrOdeco\GdC_102pls_LSC9505_1950pls_21pls_SrO_100mbar_3_channel1.dat</t>
  </si>
  <si>
    <t>C:\DATA\Docs\Mes_Documents\i-PLD\LSC95_decoration\LSC95_SrOdeco\GdC_102pls_LSC9505_1950pls_21pls_SrO_T4_2_channel1.dat</t>
  </si>
  <si>
    <t>C:\DATA\Docs\Mes_Documents\i-PLD\LSC95_decoration\LSC95_SrOdeco\GdC_102pls_LSC9505_1950pls_21pls_SrO_T3_2_channel1.dat</t>
  </si>
  <si>
    <t>C:\DATA\Docs\Mes_Documents\i-PLD\LSC95_decoration\LSC95_SrOdeco\GdC_102pls_LSC9505_1950pls_21pls_SrO_T2_2_channel1.dat</t>
  </si>
  <si>
    <t>C:\DATA\Docs\Mes_Documents\i-PLD\LSC95_decoration\LSC95_SrOdeco\GdC_102pls_LSC9505_1950pls_21pls_SrO_T1_3_channel1.dat</t>
  </si>
  <si>
    <t>C:\DATA\Docs\Mes_Documents\i-PLD\LSC95_decoration\LSC95_SrOdeco\GdC_102pls_LSC9505_1950pls_18pls_SrO_channel1.dat</t>
  </si>
  <si>
    <t>C:\DATA\Docs\Mes_Documents\i-PLD\LSC95_decoration\LSC95_SrOdeco\GdC_102pls_LSC9505_1950pls_15pls_SrO_channel1.dat</t>
  </si>
  <si>
    <t>C:\DATA\Docs\Mes_Documents\i-PLD\LSC95_decoration\LSC95_SrOdeco\GdC_102pls_LSC9505_1950pls_12pls_SrO_channel1.dat</t>
  </si>
  <si>
    <t>C:\DATA\Docs\Mes_Documents\i-PLD\LSC95_decoration\LSC95_SrOdeco\GdC_102pls_LSC9505_1950pls_9pls_SrO_channel1.dat</t>
  </si>
  <si>
    <t>C:\DATA\Docs\Mes_Documents\i-PLD\LSC95_decoration\LSC95_SrOdeco\GdC_102pls_LSC9505_1950pls_6pls_SrO_channel1.dat</t>
  </si>
  <si>
    <t>C:\DATA\Docs\Mes_Documents\i-PLD\LSC95_decoration\LSC95_SrOdeco\GdC_102pls_LSC9505_1950pls_3pls_SrO_2_channel1.dat</t>
  </si>
  <si>
    <t>C:\DATA\Docs\Mes_Documents\i-PLD\LSC95_decoration\LSC95_SrOdeco\GdC_102pls_LSC9505_1950pls_3_channel1.dat</t>
  </si>
  <si>
    <t>C:\DATA\Docs\Mes_Documents\i-PLD\LSC95_decoration\LSC95_SrOdeco\GdC_95pls_channel1.dat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</si>
</sst>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0.000E+00"/>
    <numFmt numFmtId="167" formatCode="0.00000E+00"/>
    <numFmt numFmtId="168" formatCode="0.0000E+00"/>
    <numFmt numFmtId="169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1" fontId="0" fillId="0" borderId="0" xfId="0" applyNumberFormat="1"/>
    <xf numFmtId="0" fontId="0" fillId="0" borderId="0" xfId="0" applyNumberFormat="1"/>
    <xf numFmtId="11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ill="1" applyBorder="1"/>
    <xf numFmtId="0" fontId="0" fillId="0" borderId="0" xfId="0" applyNumberFormat="1" applyBorder="1"/>
    <xf numFmtId="2" fontId="0" fillId="0" borderId="0" xfId="0" applyNumberFormat="1" applyBorder="1"/>
    <xf numFmtId="0" fontId="1" fillId="0" borderId="0" xfId="0" applyNumberFormat="1" applyFont="1"/>
    <xf numFmtId="2" fontId="0" fillId="0" borderId="0" xfId="0" applyNumberFormat="1"/>
    <xf numFmtId="2" fontId="0" fillId="0" borderId="0" xfId="0" applyNumberFormat="1" applyFont="1"/>
    <xf numFmtId="0" fontId="0" fillId="0" borderId="0" xfId="0" applyNumberFormat="1" applyAlignment="1">
      <alignment horizontal="right"/>
    </xf>
    <xf numFmtId="165" fontId="0" fillId="0" borderId="0" xfId="0" applyNumberFormat="1" applyBorder="1"/>
    <xf numFmtId="2" fontId="0" fillId="0" borderId="0" xfId="0" applyNumberFormat="1" applyAlignment="1">
      <alignment horizontal="right"/>
    </xf>
    <xf numFmtId="0" fontId="0" fillId="0" borderId="0" xfId="0" applyNumberFormat="1" applyFont="1" applyFill="1" applyBorder="1"/>
    <xf numFmtId="11" fontId="0" fillId="0" borderId="0" xfId="0" applyNumberFormat="1" applyFont="1" applyFill="1" applyBorder="1"/>
    <xf numFmtId="0" fontId="0" fillId="0" borderId="0" xfId="0" applyNumberFormat="1" applyFill="1"/>
    <xf numFmtId="164" fontId="0" fillId="0" borderId="0" xfId="0" applyNumberFormat="1" applyFont="1"/>
    <xf numFmtId="0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0" xfId="0" applyNumberFormat="1" applyAlignment="1">
      <alignment vertical="center"/>
    </xf>
    <xf numFmtId="166" fontId="0" fillId="0" borderId="0" xfId="0" applyNumberFormat="1"/>
    <xf numFmtId="166" fontId="0" fillId="0" borderId="0" xfId="0" applyNumberFormat="1" applyFont="1"/>
    <xf numFmtId="167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Border="1"/>
    <xf numFmtId="168" fontId="0" fillId="0" borderId="0" xfId="0" applyNumberFormat="1" applyFont="1"/>
    <xf numFmtId="168" fontId="0" fillId="0" borderId="0" xfId="0" applyNumberFormat="1"/>
    <xf numFmtId="0" fontId="0" fillId="0" borderId="0" xfId="0" applyFont="1"/>
    <xf numFmtId="2" fontId="0" fillId="0" borderId="0" xfId="0" applyNumberFormat="1" applyFill="1" applyBorder="1"/>
    <xf numFmtId="169" fontId="0" fillId="0" borderId="0" xfId="0" applyNumberFormat="1"/>
    <xf numFmtId="165" fontId="0" fillId="0" borderId="0" xfId="0" applyNumberFormat="1"/>
    <xf numFmtId="0" fontId="0" fillId="0" borderId="0" xfId="0" applyBorder="1"/>
    <xf numFmtId="166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'LSC91-CaO'!$D$13:$D$18</c:f>
              <c:numCache>
                <c:formatCode>General</c:formatCode>
                <c:ptCount val="6"/>
                <c:pt idx="0">
                  <c:v>0</c:v>
                </c:pt>
                <c:pt idx="1">
                  <c:v>0.58974358974358976</c:v>
                </c:pt>
                <c:pt idx="2">
                  <c:v>1.1794871794871795</c:v>
                </c:pt>
                <c:pt idx="3">
                  <c:v>1.7692307692307692</c:v>
                </c:pt>
                <c:pt idx="4">
                  <c:v>2.358974358974359</c:v>
                </c:pt>
                <c:pt idx="5">
                  <c:v>2.9487179487179489</c:v>
                </c:pt>
              </c:numCache>
            </c:numRef>
          </c:xVal>
          <c:yVal>
            <c:numRef>
              <c:f>'LSC91-CaO'!$G$13:$G$18</c:f>
              <c:numCache>
                <c:formatCode>0.00E+00</c:formatCode>
                <c:ptCount val="6"/>
                <c:pt idx="0">
                  <c:v>2.3160187031435477E-4</c:v>
                </c:pt>
                <c:pt idx="1">
                  <c:v>2.3685861834394194E-4</c:v>
                </c:pt>
                <c:pt idx="2">
                  <c:v>2.3712236826261556E-4</c:v>
                </c:pt>
                <c:pt idx="3">
                  <c:v>2.364850492983745E-4</c:v>
                </c:pt>
                <c:pt idx="4">
                  <c:v>2.3833054949971857E-4</c:v>
                </c:pt>
                <c:pt idx="5">
                  <c:v>2.4443831260855778E-4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A5-4B05-BB2A-030382991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169472"/>
        <c:axId val="1893166560"/>
      </c:scatterChart>
      <c:valAx>
        <c:axId val="189316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166560"/>
        <c:crosses val="autoZero"/>
        <c:crossBetween val="midCat"/>
      </c:valAx>
      <c:valAx>
        <c:axId val="18931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16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'LSC91-SnO2'!$U$13:$U$16</c:f>
              <c:numCache>
                <c:formatCode>0.00</c:formatCode>
                <c:ptCount val="4"/>
                <c:pt idx="0">
                  <c:v>1.1694036654091842</c:v>
                </c:pt>
                <c:pt idx="1">
                  <c:v>1.1968533479845263</c:v>
                </c:pt>
                <c:pt idx="2">
                  <c:v>1.24978919905867</c:v>
                </c:pt>
                <c:pt idx="3">
                  <c:v>1.2961001076219028</c:v>
                </c:pt>
              </c:numCache>
            </c:numRef>
          </c:xVal>
          <c:yVal>
            <c:numRef>
              <c:f>'LSC91-SnO2'!$Y$13:$Y$16</c:f>
              <c:numCache>
                <c:formatCode>0.00E+00</c:formatCode>
                <c:ptCount val="4"/>
                <c:pt idx="0">
                  <c:v>565.70000000000005</c:v>
                </c:pt>
                <c:pt idx="1">
                  <c:v>925.7</c:v>
                </c:pt>
                <c:pt idx="2">
                  <c:v>2307</c:v>
                </c:pt>
                <c:pt idx="3">
                  <c:v>4623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1-4251-8966-D11AB72E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883584"/>
        <c:axId val="756884000"/>
      </c:scatterChart>
      <c:valAx>
        <c:axId val="75688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84000"/>
        <c:crosses val="autoZero"/>
        <c:crossBetween val="midCat"/>
      </c:valAx>
      <c:valAx>
        <c:axId val="7568840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8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'LSC95-5'!$F$5:$F$12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</c:numCache>
            </c:numRef>
          </c:xVal>
          <c:yVal>
            <c:numRef>
              <c:f>'LSC95-5'!$I$5:$I$12</c:f>
              <c:numCache>
                <c:formatCode>0.00E+00</c:formatCode>
                <c:ptCount val="8"/>
                <c:pt idx="0">
                  <c:v>12.972681325324334</c:v>
                </c:pt>
                <c:pt idx="1">
                  <c:v>8.4747537622097671</c:v>
                </c:pt>
                <c:pt idx="2">
                  <c:v>9.8492997750410467</c:v>
                </c:pt>
                <c:pt idx="3">
                  <c:v>9.520183124081445</c:v>
                </c:pt>
                <c:pt idx="4">
                  <c:v>9.0119882953938237</c:v>
                </c:pt>
                <c:pt idx="5">
                  <c:v>8.2327562247394699</c:v>
                </c:pt>
                <c:pt idx="6">
                  <c:v>6.4452010812922174</c:v>
                </c:pt>
                <c:pt idx="7">
                  <c:v>6.4726274688721839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6B-4E3C-B659-D19C97A16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406575"/>
        <c:axId val="1075410319"/>
      </c:scatterChart>
      <c:valAx>
        <c:axId val="107540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410319"/>
        <c:crosses val="autoZero"/>
        <c:crossBetween val="midCat"/>
      </c:valAx>
      <c:valAx>
        <c:axId val="10754103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40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'LSC95-5-SnO2'!$C$10:$C$15</c:f>
              <c:numCache>
                <c:formatCode>0.00E+00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0.22222222222222221</c:v>
                </c:pt>
                <c:pt idx="3">
                  <c:v>0.33333333333333331</c:v>
                </c:pt>
                <c:pt idx="4">
                  <c:v>0.44444444444444442</c:v>
                </c:pt>
                <c:pt idx="5">
                  <c:v>0.55555555555555558</c:v>
                </c:pt>
              </c:numCache>
            </c:numRef>
          </c:xVal>
          <c:yVal>
            <c:numRef>
              <c:f>'LSC95-5-SnO2'!$D$10:$D$15</c:f>
              <c:numCache>
                <c:formatCode>General</c:formatCode>
                <c:ptCount val="6"/>
                <c:pt idx="0">
                  <c:v>42.96</c:v>
                </c:pt>
                <c:pt idx="1">
                  <c:v>82.72</c:v>
                </c:pt>
                <c:pt idx="2">
                  <c:v>131.9</c:v>
                </c:pt>
                <c:pt idx="3">
                  <c:v>188.6</c:v>
                </c:pt>
                <c:pt idx="4">
                  <c:v>308.2</c:v>
                </c:pt>
                <c:pt idx="5">
                  <c:v>368.1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8B-46E7-9855-A0EBE9B4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55919"/>
        <c:axId val="182757583"/>
      </c:scatterChart>
      <c:valAx>
        <c:axId val="18275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57583"/>
        <c:crosses val="autoZero"/>
        <c:crossBetween val="midCat"/>
      </c:valAx>
      <c:valAx>
        <c:axId val="18275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5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'LSC95-5-SnO2'!$C$10:$C$15</c:f>
              <c:numCache>
                <c:formatCode>0.00E+00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0.22222222222222221</c:v>
                </c:pt>
                <c:pt idx="3">
                  <c:v>0.33333333333333331</c:v>
                </c:pt>
                <c:pt idx="4">
                  <c:v>0.44444444444444442</c:v>
                </c:pt>
                <c:pt idx="5">
                  <c:v>0.55555555555555558</c:v>
                </c:pt>
              </c:numCache>
            </c:numRef>
          </c:xVal>
          <c:yVal>
            <c:numRef>
              <c:f>'LSC95-5-SnO2'!$D$10:$D$15</c:f>
              <c:numCache>
                <c:formatCode>General</c:formatCode>
                <c:ptCount val="6"/>
                <c:pt idx="0">
                  <c:v>42.96</c:v>
                </c:pt>
                <c:pt idx="1">
                  <c:v>82.72</c:v>
                </c:pt>
                <c:pt idx="2">
                  <c:v>131.9</c:v>
                </c:pt>
                <c:pt idx="3">
                  <c:v>188.6</c:v>
                </c:pt>
                <c:pt idx="4">
                  <c:v>308.2</c:v>
                </c:pt>
                <c:pt idx="5">
                  <c:v>368.1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C1-46FC-B300-D743B15D5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55919"/>
        <c:axId val="182757583"/>
      </c:scatterChart>
      <c:valAx>
        <c:axId val="18275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57583"/>
        <c:crosses val="autoZero"/>
        <c:crossBetween val="midCat"/>
      </c:valAx>
      <c:valAx>
        <c:axId val="18275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5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'LSC95-5-SnO2'!$K$10:$K$15</c:f>
              <c:numCache>
                <c:formatCode>General</c:formatCode>
                <c:ptCount val="6"/>
                <c:pt idx="0">
                  <c:v>0.01</c:v>
                </c:pt>
                <c:pt idx="1">
                  <c:v>0.04</c:v>
                </c:pt>
                <c:pt idx="2">
                  <c:v>0.1</c:v>
                </c:pt>
                <c:pt idx="3">
                  <c:v>1</c:v>
                </c:pt>
                <c:pt idx="4">
                  <c:v>10</c:v>
                </c:pt>
                <c:pt idx="5">
                  <c:v>100</c:v>
                </c:pt>
              </c:numCache>
            </c:numRef>
          </c:xVal>
          <c:yVal>
            <c:numRef>
              <c:f>'LSC95-5-SnO2'!$L$10:$L$15</c:f>
              <c:numCache>
                <c:formatCode>General</c:formatCode>
                <c:ptCount val="6"/>
                <c:pt idx="0">
                  <c:v>781.5</c:v>
                </c:pt>
                <c:pt idx="1">
                  <c:v>368.1</c:v>
                </c:pt>
                <c:pt idx="2">
                  <c:v>314.2</c:v>
                </c:pt>
                <c:pt idx="3">
                  <c:v>93.83</c:v>
                </c:pt>
                <c:pt idx="4">
                  <c:v>45.79</c:v>
                </c:pt>
                <c:pt idx="5">
                  <c:v>20.21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2-413D-AC99-7EA33D210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559615"/>
        <c:axId val="554561279"/>
      </c:scatterChart>
      <c:valAx>
        <c:axId val="554559615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79"/>
        <c:crosses val="autoZero"/>
        <c:crossBetween val="midCat"/>
      </c:valAx>
      <c:valAx>
        <c:axId val="55456127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59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307893</xdr:colOff>
      <xdr:row>56</xdr:row>
      <xdr:rowOff>141461</xdr:rowOff>
    </xdr:from>
    <xdr:to>
      <xdr:col>12</xdr:col>
      <xdr:colOff>179292</xdr:colOff>
      <xdr:row>71</xdr:row>
      <xdr:rowOff>21824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1105904-F601-4A4E-9274-7CAD1920F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562430</xdr:colOff>
      <xdr:row>55</xdr:row>
      <xdr:rowOff>154215</xdr:rowOff>
    </xdr:from>
    <xdr:to>
      <xdr:col>21</xdr:col>
      <xdr:colOff>54430</xdr:colOff>
      <xdr:row>70</xdr:row>
      <xdr:rowOff>175986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2342037</xdr:colOff>
      <xdr:row>41</xdr:row>
      <xdr:rowOff>0</xdr:rowOff>
    </xdr:from>
    <xdr:to>
      <xdr:col>11</xdr:col>
      <xdr:colOff>6917498</xdr:colOff>
      <xdr:row>48</xdr:row>
      <xdr:rowOff>108629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2B9C5-E793-4253-A982-6CEA7CD7C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461063</xdr:colOff>
      <xdr:row>36</xdr:row>
      <xdr:rowOff>179089</xdr:rowOff>
    </xdr:from>
    <xdr:to>
      <xdr:col>8</xdr:col>
      <xdr:colOff>450020</xdr:colOff>
      <xdr:row>51</xdr:row>
      <xdr:rowOff>161420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1058333</xdr:colOff>
      <xdr:row>37</xdr:row>
      <xdr:rowOff>36811</xdr:rowOff>
    </xdr:from>
    <xdr:to>
      <xdr:col>7</xdr:col>
      <xdr:colOff>651564</xdr:colOff>
      <xdr:row>52</xdr:row>
      <xdr:rowOff>19142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350631</xdr:colOff>
      <xdr:row>38</xdr:row>
      <xdr:rowOff>105465</xdr:rowOff>
    </xdr:from>
    <xdr:to>
      <xdr:col>17</xdr:col>
      <xdr:colOff>339588</xdr:colOff>
      <xdr:row>53</xdr:row>
      <xdr:rowOff>87796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opLeftCell="E16" zoomScale="70" zoomScaleNormal="70" workbookViewId="0">
      <selection activeCell="Y61" sqref="Y61"/>
    </sheetView>
  </sheetViews>
  <sheetFormatPr baseColWidth="10" defaultColWidth="8.7265625" defaultRowHeight="14.5" x14ac:dyDescent="0.35"/>
  <cols>
    <col min="1" max="1" width="70.36328125" style="2" customWidth="1"/>
    <col min="2" max="2" width="24.26953125" style="2" customWidth="1"/>
    <col min="3" max="3" width="12" style="2" customWidth="1"/>
    <col min="4" max="4" width="17.36328125" style="2" customWidth="1"/>
    <col min="5" max="5" width="20.54296875" style="2" customWidth="1"/>
    <col min="6" max="6" width="16" style="2" customWidth="1"/>
    <col min="7" max="7" width="17.36328125" style="2" customWidth="1"/>
    <col min="8" max="8" width="12.7265625" style="2" customWidth="1"/>
    <col min="9" max="9" width="13.7265625" style="2" bestFit="1" customWidth="1"/>
    <col min="10" max="10" width="12.36328125" style="2" bestFit="1" customWidth="1"/>
    <col min="11" max="11" width="11.81640625" style="2" bestFit="1" customWidth="1"/>
    <col min="12" max="12" width="8.81640625" style="2" bestFit="1" customWidth="1"/>
    <col min="13" max="13" width="11.81640625" style="2" bestFit="1" customWidth="1"/>
    <col min="14" max="14" width="13" style="2" customWidth="1"/>
    <col min="15" max="15" width="12.453125" style="2" bestFit="1" customWidth="1"/>
    <col min="16" max="17" width="11.81640625" style="2" bestFit="1" customWidth="1"/>
    <col min="18" max="19" width="10.36328125" style="2" bestFit="1" customWidth="1"/>
    <col min="20" max="21" width="8.81640625" style="2" bestFit="1" customWidth="1"/>
    <col min="22" max="24" width="11.81640625" style="2" bestFit="1" customWidth="1"/>
    <col min="25" max="25" width="11.90625" style="2" bestFit="1" customWidth="1"/>
    <col min="26" max="26" width="32.7265625" style="2" bestFit="1" customWidth="1"/>
    <col min="27" max="27" width="30.6328125" style="2" bestFit="1" customWidth="1"/>
    <col min="28" max="29" width="10.36328125" style="2" bestFit="1" customWidth="1"/>
    <col min="30" max="31" width="8.81640625" style="2" bestFit="1" customWidth="1"/>
    <col min="32" max="33" width="11.81640625" style="2" bestFit="1" customWidth="1"/>
    <col min="34" max="37" width="8.81640625" style="2" bestFit="1" customWidth="1"/>
    <col min="38" max="16384" width="8.7265625" style="2"/>
  </cols>
  <sheetData>
    <row r="1" spans="1:37" x14ac:dyDescent="0.35">
      <c r="B1" s="2" t="s">
        <v>127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33</v>
      </c>
      <c r="I1" s="2" t="s">
        <v>34</v>
      </c>
      <c r="J1" s="2" t="s">
        <v>35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</row>
    <row r="2" spans="1:37" x14ac:dyDescent="0.35">
      <c r="A2" s="2" t="s">
        <v>78</v>
      </c>
      <c r="B2" s="2">
        <v>1</v>
      </c>
      <c r="C2" s="2">
        <v>7.2756999999999996E-6</v>
      </c>
      <c r="D2" s="2">
        <v>4.0744000000000002E-4</v>
      </c>
      <c r="E2" s="2">
        <v>6.3490999999999999E-6</v>
      </c>
      <c r="F2" s="2">
        <v>2.0330999999999999E-8</v>
      </c>
      <c r="G2" s="2">
        <v>0.32022</v>
      </c>
      <c r="H2" s="2">
        <v>50.86</v>
      </c>
      <c r="I2" s="2">
        <v>5.9125999999999998E-2</v>
      </c>
      <c r="J2" s="2">
        <v>0.11625000000000001</v>
      </c>
      <c r="K2" s="2">
        <v>0</v>
      </c>
      <c r="N2" s="2">
        <v>0</v>
      </c>
      <c r="Q2" s="2">
        <v>1</v>
      </c>
      <c r="T2" s="2">
        <v>222.9</v>
      </c>
      <c r="U2" s="2">
        <v>15.039</v>
      </c>
      <c r="V2" s="2">
        <v>6.7469999999999999</v>
      </c>
      <c r="W2" s="2">
        <v>2.9612E-5</v>
      </c>
      <c r="X2" s="2">
        <v>4.0498000000000002E-7</v>
      </c>
      <c r="Y2" s="2">
        <v>1.3675999999999999</v>
      </c>
      <c r="Z2" s="2">
        <v>0.92074999999999996</v>
      </c>
      <c r="AA2" s="2">
        <v>1.1617000000000001E-2</v>
      </c>
      <c r="AB2" s="2">
        <v>1.2617</v>
      </c>
      <c r="AC2" s="2">
        <v>75.91</v>
      </c>
      <c r="AD2" s="2">
        <v>15.282999999999999</v>
      </c>
      <c r="AE2" s="2">
        <v>20.132999999999999</v>
      </c>
      <c r="AF2" s="2">
        <v>3.9644000000000002E-4</v>
      </c>
      <c r="AG2" s="2">
        <v>1.1755E-4</v>
      </c>
      <c r="AH2" s="2">
        <v>29.651</v>
      </c>
      <c r="AI2" s="2">
        <v>0.62982000000000005</v>
      </c>
      <c r="AJ2" s="2">
        <v>2.2939999999999999E-2</v>
      </c>
      <c r="AK2" s="2">
        <v>3.6423000000000001</v>
      </c>
    </row>
    <row r="3" spans="1:37" x14ac:dyDescent="0.35">
      <c r="A3" s="2" t="s">
        <v>79</v>
      </c>
      <c r="B3" s="2">
        <v>3</v>
      </c>
      <c r="C3" s="2">
        <v>1.8786999999999999E-6</v>
      </c>
      <c r="D3" s="2">
        <v>1.0709000000000001E-4</v>
      </c>
      <c r="E3" s="2">
        <v>6.4149000000000002E-6</v>
      </c>
      <c r="F3" s="2">
        <v>1.0162E-8</v>
      </c>
      <c r="G3" s="2">
        <v>0.15841</v>
      </c>
      <c r="H3" s="2">
        <v>49.87</v>
      </c>
      <c r="I3" s="2">
        <v>2.6578999999999998E-2</v>
      </c>
      <c r="J3" s="2">
        <v>5.3296999999999997E-2</v>
      </c>
      <c r="K3" s="2">
        <v>10.87</v>
      </c>
      <c r="L3" s="2">
        <v>0.55996999999999997</v>
      </c>
      <c r="M3" s="2">
        <v>5.1515000000000004</v>
      </c>
      <c r="N3" s="2">
        <v>2.8371E-2</v>
      </c>
      <c r="O3" s="2">
        <v>1.0495999999999999E-3</v>
      </c>
      <c r="P3" s="2">
        <v>3.6996000000000002</v>
      </c>
      <c r="Q3" s="2">
        <v>0.98977000000000004</v>
      </c>
      <c r="R3" s="2">
        <v>2.9045999999999999E-2</v>
      </c>
      <c r="S3" s="2">
        <v>2.9346000000000001</v>
      </c>
      <c r="T3" s="2">
        <v>45.03</v>
      </c>
      <c r="U3" s="2">
        <v>5.6618000000000004</v>
      </c>
      <c r="V3" s="2">
        <v>12.573</v>
      </c>
      <c r="W3" s="2">
        <v>5.1233999999999998E-5</v>
      </c>
      <c r="X3" s="2">
        <v>8.5362999999999995E-7</v>
      </c>
      <c r="Y3" s="2">
        <v>1.6660999999999999</v>
      </c>
      <c r="Z3" s="2">
        <v>0.95643999999999996</v>
      </c>
      <c r="AA3" s="2">
        <v>2.0990000000000002E-2</v>
      </c>
      <c r="AB3" s="2">
        <v>2.1945999999999999</v>
      </c>
      <c r="AC3" s="2">
        <v>25.74</v>
      </c>
      <c r="AD3" s="2">
        <v>5.9713000000000003</v>
      </c>
      <c r="AE3" s="2">
        <v>23.199000000000002</v>
      </c>
      <c r="AF3" s="2">
        <v>2.9537999999999998E-4</v>
      </c>
      <c r="AG3" s="2">
        <v>3.3077999999999997E-5</v>
      </c>
      <c r="AH3" s="2">
        <v>11.198</v>
      </c>
      <c r="AI3" s="2">
        <v>0.66886999999999996</v>
      </c>
      <c r="AJ3" s="2">
        <v>7.4967000000000002E-3</v>
      </c>
      <c r="AK3" s="2">
        <v>1.1208</v>
      </c>
    </row>
    <row r="4" spans="1:37" x14ac:dyDescent="0.35">
      <c r="A4" s="2" t="s">
        <v>80</v>
      </c>
      <c r="B4" s="2">
        <v>5</v>
      </c>
      <c r="C4" s="2">
        <v>3.0680999999999999E-6</v>
      </c>
      <c r="D4" s="2">
        <v>1.8102E-4</v>
      </c>
      <c r="E4" s="2">
        <v>6.4552999999999998E-6</v>
      </c>
      <c r="F4" s="2">
        <v>1.3682999999999999E-8</v>
      </c>
      <c r="G4" s="2">
        <v>0.21196999999999999</v>
      </c>
      <c r="H4" s="2">
        <v>49.15</v>
      </c>
      <c r="I4" s="2">
        <v>6.9780999999999996E-2</v>
      </c>
      <c r="J4" s="2">
        <v>0.14198</v>
      </c>
      <c r="K4" s="2">
        <v>10.28</v>
      </c>
      <c r="L4" s="2">
        <v>0.50766999999999995</v>
      </c>
      <c r="M4" s="2">
        <v>4.9383999999999997</v>
      </c>
      <c r="N4" s="2">
        <v>3.1248000000000001E-2</v>
      </c>
      <c r="O4" s="2">
        <v>1.2549E-3</v>
      </c>
      <c r="P4" s="2">
        <v>4.0159000000000002</v>
      </c>
      <c r="Q4" s="2">
        <v>0.95708000000000004</v>
      </c>
      <c r="R4" s="2">
        <v>2.4341999999999999E-2</v>
      </c>
      <c r="S4" s="2">
        <v>2.5434000000000001</v>
      </c>
      <c r="T4" s="2">
        <v>20.21</v>
      </c>
      <c r="U4" s="2">
        <v>0.93044000000000004</v>
      </c>
      <c r="V4" s="2">
        <v>4.6039000000000003</v>
      </c>
      <c r="W4" s="2">
        <v>8.3077000000000004E-5</v>
      </c>
      <c r="X4" s="2">
        <v>4.2352999999999999E-6</v>
      </c>
      <c r="Y4" s="2">
        <v>5.0979999999999999</v>
      </c>
      <c r="Z4" s="2">
        <v>0.97911999999999999</v>
      </c>
      <c r="AA4" s="2">
        <v>1.3615E-2</v>
      </c>
      <c r="AB4" s="2">
        <v>1.3905000000000001</v>
      </c>
      <c r="AC4" s="2">
        <v>6.2590000000000003</v>
      </c>
      <c r="AD4" s="2">
        <v>1.3082</v>
      </c>
      <c r="AE4" s="2">
        <v>20.901</v>
      </c>
      <c r="AF4" s="2">
        <v>5.7038000000000002E-3</v>
      </c>
      <c r="AG4" s="2">
        <v>1.3419E-3</v>
      </c>
      <c r="AH4" s="2">
        <v>23.526</v>
      </c>
      <c r="AI4" s="2">
        <v>0.43246000000000001</v>
      </c>
      <c r="AJ4" s="2">
        <v>2.5583999999999999E-2</v>
      </c>
      <c r="AK4" s="2">
        <v>5.9158999999999997</v>
      </c>
    </row>
    <row r="5" spans="1:37" x14ac:dyDescent="0.35">
      <c r="A5" s="2" t="s">
        <v>81</v>
      </c>
      <c r="B5" s="2">
        <v>10</v>
      </c>
      <c r="C5" s="2">
        <v>2.2964000000000002E-6</v>
      </c>
      <c r="D5" s="2">
        <v>1.3548E-4</v>
      </c>
      <c r="E5" s="2">
        <v>6.4536000000000003E-6</v>
      </c>
      <c r="F5" s="2">
        <v>1.1857E-8</v>
      </c>
      <c r="G5" s="2">
        <v>0.18373</v>
      </c>
      <c r="H5" s="2">
        <v>47.27</v>
      </c>
      <c r="I5" s="2">
        <v>8.5941000000000004E-2</v>
      </c>
      <c r="J5" s="2">
        <v>0.18181</v>
      </c>
      <c r="K5" s="2">
        <v>9.3490000000000002</v>
      </c>
      <c r="L5" s="2">
        <v>0.68259000000000003</v>
      </c>
      <c r="M5" s="2">
        <v>7.3011999999999997</v>
      </c>
      <c r="N5" s="2">
        <v>3.3411000000000003E-2</v>
      </c>
      <c r="O5" s="2">
        <v>1.8247000000000001E-3</v>
      </c>
      <c r="P5" s="2">
        <v>5.4614000000000003</v>
      </c>
      <c r="Q5" s="2">
        <v>0.97987000000000002</v>
      </c>
      <c r="R5" s="2">
        <v>2.7254E-2</v>
      </c>
      <c r="S5" s="2">
        <v>2.7814000000000001</v>
      </c>
      <c r="T5" s="2">
        <v>16.600000000000001</v>
      </c>
      <c r="U5" s="2">
        <v>0.57693000000000005</v>
      </c>
      <c r="V5" s="2">
        <v>3.4754999999999998</v>
      </c>
      <c r="W5" s="2">
        <v>1.4579E-4</v>
      </c>
      <c r="X5" s="2">
        <v>6.3636000000000004E-6</v>
      </c>
      <c r="Y5" s="2">
        <v>4.3648999999999996</v>
      </c>
      <c r="Z5" s="2">
        <v>0.98990999999999996</v>
      </c>
      <c r="AA5" s="2">
        <v>1.1309E-2</v>
      </c>
      <c r="AB5" s="2">
        <v>1.1424000000000001</v>
      </c>
      <c r="AC5" s="2">
        <v>6.4829999999999997</v>
      </c>
      <c r="AD5" s="2">
        <v>1.3124</v>
      </c>
      <c r="AE5" s="2">
        <v>20.244</v>
      </c>
      <c r="AF5" s="2">
        <v>1.8745000000000001E-2</v>
      </c>
      <c r="AG5" s="2">
        <v>4.7033999999999999E-3</v>
      </c>
      <c r="AH5" s="2">
        <v>25.091000000000001</v>
      </c>
      <c r="AI5" s="2">
        <v>0.34036</v>
      </c>
      <c r="AJ5" s="2">
        <v>2.9502E-2</v>
      </c>
      <c r="AK5" s="2">
        <v>8.6678999999999995</v>
      </c>
    </row>
    <row r="6" spans="1:37" x14ac:dyDescent="0.35">
      <c r="A6" s="2" t="s">
        <v>82</v>
      </c>
      <c r="B6" s="2">
        <v>15</v>
      </c>
      <c r="C6" s="2">
        <v>1.8502000000000001E-6</v>
      </c>
      <c r="D6" s="2">
        <v>1.0916000000000001E-4</v>
      </c>
      <c r="E6" s="2">
        <v>6.4295E-6</v>
      </c>
      <c r="F6" s="2">
        <v>1.0444000000000001E-8</v>
      </c>
      <c r="G6" s="2">
        <v>0.16244</v>
      </c>
      <c r="H6" s="2">
        <v>46.73</v>
      </c>
      <c r="I6" s="2">
        <v>4.7940000000000003E-2</v>
      </c>
      <c r="J6" s="2">
        <v>0.10259</v>
      </c>
      <c r="K6" s="2">
        <v>10.42</v>
      </c>
      <c r="L6" s="2">
        <v>0.17998</v>
      </c>
      <c r="M6" s="2">
        <v>1.7273000000000001</v>
      </c>
      <c r="N6" s="2">
        <v>3.1795999999999998E-2</v>
      </c>
      <c r="O6" s="2">
        <v>5.1887999999999999E-4</v>
      </c>
      <c r="P6" s="2">
        <v>1.6318999999999999</v>
      </c>
      <c r="Q6" s="2">
        <v>0.92510999999999999</v>
      </c>
      <c r="R6" s="2">
        <v>1.2511E-2</v>
      </c>
      <c r="S6" s="2">
        <v>1.3524</v>
      </c>
      <c r="T6" s="2">
        <v>17.57</v>
      </c>
      <c r="U6" s="2">
        <v>0.20916999999999999</v>
      </c>
      <c r="V6" s="2">
        <v>1.1904999999999999</v>
      </c>
      <c r="W6" s="2">
        <v>2.1906000000000001E-4</v>
      </c>
      <c r="X6" s="2">
        <v>5.7779000000000002E-6</v>
      </c>
      <c r="Y6" s="2">
        <v>2.6375999999999999</v>
      </c>
      <c r="Z6" s="2">
        <v>0.96074000000000004</v>
      </c>
      <c r="AA6" s="2">
        <v>6.2553000000000001E-3</v>
      </c>
      <c r="AB6" s="2">
        <v>0.65108999999999995</v>
      </c>
      <c r="AC6" s="2">
        <v>1.6930000000000001</v>
      </c>
      <c r="AD6" s="2">
        <v>0.2031</v>
      </c>
      <c r="AE6" s="2">
        <v>11.996</v>
      </c>
      <c r="AF6" s="2">
        <v>1.4513E-3</v>
      </c>
      <c r="AG6" s="2">
        <v>9.2683000000000001E-4</v>
      </c>
      <c r="AH6" s="2">
        <v>63.862000000000002</v>
      </c>
      <c r="AI6" s="2">
        <v>0.59187000000000001</v>
      </c>
      <c r="AJ6" s="2">
        <v>6.1615999999999997E-2</v>
      </c>
      <c r="AK6" s="2">
        <v>10.41</v>
      </c>
    </row>
    <row r="7" spans="1:37" x14ac:dyDescent="0.35">
      <c r="A7" s="2" t="s">
        <v>83</v>
      </c>
      <c r="B7" s="2">
        <v>20</v>
      </c>
      <c r="C7" s="2">
        <v>2.9691999999999999E-6</v>
      </c>
      <c r="D7" s="2">
        <v>1.8112E-4</v>
      </c>
      <c r="E7" s="2">
        <v>6.4520000000000002E-6</v>
      </c>
      <c r="F7" s="2">
        <v>1.5711000000000001E-8</v>
      </c>
      <c r="G7" s="2">
        <v>0.24351</v>
      </c>
      <c r="H7" s="2">
        <v>50.79</v>
      </c>
      <c r="I7" s="2">
        <v>0.22897999999999999</v>
      </c>
      <c r="J7" s="2">
        <v>0.45084000000000002</v>
      </c>
      <c r="K7" s="2">
        <v>10.07</v>
      </c>
      <c r="L7" s="2">
        <v>1.3460000000000001</v>
      </c>
      <c r="M7" s="2">
        <v>13.366</v>
      </c>
      <c r="N7" s="2">
        <v>3.0844E-2</v>
      </c>
      <c r="O7" s="2">
        <v>3.0482E-3</v>
      </c>
      <c r="P7" s="2">
        <v>9.8826000000000001</v>
      </c>
      <c r="Q7" s="2">
        <v>0.95896000000000003</v>
      </c>
      <c r="R7" s="2">
        <v>3.9149000000000003E-2</v>
      </c>
      <c r="S7" s="2">
        <v>4.0823999999999998</v>
      </c>
      <c r="T7" s="2">
        <v>18.420000000000002</v>
      </c>
      <c r="U7" s="2">
        <v>1.2040999999999999</v>
      </c>
      <c r="V7" s="2">
        <v>6.5369000000000002</v>
      </c>
      <c r="W7" s="2">
        <v>2.5531000000000002E-4</v>
      </c>
      <c r="X7" s="2">
        <v>1.1769E-5</v>
      </c>
      <c r="Y7" s="2">
        <v>4.6097000000000001</v>
      </c>
      <c r="Z7" s="2">
        <v>0.97428000000000003</v>
      </c>
      <c r="AA7" s="2">
        <v>1.7742999999999998E-2</v>
      </c>
      <c r="AB7" s="2">
        <v>1.8210999999999999</v>
      </c>
      <c r="AC7" s="2">
        <v>5.3929999999999998</v>
      </c>
      <c r="AD7" s="2">
        <v>3.3220000000000001</v>
      </c>
      <c r="AE7" s="2">
        <v>61.597999999999999</v>
      </c>
      <c r="AF7" s="2">
        <v>1.8180000000000002E-2</v>
      </c>
      <c r="AG7" s="2">
        <v>1.8013999999999999E-2</v>
      </c>
      <c r="AH7" s="2">
        <v>99.087000000000003</v>
      </c>
      <c r="AI7" s="2">
        <v>0.31113000000000002</v>
      </c>
      <c r="AJ7" s="2">
        <v>9.1977000000000003E-2</v>
      </c>
      <c r="AK7" s="2">
        <v>29.562000000000001</v>
      </c>
    </row>
    <row r="8" spans="1:37" x14ac:dyDescent="0.35">
      <c r="A8" s="2" t="s">
        <v>84</v>
      </c>
      <c r="B8" s="2">
        <v>30</v>
      </c>
      <c r="C8" s="2">
        <v>1.9528000000000002E-6</v>
      </c>
      <c r="D8" s="2">
        <v>1.3083999999999999E-4</v>
      </c>
      <c r="E8" s="2">
        <v>6.4274999999999999E-6</v>
      </c>
      <c r="F8" s="2">
        <v>1.1547000000000001E-8</v>
      </c>
      <c r="G8" s="2">
        <v>0.17965</v>
      </c>
      <c r="H8" s="2">
        <v>49.85</v>
      </c>
      <c r="I8" s="2">
        <v>0.11089</v>
      </c>
      <c r="J8" s="2">
        <v>0.22245000000000001</v>
      </c>
      <c r="K8" s="2">
        <v>9.5559999999999992</v>
      </c>
      <c r="L8" s="2">
        <v>0.71657999999999999</v>
      </c>
      <c r="M8" s="2">
        <v>7.4987000000000004</v>
      </c>
      <c r="N8" s="2">
        <v>3.2455999999999999E-2</v>
      </c>
      <c r="O8" s="2">
        <v>1.6471999999999999E-3</v>
      </c>
      <c r="P8" s="2">
        <v>5.0751999999999997</v>
      </c>
      <c r="Q8" s="2">
        <v>0.96062999999999998</v>
      </c>
      <c r="R8" s="2">
        <v>2.4590999999999998E-2</v>
      </c>
      <c r="S8" s="2">
        <v>2.5598999999999998</v>
      </c>
      <c r="T8" s="2">
        <v>13.9</v>
      </c>
      <c r="U8" s="2">
        <v>0.54823</v>
      </c>
      <c r="V8" s="2">
        <v>3.9441000000000002</v>
      </c>
      <c r="W8" s="2">
        <v>3.6012000000000001E-4</v>
      </c>
      <c r="X8" s="2">
        <v>1.2542E-5</v>
      </c>
      <c r="Y8" s="2">
        <v>3.4826999999999999</v>
      </c>
      <c r="Z8" s="2">
        <v>0.98116999999999999</v>
      </c>
      <c r="AA8" s="2">
        <v>1.1703E-2</v>
      </c>
      <c r="AB8" s="2">
        <v>1.1928000000000001</v>
      </c>
      <c r="AC8" s="2">
        <v>4.7</v>
      </c>
      <c r="AD8" s="2">
        <v>1.5819000000000001</v>
      </c>
      <c r="AE8" s="2">
        <v>33.656999999999996</v>
      </c>
      <c r="AF8" s="2">
        <v>2.4643999999999999E-2</v>
      </c>
      <c r="AG8" s="2">
        <v>1.1972999999999999E-2</v>
      </c>
      <c r="AH8" s="2">
        <v>48.584000000000003</v>
      </c>
      <c r="AI8" s="2">
        <v>0.31102000000000002</v>
      </c>
      <c r="AJ8" s="2">
        <v>4.7040999999999999E-2</v>
      </c>
      <c r="AK8" s="2">
        <v>15.125</v>
      </c>
    </row>
    <row r="9" spans="1:37" x14ac:dyDescent="0.35">
      <c r="A9" s="2" t="s">
        <v>85</v>
      </c>
      <c r="B9" s="2">
        <v>40</v>
      </c>
      <c r="C9" s="2">
        <v>3.0052999999999998E-6</v>
      </c>
      <c r="D9" s="2">
        <v>1.8332999999999999E-4</v>
      </c>
      <c r="E9" s="2">
        <v>6.4649999999999999E-6</v>
      </c>
      <c r="F9" s="2">
        <v>1.6943999999999999E-8</v>
      </c>
      <c r="G9" s="2">
        <v>0.26208999999999999</v>
      </c>
      <c r="H9" s="2">
        <v>47.72</v>
      </c>
      <c r="I9" s="2">
        <v>0.44137999999999999</v>
      </c>
      <c r="J9" s="2">
        <v>0.92493999999999998</v>
      </c>
      <c r="K9" s="2">
        <v>9.8729999999999993</v>
      </c>
      <c r="L9" s="2">
        <v>0.89710000000000001</v>
      </c>
      <c r="M9" s="2">
        <v>9.0863999999999994</v>
      </c>
      <c r="N9" s="2">
        <v>3.1789999999999999E-2</v>
      </c>
      <c r="O9" s="2">
        <v>1.8904E-3</v>
      </c>
      <c r="P9" s="2">
        <v>5.9465000000000003</v>
      </c>
      <c r="Q9" s="2">
        <v>0.96625000000000005</v>
      </c>
      <c r="R9" s="2">
        <v>2.6817000000000001E-2</v>
      </c>
      <c r="S9" s="2">
        <v>2.7753999999999999</v>
      </c>
      <c r="T9" s="2">
        <v>15.76</v>
      </c>
      <c r="U9" s="2">
        <v>0.76890999999999998</v>
      </c>
      <c r="V9" s="2">
        <v>4.8788999999999998</v>
      </c>
      <c r="W9" s="2">
        <v>5.1782E-4</v>
      </c>
      <c r="X9" s="2">
        <v>1.8998E-5</v>
      </c>
      <c r="Y9" s="2">
        <v>3.6688000000000001</v>
      </c>
      <c r="Z9" s="2">
        <v>0.95969000000000004</v>
      </c>
      <c r="AA9" s="2">
        <v>1.4376999999999999E-2</v>
      </c>
      <c r="AB9" s="2">
        <v>1.4981</v>
      </c>
      <c r="AC9" s="2">
        <v>4.2469999999999999</v>
      </c>
      <c r="AD9" s="2">
        <v>2.798</v>
      </c>
      <c r="AE9" s="2">
        <v>65.882000000000005</v>
      </c>
      <c r="AF9" s="2">
        <v>2.7512000000000002E-2</v>
      </c>
      <c r="AG9" s="2">
        <v>3.4154999999999998E-2</v>
      </c>
      <c r="AH9" s="2">
        <v>124.15</v>
      </c>
      <c r="AI9" s="2">
        <v>0.26190000000000002</v>
      </c>
      <c r="AJ9" s="2">
        <v>0.12603</v>
      </c>
      <c r="AK9" s="2">
        <v>48.121000000000002</v>
      </c>
    </row>
    <row r="10" spans="1:37" x14ac:dyDescent="0.35">
      <c r="A10" s="2" t="s">
        <v>86</v>
      </c>
      <c r="B10" s="2">
        <v>50</v>
      </c>
      <c r="C10" s="2">
        <v>2.2228000000000001E-6</v>
      </c>
      <c r="D10" s="2">
        <v>1.3558999999999999E-4</v>
      </c>
      <c r="E10" s="2">
        <v>6.4242000000000003E-6</v>
      </c>
      <c r="F10" s="2">
        <v>1.27E-8</v>
      </c>
      <c r="G10" s="2">
        <v>0.19769</v>
      </c>
      <c r="H10" s="2">
        <v>46.51</v>
      </c>
      <c r="I10" s="2">
        <v>0.12333</v>
      </c>
      <c r="J10" s="2">
        <v>0.26517000000000002</v>
      </c>
      <c r="K10" s="2">
        <v>9.9909999999999997</v>
      </c>
      <c r="L10" s="2">
        <v>0.21168999999999999</v>
      </c>
      <c r="M10" s="2">
        <v>2.1187999999999998</v>
      </c>
      <c r="N10" s="2">
        <v>3.2178999999999999E-2</v>
      </c>
      <c r="O10" s="2">
        <v>7.0722999999999999E-4</v>
      </c>
      <c r="P10" s="2">
        <v>2.1978</v>
      </c>
      <c r="Q10" s="2">
        <v>0.96145999999999998</v>
      </c>
      <c r="R10" s="2">
        <v>1.4428E-2</v>
      </c>
      <c r="S10" s="2">
        <v>1.5005999999999999</v>
      </c>
      <c r="T10" s="2">
        <v>16.989999999999998</v>
      </c>
      <c r="U10" s="2">
        <v>0.36981000000000003</v>
      </c>
      <c r="V10" s="2">
        <v>2.1766000000000001</v>
      </c>
      <c r="W10" s="2">
        <v>6.4880000000000005E-4</v>
      </c>
      <c r="X10" s="2">
        <v>1.8277000000000001E-5</v>
      </c>
      <c r="Y10" s="2">
        <v>2.8170000000000002</v>
      </c>
      <c r="Z10" s="2">
        <v>0.95455999999999996</v>
      </c>
      <c r="AA10" s="2">
        <v>9.0649000000000007E-3</v>
      </c>
      <c r="AB10" s="2">
        <v>0.94964000000000004</v>
      </c>
      <c r="AC10" s="2">
        <v>2.8620000000000001</v>
      </c>
      <c r="AD10" s="2">
        <v>0.49830000000000002</v>
      </c>
      <c r="AE10" s="2">
        <v>17.411000000000001</v>
      </c>
      <c r="AF10" s="2">
        <v>7.9851999999999996E-3</v>
      </c>
      <c r="AG10" s="2">
        <v>4.8970000000000003E-3</v>
      </c>
      <c r="AH10" s="2">
        <v>61.326000000000001</v>
      </c>
      <c r="AI10" s="2">
        <v>0.39352999999999999</v>
      </c>
      <c r="AJ10" s="2">
        <v>6.2519000000000005E-2</v>
      </c>
      <c r="AK10" s="2">
        <v>15.887</v>
      </c>
    </row>
    <row r="12" spans="1:37" x14ac:dyDescent="0.35">
      <c r="A12" s="11" t="s">
        <v>132</v>
      </c>
      <c r="C12" s="2" t="s">
        <v>39</v>
      </c>
      <c r="D12" s="2" t="s">
        <v>42</v>
      </c>
      <c r="E12" s="2" t="s">
        <v>50</v>
      </c>
      <c r="F12" s="2" t="s">
        <v>32</v>
      </c>
      <c r="H12" s="2" t="s">
        <v>57</v>
      </c>
      <c r="I12" s="2" t="s">
        <v>54</v>
      </c>
      <c r="J12" s="2" t="s">
        <v>40</v>
      </c>
      <c r="K12" s="2" t="s">
        <v>32</v>
      </c>
      <c r="L12" s="2" t="s">
        <v>77</v>
      </c>
      <c r="M12" s="2" t="s">
        <v>52</v>
      </c>
      <c r="N12" s="2" t="s">
        <v>130</v>
      </c>
      <c r="Q12" s="2" t="s">
        <v>46</v>
      </c>
      <c r="R12" s="2" t="s">
        <v>47</v>
      </c>
      <c r="S12" s="2" t="s">
        <v>48</v>
      </c>
      <c r="T12" s="2" t="s">
        <v>49</v>
      </c>
      <c r="U12" s="2" t="s">
        <v>40</v>
      </c>
      <c r="V12" s="2" t="s">
        <v>52</v>
      </c>
      <c r="W12" s="2" t="s">
        <v>130</v>
      </c>
    </row>
    <row r="13" spans="1:37" x14ac:dyDescent="0.35">
      <c r="A13" s="13">
        <v>0.14398006905486599</v>
      </c>
      <c r="B13" s="9"/>
      <c r="C13" s="2">
        <v>38</v>
      </c>
      <c r="D13" s="2">
        <f>C13/38</f>
        <v>1</v>
      </c>
      <c r="E13" s="2">
        <f>T2</f>
        <v>222.9</v>
      </c>
      <c r="F13" s="2">
        <f>(T2^(1-Z2)*W2)^(1/Z2)</f>
        <v>1.922190038159191E-5</v>
      </c>
      <c r="H13" s="4">
        <v>0.01</v>
      </c>
      <c r="I13" s="6">
        <f>1/(0.000479779-0.000434801*LOG(0.05/(0.5*0.5*(H24-10)))-0.000100649*(LOG(0.05/(0.5*0.5*(H24-10))))^2-0.0000198446*(LOG(0.05/(0.5*0.5*(H24-10))))^3-0.00000195494*(LOG(0.05/(0.5*0.5*(H24-10))))^4-0.0000000757244*(LOG(0.05/(0.5*0.5*(H24-10))))^5)</f>
        <v>881.99681073582735</v>
      </c>
      <c r="J13" s="4">
        <f>T24</f>
        <v>40.130000000000003</v>
      </c>
      <c r="K13" s="3">
        <f>(T24^(1-Z24)*W24)^(1/Z24)</f>
        <v>6.664355622430304E-4</v>
      </c>
      <c r="L13" s="3">
        <f>J13*0.14</f>
        <v>5.6182000000000007</v>
      </c>
      <c r="M13" s="3">
        <f>1.38E-23*I13/(4*(1.602E-19^2)*J13*A$15)</f>
        <v>5.8229751676511738E-8</v>
      </c>
      <c r="N13" s="2">
        <f>3/5.814E-23-((0.2/5.814E-29/4-K13*1.38E-23*I13/(8*(1.602E-19)^2)))*10^-6+SQRT(0.2/5.814E-29*K13*1.38E-23*I13/(8*(1.602E-19)^2)*5.814E-29+ (-0.2/5.814E-29/4+(K13*1.38E-23*I13/(8*(1.602E-19)^2)^2)))*10^-6</f>
        <v>5.0753466020701076E+22</v>
      </c>
      <c r="O13" s="6"/>
      <c r="Q13" s="5">
        <f>1000/R13</f>
        <v>1.1284134063192888</v>
      </c>
      <c r="R13" s="6">
        <f>1/(0.000479779-0.000434801*LOG(0.05/(0.5*0.5*(H32-10)))-0.000100649*(LOG(0.05/(0.5*0.5*(H32-10))))^2-0.0000198446*(LOG(0.05/(0.5*0.5*(H32-10))))^3-0.00000195494*(LOG(0.05/(0.5*0.5*(H32-10))))^4-0.0000000757244*(LOG(0.05/(0.5*0.5*(H32-10))))^5)</f>
        <v>886.20003484524921</v>
      </c>
      <c r="S13" s="6">
        <f>R13-273</f>
        <v>613.20003484524921</v>
      </c>
      <c r="T13" s="1">
        <f>(T32^(1-Z32)*W32)^(1/Z32)</f>
        <v>5.4315338853118671E-4</v>
      </c>
      <c r="U13" s="2">
        <f>T32</f>
        <v>34.18</v>
      </c>
      <c r="V13" s="3">
        <f>1.38E-23*R13/(4*(1.602E-19^2)*U13*A$15)</f>
        <v>6.8692099041025769E-8</v>
      </c>
      <c r="W13" s="2">
        <f>3/5.814E-23-((0.2/5.814E-29/4-T13*1.38E-23*R13/(8*(1.602E-19)^2)))*10^-6+SQRT(0.2/5.814E-29*T13*1.38E-23*R13/(8*(1.602E-19)^2)*5.814E-29+ (-0.2/5.814E-29/4+(T13*1.38E-23*R13/(8*(1.602E-19)^2)^2)))*10^-6</f>
        <v>5.075214720267824E+22</v>
      </c>
      <c r="X13" s="6"/>
      <c r="Y13" s="1"/>
      <c r="AA13" s="1"/>
    </row>
    <row r="14" spans="1:37" x14ac:dyDescent="0.35">
      <c r="A14" s="11" t="s">
        <v>131</v>
      </c>
      <c r="C14" s="2">
        <v>114</v>
      </c>
      <c r="D14" s="2">
        <f t="shared" ref="D14:D21" si="0">C14/38</f>
        <v>3</v>
      </c>
      <c r="E14" s="2">
        <f t="shared" ref="E14:E21" si="1">T3</f>
        <v>45.03</v>
      </c>
      <c r="F14" s="2">
        <f>(T3^(1-Z3)*W3)^(1/Z3)</f>
        <v>3.8856328594006282E-5</v>
      </c>
      <c r="H14" s="4">
        <v>0.04</v>
      </c>
      <c r="I14" s="6">
        <f t="shared" ref="I14:I18" si="2">1/(0.000479779-0.000434801*LOG(0.05/(0.5*0.5*(H25-10)))-0.000100649*(LOG(0.05/(0.5*0.5*(H25-10))))^2-0.0000198446*(LOG(0.05/(0.5*0.5*(H25-10))))^3-0.00000195494*(LOG(0.05/(0.5*0.5*(H25-10))))^4-0.0000000757244*(LOG(0.05/(0.5*0.5*(H25-10))))^5)</f>
        <v>884.04019245617224</v>
      </c>
      <c r="J14" s="4">
        <f t="shared" ref="J14:J15" si="3">T25</f>
        <v>16.989999999999998</v>
      </c>
      <c r="K14" s="3">
        <f t="shared" ref="K14:K15" si="4">(T25^(1-Z25)*W25)^(1/Z25)</f>
        <v>5.2350216761975663E-4</v>
      </c>
      <c r="L14" s="3">
        <f t="shared" ref="L14:L17" si="5">J14*0.14</f>
        <v>2.3786</v>
      </c>
      <c r="M14" s="3">
        <f>1.38E-23*I14/(4*(1.602E-19^2)*J14*A$15)</f>
        <v>1.3785601322613001E-7</v>
      </c>
      <c r="N14" s="2">
        <f t="shared" ref="N14:N18" si="6">3/5.814E-23-((0.2/5.814E-29/4-K14*1.38E-23*I14/(8*(1.602E-19)^2)))*10^-6+SQRT(0.2/5.814E-29*K14*1.38E-23*I14/(8*(1.602E-19)^2)*5.814E-29+ (-0.2/5.814E-29/4+(K14*1.38E-23*I14/(8*(1.602E-19)^2)^2)))*10^-6</f>
        <v>5.0751902998457657E+22</v>
      </c>
      <c r="O14" s="6"/>
      <c r="Q14" s="5">
        <f t="shared" ref="Q14:Q15" si="7">1000/R14</f>
        <v>1.1880050338552075</v>
      </c>
      <c r="R14" s="6">
        <f>1/(0.000479779-0.000434801*LOG(0.05/(0.5*0.5*(H33-10)))-0.000100649*(LOG(0.05/(0.5*0.5*(H33-10))))^2-0.0000198446*(LOG(0.05/(0.5*0.5*(H33-10))))^3-0.00000195494*(LOG(0.05/(0.5*0.5*(H33-10))))^4-0.0000000757244*(LOG(0.05/(0.5*0.5*(H33-10))))^5)</f>
        <v>841.74727505563646</v>
      </c>
      <c r="S14" s="6">
        <f t="shared" ref="S14:S16" si="8">R14-273</f>
        <v>568.74727505563646</v>
      </c>
      <c r="T14" s="1">
        <f t="shared" ref="T14:T15" si="9">(T33^(1-Z33)*W33)^(1/Z33)</f>
        <v>3.9573550539412881E-4</v>
      </c>
      <c r="U14" s="2">
        <f t="shared" ref="U14:U15" si="10">T33</f>
        <v>78.3</v>
      </c>
      <c r="V14" s="3">
        <f t="shared" ref="V14:V16" si="11">1.38E-23*R14/(4*(1.602E-19^2)*U14*A$15)</f>
        <v>2.8481774267962698E-8</v>
      </c>
      <c r="W14" s="2">
        <f t="shared" ref="W14:W16" si="12">3/5.814E-23-((0.2/5.814E-29/4-T14*1.38E-23*R14/(8*(1.602E-19)^2)))*10^-6+SQRT(0.2/5.814E-29*T14*1.38E-23*R14/(8*(1.602E-19)^2)*5.814E-29+ (-0.2/5.814E-29/4+(T14*1.38E-23*R14/(8*(1.602E-19)^2)^2)))*10^-6</f>
        <v>5.0750036905856038E+22</v>
      </c>
      <c r="X14" s="6"/>
      <c r="Y14" s="1"/>
    </row>
    <row r="15" spans="1:37" x14ac:dyDescent="0.35">
      <c r="A15" s="11">
        <f>((3/5.814E-29)-(0.2/5.814E-29/4))*10^-6</f>
        <v>5.0739594083247329E+22</v>
      </c>
      <c r="C15" s="2">
        <v>190</v>
      </c>
      <c r="D15" s="2">
        <f t="shared" si="0"/>
        <v>5</v>
      </c>
      <c r="E15" s="2">
        <f t="shared" si="1"/>
        <v>20.21</v>
      </c>
      <c r="F15" s="2">
        <f t="shared" ref="F15:F20" si="13">(T4^(1-Z4)*W4)^(1/Z4)</f>
        <v>7.2494353505569314E-5</v>
      </c>
      <c r="H15" s="4">
        <v>0.1</v>
      </c>
      <c r="I15" s="6">
        <f t="shared" si="2"/>
        <v>886.29841260817386</v>
      </c>
      <c r="J15" s="4">
        <f t="shared" si="3"/>
        <v>10.07</v>
      </c>
      <c r="K15" s="3">
        <f t="shared" si="4"/>
        <v>4.6233134307464461E-4</v>
      </c>
      <c r="L15" s="3">
        <f t="shared" si="5"/>
        <v>1.4098000000000002</v>
      </c>
      <c r="M15" s="3">
        <f t="shared" ref="M15:M18" si="14">1.38E-23*I15/(4*(1.602E-19^2)*J15*A$15)</f>
        <v>2.3318337507427202E-7</v>
      </c>
      <c r="N15" s="2">
        <f t="shared" si="6"/>
        <v>5.0751176286629976E+22</v>
      </c>
      <c r="O15" s="6"/>
      <c r="Q15" s="5">
        <f t="shared" si="7"/>
        <v>1.209155899359833</v>
      </c>
      <c r="R15" s="6">
        <f>1/(0.000479779-0.000434801*LOG(0.05/(0.5*0.5*(H34-10)))-0.000100649*(LOG(0.05/(0.5*0.5*(H34-10))))^2-0.0000198446*(LOG(0.05/(0.5*0.5*(H34-10))))^3-0.00000195494*(LOG(0.05/(0.5*0.5*(H34-10))))^4-0.0000000757244*(LOG(0.05/(0.5*0.5*(H34-10))))^5)</f>
        <v>827.02321555841797</v>
      </c>
      <c r="S15" s="6">
        <f t="shared" si="8"/>
        <v>554.02321555841797</v>
      </c>
      <c r="T15" s="1">
        <f t="shared" si="9"/>
        <v>3.6386822537944898E-4</v>
      </c>
      <c r="U15" s="2">
        <f t="shared" si="10"/>
        <v>103.7</v>
      </c>
      <c r="V15" s="3">
        <f t="shared" si="11"/>
        <v>2.1129344669964697E-8</v>
      </c>
      <c r="W15" s="2">
        <f t="shared" si="12"/>
        <v>5.074951965308592E+22</v>
      </c>
      <c r="X15" s="6"/>
      <c r="Y15" s="1"/>
    </row>
    <row r="16" spans="1:37" x14ac:dyDescent="0.35">
      <c r="A16" s="11" t="s">
        <v>129</v>
      </c>
      <c r="C16" s="2">
        <v>380</v>
      </c>
      <c r="D16" s="2">
        <f t="shared" si="0"/>
        <v>10</v>
      </c>
      <c r="E16" s="2">
        <f t="shared" si="1"/>
        <v>16.600000000000001</v>
      </c>
      <c r="F16" s="2">
        <f t="shared" si="13"/>
        <v>1.3710761549780339E-4</v>
      </c>
      <c r="H16" s="4">
        <v>1</v>
      </c>
      <c r="I16" s="6">
        <f t="shared" si="2"/>
        <v>887.11163231335877</v>
      </c>
      <c r="J16" s="4">
        <f>T27</f>
        <v>3.34</v>
      </c>
      <c r="K16" s="3">
        <f>(T27^(1-Z27)*W27)^(1/Z27)</f>
        <v>3.2445425597826138E-4</v>
      </c>
      <c r="L16" s="3">
        <f t="shared" si="5"/>
        <v>0.46760000000000002</v>
      </c>
      <c r="M16" s="3">
        <f t="shared" si="14"/>
        <v>7.0368596678371739E-7</v>
      </c>
      <c r="N16" s="2">
        <f t="shared" si="6"/>
        <v>5.0749301203447203E+22</v>
      </c>
      <c r="O16" s="6"/>
      <c r="Q16" s="5">
        <f>1000/R16</f>
        <v>1.2868287038640636</v>
      </c>
      <c r="R16" s="6">
        <f>1/(0.000479779-0.000434801*LOG(0.05/(0.5*0.5*(H35-10)))-0.000100649*(LOG(0.05/(0.5*0.5*(H35-10))))^2-0.0000198446*(LOG(0.05/(0.5*0.5*(H35-10))))^3-0.00000195494*(LOG(0.05/(0.5*0.5*(H35-10))))^4-0.0000000757244*(LOG(0.05/(0.5*0.5*(H35-10))))^5)</f>
        <v>777.10420741876521</v>
      </c>
      <c r="S16" s="6">
        <f t="shared" si="8"/>
        <v>504.10420741876521</v>
      </c>
      <c r="T16" s="1">
        <f>(T35^(1-Z35)*W35)^(1/Z35)</f>
        <v>2.848732628496799E-4</v>
      </c>
      <c r="U16" s="2">
        <f>T35</f>
        <v>313.8</v>
      </c>
      <c r="V16" s="3">
        <f t="shared" si="11"/>
        <v>6.5610508566818033E-9</v>
      </c>
      <c r="W16" s="2">
        <f t="shared" si="12"/>
        <v>5.074810722780141E+22</v>
      </c>
      <c r="X16" s="6"/>
      <c r="Y16" s="1"/>
    </row>
    <row r="17" spans="1:37" x14ac:dyDescent="0.35">
      <c r="A17" s="11">
        <f>(0.2/5.814E-29/4)*10^-6</f>
        <v>8.5999312005503949E+20</v>
      </c>
      <c r="C17" s="2">
        <v>570</v>
      </c>
      <c r="D17" s="2">
        <f t="shared" si="0"/>
        <v>15</v>
      </c>
      <c r="E17" s="2">
        <f t="shared" si="1"/>
        <v>17.57</v>
      </c>
      <c r="F17" s="2">
        <f t="shared" si="13"/>
        <v>1.7453776103710199E-4</v>
      </c>
      <c r="H17" s="4">
        <v>10</v>
      </c>
      <c r="I17" s="6">
        <f t="shared" si="2"/>
        <v>876.05167577017392</v>
      </c>
      <c r="J17" s="4">
        <f>T28</f>
        <v>3.2250000000000001</v>
      </c>
      <c r="K17" s="3">
        <f>(T28^(1-Z28)*W28)^(1/Z28)</f>
        <v>3.1295543902359289E-4</v>
      </c>
      <c r="L17" s="3">
        <f t="shared" si="5"/>
        <v>0.45150000000000007</v>
      </c>
      <c r="M17" s="3">
        <f t="shared" si="14"/>
        <v>7.1969268542101159E-7</v>
      </c>
      <c r="N17" s="2">
        <f t="shared" si="6"/>
        <v>5.0749068023618637E+22</v>
      </c>
      <c r="O17" s="6"/>
      <c r="R17" s="6"/>
      <c r="Y17" s="6"/>
      <c r="Z17" s="1"/>
    </row>
    <row r="18" spans="1:37" x14ac:dyDescent="0.35">
      <c r="C18" s="2">
        <v>760</v>
      </c>
      <c r="D18" s="2">
        <f t="shared" si="0"/>
        <v>20</v>
      </c>
      <c r="E18" s="2">
        <f t="shared" si="1"/>
        <v>18.420000000000002</v>
      </c>
      <c r="F18" s="2">
        <f t="shared" si="13"/>
        <v>2.216258592120006E-4</v>
      </c>
      <c r="H18" s="4">
        <v>100</v>
      </c>
      <c r="I18" s="6">
        <f t="shared" si="2"/>
        <v>896.96435952310264</v>
      </c>
      <c r="J18" s="4">
        <f>T29</f>
        <v>1.5609999999999999</v>
      </c>
      <c r="K18" s="3">
        <f>(T29^(1-Z29)*W29)^(1/Z29)</f>
        <v>5.0386114508896277E-5</v>
      </c>
      <c r="L18" s="3">
        <f>J18*0.14</f>
        <v>0.21854000000000001</v>
      </c>
      <c r="M18" s="3">
        <f t="shared" si="14"/>
        <v>1.5223670195661578E-6</v>
      </c>
      <c r="N18" s="2">
        <f t="shared" si="6"/>
        <v>5.0743440599402731E+22</v>
      </c>
      <c r="O18" s="6"/>
      <c r="R18" s="6"/>
      <c r="Y18" s="6"/>
      <c r="Z18" s="1"/>
    </row>
    <row r="19" spans="1:37" x14ac:dyDescent="0.35">
      <c r="C19" s="2">
        <v>1140</v>
      </c>
      <c r="D19" s="2">
        <f t="shared" si="0"/>
        <v>30</v>
      </c>
      <c r="E19" s="2">
        <f t="shared" si="1"/>
        <v>13.9</v>
      </c>
      <c r="F19" s="2">
        <f t="shared" si="13"/>
        <v>3.2530950896286136E-4</v>
      </c>
      <c r="P19" s="6"/>
    </row>
    <row r="20" spans="1:37" x14ac:dyDescent="0.35">
      <c r="C20" s="2">
        <v>1520</v>
      </c>
      <c r="D20" s="2">
        <f t="shared" si="0"/>
        <v>40</v>
      </c>
      <c r="E20" s="2">
        <f t="shared" si="1"/>
        <v>15.76</v>
      </c>
      <c r="F20" s="2">
        <f t="shared" si="13"/>
        <v>4.2312152602116271E-4</v>
      </c>
      <c r="P20" s="6"/>
    </row>
    <row r="21" spans="1:37" x14ac:dyDescent="0.35">
      <c r="C21" s="2">
        <v>1900</v>
      </c>
      <c r="D21" s="2">
        <f t="shared" si="0"/>
        <v>50</v>
      </c>
      <c r="E21" s="2">
        <f t="shared" si="1"/>
        <v>16.989999999999998</v>
      </c>
      <c r="F21" s="2">
        <f>(T10^(1-Z10)*W10)^(1/Z10)</f>
        <v>5.2350216761975663E-4</v>
      </c>
      <c r="P21" s="6"/>
    </row>
    <row r="23" spans="1:37" x14ac:dyDescent="0.35">
      <c r="B23" s="2" t="s">
        <v>128</v>
      </c>
      <c r="C23" s="2" t="s">
        <v>0</v>
      </c>
      <c r="D23" s="2" t="s">
        <v>1</v>
      </c>
      <c r="E23" s="2" t="s">
        <v>2</v>
      </c>
      <c r="F23" s="2" t="s">
        <v>3</v>
      </c>
      <c r="G23" s="2" t="s">
        <v>4</v>
      </c>
      <c r="H23" s="2" t="s">
        <v>33</v>
      </c>
      <c r="I23" s="2" t="s">
        <v>34</v>
      </c>
      <c r="J23" s="2" t="s">
        <v>35</v>
      </c>
      <c r="K23" s="2" t="s">
        <v>5</v>
      </c>
      <c r="L23" s="2" t="s">
        <v>6</v>
      </c>
      <c r="M23" s="2" t="s">
        <v>7</v>
      </c>
      <c r="N23" s="2" t="s">
        <v>8</v>
      </c>
      <c r="O23" s="2" t="s">
        <v>9</v>
      </c>
      <c r="P23" s="2" t="s">
        <v>10</v>
      </c>
      <c r="Q23" s="2" t="s">
        <v>11</v>
      </c>
      <c r="R23" s="2" t="s">
        <v>12</v>
      </c>
      <c r="S23" s="2" t="s">
        <v>13</v>
      </c>
      <c r="T23" s="2" t="s">
        <v>14</v>
      </c>
      <c r="U23" s="2" t="s">
        <v>15</v>
      </c>
      <c r="V23" s="2" t="s">
        <v>16</v>
      </c>
      <c r="W23" s="2" t="s">
        <v>17</v>
      </c>
      <c r="X23" s="2" t="s">
        <v>18</v>
      </c>
      <c r="Y23" s="2" t="s">
        <v>19</v>
      </c>
      <c r="Z23" s="2" t="s">
        <v>20</v>
      </c>
      <c r="AA23" s="2" t="s">
        <v>21</v>
      </c>
      <c r="AB23" s="2" t="s">
        <v>22</v>
      </c>
      <c r="AC23" s="2" t="s">
        <v>23</v>
      </c>
      <c r="AD23" s="2" t="s">
        <v>24</v>
      </c>
      <c r="AE23" s="2" t="s">
        <v>25</v>
      </c>
      <c r="AF23" s="2" t="s">
        <v>26</v>
      </c>
      <c r="AG23" s="2" t="s">
        <v>27</v>
      </c>
      <c r="AH23" s="2" t="s">
        <v>28</v>
      </c>
      <c r="AI23" s="2" t="s">
        <v>29</v>
      </c>
      <c r="AJ23" s="2" t="s">
        <v>30</v>
      </c>
      <c r="AK23" s="2" t="s">
        <v>31</v>
      </c>
    </row>
    <row r="24" spans="1:37" x14ac:dyDescent="0.35">
      <c r="A24" s="2" t="s">
        <v>87</v>
      </c>
      <c r="B24" s="2">
        <v>0.01</v>
      </c>
      <c r="C24" s="1">
        <v>4.2968000000000001E-6</v>
      </c>
      <c r="D24" s="2">
        <v>2.7929000000000002E-4</v>
      </c>
      <c r="E24" s="1">
        <v>6.4246999999999997E-6</v>
      </c>
      <c r="F24" s="1">
        <v>1.9405000000000001E-8</v>
      </c>
      <c r="G24" s="2">
        <v>0.30203999999999998</v>
      </c>
      <c r="H24" s="2">
        <v>47.61</v>
      </c>
      <c r="I24" s="2">
        <v>0.52329999999999999</v>
      </c>
      <c r="J24" s="2">
        <v>1.0991</v>
      </c>
      <c r="K24" s="2">
        <v>32.229999999999997</v>
      </c>
      <c r="L24" s="2">
        <v>0.94757000000000002</v>
      </c>
      <c r="M24" s="2">
        <v>2.94</v>
      </c>
      <c r="N24" s="2">
        <v>3.1746000000000003E-2</v>
      </c>
      <c r="O24" s="2">
        <v>8.7556999999999999E-4</v>
      </c>
      <c r="P24" s="2">
        <v>2.758</v>
      </c>
      <c r="Q24" s="2">
        <v>0.96255999999999997</v>
      </c>
      <c r="R24" s="2">
        <v>1.0912E-2</v>
      </c>
      <c r="S24" s="2">
        <v>1.1335999999999999</v>
      </c>
      <c r="T24" s="2">
        <v>40.130000000000003</v>
      </c>
      <c r="U24" s="2">
        <v>0.85041999999999995</v>
      </c>
      <c r="V24" s="2">
        <v>2.1192000000000002</v>
      </c>
      <c r="W24" s="2">
        <v>7.8034000000000003E-4</v>
      </c>
      <c r="X24" s="1">
        <v>1.1073000000000001E-5</v>
      </c>
      <c r="Y24" s="2">
        <v>1.419</v>
      </c>
      <c r="Z24" s="2">
        <v>0.95643</v>
      </c>
      <c r="AA24" s="2">
        <v>7.1466000000000003E-3</v>
      </c>
      <c r="AB24" s="2">
        <v>0.74722</v>
      </c>
      <c r="AC24" s="2">
        <v>4.282</v>
      </c>
      <c r="AD24" s="2">
        <v>3.2711000000000001</v>
      </c>
      <c r="AE24" s="2">
        <v>76.391999999999996</v>
      </c>
      <c r="AF24" s="2">
        <v>4.4792999999999999E-2</v>
      </c>
      <c r="AG24" s="2">
        <v>5.3918000000000001E-2</v>
      </c>
      <c r="AH24" s="2">
        <v>120.37</v>
      </c>
      <c r="AI24" s="2">
        <v>0.23194999999999999</v>
      </c>
      <c r="AJ24" s="2">
        <v>0.13375999999999999</v>
      </c>
      <c r="AK24" s="2">
        <v>57.667999999999999</v>
      </c>
    </row>
    <row r="25" spans="1:37" x14ac:dyDescent="0.35">
      <c r="A25" s="2" t="s">
        <v>86</v>
      </c>
      <c r="B25" s="2">
        <v>0.04</v>
      </c>
      <c r="C25" s="1">
        <v>2.2228000000000001E-6</v>
      </c>
      <c r="D25" s="2">
        <v>1.3558999999999999E-4</v>
      </c>
      <c r="E25" s="1">
        <v>6.4242000000000003E-6</v>
      </c>
      <c r="F25" s="1">
        <v>1.27E-8</v>
      </c>
      <c r="G25" s="2">
        <v>0.19769</v>
      </c>
      <c r="H25" s="2">
        <v>46.51</v>
      </c>
      <c r="I25" s="2">
        <v>0.12333</v>
      </c>
      <c r="J25" s="2">
        <v>0.26517000000000002</v>
      </c>
      <c r="K25" s="2">
        <v>9.9909999999999997</v>
      </c>
      <c r="L25" s="2">
        <v>0.21168999999999999</v>
      </c>
      <c r="M25" s="2">
        <v>2.1187999999999998</v>
      </c>
      <c r="N25" s="2">
        <v>3.2178999999999999E-2</v>
      </c>
      <c r="O25" s="2">
        <v>7.0722999999999999E-4</v>
      </c>
      <c r="P25" s="2">
        <v>2.1978</v>
      </c>
      <c r="Q25" s="2">
        <v>0.96145999999999998</v>
      </c>
      <c r="R25" s="2">
        <v>1.4428E-2</v>
      </c>
      <c r="S25" s="2">
        <v>1.5005999999999999</v>
      </c>
      <c r="T25" s="2">
        <v>16.989999999999998</v>
      </c>
      <c r="U25" s="2">
        <v>0.36981000000000003</v>
      </c>
      <c r="V25" s="2">
        <v>2.1766000000000001</v>
      </c>
      <c r="W25" s="2">
        <v>6.4880000000000005E-4</v>
      </c>
      <c r="X25" s="1">
        <v>1.8277000000000001E-5</v>
      </c>
      <c r="Y25" s="2">
        <v>2.8170000000000002</v>
      </c>
      <c r="Z25" s="2">
        <v>0.95455999999999996</v>
      </c>
      <c r="AA25" s="2">
        <v>9.0649000000000007E-3</v>
      </c>
      <c r="AB25" s="2">
        <v>0.94964000000000004</v>
      </c>
      <c r="AC25" s="2">
        <v>2.8620000000000001</v>
      </c>
      <c r="AD25" s="2">
        <v>0.49830000000000002</v>
      </c>
      <c r="AE25" s="2">
        <v>17.411000000000001</v>
      </c>
      <c r="AF25" s="2">
        <v>7.9851000000000002E-3</v>
      </c>
      <c r="AG25" s="2">
        <v>4.8970000000000003E-3</v>
      </c>
      <c r="AH25" s="2">
        <v>61.326999999999998</v>
      </c>
      <c r="AI25" s="2">
        <v>0.39352999999999999</v>
      </c>
      <c r="AJ25" s="2">
        <v>6.2519000000000005E-2</v>
      </c>
      <c r="AK25" s="2">
        <v>15.887</v>
      </c>
    </row>
    <row r="26" spans="1:37" x14ac:dyDescent="0.35">
      <c r="A26" s="2" t="s">
        <v>88</v>
      </c>
      <c r="B26" s="2">
        <v>0.1</v>
      </c>
      <c r="C26" s="1">
        <v>2.0211999999999998E-6</v>
      </c>
      <c r="D26" s="2">
        <v>1.1116999999999999E-4</v>
      </c>
      <c r="E26" s="1">
        <v>6.4064000000000002E-6</v>
      </c>
      <c r="F26" s="1">
        <v>1.1014E-8</v>
      </c>
      <c r="G26" s="2">
        <v>0.17191999999999999</v>
      </c>
      <c r="H26" s="2">
        <v>45.34</v>
      </c>
      <c r="I26" s="2">
        <v>6.9415000000000004E-2</v>
      </c>
      <c r="J26" s="2">
        <v>0.15310000000000001</v>
      </c>
      <c r="K26" s="2">
        <v>4.5759999999999996</v>
      </c>
      <c r="L26" s="2">
        <v>0.25118000000000001</v>
      </c>
      <c r="M26" s="2">
        <v>5.4890999999999996</v>
      </c>
      <c r="N26" s="2">
        <v>3.3607999999999999E-2</v>
      </c>
      <c r="O26" s="2">
        <v>1.5709999999999999E-3</v>
      </c>
      <c r="P26" s="2">
        <v>4.6745000000000001</v>
      </c>
      <c r="Q26" s="2">
        <v>0.94881000000000004</v>
      </c>
      <c r="R26" s="2">
        <v>3.4020000000000002E-2</v>
      </c>
      <c r="S26" s="2">
        <v>3.5855000000000001</v>
      </c>
      <c r="T26" s="2">
        <v>10.07</v>
      </c>
      <c r="U26" s="2">
        <v>0.51344999999999996</v>
      </c>
      <c r="V26" s="2">
        <v>5.0987999999999998</v>
      </c>
      <c r="W26" s="2">
        <v>5.6167999999999995E-4</v>
      </c>
      <c r="X26" s="1">
        <v>3.0015999999999999E-5</v>
      </c>
      <c r="Y26" s="2">
        <v>5.3440000000000003</v>
      </c>
      <c r="Z26" s="2">
        <v>0.96375</v>
      </c>
      <c r="AA26" s="2">
        <v>1.7496999999999999E-2</v>
      </c>
      <c r="AB26" s="2">
        <v>1.8154999999999999</v>
      </c>
      <c r="AC26" s="2">
        <v>2.1789999999999998</v>
      </c>
      <c r="AD26" s="2">
        <v>0.61075999999999997</v>
      </c>
      <c r="AE26" s="2">
        <v>28.029</v>
      </c>
      <c r="AF26" s="2">
        <v>7.7295000000000003E-3</v>
      </c>
      <c r="AG26" s="2">
        <v>6.3867999999999998E-3</v>
      </c>
      <c r="AH26" s="2">
        <v>82.629000000000005</v>
      </c>
      <c r="AI26" s="2">
        <v>0.46087</v>
      </c>
      <c r="AJ26" s="2">
        <v>8.0472000000000002E-2</v>
      </c>
      <c r="AK26" s="2">
        <v>17.460999999999999</v>
      </c>
    </row>
    <row r="27" spans="1:37" s="4" customFormat="1" x14ac:dyDescent="0.35">
      <c r="A27" s="4" t="s">
        <v>89</v>
      </c>
      <c r="B27" s="4">
        <v>1</v>
      </c>
      <c r="C27" s="3">
        <v>2.0387999999999999E-6</v>
      </c>
      <c r="D27" s="3">
        <v>9.9899E-5</v>
      </c>
      <c r="E27" s="3">
        <v>6.3872999999999998E-6</v>
      </c>
      <c r="F27" s="3">
        <v>1.0359E-8</v>
      </c>
      <c r="G27" s="4">
        <v>0.16217999999999999</v>
      </c>
      <c r="H27" s="4">
        <v>44.93</v>
      </c>
      <c r="I27" s="4">
        <v>3.9853E-2</v>
      </c>
      <c r="J27" s="4">
        <v>8.8700000000000001E-2</v>
      </c>
      <c r="K27" s="4">
        <v>1.266</v>
      </c>
      <c r="L27" s="4">
        <v>0.54120000000000001</v>
      </c>
      <c r="M27" s="4">
        <v>42.749000000000002</v>
      </c>
      <c r="N27" s="4">
        <v>1.2677000000000001E-3</v>
      </c>
      <c r="O27" s="4">
        <v>1.4857E-3</v>
      </c>
      <c r="P27" s="4">
        <v>117.2</v>
      </c>
      <c r="Q27" s="4">
        <v>0.66313</v>
      </c>
      <c r="R27" s="4">
        <v>0.11174000000000001</v>
      </c>
      <c r="S27" s="4">
        <v>16.850000000000001</v>
      </c>
      <c r="T27" s="4">
        <v>3.34</v>
      </c>
      <c r="U27" s="4">
        <v>0.69238999999999995</v>
      </c>
      <c r="V27" s="4">
        <v>20.73</v>
      </c>
      <c r="W27" s="4">
        <v>5.1400999999999997E-4</v>
      </c>
      <c r="X27" s="4">
        <v>1.5440000000000001E-4</v>
      </c>
      <c r="Y27" s="4">
        <v>30.038</v>
      </c>
      <c r="Z27" s="4">
        <v>0.93261000000000005</v>
      </c>
      <c r="AA27" s="4">
        <v>7.1836999999999998E-2</v>
      </c>
      <c r="AB27" s="4">
        <v>7.7027999999999999</v>
      </c>
      <c r="AC27" s="4">
        <v>0.53446000000000005</v>
      </c>
      <c r="AD27" s="4">
        <v>0.30386999999999997</v>
      </c>
      <c r="AE27" s="4">
        <v>56.856000000000002</v>
      </c>
      <c r="AF27" s="4">
        <v>3.9974000000000003E-2</v>
      </c>
      <c r="AG27" s="4">
        <v>2.1298000000000001E-2</v>
      </c>
      <c r="AH27" s="4">
        <v>53.28</v>
      </c>
      <c r="AI27" s="4">
        <v>0.96221999999999996</v>
      </c>
      <c r="AJ27" s="4">
        <v>0.25068000000000001</v>
      </c>
      <c r="AK27" s="4">
        <v>26.052</v>
      </c>
    </row>
    <row r="28" spans="1:37" x14ac:dyDescent="0.35">
      <c r="A28" s="2" t="s">
        <v>90</v>
      </c>
      <c r="B28" s="4">
        <v>10</v>
      </c>
      <c r="C28" s="1">
        <v>8.8398000000000001E-7</v>
      </c>
      <c r="D28" s="1">
        <v>3.8894999999999999E-5</v>
      </c>
      <c r="E28" s="1">
        <v>6.319E-6</v>
      </c>
      <c r="F28" s="1">
        <v>7.5207000000000003E-9</v>
      </c>
      <c r="G28" s="2">
        <v>0.11902</v>
      </c>
      <c r="H28" s="2">
        <v>51.05</v>
      </c>
      <c r="I28" s="2">
        <v>3.5144000000000002E-2</v>
      </c>
      <c r="J28" s="2">
        <v>6.8842E-2</v>
      </c>
      <c r="K28" s="2">
        <v>2.4740000000000002</v>
      </c>
      <c r="L28" s="2">
        <v>0.76678000000000002</v>
      </c>
      <c r="M28" s="2">
        <v>30.994</v>
      </c>
      <c r="N28" s="2">
        <v>2.9231999999999999E-3</v>
      </c>
      <c r="O28" s="2">
        <v>1.5747999999999999E-3</v>
      </c>
      <c r="P28" s="2">
        <v>53.872</v>
      </c>
      <c r="Q28" s="2">
        <v>0.54066000000000003</v>
      </c>
      <c r="R28" s="2">
        <v>4.9021000000000002E-2</v>
      </c>
      <c r="S28" s="2">
        <v>9.0669000000000004</v>
      </c>
      <c r="T28" s="2">
        <v>3.2250000000000001</v>
      </c>
      <c r="U28" s="2">
        <v>0.66152999999999995</v>
      </c>
      <c r="V28" s="2">
        <v>20.513000000000002</v>
      </c>
      <c r="W28" s="2">
        <v>3.8738999999999999E-4</v>
      </c>
      <c r="X28" s="1">
        <v>6.1369000000000001E-5</v>
      </c>
      <c r="Y28" s="2">
        <v>15.842000000000001</v>
      </c>
      <c r="Z28" s="2">
        <v>0.96906999999999999</v>
      </c>
      <c r="AA28" s="2">
        <v>5.3538000000000002E-2</v>
      </c>
      <c r="AB28" s="2">
        <v>5.5247000000000002</v>
      </c>
      <c r="AC28" s="2">
        <v>0</v>
      </c>
      <c r="AF28" s="2">
        <v>0</v>
      </c>
      <c r="AI28" s="2">
        <v>1</v>
      </c>
    </row>
    <row r="29" spans="1:37" s="4" customFormat="1" x14ac:dyDescent="0.35">
      <c r="A29" s="4" t="s">
        <v>91</v>
      </c>
      <c r="B29" s="4">
        <v>100</v>
      </c>
      <c r="C29" s="3">
        <v>5.9371999999999997E-6</v>
      </c>
      <c r="D29" s="4">
        <v>3.7404000000000002E-4</v>
      </c>
      <c r="E29" s="3">
        <v>6.3598999999999999E-6</v>
      </c>
      <c r="F29" s="3">
        <v>3.0504E-8</v>
      </c>
      <c r="G29" s="4">
        <v>0.47963</v>
      </c>
      <c r="H29" s="4">
        <v>40.4</v>
      </c>
      <c r="I29" s="4">
        <v>385.7</v>
      </c>
      <c r="J29" s="4">
        <v>954.7</v>
      </c>
      <c r="K29" s="4">
        <v>20.37</v>
      </c>
      <c r="L29" s="4">
        <v>423.95</v>
      </c>
      <c r="M29" s="4">
        <v>2081.1999999999998</v>
      </c>
      <c r="N29" s="4">
        <v>1.1509E-2</v>
      </c>
      <c r="O29" s="4">
        <v>0.40194000000000002</v>
      </c>
      <c r="P29" s="4">
        <v>3492.4</v>
      </c>
      <c r="Q29" s="4">
        <v>3.9900999999999999E-2</v>
      </c>
      <c r="R29" s="4">
        <v>0.49779000000000001</v>
      </c>
      <c r="S29" s="4">
        <v>1247.5999999999999</v>
      </c>
      <c r="T29" s="4">
        <v>1.5609999999999999</v>
      </c>
      <c r="U29" s="4">
        <v>1.3625</v>
      </c>
      <c r="V29" s="4">
        <v>87.284000000000006</v>
      </c>
      <c r="W29" s="4">
        <v>2.4522999999999998E-4</v>
      </c>
      <c r="X29" s="4">
        <v>5.5971999999999999E-4</v>
      </c>
      <c r="Y29" s="4">
        <v>228.24</v>
      </c>
      <c r="Z29" s="4">
        <v>0.83255000000000001</v>
      </c>
      <c r="AA29" s="4">
        <v>0.25807999999999998</v>
      </c>
      <c r="AB29" s="4">
        <v>30.998999999999999</v>
      </c>
      <c r="AC29" s="4">
        <v>3.17</v>
      </c>
      <c r="AD29" s="4">
        <v>1.2277</v>
      </c>
      <c r="AE29" s="4">
        <v>38.728999999999999</v>
      </c>
      <c r="AF29" s="4">
        <v>1.7788999999999999E-4</v>
      </c>
      <c r="AG29" s="3">
        <v>6.1997999999999998E-5</v>
      </c>
      <c r="AH29" s="4">
        <v>34.851999999999997</v>
      </c>
      <c r="AI29" s="4">
        <v>1.0109999999999999</v>
      </c>
      <c r="AJ29" s="4">
        <v>9.9002999999999994E-2</v>
      </c>
      <c r="AK29" s="4">
        <v>9.7926000000000002</v>
      </c>
    </row>
    <row r="30" spans="1:37" s="4" customFormat="1" x14ac:dyDescent="0.35"/>
    <row r="31" spans="1:37" x14ac:dyDescent="0.35">
      <c r="B31" s="2" t="s">
        <v>54</v>
      </c>
      <c r="C31" s="1" t="s">
        <v>0</v>
      </c>
      <c r="D31" s="2" t="s">
        <v>1</v>
      </c>
      <c r="E31" s="2" t="s">
        <v>2</v>
      </c>
      <c r="F31" s="2" t="s">
        <v>3</v>
      </c>
      <c r="G31" s="2" t="s">
        <v>4</v>
      </c>
      <c r="H31" s="2" t="s">
        <v>33</v>
      </c>
      <c r="I31" s="2" t="s">
        <v>34</v>
      </c>
      <c r="J31" s="2" t="s">
        <v>35</v>
      </c>
      <c r="K31" s="2" t="s">
        <v>5</v>
      </c>
      <c r="L31" s="2" t="s">
        <v>6</v>
      </c>
      <c r="M31" s="2" t="s">
        <v>7</v>
      </c>
      <c r="N31" s="2" t="s">
        <v>8</v>
      </c>
      <c r="O31" s="2" t="s">
        <v>9</v>
      </c>
      <c r="P31" s="2" t="s">
        <v>10</v>
      </c>
      <c r="Q31" s="2" t="s">
        <v>11</v>
      </c>
      <c r="R31" s="2" t="s">
        <v>12</v>
      </c>
      <c r="S31" s="2" t="s">
        <v>13</v>
      </c>
      <c r="T31" s="2" t="s">
        <v>14</v>
      </c>
      <c r="U31" s="2" t="s">
        <v>15</v>
      </c>
      <c r="V31" s="2" t="s">
        <v>16</v>
      </c>
      <c r="W31" s="2" t="s">
        <v>17</v>
      </c>
      <c r="X31" s="2" t="s">
        <v>18</v>
      </c>
      <c r="Y31" s="2" t="s">
        <v>19</v>
      </c>
      <c r="Z31" s="2" t="s">
        <v>20</v>
      </c>
      <c r="AA31" s="2" t="s">
        <v>21</v>
      </c>
      <c r="AB31" s="2" t="s">
        <v>22</v>
      </c>
      <c r="AC31" s="2" t="s">
        <v>23</v>
      </c>
      <c r="AD31" s="2" t="s">
        <v>24</v>
      </c>
      <c r="AE31" s="2" t="s">
        <v>25</v>
      </c>
      <c r="AF31" s="2" t="s">
        <v>26</v>
      </c>
      <c r="AG31" s="2" t="s">
        <v>27</v>
      </c>
      <c r="AH31" s="2" t="s">
        <v>28</v>
      </c>
      <c r="AI31" s="2" t="s">
        <v>29</v>
      </c>
      <c r="AJ31" s="2" t="s">
        <v>30</v>
      </c>
      <c r="AK31" s="2" t="s">
        <v>31</v>
      </c>
    </row>
    <row r="32" spans="1:37" x14ac:dyDescent="0.35">
      <c r="A32" s="2" t="s">
        <v>92</v>
      </c>
      <c r="B32" s="9">
        <f>1/(0.000479779-0.000434801*LOG(0.05/(0.5*0.5*(H32-10)))-0.000100649*(LOG(0.05/(0.5*0.5*(H32-10))))^2-0.0000198446*(LOG(0.05/(0.5*0.5*(H32-10))))^3-0.00000195494*(LOG(0.05/(0.5*0.5*(H32-10))))^4-0.0000000757244*(LOG(0.05/(0.5*0.5*(H32-10))))^5)</f>
        <v>886.20003484524921</v>
      </c>
      <c r="C32" s="1">
        <v>1.1314000000000001E-6</v>
      </c>
      <c r="D32" s="1">
        <v>7.1279000000000007E-5</v>
      </c>
      <c r="E32" s="1">
        <v>6.4080000000000003E-6</v>
      </c>
      <c r="F32" s="1">
        <v>8.3694999999999993E-9</v>
      </c>
      <c r="G32" s="2">
        <v>0.13061</v>
      </c>
      <c r="H32" s="2">
        <v>45.39</v>
      </c>
      <c r="I32" s="2">
        <v>6.9262000000000004E-2</v>
      </c>
      <c r="J32" s="2">
        <v>0.15259</v>
      </c>
      <c r="K32" s="2">
        <v>3.0710000000000002</v>
      </c>
      <c r="L32" s="2">
        <v>0.48797000000000001</v>
      </c>
      <c r="M32" s="2">
        <v>15.89</v>
      </c>
      <c r="N32" s="2">
        <v>1.6559999999999998E-2</v>
      </c>
      <c r="O32" s="2">
        <v>6.7971999999999998E-3</v>
      </c>
      <c r="P32" s="2">
        <v>41.045999999999999</v>
      </c>
      <c r="Q32" s="2">
        <v>0.36886000000000002</v>
      </c>
      <c r="R32" s="2">
        <v>4.2928000000000001E-2</v>
      </c>
      <c r="S32" s="2">
        <v>11.638</v>
      </c>
      <c r="T32" s="2">
        <v>34.18</v>
      </c>
      <c r="U32" s="2">
        <v>0.38041999999999998</v>
      </c>
      <c r="V32" s="2">
        <v>1.113</v>
      </c>
      <c r="W32" s="2">
        <v>6.1914999999999995E-4</v>
      </c>
      <c r="X32" s="1">
        <v>6.3740999999999997E-6</v>
      </c>
      <c r="Y32" s="2">
        <v>1.0295000000000001</v>
      </c>
      <c r="Z32" s="2">
        <v>0.96714999999999995</v>
      </c>
      <c r="AA32" s="2">
        <v>4.1682999999999998E-3</v>
      </c>
      <c r="AB32" s="2">
        <v>0.43098999999999998</v>
      </c>
      <c r="AC32" s="2">
        <v>11.85</v>
      </c>
      <c r="AD32" s="2">
        <v>0.22503000000000001</v>
      </c>
      <c r="AE32" s="2">
        <v>1.899</v>
      </c>
      <c r="AF32" s="2">
        <v>3.006E-2</v>
      </c>
      <c r="AG32" s="2">
        <v>6.8712999999999999E-4</v>
      </c>
      <c r="AH32" s="2">
        <v>2.2858999999999998</v>
      </c>
      <c r="AI32" s="2">
        <v>0.98024999999999995</v>
      </c>
      <c r="AJ32" s="2">
        <v>1.111E-2</v>
      </c>
      <c r="AK32" s="2">
        <v>1.1334</v>
      </c>
    </row>
    <row r="33" spans="1:38" x14ac:dyDescent="0.35">
      <c r="A33" s="2" t="s">
        <v>93</v>
      </c>
      <c r="B33" s="9">
        <f t="shared" ref="B33:B35" si="15">1/(0.000479779-0.000434801*LOG(0.05/(0.5*0.5*(H33-10)))-0.000100649*(LOG(0.05/(0.5*0.5*(H33-10))))^2-0.0000198446*(LOG(0.05/(0.5*0.5*(H33-10))))^3-0.00000195494*(LOG(0.05/(0.5*0.5*(H33-10))))^4-0.0000000757244*(LOG(0.05/(0.5*0.5*(H33-10))))^5)</f>
        <v>841.74727505563646</v>
      </c>
      <c r="C33" s="1">
        <v>3.0265000000000002E-6</v>
      </c>
      <c r="D33" s="2">
        <v>1.9672E-4</v>
      </c>
      <c r="E33" s="1">
        <v>6.3633999999999999E-6</v>
      </c>
      <c r="F33" s="1">
        <v>2.2516000000000001E-8</v>
      </c>
      <c r="G33" s="2">
        <v>0.35383999999999999</v>
      </c>
      <c r="H33" s="2">
        <v>80.459999999999994</v>
      </c>
      <c r="I33" s="2">
        <v>0.57184999999999997</v>
      </c>
      <c r="J33" s="2">
        <v>0.71072999999999997</v>
      </c>
      <c r="K33" s="2">
        <v>13.14</v>
      </c>
      <c r="L33" s="2">
        <v>3.3915999999999999</v>
      </c>
      <c r="M33" s="2">
        <v>25.811</v>
      </c>
      <c r="N33" s="2">
        <v>2.3078999999999999E-2</v>
      </c>
      <c r="O33" s="2">
        <v>7.4127000000000004E-3</v>
      </c>
      <c r="P33" s="2">
        <v>32.119</v>
      </c>
      <c r="Q33" s="2">
        <v>0.19916</v>
      </c>
      <c r="R33" s="2">
        <v>3.8737000000000001E-2</v>
      </c>
      <c r="S33" s="2">
        <v>19.45</v>
      </c>
      <c r="T33" s="2">
        <v>78.3</v>
      </c>
      <c r="U33" s="2">
        <v>0.80937999999999999</v>
      </c>
      <c r="V33" s="2">
        <v>1.0337000000000001</v>
      </c>
      <c r="W33" s="2">
        <v>4.4570999999999999E-4</v>
      </c>
      <c r="X33" s="1">
        <v>5.7379999999999999E-6</v>
      </c>
      <c r="Y33" s="2">
        <v>1.2874000000000001</v>
      </c>
      <c r="Z33" s="2">
        <v>0.96577000000000002</v>
      </c>
      <c r="AA33" s="2">
        <v>4.2778E-3</v>
      </c>
      <c r="AB33" s="2">
        <v>0.44294</v>
      </c>
      <c r="AC33" s="2">
        <v>8.8019999999999996</v>
      </c>
      <c r="AD33" s="2">
        <v>1.0103</v>
      </c>
      <c r="AE33" s="2">
        <v>11.478</v>
      </c>
      <c r="AF33" s="2">
        <v>3.4298000000000002E-2</v>
      </c>
      <c r="AG33" s="2">
        <v>3.5103000000000001E-3</v>
      </c>
      <c r="AH33" s="2">
        <v>10.234999999999999</v>
      </c>
      <c r="AI33" s="2">
        <v>1.1100000000000001</v>
      </c>
      <c r="AJ33" s="2">
        <v>5.0575000000000002E-2</v>
      </c>
      <c r="AK33" s="2">
        <v>4.5563000000000002</v>
      </c>
    </row>
    <row r="34" spans="1:38" x14ac:dyDescent="0.35">
      <c r="A34" s="2" t="s">
        <v>94</v>
      </c>
      <c r="B34" s="9">
        <f t="shared" si="15"/>
        <v>827.02321555841797</v>
      </c>
      <c r="C34" s="1">
        <v>2.6446999999999999E-6</v>
      </c>
      <c r="D34" s="2">
        <v>1.7191E-4</v>
      </c>
      <c r="E34" s="1">
        <v>6.2387000000000001E-6</v>
      </c>
      <c r="F34" s="1">
        <v>2.4596000000000001E-8</v>
      </c>
      <c r="G34" s="2">
        <v>0.39424999999999999</v>
      </c>
      <c r="H34" s="2">
        <v>100.6</v>
      </c>
      <c r="I34" s="2">
        <v>0.42803000000000002</v>
      </c>
      <c r="J34" s="2">
        <v>0.42548000000000002</v>
      </c>
      <c r="K34" s="2">
        <v>15.46</v>
      </c>
      <c r="L34" s="2">
        <v>3.2235</v>
      </c>
      <c r="M34" s="2">
        <v>20.850999999999999</v>
      </c>
      <c r="N34" s="2">
        <v>1.8133E-2</v>
      </c>
      <c r="O34" s="2">
        <v>4.9429000000000001E-3</v>
      </c>
      <c r="P34" s="2">
        <v>27.259</v>
      </c>
      <c r="Q34" s="2">
        <v>0.22420000000000001</v>
      </c>
      <c r="R34" s="2">
        <v>3.1837999999999998E-2</v>
      </c>
      <c r="S34" s="2">
        <v>14.201000000000001</v>
      </c>
      <c r="T34" s="2">
        <v>103.7</v>
      </c>
      <c r="U34" s="2">
        <v>1.0667</v>
      </c>
      <c r="V34" s="2">
        <v>1.0286</v>
      </c>
      <c r="W34" s="2">
        <v>4.0466999999999999E-4</v>
      </c>
      <c r="X34" s="1">
        <v>4.6375000000000001E-6</v>
      </c>
      <c r="Y34" s="2">
        <v>1.1459999999999999</v>
      </c>
      <c r="Z34" s="2">
        <v>0.96757000000000004</v>
      </c>
      <c r="AA34" s="2">
        <v>4.0803000000000002E-3</v>
      </c>
      <c r="AB34" s="2">
        <v>0.42170999999999997</v>
      </c>
      <c r="AC34" s="2">
        <v>7.7450000000000001</v>
      </c>
      <c r="AD34" s="2">
        <v>1.1783999999999999</v>
      </c>
      <c r="AE34" s="2">
        <v>15.215</v>
      </c>
      <c r="AF34" s="2">
        <v>3.7786E-2</v>
      </c>
      <c r="AG34" s="2">
        <v>5.4504999999999996E-3</v>
      </c>
      <c r="AH34" s="2">
        <v>14.425000000000001</v>
      </c>
      <c r="AI34" s="2">
        <v>1.147</v>
      </c>
      <c r="AJ34" s="2">
        <v>6.5006999999999995E-2</v>
      </c>
      <c r="AK34" s="2">
        <v>5.6676000000000002</v>
      </c>
    </row>
    <row r="35" spans="1:38" x14ac:dyDescent="0.35">
      <c r="A35" s="2" t="s">
        <v>95</v>
      </c>
      <c r="B35" s="9">
        <f t="shared" si="15"/>
        <v>777.10420741876521</v>
      </c>
      <c r="C35" s="1">
        <v>9.5531000000000001E-6</v>
      </c>
      <c r="D35" s="2">
        <v>6.3051000000000003E-4</v>
      </c>
      <c r="E35" s="1">
        <v>4.7257999999999997E-6</v>
      </c>
      <c r="F35" s="1">
        <v>1.0171E-7</v>
      </c>
      <c r="G35" s="2">
        <v>2.1522000000000001</v>
      </c>
      <c r="H35" s="2">
        <v>243.9</v>
      </c>
      <c r="I35" s="2">
        <v>1.091</v>
      </c>
      <c r="J35" s="2">
        <v>0.44730999999999999</v>
      </c>
      <c r="K35" s="2">
        <v>37.229999999999997</v>
      </c>
      <c r="L35" s="2">
        <v>11.853</v>
      </c>
      <c r="M35" s="2">
        <v>31.837</v>
      </c>
      <c r="N35" s="2">
        <v>8.4063000000000002E-3</v>
      </c>
      <c r="O35" s="2">
        <v>3.1120000000000002E-3</v>
      </c>
      <c r="P35" s="2">
        <v>37.020000000000003</v>
      </c>
      <c r="Q35" s="2">
        <v>0.24345</v>
      </c>
      <c r="R35" s="2">
        <v>4.2883999999999999E-2</v>
      </c>
      <c r="S35" s="2">
        <v>17.614999999999998</v>
      </c>
      <c r="T35" s="2">
        <v>313.8</v>
      </c>
      <c r="U35" s="2">
        <v>4.5438999999999998</v>
      </c>
      <c r="V35" s="2">
        <v>1.448</v>
      </c>
      <c r="W35" s="2">
        <v>3.0455E-4</v>
      </c>
      <c r="X35" s="1">
        <v>2.6218E-6</v>
      </c>
      <c r="Y35" s="2">
        <v>0.86087999999999998</v>
      </c>
      <c r="Z35" s="2">
        <v>0.97233999999999998</v>
      </c>
      <c r="AA35" s="2">
        <v>5.9982999999999998E-3</v>
      </c>
      <c r="AB35" s="2">
        <v>0.61689000000000005</v>
      </c>
      <c r="AC35" s="2">
        <v>0</v>
      </c>
      <c r="AF35" s="2">
        <v>0</v>
      </c>
      <c r="AI35" s="2">
        <v>1</v>
      </c>
    </row>
    <row r="38" spans="1:38" x14ac:dyDescent="0.35">
      <c r="C38" s="1"/>
      <c r="E38" s="1"/>
      <c r="F38" s="1"/>
      <c r="X38" s="1"/>
    </row>
    <row r="39" spans="1:38" x14ac:dyDescent="0.35">
      <c r="C39" s="1"/>
      <c r="D39" s="1"/>
      <c r="E39" s="1"/>
      <c r="F39" s="1"/>
      <c r="X39" s="1"/>
    </row>
    <row r="41" spans="1:38" ht="16.5" x14ac:dyDescent="0.45">
      <c r="C41" s="1"/>
      <c r="E41" s="1"/>
      <c r="F41" s="1"/>
      <c r="O41" s="26" t="s">
        <v>139</v>
      </c>
      <c r="P41" s="26"/>
      <c r="Q41" s="26"/>
      <c r="R41" s="26"/>
      <c r="S41" s="26"/>
      <c r="T41" s="18"/>
      <c r="U41" s="18"/>
      <c r="V41" s="18"/>
      <c r="W41" s="18"/>
      <c r="X41" s="21"/>
      <c r="Y41" s="26"/>
      <c r="Z41" s="26"/>
      <c r="AA41" s="26"/>
      <c r="AB41" s="26"/>
      <c r="AC41" s="26"/>
      <c r="AL41" s="1"/>
    </row>
    <row r="42" spans="1:38" x14ac:dyDescent="0.35">
      <c r="O42" s="2" t="s">
        <v>57</v>
      </c>
      <c r="P42" s="2" t="s">
        <v>130</v>
      </c>
      <c r="Q42" s="2" t="s">
        <v>137</v>
      </c>
      <c r="R42" s="2" t="s">
        <v>138</v>
      </c>
      <c r="S42" s="2" t="s">
        <v>145</v>
      </c>
      <c r="X42" s="21"/>
    </row>
    <row r="43" spans="1:38" x14ac:dyDescent="0.35">
      <c r="E43" s="25" t="s">
        <v>142</v>
      </c>
      <c r="F43" s="26" t="s">
        <v>140</v>
      </c>
      <c r="G43" s="26"/>
      <c r="H43" s="26"/>
      <c r="I43" s="26"/>
      <c r="J43" s="26"/>
      <c r="N43" s="25" t="s">
        <v>142</v>
      </c>
      <c r="O43" s="2">
        <v>0.01</v>
      </c>
      <c r="P43" s="2">
        <v>5.0753466020701076E+22</v>
      </c>
      <c r="Q43" s="22">
        <f>((0.2/5.814E-29/4-K13*1.38E-23*I13/(8*(1.602E-19)^2)))*10^-6+SQRT(0.2/5.814E-29*K13*1.38E-23*I13/(8*(1.602E-19)^2)*5.814E-29+ (-0.2/5.814E-29/4+(K13*1.38E-23*I13/(8*(1.602E-19)^2)^2)))*10^-6</f>
        <v>8.7386505750870714E+20</v>
      </c>
      <c r="R43" s="9">
        <f>P43/A$15*100-100</f>
        <v>2.7339472663072684E-2</v>
      </c>
      <c r="S43" s="9">
        <f>Q43/A$17*100-100</f>
        <v>1.6130288871124776</v>
      </c>
      <c r="X43" s="25"/>
      <c r="Y43" s="19"/>
      <c r="Z43" s="24"/>
      <c r="AA43" s="22"/>
      <c r="AB43" s="19"/>
      <c r="AC43" s="19"/>
    </row>
    <row r="44" spans="1:38" x14ac:dyDescent="0.35">
      <c r="E44" s="25"/>
      <c r="F44" s="2" t="s">
        <v>46</v>
      </c>
      <c r="G44" s="2" t="s">
        <v>130</v>
      </c>
      <c r="H44" s="2" t="s">
        <v>137</v>
      </c>
      <c r="I44" s="2" t="s">
        <v>138</v>
      </c>
      <c r="J44" s="2" t="s">
        <v>141</v>
      </c>
      <c r="N44" s="25"/>
      <c r="O44" s="2">
        <v>0.04</v>
      </c>
      <c r="P44" s="2">
        <v>5.0751902998457657E+22</v>
      </c>
      <c r="Q44" s="22">
        <f>((0.2/5.814E-29/4-K14*1.38E-23*I14/(8*(1.602E-19)^2)))*10^-6+SQRT(0.2/5.814E-29*K14*1.38E-23*I14/(8*(1.602E-19)^2)*5.814E-29+ (-0.2/5.814E-29/4+(K14*1.38E-23*I14/(8*(1.602E-19)^2)^2)))*10^-6</f>
        <v>8.7230203526530649E+20</v>
      </c>
      <c r="R44" s="9">
        <f t="shared" ref="R44:R48" si="16">P44/A$15*100-100</f>
        <v>2.4258994248427257E-2</v>
      </c>
      <c r="S44" s="9">
        <f t="shared" ref="S44:S48" si="17">Q44/A$17*100-100</f>
        <v>1.4312806606498327</v>
      </c>
      <c r="X44" s="25"/>
      <c r="Y44" s="19"/>
      <c r="Z44" s="24"/>
      <c r="AA44" s="22"/>
      <c r="AB44" s="19"/>
      <c r="AC44" s="19"/>
    </row>
    <row r="45" spans="1:38" x14ac:dyDescent="0.35">
      <c r="E45" s="25"/>
      <c r="F45" s="19">
        <v>1.1284134063192888</v>
      </c>
      <c r="G45" s="20">
        <v>5.0752147202678198E+22</v>
      </c>
      <c r="H45" s="20">
        <v>8.7254623948588227E+20</v>
      </c>
      <c r="I45" s="19">
        <v>2.4734164213342069E-2</v>
      </c>
      <c r="J45" s="19">
        <v>1.4386766984680719</v>
      </c>
      <c r="N45" s="25"/>
      <c r="O45" s="2">
        <v>0.1</v>
      </c>
      <c r="P45" s="2">
        <v>5.0751176286629976E+22</v>
      </c>
      <c r="Q45" s="22">
        <f t="shared" ref="Q45:Q48" si="18">((0.2/5.814E-29/4-K15*1.38E-23*I15/(8*(1.602E-19)^2)))*10^-6+SQRT(0.2/5.814E-29*K15*1.38E-23*I15/(8*(1.602E-19)^2)*5.814E-29+ (-0.2/5.814E-29/4+(K15*1.38E-23*I15/(8*(1.602E-19)^2)^2)))*10^-6</f>
        <v>8.7157532343763403E+20</v>
      </c>
      <c r="R45" s="9">
        <f t="shared" si="16"/>
        <v>2.2826756090395861E-2</v>
      </c>
      <c r="S45" s="9">
        <f t="shared" si="17"/>
        <v>1.3467786093280978</v>
      </c>
      <c r="X45" s="25"/>
      <c r="Y45" s="19"/>
      <c r="Z45" s="24"/>
      <c r="AA45" s="22"/>
      <c r="AB45" s="19"/>
      <c r="AC45" s="19"/>
    </row>
    <row r="46" spans="1:38" x14ac:dyDescent="0.35">
      <c r="E46" s="25"/>
      <c r="F46" s="19">
        <v>1.1880050338552075</v>
      </c>
      <c r="G46" s="20">
        <v>5.0750036905856038E+22</v>
      </c>
      <c r="H46" s="20">
        <v>8.7043594266369904E+20</v>
      </c>
      <c r="I46" s="19">
        <v>2.0576975398228114E-2</v>
      </c>
      <c r="J46" s="19">
        <v>1.1997232762128931</v>
      </c>
      <c r="N46" s="25"/>
      <c r="O46" s="2">
        <v>1</v>
      </c>
      <c r="P46" s="2">
        <v>5.0749301203447203E+22</v>
      </c>
      <c r="Q46" s="22">
        <f t="shared" si="18"/>
        <v>8.6970024025487966E+20</v>
      </c>
      <c r="R46" s="9">
        <f t="shared" si="16"/>
        <v>1.913125316679043E-2</v>
      </c>
      <c r="S46" s="9">
        <f t="shared" si="17"/>
        <v>1.1287439368374237</v>
      </c>
      <c r="X46" s="25"/>
      <c r="Y46" s="19"/>
      <c r="Z46" s="24"/>
      <c r="AA46" s="22"/>
      <c r="AB46" s="19"/>
      <c r="AC46" s="19"/>
    </row>
    <row r="47" spans="1:38" x14ac:dyDescent="0.35">
      <c r="E47" s="25"/>
      <c r="F47" s="19">
        <v>1.209155899359833</v>
      </c>
      <c r="G47" s="20">
        <v>5.074951965308592E+22</v>
      </c>
      <c r="H47" s="20">
        <v>8.699186898935926E+20</v>
      </c>
      <c r="I47" s="19">
        <v>1.9557958196330105E-2</v>
      </c>
      <c r="J47" s="19">
        <v>1.1409767319480437</v>
      </c>
      <c r="N47" s="25"/>
      <c r="O47" s="2">
        <v>10</v>
      </c>
      <c r="P47" s="2">
        <v>5.0749068023618637E+22</v>
      </c>
      <c r="Q47" s="22">
        <f t="shared" si="18"/>
        <v>8.6946706042631487E+20</v>
      </c>
      <c r="R47" s="9">
        <f t="shared" si="16"/>
        <v>1.8671691294500192E-2</v>
      </c>
      <c r="S47" s="9">
        <f t="shared" si="17"/>
        <v>1.1016297863718876</v>
      </c>
      <c r="X47" s="25"/>
      <c r="Y47" s="19"/>
      <c r="Z47" s="24"/>
      <c r="AA47" s="22"/>
      <c r="AB47" s="19"/>
      <c r="AC47" s="19"/>
    </row>
    <row r="48" spans="1:38" x14ac:dyDescent="0.35">
      <c r="E48" s="25"/>
      <c r="F48" s="19">
        <v>1.2868287038640636</v>
      </c>
      <c r="G48" s="20">
        <v>5.074810722780141E+22</v>
      </c>
      <c r="H48" s="20">
        <v>8.6850626460908795E+20</v>
      </c>
      <c r="I48" s="19">
        <v>1.677529472353001E-2</v>
      </c>
      <c r="J48" s="19">
        <v>0.98020531353107287</v>
      </c>
      <c r="N48" s="25"/>
      <c r="O48" s="2">
        <v>100</v>
      </c>
      <c r="P48" s="2">
        <v>5.0743440599402731E+22</v>
      </c>
      <c r="Q48" s="22">
        <f t="shared" si="18"/>
        <v>8.6383963621043982E+20</v>
      </c>
      <c r="R48" s="9">
        <f t="shared" si="16"/>
        <v>7.5808965855941324E-3</v>
      </c>
      <c r="S48" s="9">
        <f t="shared" si="17"/>
        <v>0.44727289854995433</v>
      </c>
      <c r="X48" s="25"/>
      <c r="Y48" s="19"/>
      <c r="Z48" s="24"/>
      <c r="AA48" s="22"/>
      <c r="AB48" s="19"/>
      <c r="AC48" s="19"/>
    </row>
    <row r="49" spans="14:29" x14ac:dyDescent="0.35">
      <c r="N49" s="25" t="s">
        <v>143</v>
      </c>
      <c r="O49" s="2">
        <v>0.01</v>
      </c>
      <c r="P49" s="2">
        <v>5.1178624873244802E+22</v>
      </c>
      <c r="Q49" s="22">
        <v>4.3903078999741655E+20</v>
      </c>
      <c r="R49" s="9">
        <v>1.7655466569863165E-2</v>
      </c>
      <c r="S49" s="9">
        <v>2.1010005217992074</v>
      </c>
      <c r="X49" s="25"/>
      <c r="Y49" s="19"/>
      <c r="Z49" s="24"/>
      <c r="AA49" s="22"/>
      <c r="AB49" s="19"/>
      <c r="AC49" s="19"/>
    </row>
    <row r="50" spans="14:29" x14ac:dyDescent="0.35">
      <c r="N50" s="25"/>
      <c r="O50" s="2">
        <v>0.04</v>
      </c>
      <c r="P50" s="2">
        <v>5.1177855755444071E+22</v>
      </c>
      <c r="Q50" s="22">
        <v>4.3826167219671774E+20</v>
      </c>
      <c r="R50" s="9">
        <v>1.6152390639277314E-2</v>
      </c>
      <c r="S50" s="9">
        <v>1.9221344860686855</v>
      </c>
      <c r="X50" s="25"/>
      <c r="Y50" s="19"/>
      <c r="Z50" s="24"/>
      <c r="AA50" s="22"/>
      <c r="AB50" s="19"/>
      <c r="AC50" s="19"/>
    </row>
    <row r="51" spans="14:29" x14ac:dyDescent="0.35">
      <c r="N51" s="25"/>
      <c r="O51" s="2">
        <v>0.1</v>
      </c>
      <c r="P51" s="2">
        <v>5.11776106689326E+22</v>
      </c>
      <c r="Q51" s="22">
        <v>4.3801658568524615E+20</v>
      </c>
      <c r="R51" s="9">
        <v>1.5673421571165136E-2</v>
      </c>
      <c r="S51" s="9">
        <v>1.8651371669608636</v>
      </c>
      <c r="X51" s="25"/>
      <c r="Y51" s="19"/>
      <c r="Z51" s="24"/>
      <c r="AA51" s="23"/>
      <c r="AB51" s="19"/>
      <c r="AC51" s="19"/>
    </row>
    <row r="52" spans="14:29" x14ac:dyDescent="0.35">
      <c r="N52" s="25"/>
      <c r="O52" s="2">
        <v>1</v>
      </c>
      <c r="P52" s="2">
        <v>5.1177620944966142E+22</v>
      </c>
      <c r="Q52" s="22">
        <v>4.3802686171878982E+20</v>
      </c>
      <c r="R52" s="9">
        <v>1.5693503876718751E-2</v>
      </c>
      <c r="S52" s="9">
        <v>1.8675269613217722</v>
      </c>
      <c r="X52" s="25"/>
      <c r="Y52" s="19"/>
      <c r="Z52" s="24"/>
      <c r="AA52" s="23"/>
      <c r="AB52" s="19"/>
      <c r="AC52" s="19"/>
    </row>
    <row r="53" spans="14:29" x14ac:dyDescent="0.35">
      <c r="N53" s="25"/>
      <c r="O53" s="2">
        <v>10</v>
      </c>
      <c r="P53" s="2">
        <v>5.1174872564714204E+22</v>
      </c>
      <c r="Q53" s="22">
        <v>4.3527848146686607E+20</v>
      </c>
      <c r="R53" s="9">
        <v>1.0322383612916042E-2</v>
      </c>
      <c r="S53" s="9">
        <v>1.2283636499343658</v>
      </c>
      <c r="X53" s="25"/>
      <c r="Y53" s="19"/>
      <c r="Z53" s="24"/>
      <c r="AA53" s="23"/>
      <c r="AB53" s="19"/>
      <c r="AC53" s="19"/>
    </row>
    <row r="54" spans="14:29" x14ac:dyDescent="0.35">
      <c r="N54" s="25"/>
      <c r="O54" s="2">
        <v>100</v>
      </c>
      <c r="P54" s="2">
        <v>5.1174601706898637E+22</v>
      </c>
      <c r="Q54" s="22">
        <v>4.3500762365129687E+20</v>
      </c>
      <c r="R54" s="9">
        <v>9.7930500533465192E-3</v>
      </c>
      <c r="S54" s="9">
        <v>1.1653729563456068</v>
      </c>
      <c r="X54" s="25"/>
      <c r="Y54" s="19"/>
      <c r="Z54" s="24"/>
      <c r="AA54" s="23"/>
      <c r="AB54" s="19"/>
      <c r="AC54" s="19"/>
    </row>
    <row r="55" spans="14:29" x14ac:dyDescent="0.35">
      <c r="N55" s="25" t="s">
        <v>144</v>
      </c>
      <c r="O55" s="2">
        <v>0.01</v>
      </c>
      <c r="P55" s="2">
        <v>5.1394150820524216E+22</v>
      </c>
      <c r="Q55" s="22">
        <v>2.2456017724932591E+20</v>
      </c>
      <c r="R55" s="9">
        <v>1.8608492226874773E-2</v>
      </c>
      <c r="S55" s="9">
        <v>4.4474296422064867</v>
      </c>
      <c r="X55" s="21"/>
    </row>
    <row r="56" spans="14:29" x14ac:dyDescent="0.35">
      <c r="N56" s="25"/>
      <c r="O56" s="2">
        <v>0.04</v>
      </c>
      <c r="P56" s="2">
        <v>5.1393557686946116E+22</v>
      </c>
      <c r="Q56" s="22">
        <v>2.2396704367123114E+20</v>
      </c>
      <c r="R56" s="9">
        <v>1.7454189758908001E-2</v>
      </c>
      <c r="S56" s="9">
        <v>4.171551352363025</v>
      </c>
    </row>
    <row r="57" spans="14:29" x14ac:dyDescent="0.35">
      <c r="N57" s="25"/>
      <c r="O57" s="2">
        <v>0.1</v>
      </c>
      <c r="P57" s="2">
        <v>5.1393106200014948E+22</v>
      </c>
      <c r="Q57" s="22">
        <v>2.2351555674006271E+20</v>
      </c>
      <c r="R57" s="9">
        <v>1.6575547075120767E-2</v>
      </c>
      <c r="S57" s="9">
        <v>3.9615557509379755</v>
      </c>
    </row>
    <row r="58" spans="14:29" x14ac:dyDescent="0.35">
      <c r="N58" s="25"/>
      <c r="O58" s="2">
        <v>1</v>
      </c>
      <c r="P58" s="2">
        <v>5.1392291573794358E+22</v>
      </c>
      <c r="Q58" s="22">
        <v>2.227009305194882E+20</v>
      </c>
      <c r="R58" s="9">
        <v>1.4990195829426511E-2</v>
      </c>
      <c r="S58" s="9">
        <v>3.5826568032243529</v>
      </c>
    </row>
    <row r="59" spans="14:29" x14ac:dyDescent="0.35">
      <c r="N59" s="25"/>
      <c r="O59" s="2">
        <v>10</v>
      </c>
      <c r="P59" s="2">
        <v>5.1392701383820129E+22</v>
      </c>
      <c r="Q59" s="22">
        <v>2.2311074054525757E+20</v>
      </c>
      <c r="R59" s="9">
        <v>1.5787730721413595E-2</v>
      </c>
      <c r="S59" s="9">
        <v>3.7732676424102181</v>
      </c>
    </row>
    <row r="60" spans="14:29" x14ac:dyDescent="0.35">
      <c r="N60" s="25"/>
      <c r="O60" s="2">
        <v>100</v>
      </c>
      <c r="P60" s="2">
        <v>5.1391858640214798E+22</v>
      </c>
      <c r="Q60" s="22">
        <v>2.2226799693992595E+20</v>
      </c>
      <c r="R60" s="9">
        <v>1.4147659986221583E-2</v>
      </c>
      <c r="S60" s="9">
        <v>3.3812907366983751</v>
      </c>
    </row>
    <row r="61" spans="14:29" x14ac:dyDescent="0.35">
      <c r="Y61" s="11">
        <f>((3/5.814E-29)-(0.1/5.814E-29/4))*10^-6</f>
        <v>5.1169590643274845E+22</v>
      </c>
    </row>
  </sheetData>
  <mergeCells count="10">
    <mergeCell ref="N55:N60"/>
    <mergeCell ref="O41:S41"/>
    <mergeCell ref="Y41:AC41"/>
    <mergeCell ref="F43:J43"/>
    <mergeCell ref="E43:E48"/>
    <mergeCell ref="X43:X46"/>
    <mergeCell ref="X47:X50"/>
    <mergeCell ref="X51:X54"/>
    <mergeCell ref="N43:N48"/>
    <mergeCell ref="N49:N5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6" sqref="A16"/>
    </sheetView>
  </sheetViews>
  <sheetFormatPr baseColWidth="10" defaultRowHeight="14.5" x14ac:dyDescent="0.35"/>
  <cols>
    <col min="1" max="1" width="16.81640625" customWidth="1"/>
    <col min="2" max="4" width="12.36328125" bestFit="1" customWidth="1"/>
  </cols>
  <sheetData>
    <row r="1" spans="1:5" x14ac:dyDescent="0.35">
      <c r="B1" t="s">
        <v>59</v>
      </c>
      <c r="C1" t="s">
        <v>60</v>
      </c>
      <c r="D1" t="s">
        <v>61</v>
      </c>
    </row>
    <row r="2" spans="1:5" x14ac:dyDescent="0.35">
      <c r="B2">
        <v>18</v>
      </c>
      <c r="C2">
        <v>9</v>
      </c>
      <c r="D2">
        <v>176</v>
      </c>
      <c r="E2" t="s">
        <v>62</v>
      </c>
    </row>
    <row r="3" spans="1:5" x14ac:dyDescent="0.35">
      <c r="B3">
        <v>23</v>
      </c>
      <c r="C3">
        <v>9</v>
      </c>
      <c r="D3">
        <v>173</v>
      </c>
      <c r="E3" t="s">
        <v>62</v>
      </c>
    </row>
    <row r="4" spans="1:5" x14ac:dyDescent="0.35">
      <c r="B4">
        <v>24</v>
      </c>
      <c r="C4">
        <v>9</v>
      </c>
      <c r="D4">
        <v>175</v>
      </c>
      <c r="E4" t="s">
        <v>62</v>
      </c>
    </row>
    <row r="5" spans="1:5" x14ac:dyDescent="0.35">
      <c r="B5">
        <v>19</v>
      </c>
      <c r="C5">
        <v>9</v>
      </c>
      <c r="D5">
        <v>169</v>
      </c>
      <c r="E5" t="s">
        <v>62</v>
      </c>
    </row>
    <row r="6" spans="1:5" x14ac:dyDescent="0.35">
      <c r="B6">
        <v>22</v>
      </c>
      <c r="E6" t="s">
        <v>62</v>
      </c>
    </row>
    <row r="7" spans="1:5" x14ac:dyDescent="0.35">
      <c r="A7" t="s">
        <v>133</v>
      </c>
      <c r="B7">
        <f>AVERAGE(B2:B6)</f>
        <v>21.2</v>
      </c>
      <c r="C7">
        <f>AVERAGE(C2:C5)</f>
        <v>9</v>
      </c>
      <c r="D7">
        <f>AVERAGE(D2:D6)</f>
        <v>173.25</v>
      </c>
      <c r="E7" t="s">
        <v>62</v>
      </c>
    </row>
    <row r="8" spans="1:5" x14ac:dyDescent="0.35">
      <c r="A8" t="s">
        <v>134</v>
      </c>
      <c r="B8" s="9">
        <f>_xlfn.STDEV.S(B2:B5)</f>
        <v>2.9439202887759488</v>
      </c>
      <c r="C8" s="34">
        <f>_xlfn.STDEV.S(C2:C5)</f>
        <v>0</v>
      </c>
      <c r="D8" s="34">
        <f>_xlfn.STDEV.S(D2:D5)</f>
        <v>3.0956959368344519</v>
      </c>
      <c r="E8">
        <f>1/D8</f>
        <v>0.32302914123489929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W47"/>
  <sheetViews>
    <sheetView zoomScale="70" zoomScaleNormal="70" workbookViewId="0">
      <selection activeCell="I9" sqref="I9"/>
    </sheetView>
  </sheetViews>
  <sheetFormatPr baseColWidth="10" defaultColWidth="8.7265625" defaultRowHeight="14.5" x14ac:dyDescent="0.35"/>
  <cols>
    <col min="3" max="4" width="14.81640625" customWidth="1"/>
    <col min="5" max="6" width="10" bestFit="1" customWidth="1"/>
    <col min="8" max="8" width="10" bestFit="1" customWidth="1"/>
    <col min="9" max="11" width="21.7265625" customWidth="1"/>
    <col min="12" max="12" width="12.453125" customWidth="1"/>
    <col min="13" max="13" width="12" customWidth="1"/>
    <col min="14" max="14" width="11.1796875" customWidth="1"/>
    <col min="17" max="17" width="14.81640625" customWidth="1"/>
    <col min="18" max="18" width="11.7265625" customWidth="1"/>
  </cols>
  <sheetData>
    <row r="3" spans="3:49" x14ac:dyDescent="0.35">
      <c r="E3" t="s">
        <v>228</v>
      </c>
      <c r="F3" t="s">
        <v>136</v>
      </c>
      <c r="G3" t="s">
        <v>49</v>
      </c>
      <c r="H3" t="s">
        <v>40</v>
      </c>
      <c r="I3" t="s">
        <v>77</v>
      </c>
      <c r="J3" t="s">
        <v>52</v>
      </c>
      <c r="K3" s="2" t="s">
        <v>130</v>
      </c>
      <c r="N3" s="1" t="s">
        <v>227</v>
      </c>
      <c r="O3" s="1" t="s">
        <v>0</v>
      </c>
      <c r="P3" s="1" t="s">
        <v>1</v>
      </c>
      <c r="Q3" s="1" t="s">
        <v>2</v>
      </c>
      <c r="R3" s="1" t="s">
        <v>3</v>
      </c>
      <c r="S3" s="1" t="s">
        <v>4</v>
      </c>
      <c r="T3" s="1" t="s">
        <v>33</v>
      </c>
      <c r="U3" s="1" t="s">
        <v>34</v>
      </c>
      <c r="V3" s="1" t="s">
        <v>35</v>
      </c>
      <c r="W3" s="1" t="s">
        <v>5</v>
      </c>
      <c r="X3" s="1" t="s">
        <v>6</v>
      </c>
      <c r="Y3" s="1" t="s">
        <v>7</v>
      </c>
      <c r="Z3" s="1" t="s">
        <v>8</v>
      </c>
      <c r="AA3" s="1" t="s">
        <v>9</v>
      </c>
      <c r="AB3" s="1" t="s">
        <v>10</v>
      </c>
      <c r="AC3" s="1" t="s">
        <v>11</v>
      </c>
      <c r="AD3" s="1" t="s">
        <v>12</v>
      </c>
      <c r="AE3" s="1" t="s">
        <v>13</v>
      </c>
      <c r="AF3" s="1" t="s">
        <v>14</v>
      </c>
      <c r="AG3" s="1" t="s">
        <v>15</v>
      </c>
      <c r="AH3" s="1" t="s">
        <v>16</v>
      </c>
      <c r="AI3" s="1" t="s">
        <v>17</v>
      </c>
      <c r="AJ3" s="1" t="s">
        <v>18</v>
      </c>
      <c r="AK3" s="1" t="s">
        <v>19</v>
      </c>
      <c r="AL3" s="1" t="s">
        <v>20</v>
      </c>
      <c r="AM3" s="1" t="s">
        <v>21</v>
      </c>
      <c r="AN3" s="1" t="s">
        <v>22</v>
      </c>
      <c r="AO3" s="1" t="s">
        <v>36</v>
      </c>
      <c r="AP3" s="1" t="s">
        <v>24</v>
      </c>
      <c r="AQ3" s="1" t="s">
        <v>25</v>
      </c>
      <c r="AR3" s="1" t="s">
        <v>26</v>
      </c>
      <c r="AS3" s="1" t="s">
        <v>27</v>
      </c>
      <c r="AT3" s="1" t="s">
        <v>28</v>
      </c>
      <c r="AU3" s="1" t="s">
        <v>29</v>
      </c>
      <c r="AV3" s="1" t="s">
        <v>30</v>
      </c>
      <c r="AW3" s="1" t="s">
        <v>31</v>
      </c>
    </row>
    <row r="4" spans="3:49" x14ac:dyDescent="0.35">
      <c r="E4" s="20">
        <f>1/(0.000479779-0.000434801*LOG(0.05/(0.5*0.5*(T4-10)))-0.000100649*(LOG(0.05/(0.5*0.5*(T4-10))))^2-0.0000198446*(LOG(0.05/(0.5*0.5*(T4-10))))^3-0.00000195494*(LOG(0.05/(0.5*0.5*(T4-10))))^4-0.0000000757244*(LOG(0.05/(0.5*0.5*(T4-10))))^5)</f>
        <v>871.11955248309732</v>
      </c>
      <c r="F4">
        <v>1</v>
      </c>
      <c r="G4" s="1">
        <f>((AF4^(1-AL4)*AI4)^(1/AL4))</f>
        <v>8.8012099681620038E-6</v>
      </c>
      <c r="H4">
        <f>AF4</f>
        <v>1429</v>
      </c>
      <c r="I4" s="1">
        <f>AF4*C$20</f>
        <v>230.54298736336867</v>
      </c>
      <c r="J4" s="1">
        <f>1.38E-23*E4/(4*(1.602E-19^2)*I4*C$16)</f>
        <v>9.8852357315651091E-9</v>
      </c>
      <c r="K4">
        <f>3/5.814E-23-((0.05/5.814E-29/4-G4*1.38E-23*E4/(8*(1.602E-19)^2)))*10^-6+SQRT(0.05/5.814E-29*G4*1.38E-23*E4/(8*(1.602E-19)^2)*5.814E-29+ (-0.05/5.814E-29/4+(G4*1.38E-23*E4/(8*(1.602E-19)^2)^2)))*10^-6</f>
        <v>5.1386173213009829E+22</v>
      </c>
      <c r="N4" s="1" t="s">
        <v>236</v>
      </c>
      <c r="O4" s="1">
        <v>6.7602000000000001E-6</v>
      </c>
      <c r="P4" s="1">
        <v>4.0560999999999999E-4</v>
      </c>
      <c r="Q4" s="1">
        <v>5.6455000000000004E-6</v>
      </c>
      <c r="R4" s="1">
        <v>2.0155000000000001E-8</v>
      </c>
      <c r="S4" s="1">
        <v>0.35700999999999999</v>
      </c>
      <c r="T4" s="1">
        <v>54.2</v>
      </c>
      <c r="U4" s="1">
        <v>6.5202999999999997E-2</v>
      </c>
      <c r="V4" s="1">
        <v>0.1203</v>
      </c>
      <c r="W4" s="1">
        <v>127.7</v>
      </c>
      <c r="X4" s="1">
        <v>82.828999999999994</v>
      </c>
      <c r="Y4" s="1">
        <v>64.861999999999995</v>
      </c>
      <c r="Z4" s="1">
        <v>3.9372000000000002E-4</v>
      </c>
      <c r="AA4" s="1">
        <v>1.1323E-4</v>
      </c>
      <c r="AB4" s="1">
        <v>28.759</v>
      </c>
      <c r="AC4" s="1">
        <v>0.55769999999999997</v>
      </c>
      <c r="AD4" s="1">
        <v>1.7430000000000001E-2</v>
      </c>
      <c r="AE4" s="1">
        <v>3.1253000000000002</v>
      </c>
      <c r="AF4" s="1">
        <v>1429</v>
      </c>
      <c r="AG4" s="1">
        <v>78.765000000000001</v>
      </c>
      <c r="AH4" s="1">
        <v>5.5118999999999998</v>
      </c>
      <c r="AI4" s="1">
        <v>1.8187999999999999E-5</v>
      </c>
      <c r="AJ4" s="1">
        <v>2.8397000000000002E-7</v>
      </c>
      <c r="AK4" s="1">
        <v>1.5612999999999999</v>
      </c>
      <c r="AL4" s="1">
        <v>0.83411999999999997</v>
      </c>
      <c r="AM4" s="1">
        <v>9.4328999999999993E-3</v>
      </c>
      <c r="AN4" s="1">
        <v>1.1309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0</v>
      </c>
      <c r="AW4" s="1">
        <v>0</v>
      </c>
    </row>
    <row r="5" spans="3:49" x14ac:dyDescent="0.35">
      <c r="E5" s="20">
        <f>1/(0.000479779-0.000434801*LOG(0.05/(0.5*0.5*(T5-10)))-0.000100649*(LOG(0.05/(0.5*0.5*(T5-10))))^2-0.0000198446*(LOG(0.05/(0.5*0.5*(T5-10))))^3-0.00000195494*(LOG(0.05/(0.5*0.5*(T5-10))))^4-0.0000000757244*(LOG(0.05/(0.5*0.5*(T5-10))))^5)</f>
        <v>871.9643877940739</v>
      </c>
      <c r="F5">
        <v>3</v>
      </c>
      <c r="G5" s="1">
        <f>((AF5^(1-AL5)*AI5)^(1/AL5))</f>
        <v>2.9342130133818544E-5</v>
      </c>
      <c r="H5">
        <f>AF5</f>
        <v>80.41</v>
      </c>
      <c r="I5" s="1">
        <f>AF5*C$20</f>
        <v>12.972681325324334</v>
      </c>
      <c r="J5" s="1">
        <f>1.38E-23*E5/(4*(1.602E-19^2)*H5*C$16)</f>
        <v>2.8369381729071168E-8</v>
      </c>
      <c r="K5">
        <f>3/5.814E-23-((0.05/5.814E-29/4-G5*1.38E-23*E5/(8*(1.602E-19)^2)))*10^-6+SQRT(0.05/5.814E-29*G5*1.38E-23*E5/(8*(1.602E-19)^2)*5.814E-29+ (-0.05/5.814E-29/4+(G5*1.38E-23*E5/(8*(1.602E-19)^2)^2)))*10^-6</f>
        <v>5.1387483064558298E+22</v>
      </c>
      <c r="N5" s="1" t="s">
        <v>235</v>
      </c>
      <c r="O5" s="1">
        <v>5.1410999999999998E-6</v>
      </c>
      <c r="P5" s="1">
        <v>2.3649000000000001E-4</v>
      </c>
      <c r="Q5" s="1">
        <v>5.6810999999999997E-6</v>
      </c>
      <c r="R5" s="1">
        <v>1.8042E-8</v>
      </c>
      <c r="S5" s="1">
        <v>0.31757999999999997</v>
      </c>
      <c r="T5" s="1">
        <v>53.64</v>
      </c>
      <c r="U5" s="1">
        <v>7.0916999999999994E-2</v>
      </c>
      <c r="V5" s="1">
        <v>0.13220999999999999</v>
      </c>
      <c r="W5" s="1">
        <v>35.270000000000003</v>
      </c>
      <c r="X5" s="1">
        <v>1.4805999999999999</v>
      </c>
      <c r="Y5" s="1">
        <v>4.1978999999999997</v>
      </c>
      <c r="Z5" s="1">
        <v>1.0404E-4</v>
      </c>
      <c r="AA5" s="1">
        <v>9.4044999999999995E-6</v>
      </c>
      <c r="AB5" s="1">
        <v>9.0393000000000008</v>
      </c>
      <c r="AC5" s="1">
        <v>0.62961</v>
      </c>
      <c r="AD5" s="1">
        <v>8.8728000000000001E-3</v>
      </c>
      <c r="AE5" s="1">
        <v>1.4093</v>
      </c>
      <c r="AF5" s="1">
        <v>80.41</v>
      </c>
      <c r="AG5" s="1">
        <v>1.5291999999999999</v>
      </c>
      <c r="AH5" s="1">
        <v>1.9017999999999999</v>
      </c>
      <c r="AI5" s="1">
        <v>5.0061000000000001E-5</v>
      </c>
      <c r="AJ5" s="1">
        <v>1.1281E-6</v>
      </c>
      <c r="AK5" s="1">
        <v>2.2534999999999998</v>
      </c>
      <c r="AL5" s="1">
        <v>0.91169</v>
      </c>
      <c r="AM5" s="1">
        <v>6.8799999999999998E-3</v>
      </c>
      <c r="AN5" s="1">
        <v>0.75463999999999998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1</v>
      </c>
      <c r="AV5" s="1">
        <v>0</v>
      </c>
      <c r="AW5" s="1">
        <v>0</v>
      </c>
    </row>
    <row r="6" spans="3:49" x14ac:dyDescent="0.35">
      <c r="E6" s="20">
        <f>1/(0.000479779-0.000434801*LOG(0.05/(0.5*0.5*(T6-10)))-0.000100649*(LOG(0.05/(0.5*0.5*(T6-10))))^2-0.0000198446*(LOG(0.05/(0.5*0.5*(T6-10))))^3-0.00000195494*(LOG(0.05/(0.5*0.5*(T6-10))))^4-0.0000000757244*(LOG(0.05/(0.5*0.5*(T6-10))))^5)</f>
        <v>871.54032667585761</v>
      </c>
      <c r="F6">
        <v>5</v>
      </c>
      <c r="G6" s="1">
        <f>(AF6^(1-AL6)*AI6)^(1/AL6)</f>
        <v>4.6324392721883536E-5</v>
      </c>
      <c r="H6">
        <f>AF6</f>
        <v>52.53</v>
      </c>
      <c r="I6" s="1">
        <f>AF6*C$20</f>
        <v>8.4747537622097671</v>
      </c>
      <c r="J6" s="1">
        <f>1.38E-23*E6/(4*(1.602E-19^2)*H6*C$16)</f>
        <v>4.3405150981530059E-8</v>
      </c>
      <c r="K6">
        <f>3/5.814E-23-((0.05/5.814E-29/4-G6*1.38E-23*E6/(8*(1.602E-19)^2)))*10^-6+SQRT(0.05/5.814E-29*G6*1.38E-23*E6/(8*(1.602E-19)^2)*5.814E-29+ (-0.05/5.814E-29/4+(G6*1.38E-23*E6/(8*(1.602E-19)^2)^2)))*10^-6</f>
        <v>5.1388224498583558E+22</v>
      </c>
      <c r="N6" s="1" t="s">
        <v>234</v>
      </c>
      <c r="O6" s="1">
        <v>2.1050000000000002E-6</v>
      </c>
      <c r="P6" s="1">
        <v>1.2418999999999999E-4</v>
      </c>
      <c r="Q6" s="1">
        <v>5.6554000000000001E-6</v>
      </c>
      <c r="R6" s="1">
        <v>1.369E-8</v>
      </c>
      <c r="S6" s="1">
        <v>0.24207000000000001</v>
      </c>
      <c r="T6" s="1">
        <v>53.92</v>
      </c>
      <c r="U6" s="1">
        <v>9.2532000000000003E-2</v>
      </c>
      <c r="V6" s="1">
        <v>0.17161000000000001</v>
      </c>
      <c r="W6" s="1">
        <v>3.032</v>
      </c>
      <c r="X6" s="1">
        <v>0.17510000000000001</v>
      </c>
      <c r="Y6" s="1">
        <v>5.7751000000000001</v>
      </c>
      <c r="Z6" s="1">
        <v>2.0656E-4</v>
      </c>
      <c r="AA6" s="1">
        <v>8.8131E-5</v>
      </c>
      <c r="AB6" s="1">
        <v>42.665999999999997</v>
      </c>
      <c r="AC6" s="1">
        <v>0.61682000000000003</v>
      </c>
      <c r="AD6" s="1">
        <v>3.9542000000000001E-2</v>
      </c>
      <c r="AE6" s="1">
        <v>6.4105999999999996</v>
      </c>
      <c r="AF6" s="1">
        <v>52.53</v>
      </c>
      <c r="AG6" s="1">
        <v>0.22516</v>
      </c>
      <c r="AH6" s="1">
        <v>0.42863000000000001</v>
      </c>
      <c r="AI6" s="1">
        <v>5.9432000000000003E-5</v>
      </c>
      <c r="AJ6" s="1">
        <v>8.5985999999999997E-7</v>
      </c>
      <c r="AK6" s="1">
        <v>1.4468000000000001</v>
      </c>
      <c r="AL6" s="1">
        <v>0.95860000000000001</v>
      </c>
      <c r="AM6" s="1">
        <v>2.6618000000000002E-3</v>
      </c>
      <c r="AN6" s="1">
        <v>0.27767999999999998</v>
      </c>
      <c r="AO6" s="1">
        <v>10.39</v>
      </c>
      <c r="AP6" s="1">
        <v>0.27167999999999998</v>
      </c>
      <c r="AQ6" s="1">
        <v>2.6147999999999998</v>
      </c>
      <c r="AR6" s="1">
        <v>1.7058E-2</v>
      </c>
      <c r="AS6" s="1">
        <v>5.4600000000000004E-4</v>
      </c>
      <c r="AT6" s="1">
        <v>3.2008000000000001</v>
      </c>
      <c r="AU6" s="1">
        <v>0.90790999999999999</v>
      </c>
      <c r="AV6" s="1">
        <v>1.9807999999999999E-2</v>
      </c>
      <c r="AW6" s="1">
        <v>2.1817000000000002</v>
      </c>
    </row>
    <row r="7" spans="3:49" x14ac:dyDescent="0.35">
      <c r="E7" s="20">
        <f>1/(0.000479779-0.000434801*LOG(0.05/(0.5*0.5*(T7-10)))-0.000100649*(LOG(0.05/(0.5*0.5*(T7-10))))^2-0.0000198446*(LOG(0.05/(0.5*0.5*(T7-10))))^3-0.00000195494*(LOG(0.05/(0.5*0.5*(T7-10))))^4-0.0000000757244*(LOG(0.05/(0.5*0.5*(T7-10))))^5)</f>
        <v>872.76081435254514</v>
      </c>
      <c r="F7">
        <v>10</v>
      </c>
      <c r="G7" s="1">
        <f>(AF7^(1-AL7)*AI7)^(1/AL7)</f>
        <v>7.2206670589979182E-5</v>
      </c>
      <c r="H7">
        <f>AF7</f>
        <v>61.05</v>
      </c>
      <c r="I7" s="1">
        <f>AF7*C$20</f>
        <v>9.8492997750410467</v>
      </c>
      <c r="J7" s="1">
        <f>1.38E-23*E7/(4*(1.602E-19^2)*H7*C$16)</f>
        <v>3.7399927095656546E-8</v>
      </c>
      <c r="K7">
        <f>3/5.814E-23-((0.05/5.814E-29/4-G7*1.38E-23*E7/(8*(1.602E-19)^2)))*10^-6+SQRT(0.05/5.814E-29*G7*1.38E-23*E7/(8*(1.602E-19)^2)*5.814E-29+ (-0.05/5.814E-29/4+(G7*1.38E-23*E7/(8*(1.602E-19)^2)^2)))*10^-6</f>
        <v>5.1389131066386506E+22</v>
      </c>
      <c r="N7" s="1" t="s">
        <v>233</v>
      </c>
      <c r="O7" s="1">
        <v>1.486E-6</v>
      </c>
      <c r="P7" s="1">
        <v>8.7675000000000003E-5</v>
      </c>
      <c r="Q7" s="1">
        <v>5.6493000000000003E-6</v>
      </c>
      <c r="R7" s="1">
        <v>1.3564999999999999E-8</v>
      </c>
      <c r="S7" s="1">
        <v>0.24012</v>
      </c>
      <c r="T7" s="1">
        <v>53.12</v>
      </c>
      <c r="U7" s="1">
        <v>0.18697</v>
      </c>
      <c r="V7" s="1">
        <v>0.35198000000000002</v>
      </c>
      <c r="W7" s="1">
        <v>2.46</v>
      </c>
      <c r="X7" s="1">
        <v>0.29920999999999998</v>
      </c>
      <c r="Y7" s="1">
        <v>12.163</v>
      </c>
      <c r="Z7" s="1">
        <v>1.4438000000000001E-3</v>
      </c>
      <c r="AA7" s="1">
        <v>8.386E-4</v>
      </c>
      <c r="AB7" s="1">
        <v>58.082999999999998</v>
      </c>
      <c r="AC7" s="1">
        <v>0.45867999999999998</v>
      </c>
      <c r="AD7" s="1">
        <v>5.9852000000000002E-2</v>
      </c>
      <c r="AE7" s="1">
        <v>13.048999999999999</v>
      </c>
      <c r="AF7" s="1">
        <v>61.05</v>
      </c>
      <c r="AG7" s="1">
        <v>0.26243</v>
      </c>
      <c r="AH7" s="1">
        <v>0.42986000000000002</v>
      </c>
      <c r="AI7" s="1">
        <v>8.7038000000000003E-5</v>
      </c>
      <c r="AJ7" s="1">
        <v>9.2085000000000004E-7</v>
      </c>
      <c r="AK7" s="1">
        <v>1.0580000000000001</v>
      </c>
      <c r="AL7" s="1">
        <v>0.96555999999999997</v>
      </c>
      <c r="AM7" s="1">
        <v>2.2254000000000002E-3</v>
      </c>
      <c r="AN7" s="1">
        <v>0.23047999999999999</v>
      </c>
      <c r="AO7" s="1">
        <v>10.18</v>
      </c>
      <c r="AP7" s="1">
        <v>0.28116000000000002</v>
      </c>
      <c r="AQ7" s="1">
        <v>2.7618999999999998</v>
      </c>
      <c r="AR7" s="1">
        <v>1.7186E-2</v>
      </c>
      <c r="AS7" s="1">
        <v>5.1822000000000001E-4</v>
      </c>
      <c r="AT7" s="1">
        <v>3.0154000000000001</v>
      </c>
      <c r="AU7" s="1">
        <v>0.93181000000000003</v>
      </c>
      <c r="AV7" s="1">
        <v>1.9425000000000001E-2</v>
      </c>
      <c r="AW7" s="1">
        <v>2.0847000000000002</v>
      </c>
    </row>
    <row r="8" spans="3:49" x14ac:dyDescent="0.35">
      <c r="E8" s="20">
        <f>1/(0.000479779-0.000434801*LOG(0.05/(0.5*0.5*(T8-10)))-0.000100649*(LOG(0.05/(0.5*0.5*(T8-10))))^2-0.0000198446*(LOG(0.05/(0.5*0.5*(T8-10))))^3-0.00000195494*(LOG(0.05/(0.5*0.5*(T8-10))))^4-0.0000000757244*(LOG(0.05/(0.5*0.5*(T8-10))))^5)</f>
        <v>874.02506622434669</v>
      </c>
      <c r="F8">
        <v>15</v>
      </c>
      <c r="G8" s="1">
        <f>(AF8^(1-AL8)*AI8)^(1/AL8)</f>
        <v>1.0137879410379988E-4</v>
      </c>
      <c r="H8">
        <f>AF8</f>
        <v>59.01</v>
      </c>
      <c r="I8" s="1">
        <f>AF8*C$20</f>
        <v>9.520183124081445</v>
      </c>
      <c r="J8" s="1">
        <f>1.38E-23*E8/(4*(1.602E-19^2)*H8*C$16)</f>
        <v>3.8748907145146036E-8</v>
      </c>
      <c r="K8">
        <f>3/5.814E-23-((0.05/5.814E-29/4-G8*1.38E-23*E8/(8*(1.602E-19)^2)))*10^-6+SQRT(0.05/5.814E-29*G8*1.38E-23*E8/(8*(1.602E-19)^2)*5.814E-29+ (-0.05/5.814E-29/4+(G8*1.38E-23*E8/(8*(1.602E-19)^2)^2)))*10^-6</f>
        <v>5.1389974845011066E+22</v>
      </c>
      <c r="N8" s="1" t="s">
        <v>232</v>
      </c>
      <c r="O8" s="1">
        <v>7.4718999999999996E-7</v>
      </c>
      <c r="P8" s="1">
        <v>4.4084E-5</v>
      </c>
      <c r="Q8" s="1">
        <v>5.6330000000000001E-6</v>
      </c>
      <c r="R8" s="1">
        <v>9.0852999999999996E-9</v>
      </c>
      <c r="S8" s="1">
        <v>0.16128999999999999</v>
      </c>
      <c r="T8" s="1">
        <v>52.31</v>
      </c>
      <c r="U8" s="1">
        <v>0.10979</v>
      </c>
      <c r="V8" s="1">
        <v>0.20988000000000001</v>
      </c>
      <c r="W8" s="1">
        <v>1.81</v>
      </c>
      <c r="X8" s="1">
        <v>0.17385999999999999</v>
      </c>
      <c r="Y8" s="1">
        <v>9.6054999999999993</v>
      </c>
      <c r="Z8" s="1">
        <v>1.7645E-3</v>
      </c>
      <c r="AA8" s="1">
        <v>8.5517999999999998E-4</v>
      </c>
      <c r="AB8" s="1">
        <v>48.466000000000001</v>
      </c>
      <c r="AC8" s="1">
        <v>0.47205999999999998</v>
      </c>
      <c r="AD8" s="1">
        <v>4.9853000000000001E-2</v>
      </c>
      <c r="AE8" s="1">
        <v>10.561</v>
      </c>
      <c r="AF8" s="1">
        <v>59.01</v>
      </c>
      <c r="AG8" s="1">
        <v>0.19173000000000001</v>
      </c>
      <c r="AH8" s="1">
        <v>0.32490999999999998</v>
      </c>
      <c r="AI8" s="1">
        <v>1.1938E-4</v>
      </c>
      <c r="AJ8" s="1">
        <v>8.7031000000000002E-7</v>
      </c>
      <c r="AK8" s="1">
        <v>0.72902</v>
      </c>
      <c r="AL8" s="1">
        <v>0.96806999999999999</v>
      </c>
      <c r="AM8" s="1">
        <v>1.5950999999999999E-3</v>
      </c>
      <c r="AN8" s="1">
        <v>0.16477</v>
      </c>
      <c r="AO8" s="1">
        <v>9.5790000000000006</v>
      </c>
      <c r="AP8" s="1">
        <v>0.21215000000000001</v>
      </c>
      <c r="AQ8" s="1">
        <v>2.2147000000000001</v>
      </c>
      <c r="AR8" s="1">
        <v>1.8223E-2</v>
      </c>
      <c r="AS8" s="1">
        <v>4.2140999999999999E-4</v>
      </c>
      <c r="AT8" s="1">
        <v>2.3125</v>
      </c>
      <c r="AU8" s="1">
        <v>0.94948999999999995</v>
      </c>
      <c r="AV8" s="1">
        <v>1.4706E-2</v>
      </c>
      <c r="AW8" s="1">
        <v>1.5488</v>
      </c>
    </row>
    <row r="9" spans="3:49" x14ac:dyDescent="0.35">
      <c r="E9" s="20">
        <f>1/(0.000479779-0.000434801*LOG(0.05/(0.5*0.5*(T9-10)))-0.000100649*(LOG(0.05/(0.5*0.5*(T9-10))))^2-0.0000198446*(LOG(0.05/(0.5*0.5*(T9-10))))^3-0.00000195494*(LOG(0.05/(0.5*0.5*(T9-10))))^4-0.0000000757244*(LOG(0.05/(0.5*0.5*(T9-10))))^5)</f>
        <v>873.9777162015431</v>
      </c>
      <c r="F9">
        <v>20</v>
      </c>
      <c r="G9" s="1">
        <f>(AF9^(1-AL9)*AI9)^(1/AL9)</f>
        <v>1.2844629074176679E-4</v>
      </c>
      <c r="H9">
        <f>AF9</f>
        <v>55.86</v>
      </c>
      <c r="I9" s="1">
        <f>AF9*C$20</f>
        <v>9.0119882953938237</v>
      </c>
      <c r="J9" s="1">
        <f>1.38E-23*E9/(4*(1.602E-19^2)*H9*C$16)</f>
        <v>4.0931778308060021E-8</v>
      </c>
      <c r="K9">
        <f>3/5.814E-23-((0.05/5.814E-29/4-G9*1.38E-23*E9/(8*(1.602E-19)^2)))*10^-6+SQRT(0.05/5.814E-29*G9*1.38E-23*E9/(8*(1.602E-19)^2)*5.814E-29+ (-0.05/5.814E-29/4+(G9*1.38E-23*E9/(8*(1.602E-19)^2)^2)))*10^-6</f>
        <v>5.1390651196375845E+22</v>
      </c>
      <c r="N9" s="1" t="s">
        <v>231</v>
      </c>
      <c r="O9" s="1">
        <v>1.9526000000000002E-6</v>
      </c>
      <c r="P9" s="1">
        <v>1.1519999999999999E-4</v>
      </c>
      <c r="Q9" s="1">
        <v>5.6776999999999999E-6</v>
      </c>
      <c r="R9" s="1">
        <v>1.9922000000000001E-8</v>
      </c>
      <c r="S9" s="1">
        <v>0.35088000000000003</v>
      </c>
      <c r="T9" s="1">
        <v>52.34</v>
      </c>
      <c r="U9" s="1">
        <v>0.65403</v>
      </c>
      <c r="V9" s="1">
        <v>1.2496</v>
      </c>
      <c r="W9" s="1">
        <v>2.6120000000000001</v>
      </c>
      <c r="X9" s="1">
        <v>0.80496999999999996</v>
      </c>
      <c r="Y9" s="1">
        <v>30.818000000000001</v>
      </c>
      <c r="Z9" s="1">
        <v>2.5487000000000001E-3</v>
      </c>
      <c r="AA9" s="1">
        <v>1.8087000000000001E-3</v>
      </c>
      <c r="AB9" s="1">
        <v>70.965999999999994</v>
      </c>
      <c r="AC9" s="1">
        <v>0.36754999999999999</v>
      </c>
      <c r="AD9" s="1">
        <v>9.7098000000000004E-2</v>
      </c>
      <c r="AE9" s="1">
        <v>26.417999999999999</v>
      </c>
      <c r="AF9" s="1">
        <v>55.86</v>
      </c>
      <c r="AG9" s="1">
        <v>0.35136000000000001</v>
      </c>
      <c r="AH9" s="1">
        <v>0.629</v>
      </c>
      <c r="AI9" s="1">
        <v>1.4949000000000001E-4</v>
      </c>
      <c r="AJ9" s="1">
        <v>1.8321E-6</v>
      </c>
      <c r="AK9" s="1">
        <v>1.2256</v>
      </c>
      <c r="AL9" s="1">
        <v>0.96926999999999996</v>
      </c>
      <c r="AM9" s="1">
        <v>2.8508000000000001E-3</v>
      </c>
      <c r="AN9" s="1">
        <v>0.29411999999999999</v>
      </c>
      <c r="AO9" s="1">
        <v>9.44</v>
      </c>
      <c r="AP9" s="1">
        <v>0.36546000000000001</v>
      </c>
      <c r="AQ9" s="1">
        <v>3.8714</v>
      </c>
      <c r="AR9" s="1">
        <v>1.8603000000000001E-2</v>
      </c>
      <c r="AS9" s="1">
        <v>7.4155E-4</v>
      </c>
      <c r="AT9" s="1">
        <v>3.9862000000000002</v>
      </c>
      <c r="AU9" s="1">
        <v>0.95235000000000003</v>
      </c>
      <c r="AV9" s="1">
        <v>2.4677999999999999E-2</v>
      </c>
      <c r="AW9" s="1">
        <v>2.5912999999999999</v>
      </c>
    </row>
    <row r="10" spans="3:49" x14ac:dyDescent="0.35">
      <c r="E10" s="20">
        <f>1/(0.000479779-0.000434801*LOG(0.05/(0.5*0.5*(T10-10)))-0.000100649*(LOG(0.05/(0.5*0.5*(T10-10))))^2-0.0000198446*(LOG(0.05/(0.5*0.5*(T10-10))))^3-0.00000195494*(LOG(0.05/(0.5*0.5*(T10-10))))^4-0.0000000757244*(LOG(0.05/(0.5*0.5*(T10-10))))^5)</f>
        <v>877.31124516800207</v>
      </c>
      <c r="F10">
        <v>30</v>
      </c>
      <c r="G10" s="1">
        <f>(AF10^(1-AL10)*AI10)^(1/AL10)</f>
        <v>1.8452018076555175E-4</v>
      </c>
      <c r="H10">
        <f>AF10</f>
        <v>51.03</v>
      </c>
      <c r="I10" s="1">
        <f>AF10*C$20</f>
        <v>8.2327562247394699</v>
      </c>
      <c r="J10" s="1">
        <f>1.38E-23*E10/(4*(1.602E-19^2)*H10*C$16)</f>
        <v>4.4976878676353724E-8</v>
      </c>
      <c r="K10">
        <f>3/5.814E-23-((0.05/5.814E-29/4-G10*1.38E-23*E10/(8*(1.602E-19)^2)))*10^-6+SQRT(0.05/5.814E-29*G10*1.38E-23*E10/(8*(1.602E-19)^2)*5.814E-29+ (-0.05/5.814E-29/4+(G10*1.38E-23*E10/(8*(1.602E-19)^2)^2)))*10^-6</f>
        <v>5.1391868788133526E+22</v>
      </c>
      <c r="N10" s="1" t="s">
        <v>230</v>
      </c>
      <c r="O10" s="1">
        <v>2.8646000000000001E-6</v>
      </c>
      <c r="P10" s="1">
        <v>1.6901000000000001E-4</v>
      </c>
      <c r="Q10" s="1">
        <v>5.6713999999999996E-6</v>
      </c>
      <c r="R10" s="1">
        <v>2.2910999999999999E-8</v>
      </c>
      <c r="S10" s="1">
        <v>0.40397</v>
      </c>
      <c r="T10" s="1">
        <v>50.29</v>
      </c>
      <c r="U10" s="1">
        <v>0.96718000000000004</v>
      </c>
      <c r="V10" s="1">
        <v>1.9232</v>
      </c>
      <c r="W10" s="1">
        <v>2.8</v>
      </c>
      <c r="X10" s="1">
        <v>1.242</v>
      </c>
      <c r="Y10" s="1">
        <v>44.356999999999999</v>
      </c>
      <c r="Z10" s="1">
        <v>5.0092000000000001E-3</v>
      </c>
      <c r="AA10" s="1">
        <v>4.2491999999999999E-3</v>
      </c>
      <c r="AB10" s="1">
        <v>84.828000000000003</v>
      </c>
      <c r="AC10" s="1">
        <v>0.31678000000000001</v>
      </c>
      <c r="AD10" s="1">
        <v>0.1258</v>
      </c>
      <c r="AE10" s="1">
        <v>39.712000000000003</v>
      </c>
      <c r="AF10" s="1">
        <v>51.03</v>
      </c>
      <c r="AG10" s="1">
        <v>0.48338999999999999</v>
      </c>
      <c r="AH10" s="1">
        <v>0.94726999999999995</v>
      </c>
      <c r="AI10" s="1">
        <v>2.1460000000000001E-4</v>
      </c>
      <c r="AJ10" s="1">
        <v>3.3087000000000002E-6</v>
      </c>
      <c r="AK10" s="1">
        <v>1.5418000000000001</v>
      </c>
      <c r="AL10" s="1">
        <v>0.96762999999999999</v>
      </c>
      <c r="AM10" s="1">
        <v>3.9692E-3</v>
      </c>
      <c r="AN10" s="1">
        <v>0.41020000000000001</v>
      </c>
      <c r="AO10" s="1">
        <v>9.36</v>
      </c>
      <c r="AP10" s="1">
        <v>0.46221000000000001</v>
      </c>
      <c r="AQ10" s="1">
        <v>4.9381000000000004</v>
      </c>
      <c r="AR10" s="1">
        <v>1.9521E-2</v>
      </c>
      <c r="AS10" s="1">
        <v>9.8948000000000005E-4</v>
      </c>
      <c r="AT10" s="1">
        <v>5.0688000000000004</v>
      </c>
      <c r="AU10" s="1">
        <v>0.96723000000000003</v>
      </c>
      <c r="AV10" s="1">
        <v>2.9665E-2</v>
      </c>
      <c r="AW10" s="1">
        <v>3.0670000000000002</v>
      </c>
    </row>
    <row r="11" spans="3:49" x14ac:dyDescent="0.35">
      <c r="E11" s="20">
        <f>1/(0.000479779-0.000434801*LOG(0.05/(0.5*0.5*(T11-10)))-0.000100649*(LOG(0.05/(0.5*0.5*(T11-10))))^2-0.0000198446*(LOG(0.05/(0.5*0.5*(T11-10))))^3-0.00000195494*(LOG(0.05/(0.5*0.5*(T11-10))))^4-0.0000000757244*(LOG(0.05/(0.5*0.5*(T11-10))))^5)</f>
        <v>877.59697583159914</v>
      </c>
      <c r="F11">
        <v>40</v>
      </c>
      <c r="G11" s="1">
        <f>(AF11^(1-AL11)*AI11)^(1/AL11)</f>
        <v>2.357175697606511E-4</v>
      </c>
      <c r="H11">
        <f>AF11</f>
        <v>39.950000000000003</v>
      </c>
      <c r="I11" s="1">
        <f>AF11*C$20</f>
        <v>6.4452010812922174</v>
      </c>
      <c r="J11" s="1">
        <f>1.38E-23*E11/(4*(1.602E-19^2)*H11*C$16)</f>
        <v>5.7469777988076608E-8</v>
      </c>
      <c r="K11">
        <f>3/5.814E-23-((0.05/5.814E-29/4-G11*1.38E-23*E11/(8*(1.602E-19)^2)))*10^-6+SQRT(0.05/5.814E-29*G11*1.38E-23*E11/(8*(1.602E-19)^2)*5.814E-29+ (-0.05/5.814E-29/4+(G11*1.38E-23*E11/(8*(1.602E-19)^2)^2)))*10^-6</f>
        <v>5.1392818321335163E+22</v>
      </c>
      <c r="N11" s="1" t="s">
        <v>229</v>
      </c>
      <c r="O11" s="1">
        <v>2.0014999999999998E-6</v>
      </c>
      <c r="P11" s="1">
        <v>1.1809E-4</v>
      </c>
      <c r="Q11" s="1">
        <v>5.6045999999999997E-6</v>
      </c>
      <c r="R11" s="1">
        <v>1.9006999999999999E-8</v>
      </c>
      <c r="S11" s="1">
        <v>0.33912999999999999</v>
      </c>
      <c r="T11" s="1">
        <v>50.12</v>
      </c>
      <c r="U11" s="1">
        <v>0.81113999999999997</v>
      </c>
      <c r="V11" s="1">
        <v>1.6184000000000001</v>
      </c>
      <c r="W11" s="1">
        <v>2.5529999999999999</v>
      </c>
      <c r="X11" s="1">
        <v>1.0412999999999999</v>
      </c>
      <c r="Y11" s="1">
        <v>40.786999999999999</v>
      </c>
      <c r="Z11" s="1">
        <v>5.6350000000000003E-3</v>
      </c>
      <c r="AA11" s="1">
        <v>4.3413000000000002E-3</v>
      </c>
      <c r="AB11" s="1">
        <v>77.042000000000002</v>
      </c>
      <c r="AC11" s="1">
        <v>0.31489</v>
      </c>
      <c r="AD11" s="1">
        <v>0.115</v>
      </c>
      <c r="AE11" s="1">
        <v>36.521000000000001</v>
      </c>
      <c r="AF11" s="1">
        <v>39.950000000000003</v>
      </c>
      <c r="AG11" s="1">
        <v>0.39940999999999999</v>
      </c>
      <c r="AH11" s="1">
        <v>0.99977000000000005</v>
      </c>
      <c r="AI11" s="1">
        <v>2.7476999999999997E-4</v>
      </c>
      <c r="AJ11" s="1">
        <v>4.2860000000000001E-6</v>
      </c>
      <c r="AK11" s="1">
        <v>1.5599000000000001</v>
      </c>
      <c r="AL11" s="1">
        <v>0.96714</v>
      </c>
      <c r="AM11" s="1">
        <v>4.0926000000000001E-3</v>
      </c>
      <c r="AN11" s="1">
        <v>0.42316999999999999</v>
      </c>
      <c r="AO11" s="1">
        <v>8.8469999999999995</v>
      </c>
      <c r="AP11" s="1">
        <v>0.373</v>
      </c>
      <c r="AQ11" s="1">
        <v>4.2161</v>
      </c>
      <c r="AR11" s="1">
        <v>2.001E-2</v>
      </c>
      <c r="AS11" s="1">
        <v>8.7399999999999999E-4</v>
      </c>
      <c r="AT11" s="1">
        <v>4.3677999999999999</v>
      </c>
      <c r="AU11" s="1">
        <v>0.95626999999999995</v>
      </c>
      <c r="AV11" s="1">
        <v>2.4385E-2</v>
      </c>
      <c r="AW11" s="1">
        <v>2.5499999999999998</v>
      </c>
    </row>
    <row r="12" spans="3:49" x14ac:dyDescent="0.35">
      <c r="E12" s="20">
        <f>1/(0.000479779-0.000434801*LOG(0.05/(0.5*0.5*(T12-10)))-0.000100649*(LOG(0.05/(0.5*0.5*(T12-10))))^2-0.0000198446*(LOG(0.05/(0.5*0.5*(T12-10))))^3-0.00000195494*(LOG(0.05/(0.5*0.5*(T12-10))))^4-0.0000000757244*(LOG(0.05/(0.5*0.5*(T12-10))))^5)</f>
        <v>878.58310061704481</v>
      </c>
      <c r="F12">
        <v>50</v>
      </c>
      <c r="G12" s="1">
        <f>(AF12^(1-AL12)*AI12)^(1/AL12)</f>
        <v>2.7907704218442313E-4</v>
      </c>
      <c r="H12">
        <f>AF12</f>
        <v>40.119999999999997</v>
      </c>
      <c r="I12" s="1">
        <f>AF12*C$20</f>
        <v>6.4726274688721839</v>
      </c>
      <c r="J12" s="1">
        <f>1.38E-23*E12/(4*(1.602E-19^2)*H12*C$16)</f>
        <v>5.7290565112947956E-8</v>
      </c>
      <c r="K12">
        <f>3/5.814E-23-((0.05/5.814E-29/4-G12*1.38E-23*E12/(8*(1.602E-19)^2)))*10^-6+SQRT(0.05/5.814E-29*G12*1.38E-23*E12/(8*(1.602E-19)^2)*5.814E-29+ (-0.05/5.814E-29/4+(G12*1.38E-23*E12/(8*(1.602E-19)^2)^2)))*10^-6</f>
        <v>5.1393548304405768E+22</v>
      </c>
      <c r="L12" s="20"/>
      <c r="M12" s="20"/>
      <c r="N12" s="1" t="s">
        <v>224</v>
      </c>
      <c r="O12" s="1">
        <v>2.1785E-6</v>
      </c>
      <c r="P12" s="1">
        <v>1.2417999999999999E-4</v>
      </c>
      <c r="Q12" s="1">
        <v>5.7621999999999997E-6</v>
      </c>
      <c r="R12" s="1">
        <v>2.1028000000000001E-8</v>
      </c>
      <c r="S12" s="1">
        <v>0.36492999999999998</v>
      </c>
      <c r="T12" s="1">
        <v>49.54</v>
      </c>
      <c r="U12" s="1">
        <v>1.7818000000000001</v>
      </c>
      <c r="V12" s="1">
        <v>3.5966999999999998</v>
      </c>
      <c r="W12" s="1">
        <v>3.4460000000000002</v>
      </c>
      <c r="X12" s="1">
        <v>2.2637</v>
      </c>
      <c r="Y12" s="1">
        <v>65.691000000000003</v>
      </c>
      <c r="Z12" s="1">
        <v>9.1240000000000002E-3</v>
      </c>
      <c r="AA12" s="1">
        <v>6.1314999999999998E-3</v>
      </c>
      <c r="AB12" s="1">
        <v>67.201999999999998</v>
      </c>
      <c r="AC12" s="1">
        <v>0.2465</v>
      </c>
      <c r="AD12" s="1">
        <v>0.13897999999999999</v>
      </c>
      <c r="AE12" s="1">
        <v>56.381</v>
      </c>
      <c r="AF12" s="1">
        <v>40.119999999999997</v>
      </c>
      <c r="AG12" s="1">
        <v>0.53005999999999998</v>
      </c>
      <c r="AH12" s="1">
        <v>1.3211999999999999</v>
      </c>
      <c r="AI12" s="1">
        <v>3.2170000000000001E-4</v>
      </c>
      <c r="AJ12" s="1">
        <v>5.3247E-6</v>
      </c>
      <c r="AK12" s="1">
        <v>1.6552</v>
      </c>
      <c r="AL12" s="1">
        <v>0.96836</v>
      </c>
      <c r="AM12" s="1">
        <v>4.8141E-3</v>
      </c>
      <c r="AN12" s="1">
        <v>0.49714000000000003</v>
      </c>
      <c r="AO12" s="1">
        <v>8.6969999999999992</v>
      </c>
      <c r="AP12" s="1">
        <v>0.49933</v>
      </c>
      <c r="AQ12" s="1">
        <v>5.7413999999999996</v>
      </c>
      <c r="AR12" s="1">
        <v>2.052E-2</v>
      </c>
      <c r="AS12" s="1">
        <v>1.0801999999999999E-3</v>
      </c>
      <c r="AT12" s="1">
        <v>5.2641</v>
      </c>
      <c r="AU12" s="1">
        <v>0.95965</v>
      </c>
      <c r="AV12" s="1">
        <v>3.1691999999999998E-2</v>
      </c>
      <c r="AW12" s="1">
        <v>3.3025000000000002</v>
      </c>
    </row>
    <row r="13" spans="3:49" x14ac:dyDescent="0.35">
      <c r="G13" s="1"/>
      <c r="H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3:49" x14ac:dyDescent="0.35">
      <c r="G14" s="1"/>
      <c r="H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3:49" x14ac:dyDescent="0.35">
      <c r="C15" s="2" t="s">
        <v>58</v>
      </c>
      <c r="E15" t="s">
        <v>228</v>
      </c>
      <c r="F15" t="s">
        <v>41</v>
      </c>
      <c r="G15" s="1" t="s">
        <v>49</v>
      </c>
      <c r="H15" t="s">
        <v>40</v>
      </c>
      <c r="I15" s="2" t="s">
        <v>77</v>
      </c>
      <c r="J15" s="2" t="s">
        <v>52</v>
      </c>
      <c r="K15" s="2" t="s">
        <v>130</v>
      </c>
      <c r="L15" s="2"/>
      <c r="N15" s="1" t="s">
        <v>227</v>
      </c>
      <c r="O15" s="1" t="s">
        <v>0</v>
      </c>
      <c r="P15" s="1" t="s">
        <v>1</v>
      </c>
      <c r="Q15" s="1" t="s">
        <v>2</v>
      </c>
      <c r="R15" s="1" t="s">
        <v>3</v>
      </c>
      <c r="S15" s="1" t="s">
        <v>4</v>
      </c>
      <c r="T15" s="1" t="s">
        <v>33</v>
      </c>
      <c r="U15" s="1" t="s">
        <v>34</v>
      </c>
      <c r="V15" s="1" t="s">
        <v>35</v>
      </c>
      <c r="W15" s="1" t="s">
        <v>5</v>
      </c>
      <c r="X15" s="1" t="s">
        <v>6</v>
      </c>
      <c r="Y15" s="1" t="s">
        <v>7</v>
      </c>
      <c r="Z15" s="1" t="s">
        <v>8</v>
      </c>
      <c r="AA15" s="1" t="s">
        <v>9</v>
      </c>
      <c r="AB15" s="1" t="s">
        <v>10</v>
      </c>
      <c r="AC15" s="1" t="s">
        <v>11</v>
      </c>
      <c r="AD15" s="1" t="s">
        <v>12</v>
      </c>
      <c r="AE15" s="1" t="s">
        <v>13</v>
      </c>
      <c r="AF15" s="1" t="s">
        <v>14</v>
      </c>
      <c r="AG15" s="1" t="s">
        <v>15</v>
      </c>
      <c r="AH15" s="1" t="s">
        <v>16</v>
      </c>
      <c r="AI15" s="1" t="s">
        <v>17</v>
      </c>
      <c r="AJ15" s="1" t="s">
        <v>18</v>
      </c>
      <c r="AK15" s="1" t="s">
        <v>19</v>
      </c>
      <c r="AL15" s="1" t="s">
        <v>20</v>
      </c>
      <c r="AM15" s="1" t="s">
        <v>21</v>
      </c>
      <c r="AN15" s="1" t="s">
        <v>22</v>
      </c>
      <c r="AO15" s="1" t="s">
        <v>23</v>
      </c>
      <c r="AP15" s="1" t="s">
        <v>24</v>
      </c>
      <c r="AQ15" s="1" t="s">
        <v>25</v>
      </c>
      <c r="AR15" s="1" t="s">
        <v>26</v>
      </c>
      <c r="AS15" s="1" t="s">
        <v>27</v>
      </c>
      <c r="AT15" s="1" t="s">
        <v>28</v>
      </c>
      <c r="AU15" s="1" t="s">
        <v>29</v>
      </c>
      <c r="AV15" s="1" t="s">
        <v>30</v>
      </c>
      <c r="AW15" s="1" t="s">
        <v>31</v>
      </c>
    </row>
    <row r="16" spans="3:49" x14ac:dyDescent="0.35">
      <c r="C16" s="2">
        <f>((3/5.814E-29)-(0.05/5.814E-29/4))*10^-6</f>
        <v>5.1384588923288611E+22</v>
      </c>
      <c r="E16" s="20">
        <f>1/(0.000479779-0.000434801*LOG(0.05/(0.5*0.5*(T16-10)))-0.000100649*(LOG(0.05/(0.5*0.5*(T16-10))))^2-0.0000198446*(LOG(0.05/(0.5*0.5*(T16-10))))^3-0.00000195494*(LOG(0.05/(0.5*0.5*(T16-10))))^4-0.0000000757244*(LOG(0.05/(0.5*0.5*(T16-10))))^5)</f>
        <v>880.02555392719239</v>
      </c>
      <c r="F16">
        <v>0.01</v>
      </c>
      <c r="G16" s="1">
        <f>(AF16^(1-AL16)*AI16)^(1/AL16)</f>
        <v>3.1735386736806396E-4</v>
      </c>
      <c r="H16">
        <f>AF16</f>
        <v>86.98</v>
      </c>
      <c r="I16" s="3">
        <f>H16*C$20</f>
        <v>14.032630539444233</v>
      </c>
      <c r="J16" s="3">
        <f>1.38E-23*E16/(4*(1.602E-19^2)*H16*C$16)</f>
        <v>2.6468971417642814E-8</v>
      </c>
      <c r="K16" s="2">
        <f>3/5.814E-23-((0.05/5.814E-29/4-G16*1.38E-23*E16/(8*(1.602E-19)^2)))*10^-6+SQRT(0.05/5.814E-29*G16*1.38E-23*E16/(8*(1.602E-19)^2)*5.814E-29+ (-0.05/5.814E-29/4+(G16*1.38E-23*E16/(8*(1.602E-19)^2)^2)))*10^-6</f>
        <v>5.1394150820524216E+22</v>
      </c>
      <c r="L16" s="2"/>
      <c r="N16" s="1" t="s">
        <v>226</v>
      </c>
      <c r="O16" s="1">
        <v>4.4333999999999998E-6</v>
      </c>
      <c r="P16" s="1">
        <v>2.7931000000000001E-4</v>
      </c>
      <c r="Q16" s="1">
        <v>5.8672999999999997E-6</v>
      </c>
      <c r="R16" s="1">
        <v>2.4585000000000001E-8</v>
      </c>
      <c r="S16" s="1">
        <v>0.41902</v>
      </c>
      <c r="T16" s="1">
        <v>48.71</v>
      </c>
      <c r="U16" s="1">
        <v>1.4481999999999999</v>
      </c>
      <c r="V16" s="1">
        <v>2.9731000000000001</v>
      </c>
      <c r="W16" s="1">
        <v>4.3600000000000003</v>
      </c>
      <c r="X16" s="1">
        <v>2.3401000000000001</v>
      </c>
      <c r="Y16" s="1">
        <v>53.671999999999997</v>
      </c>
      <c r="Z16" s="1">
        <v>1.468E-2</v>
      </c>
      <c r="AA16" s="1">
        <v>1.1495999999999999E-2</v>
      </c>
      <c r="AB16" s="1">
        <v>78.311000000000007</v>
      </c>
      <c r="AC16" s="1">
        <v>0.22883000000000001</v>
      </c>
      <c r="AD16" s="1">
        <v>0.12581999999999999</v>
      </c>
      <c r="AE16" s="1">
        <v>54.984000000000002</v>
      </c>
      <c r="AF16" s="1">
        <v>86.98</v>
      </c>
      <c r="AG16" s="1">
        <v>0.79303000000000001</v>
      </c>
      <c r="AH16" s="1">
        <v>0.91173999999999999</v>
      </c>
      <c r="AI16" s="1">
        <v>3.5934999999999998E-4</v>
      </c>
      <c r="AJ16" s="1">
        <v>3.6028999999999998E-6</v>
      </c>
      <c r="AK16" s="1">
        <v>1.0025999999999999</v>
      </c>
      <c r="AL16" s="1">
        <v>0.96538000000000002</v>
      </c>
      <c r="AM16" s="1">
        <v>3.5821999999999998E-3</v>
      </c>
      <c r="AN16" s="1">
        <v>0.37107000000000001</v>
      </c>
      <c r="AO16" s="1">
        <v>29.49</v>
      </c>
      <c r="AP16" s="1">
        <v>0.78200999999999998</v>
      </c>
      <c r="AQ16" s="1">
        <v>2.6518000000000002</v>
      </c>
      <c r="AR16" s="1">
        <v>1.9309E-2</v>
      </c>
      <c r="AS16" s="1">
        <v>6.2564000000000001E-4</v>
      </c>
      <c r="AT16" s="1">
        <v>3.2401</v>
      </c>
      <c r="AU16" s="1">
        <v>0.96650999999999998</v>
      </c>
      <c r="AV16" s="1">
        <v>1.6988E-2</v>
      </c>
      <c r="AW16" s="1">
        <v>1.7577</v>
      </c>
    </row>
    <row r="17" spans="3:49" x14ac:dyDescent="0.35">
      <c r="C17" s="2" t="s">
        <v>225</v>
      </c>
      <c r="E17" s="20">
        <f>1/(0.000479779-0.000434801*LOG(0.05/(0.5*0.5*(T17-10)))-0.000100649*(LOG(0.05/(0.5*0.5*(T17-10))))^2-0.0000198446*(LOG(0.05/(0.5*0.5*(T17-10))))^3-0.00000195494*(LOG(0.05/(0.5*0.5*(T17-10))))^4-0.0000000757244*(LOG(0.05/(0.5*0.5*(T17-10))))^5)</f>
        <v>879.43012523896516</v>
      </c>
      <c r="F17">
        <v>0.04</v>
      </c>
      <c r="G17" s="1">
        <f>(AF17^(1-AL17)*AI17)^(1/AL17)</f>
        <v>2.7939250762435173E-4</v>
      </c>
      <c r="H17">
        <f>AF17</f>
        <v>40.07</v>
      </c>
      <c r="I17" s="3">
        <f>H17*C$20</f>
        <v>6.464560884289841</v>
      </c>
      <c r="J17" s="3">
        <f>1.38E-23*E17/(4*(1.602E-19^2)*H17*C$16)</f>
        <v>5.7417354838197438E-8</v>
      </c>
      <c r="K17" s="2">
        <f>3/5.814E-23-((0.05/5.814E-29/4-G17*1.38E-23*E17/(8*(1.602E-19)^2)))*10^-6+SQRT(0.05/5.814E-29*G17*1.38E-23*E17/(8*(1.602E-19)^2)*5.814E-29+ (-0.05/5.814E-29/4+(G17*1.38E-23*E17/(8*(1.602E-19)^2)^2)))*10^-6</f>
        <v>5.1393557686946116E+22</v>
      </c>
      <c r="L17" s="2"/>
      <c r="N17" s="1" t="s">
        <v>224</v>
      </c>
      <c r="O17" s="1">
        <v>2.1793999999999998E-6</v>
      </c>
      <c r="P17" s="1">
        <v>1.2422E-4</v>
      </c>
      <c r="Q17" s="1">
        <v>5.7660999999999997E-6</v>
      </c>
      <c r="R17" s="1">
        <v>2.2335999999999999E-8</v>
      </c>
      <c r="S17" s="1">
        <v>0.38736999999999999</v>
      </c>
      <c r="T17" s="1">
        <v>49.05</v>
      </c>
      <c r="U17" s="1">
        <v>3.3311999999999999</v>
      </c>
      <c r="V17" s="1">
        <v>6.7914000000000003</v>
      </c>
      <c r="W17" s="1">
        <v>4.0419999999999998</v>
      </c>
      <c r="X17" s="1">
        <v>4.0273000000000003</v>
      </c>
      <c r="Y17" s="1">
        <v>99.635999999999996</v>
      </c>
      <c r="Z17" s="1">
        <v>9.7850999999999997E-3</v>
      </c>
      <c r="AA17" s="1">
        <v>4.8868000000000002E-3</v>
      </c>
      <c r="AB17" s="1">
        <v>49.941000000000003</v>
      </c>
      <c r="AC17" s="1">
        <v>0.21689</v>
      </c>
      <c r="AD17" s="1">
        <v>0.16200000000000001</v>
      </c>
      <c r="AE17" s="1">
        <v>74.691999999999993</v>
      </c>
      <c r="AF17" s="1">
        <v>40.07</v>
      </c>
      <c r="AG17" s="1">
        <v>0.54208000000000001</v>
      </c>
      <c r="AH17" s="1">
        <v>1.3528</v>
      </c>
      <c r="AI17" s="1">
        <v>3.2140000000000001E-4</v>
      </c>
      <c r="AJ17" s="1">
        <v>5.3132000000000002E-6</v>
      </c>
      <c r="AK17" s="1">
        <v>1.6531</v>
      </c>
      <c r="AL17" s="1">
        <v>0.96882000000000001</v>
      </c>
      <c r="AM17" s="1">
        <v>4.8896E-3</v>
      </c>
      <c r="AN17" s="1">
        <v>0.50470000000000004</v>
      </c>
      <c r="AO17" s="1">
        <v>8.6869999999999994</v>
      </c>
      <c r="AP17" s="1">
        <v>0.49904999999999999</v>
      </c>
      <c r="AQ17" s="1">
        <v>5.7447999999999997</v>
      </c>
      <c r="AR17" s="1">
        <v>2.0496E-2</v>
      </c>
      <c r="AS17" s="1">
        <v>1.0705999999999999E-3</v>
      </c>
      <c r="AT17" s="1">
        <v>5.2234999999999996</v>
      </c>
      <c r="AU17" s="1">
        <v>0.95960000000000001</v>
      </c>
      <c r="AV17" s="1">
        <v>3.1588999999999999E-2</v>
      </c>
      <c r="AW17" s="1">
        <v>3.2919</v>
      </c>
    </row>
    <row r="18" spans="3:49" x14ac:dyDescent="0.35">
      <c r="C18" s="2">
        <f>((0.05/5.814E-29/4))*10^-6</f>
        <v>2.1499828001375987E+20</v>
      </c>
      <c r="E18" s="20">
        <f>1/(0.000479779-0.000434801*LOG(0.05/(0.5*0.5*(T18-10)))-0.000100649*(LOG(0.05/(0.5*0.5*(T18-10))))^2-0.0000198446*(LOG(0.05/(0.5*0.5*(T18-10))))^3-0.00000195494*(LOG(0.05/(0.5*0.5*(T18-10))))^4-0.0000000757244*(LOG(0.05/(0.5*0.5*(T18-10))))^5)</f>
        <v>879.44754696504117</v>
      </c>
      <c r="F18">
        <v>0.1</v>
      </c>
      <c r="G18" s="1">
        <f>(AF18^(1-AL18)*AI18)^(1/AL18)</f>
        <v>2.5196632870919659E-4</v>
      </c>
      <c r="H18">
        <f>AF18</f>
        <v>23.67</v>
      </c>
      <c r="I18" s="3">
        <f>H18*C$20</f>
        <v>3.8187211412812712</v>
      </c>
      <c r="J18" s="3">
        <f>1.38E-23*E18/(4*(1.602E-19^2)*H18*C$16)</f>
        <v>9.7201478076148432E-8</v>
      </c>
      <c r="K18" s="2">
        <f>3/5.814E-23-((0.05/5.814E-29/4-G18*1.38E-23*E18/(8*(1.602E-19)^2)))*10^-6+SQRT(0.05/5.814E-29*G18*1.38E-23*E18/(8*(1.602E-19)^2)*5.814E-29+ (-0.05/5.814E-29/4+(G18*1.38E-23*E18/(8*(1.602E-19)^2)^2)))*10^-6</f>
        <v>5.1393106200014948E+22</v>
      </c>
      <c r="L18" s="2"/>
      <c r="N18" s="1" t="s">
        <v>223</v>
      </c>
      <c r="O18" s="1">
        <v>8.5601E-7</v>
      </c>
      <c r="P18" s="1">
        <v>4.7080000000000003E-5</v>
      </c>
      <c r="Q18" s="1">
        <v>5.8162000000000003E-6</v>
      </c>
      <c r="R18" s="1">
        <v>8.4877E-9</v>
      </c>
      <c r="S18" s="1">
        <v>0.14593</v>
      </c>
      <c r="T18" s="1">
        <v>49.04</v>
      </c>
      <c r="U18" s="1">
        <v>8.6927000000000004E-2</v>
      </c>
      <c r="V18" s="1">
        <v>0.17726</v>
      </c>
      <c r="W18" s="1">
        <v>1.7809999999999999</v>
      </c>
      <c r="X18" s="1">
        <v>0.20049</v>
      </c>
      <c r="Y18" s="1">
        <v>11.257</v>
      </c>
      <c r="Z18" s="1">
        <v>3.8582E-3</v>
      </c>
      <c r="AA18" s="1">
        <v>2.0934E-3</v>
      </c>
      <c r="AB18" s="1">
        <v>54.258000000000003</v>
      </c>
      <c r="AC18" s="1">
        <v>0.44794</v>
      </c>
      <c r="AD18" s="1">
        <v>5.4473000000000001E-2</v>
      </c>
      <c r="AE18" s="1">
        <v>12.161</v>
      </c>
      <c r="AF18" s="1">
        <v>23.67</v>
      </c>
      <c r="AG18" s="1">
        <v>0.30626999999999999</v>
      </c>
      <c r="AH18" s="1">
        <v>1.2939000000000001</v>
      </c>
      <c r="AI18" s="1">
        <v>2.9457000000000002E-4</v>
      </c>
      <c r="AJ18" s="1">
        <v>5.6968999999999996E-6</v>
      </c>
      <c r="AK18" s="1">
        <v>1.9339999999999999</v>
      </c>
      <c r="AL18" s="1">
        <v>0.96950000000000003</v>
      </c>
      <c r="AM18" s="1">
        <v>4.7873999999999998E-3</v>
      </c>
      <c r="AN18" s="1">
        <v>0.49380000000000002</v>
      </c>
      <c r="AO18" s="1">
        <v>4.0880000000000001</v>
      </c>
      <c r="AP18" s="1">
        <v>0.28395999999999999</v>
      </c>
      <c r="AQ18" s="1">
        <v>6.9462000000000002</v>
      </c>
      <c r="AR18" s="1">
        <v>2.0362000000000002E-2</v>
      </c>
      <c r="AS18" s="1">
        <v>1.2898E-3</v>
      </c>
      <c r="AT18" s="1">
        <v>6.3342999999999998</v>
      </c>
      <c r="AU18" s="1">
        <v>0.95867000000000002</v>
      </c>
      <c r="AV18" s="1">
        <v>3.2844999999999999E-2</v>
      </c>
      <c r="AW18" s="1">
        <v>3.4260999999999999</v>
      </c>
    </row>
    <row r="19" spans="3:49" x14ac:dyDescent="0.35">
      <c r="C19" t="s">
        <v>132</v>
      </c>
      <c r="E19" s="20">
        <f>1/(0.000479779-0.000434801*LOG(0.05/(0.5*0.5*(T19-10)))-0.000100649*(LOG(0.05/(0.5*0.5*(T19-10))))^2-0.0000198446*(LOG(0.05/(0.5*0.5*(T19-10))))^3-0.00000195494*(LOG(0.05/(0.5*0.5*(T19-10))))^4-0.0000000757244*(LOG(0.05/(0.5*0.5*(T19-10))))^5)</f>
        <v>878.2410664223969</v>
      </c>
      <c r="F19">
        <v>1</v>
      </c>
      <c r="G19" s="1">
        <f>(AF19^(1-AL19)*AI19)^(1/AL19)</f>
        <v>2.0635622749041216E-4</v>
      </c>
      <c r="H19">
        <f>AF19</f>
        <v>8.891</v>
      </c>
      <c r="I19" s="3">
        <f>H19*C$20</f>
        <v>1.4344000704322679</v>
      </c>
      <c r="J19" s="3">
        <f>1.38E-23*E19/(4*(1.602E-19^2)*H19*C$16)</f>
        <v>2.5841892504479145E-7</v>
      </c>
      <c r="K19" s="2">
        <f>3/5.814E-23-((0.05/5.814E-29/4-G19*1.38E-23*E19/(8*(1.602E-19)^2)))*10^-6+SQRT(0.05/5.814E-29*G19*1.38E-23*E19/(8*(1.602E-19)^2)*5.814E-29+ (-0.05/5.814E-29/4+(G19*1.38E-23*E19/(8*(1.602E-19)^2)^2)))*10^-6</f>
        <v>5.1392291573794358E+22</v>
      </c>
      <c r="L19" s="2"/>
      <c r="N19" s="1" t="s">
        <v>222</v>
      </c>
      <c r="O19" s="1">
        <v>1.3064999999999999E-6</v>
      </c>
      <c r="P19" s="1">
        <v>5.7487E-5</v>
      </c>
      <c r="Q19" s="1">
        <v>5.6048000000000001E-6</v>
      </c>
      <c r="R19" s="1">
        <v>9.7273E-8</v>
      </c>
      <c r="S19" s="1">
        <v>1.7355</v>
      </c>
      <c r="T19" s="1">
        <v>49.74</v>
      </c>
      <c r="U19" s="1">
        <v>6.3080999999999998E-2</v>
      </c>
      <c r="V19" s="1">
        <v>0.12681999999999999</v>
      </c>
      <c r="W19" s="1">
        <v>0.90529000000000004</v>
      </c>
      <c r="X19" s="1">
        <v>0.10316</v>
      </c>
      <c r="Y19" s="1">
        <v>11.395</v>
      </c>
      <c r="Z19" s="1">
        <v>7.2618000000000002E-5</v>
      </c>
      <c r="AA19" s="1">
        <v>6.1301000000000001E-5</v>
      </c>
      <c r="AB19" s="1">
        <v>84.415999999999997</v>
      </c>
      <c r="AC19" s="1">
        <v>0.86721999999999999</v>
      </c>
      <c r="AD19" s="1">
        <v>8.6502999999999997E-2</v>
      </c>
      <c r="AE19" s="1">
        <v>9.9747000000000003</v>
      </c>
      <c r="AF19" s="1">
        <v>8.891</v>
      </c>
      <c r="AG19" s="1">
        <v>6.7749000000000004E-2</v>
      </c>
      <c r="AH19" s="1">
        <v>0.76200000000000001</v>
      </c>
      <c r="AI19" s="1">
        <v>3.2530999999999999E-4</v>
      </c>
      <c r="AJ19" s="1">
        <v>1.0954E-5</v>
      </c>
      <c r="AK19" s="1">
        <v>3.3672</v>
      </c>
      <c r="AL19" s="1">
        <v>0.92776000000000003</v>
      </c>
      <c r="AM19" s="1">
        <v>6.4501000000000003E-3</v>
      </c>
      <c r="AN19" s="1">
        <v>0.69523000000000001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</v>
      </c>
      <c r="AV19" s="1">
        <v>0</v>
      </c>
      <c r="AW19" s="1">
        <v>0</v>
      </c>
    </row>
    <row r="20" spans="3:49" x14ac:dyDescent="0.35">
      <c r="C20" s="1">
        <v>0.16133169164686401</v>
      </c>
      <c r="E20" s="20">
        <f>1/(0.000479779-0.000434801*LOG(0.05/(0.5*0.5*(T20-10)))-0.000100649*(LOG(0.05/(0.5*0.5*(T20-10))))^2-0.0000198446*(LOG(0.05/(0.5*0.5*(T20-10))))^3-0.00000195494*(LOG(0.05/(0.5*0.5*(T20-10))))^4-0.0000000757244*(LOG(0.05/(0.5*0.5*(T20-10))))^5)</f>
        <v>875.38396558770103</v>
      </c>
      <c r="F20">
        <v>10</v>
      </c>
      <c r="G20" s="1">
        <f>(AF20^(1-AL20)*AI20)^(1/AL20)</f>
        <v>2.2964528919755772E-4</v>
      </c>
      <c r="H20">
        <f>AF20</f>
        <v>4.7089999999999996</v>
      </c>
      <c r="I20" s="3">
        <f>H20*C$20</f>
        <v>0.75971093596508255</v>
      </c>
      <c r="J20" s="3">
        <f>1.38E-23*E20/(4*(1.602E-19^2)*H20*C$16)</f>
        <v>4.8633002405715511E-7</v>
      </c>
      <c r="K20" s="2">
        <f>3/5.814E-23-((0.05/5.814E-29/4-G20*1.38E-23*E20/(8*(1.602E-19)^2)))*10^-6+SQRT(0.05/5.814E-29*G20*1.38E-23*E20/(8*(1.602E-19)^2)*5.814E-29+ (-0.05/5.814E-29/4+(G20*1.38E-23*E20/(8*(1.602E-19)^2)^2)))*10^-6</f>
        <v>5.1392701383820129E+22</v>
      </c>
      <c r="L20" s="2"/>
      <c r="N20" s="1" t="s">
        <v>221</v>
      </c>
      <c r="O20" s="1">
        <v>1.0062E-6</v>
      </c>
      <c r="P20" s="1">
        <v>5.2321999999999998E-5</v>
      </c>
      <c r="Q20" s="1">
        <v>5.9155000000000004E-6</v>
      </c>
      <c r="R20" s="1">
        <v>8.7713999999999997E-9</v>
      </c>
      <c r="S20" s="1">
        <v>0.14828</v>
      </c>
      <c r="T20" s="1">
        <v>51.46</v>
      </c>
      <c r="U20" s="1">
        <v>6.8929000000000004E-2</v>
      </c>
      <c r="V20" s="1">
        <v>0.13395000000000001</v>
      </c>
      <c r="W20" s="1">
        <v>2.395</v>
      </c>
      <c r="X20" s="1">
        <v>0.45512000000000002</v>
      </c>
      <c r="Y20" s="1">
        <v>19.003</v>
      </c>
      <c r="Z20" s="1">
        <v>2.9505E-3</v>
      </c>
      <c r="AA20" s="1">
        <v>1.8756999999999999E-3</v>
      </c>
      <c r="AB20" s="1">
        <v>63.572000000000003</v>
      </c>
      <c r="AC20" s="1">
        <v>0.47914000000000001</v>
      </c>
      <c r="AD20" s="1">
        <v>5.6908E-2</v>
      </c>
      <c r="AE20" s="1">
        <v>11.877000000000001</v>
      </c>
      <c r="AF20" s="1">
        <v>4.7089999999999996</v>
      </c>
      <c r="AG20" s="1">
        <v>0.36259999999999998</v>
      </c>
      <c r="AH20" s="1">
        <v>7.7000999999999999</v>
      </c>
      <c r="AI20" s="1">
        <v>3.3961000000000001E-4</v>
      </c>
      <c r="AJ20" s="1">
        <v>3.1605E-5</v>
      </c>
      <c r="AK20" s="1">
        <v>9.3063000000000002</v>
      </c>
      <c r="AL20" s="1">
        <v>0.94271000000000005</v>
      </c>
      <c r="AM20" s="1">
        <v>2.5340000000000001E-2</v>
      </c>
      <c r="AN20" s="1">
        <v>2.6880000000000002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1</v>
      </c>
      <c r="AV20" s="1">
        <v>0</v>
      </c>
      <c r="AW20" s="1">
        <v>0</v>
      </c>
    </row>
    <row r="21" spans="3:49" x14ac:dyDescent="0.35">
      <c r="C21" s="2"/>
      <c r="E21" s="20">
        <f>1/(0.000479779-0.000434801*LOG(0.05/(0.5*0.5*(T21-10)))-0.000100649*(LOG(0.05/(0.5*0.5*(T21-10))))^2-0.0000198446*(LOG(0.05/(0.5*0.5*(T21-10))))^3-0.00000195494*(LOG(0.05/(0.5*0.5*(T21-10))))^4-0.0000000757244*(LOG(0.05/(0.5*0.5*(T21-10))))^5)</f>
        <v>875.79013906230557</v>
      </c>
      <c r="F21">
        <v>100</v>
      </c>
      <c r="G21" s="1">
        <f>(AF21^(1-AL21)*AI21)^(1/AL21)</f>
        <v>1.8432569675145503E-4</v>
      </c>
      <c r="H21">
        <f>AF21</f>
        <v>3.294</v>
      </c>
      <c r="I21" s="3">
        <f>H21*C$20</f>
        <v>0.53142659228477007</v>
      </c>
      <c r="J21" s="3">
        <f>1.38E-23*E21/(4*(1.602E-19^2)*H21*C$16)</f>
        <v>6.9556487263450095E-7</v>
      </c>
      <c r="K21" s="2">
        <f>3/5.814E-23-((0.05/5.814E-29/4-G21*1.38E-23*E21/(8*(1.602E-19)^2)))*10^-6+SQRT(0.05/5.814E-29*G21*1.38E-23*E21/(8*(1.602E-19)^2)*5.814E-29+ (-0.05/5.814E-29/4+(G21*1.38E-23*E21/(8*(1.602E-19)^2)^2)))*10^-6</f>
        <v>5.1391858640214798E+22</v>
      </c>
      <c r="L21" s="2"/>
      <c r="N21" s="1" t="s">
        <v>220</v>
      </c>
      <c r="O21" s="1">
        <v>7.9852999999999994E-8</v>
      </c>
      <c r="P21" s="1">
        <v>2.8747000000000002E-6</v>
      </c>
      <c r="Q21" s="1">
        <v>5.8923000000000003E-6</v>
      </c>
      <c r="R21" s="1">
        <v>6.1154999999999994E-8</v>
      </c>
      <c r="S21" s="1">
        <v>1.0379</v>
      </c>
      <c r="T21" s="1">
        <v>51.21</v>
      </c>
      <c r="U21" s="1">
        <v>5.9823000000000001E-2</v>
      </c>
      <c r="V21" s="1">
        <v>0.11681999999999999</v>
      </c>
      <c r="W21" s="1">
        <v>1.4990000000000001</v>
      </c>
      <c r="X21" s="1">
        <v>0.19625999999999999</v>
      </c>
      <c r="Y21" s="1">
        <v>13.093</v>
      </c>
      <c r="Z21" s="1">
        <v>5.6139000000000004E-4</v>
      </c>
      <c r="AA21" s="1">
        <v>2.9053999999999999E-4</v>
      </c>
      <c r="AB21" s="1">
        <v>51.753999999999998</v>
      </c>
      <c r="AC21" s="1">
        <v>0.66220999999999997</v>
      </c>
      <c r="AD21" s="1">
        <v>5.4037000000000002E-2</v>
      </c>
      <c r="AE21" s="1">
        <v>8.1600999999999999</v>
      </c>
      <c r="AF21" s="1">
        <v>3.294</v>
      </c>
      <c r="AG21" s="1">
        <v>0.14308999999999999</v>
      </c>
      <c r="AH21" s="1">
        <v>4.3440000000000003</v>
      </c>
      <c r="AI21" s="1">
        <v>5.3852000000000001E-4</v>
      </c>
      <c r="AJ21" s="1">
        <v>1.575E-5</v>
      </c>
      <c r="AK21" s="1">
        <v>2.9247000000000001</v>
      </c>
      <c r="AL21" s="1">
        <v>0.85524999999999995</v>
      </c>
      <c r="AM21" s="1">
        <v>1.0503999999999999E-2</v>
      </c>
      <c r="AN21" s="1">
        <v>1.2282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1</v>
      </c>
      <c r="AV21" s="1">
        <v>0</v>
      </c>
      <c r="AW21" s="1">
        <v>0</v>
      </c>
    </row>
    <row r="22" spans="3:49" x14ac:dyDescent="0.35">
      <c r="G22" s="1"/>
      <c r="K22" s="2"/>
      <c r="L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3:49" x14ac:dyDescent="0.35">
      <c r="G23" s="1"/>
      <c r="H23" s="1"/>
      <c r="I23" s="1"/>
      <c r="J23" s="1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3:49" x14ac:dyDescent="0.35">
      <c r="E24" t="s">
        <v>46</v>
      </c>
      <c r="F24" t="s">
        <v>47</v>
      </c>
      <c r="G24" t="s">
        <v>48</v>
      </c>
      <c r="H24" s="1" t="s">
        <v>49</v>
      </c>
      <c r="I24" t="s">
        <v>40</v>
      </c>
      <c r="J24" s="2" t="s">
        <v>77</v>
      </c>
      <c r="K24" s="2" t="s">
        <v>52</v>
      </c>
      <c r="L24" s="2" t="s">
        <v>130</v>
      </c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3:49" x14ac:dyDescent="0.35">
      <c r="E25" s="36">
        <f>1000/F25</f>
        <v>1.1376611494495941</v>
      </c>
      <c r="F25" s="28">
        <f>1/(0.000479779-0.000434801*LOG(0.05/(0.5*0.5*(T26-10)))-0.000100649*(LOG(0.05/(0.5*0.5*(T26-10))))^2-0.0000198446*(LOG(0.05/(0.5*0.5*(T26-10))))^3-0.00000195494*(LOG(0.05/(0.5*0.5*(T26-10))))^4-0.0000000757244*(LOG(0.05/(0.5*0.5*(T26-10))))^5)</f>
        <v>878.99635184325734</v>
      </c>
      <c r="G25" s="28">
        <f>F25-273</f>
        <v>605.99635184325734</v>
      </c>
      <c r="H25" s="1">
        <f>(AF26^(1-AL26)*AI26)^(1/AL26)</f>
        <v>2.6188251370531782E-4</v>
      </c>
      <c r="I25">
        <f>AF26</f>
        <v>50.67</v>
      </c>
      <c r="J25" s="3">
        <f>I25*C$20</f>
        <v>8.174676815746599</v>
      </c>
      <c r="K25" s="3">
        <f>1.38E-23*F25/(4*(1.602E-19^2)*I25*C$16)</f>
        <v>4.5383433903733226E-8</v>
      </c>
      <c r="L25" s="2">
        <f>3/5.814E-23-((0.05/5.814E-29/4-H25*1.38E-23*F25/(8*(1.602E-19)^2)))*10^-6+SQRT(0.05/5.814E-29*H25*1.38E-23*F25/(8*(1.602E-19)^2)*5.814E-29+ (-0.05/5.814E-29/4+(H25*1.38E-23*F25/(8*(1.602E-19)^2)^2)))*10^-6</f>
        <v>5.1393269954535762E+22</v>
      </c>
      <c r="M25" s="3"/>
      <c r="N25" s="1" t="s">
        <v>177</v>
      </c>
      <c r="O25" s="1" t="s">
        <v>0</v>
      </c>
      <c r="P25" s="1" t="s">
        <v>1</v>
      </c>
      <c r="Q25" s="1" t="s">
        <v>2</v>
      </c>
      <c r="R25" s="1" t="s">
        <v>3</v>
      </c>
      <c r="S25" s="1" t="s">
        <v>4</v>
      </c>
      <c r="T25" s="1" t="s">
        <v>33</v>
      </c>
      <c r="U25" s="1" t="s">
        <v>34</v>
      </c>
      <c r="V25" s="1" t="s">
        <v>35</v>
      </c>
      <c r="W25" s="1" t="s">
        <v>5</v>
      </c>
      <c r="X25" s="1" t="s">
        <v>6</v>
      </c>
      <c r="Y25" s="1" t="s">
        <v>7</v>
      </c>
      <c r="Z25" s="1" t="s">
        <v>8</v>
      </c>
      <c r="AA25" s="1" t="s">
        <v>9</v>
      </c>
      <c r="AB25" s="1" t="s">
        <v>10</v>
      </c>
      <c r="AC25" s="1" t="s">
        <v>11</v>
      </c>
      <c r="AD25" s="1" t="s">
        <v>12</v>
      </c>
      <c r="AE25" s="1" t="s">
        <v>13</v>
      </c>
      <c r="AF25" s="1" t="s">
        <v>14</v>
      </c>
      <c r="AG25" s="1" t="s">
        <v>15</v>
      </c>
      <c r="AH25" s="1" t="s">
        <v>16</v>
      </c>
      <c r="AI25" s="1" t="s">
        <v>17</v>
      </c>
      <c r="AJ25" s="1" t="s">
        <v>18</v>
      </c>
      <c r="AK25" s="1" t="s">
        <v>19</v>
      </c>
      <c r="AL25" s="1" t="s">
        <v>20</v>
      </c>
      <c r="AM25" s="1" t="s">
        <v>21</v>
      </c>
      <c r="AN25" s="1" t="s">
        <v>22</v>
      </c>
      <c r="AO25" s="1" t="s">
        <v>23</v>
      </c>
      <c r="AP25" s="1" t="s">
        <v>24</v>
      </c>
      <c r="AQ25" s="1" t="s">
        <v>25</v>
      </c>
      <c r="AR25" s="1" t="s">
        <v>26</v>
      </c>
      <c r="AS25" s="1" t="s">
        <v>27</v>
      </c>
      <c r="AT25" s="1" t="s">
        <v>28</v>
      </c>
      <c r="AU25" s="1" t="s">
        <v>29</v>
      </c>
      <c r="AV25" s="1" t="s">
        <v>30</v>
      </c>
      <c r="AW25" s="1" t="s">
        <v>31</v>
      </c>
    </row>
    <row r="26" spans="3:49" x14ac:dyDescent="0.35">
      <c r="E26" s="36">
        <f>1000/F26</f>
        <v>1.1720468644720654</v>
      </c>
      <c r="F26" s="28">
        <f>1/(0.000479779-0.000434801*LOG(0.05/(0.5*0.5*(T27-10)))-0.000100649*(LOG(0.05/(0.5*0.5*(T27-10))))^2-0.0000198446*(LOG(0.05/(0.5*0.5*(T27-10))))^3-0.00000195494*(LOG(0.05/(0.5*0.5*(T27-10))))^4-0.0000000757244*(LOG(0.05/(0.5*0.5*(T27-10))))^5)</f>
        <v>853.20820379519387</v>
      </c>
      <c r="G26" s="28">
        <f>F26-273</f>
        <v>580.20820379519387</v>
      </c>
      <c r="H26" s="1">
        <f>(AF27^(1-AL27)*AI27)^(1/AL27)</f>
        <v>2.3308995614390037E-4</v>
      </c>
      <c r="I26">
        <f>AF27</f>
        <v>77.09</v>
      </c>
      <c r="J26" s="3">
        <f>I26*C$20</f>
        <v>12.437060109056747</v>
      </c>
      <c r="K26" s="3">
        <f>1.38E-23*F26/(4*(1.602E-19^2)*I26*C$16)</f>
        <v>2.8954639493873906E-8</v>
      </c>
      <c r="L26" s="2">
        <f>3/5.814E-23-((0.05/5.814E-29/4-H26*1.38E-23*F26/(8*(1.602E-19)^2)))*10^-6+SQRT(0.05/5.814E-29*H26*1.38E-23*F26/(8*(1.602E-19)^2)*5.814E-29+ (-0.05/5.814E-29/4+(H26*1.38E-23*F26/(8*(1.602E-19)^2)^2)))*10^-6</f>
        <v>5.1392657813830562E+22</v>
      </c>
      <c r="M26" s="3"/>
      <c r="N26" s="1" t="s">
        <v>219</v>
      </c>
      <c r="O26" s="1">
        <v>9.9570000000000006E-7</v>
      </c>
      <c r="P26" s="1">
        <v>6.0738E-5</v>
      </c>
      <c r="Q26" s="1">
        <v>5.8416000000000001E-6</v>
      </c>
      <c r="R26" s="1">
        <v>9.8120000000000004E-9</v>
      </c>
      <c r="S26" s="1">
        <v>0.16797000000000001</v>
      </c>
      <c r="T26" s="1">
        <v>49.3</v>
      </c>
      <c r="U26" s="1">
        <v>0.15509999999999999</v>
      </c>
      <c r="V26" s="1">
        <v>0.31459999999999999</v>
      </c>
      <c r="W26" s="1">
        <v>10.36</v>
      </c>
      <c r="X26" s="1">
        <v>0.31730999999999998</v>
      </c>
      <c r="Y26" s="1">
        <v>3.0628000000000002</v>
      </c>
      <c r="Z26" s="1">
        <v>1.8873000000000001E-2</v>
      </c>
      <c r="AA26" s="1">
        <v>6.7135999999999997E-4</v>
      </c>
      <c r="AB26" s="1">
        <v>3.5573000000000001</v>
      </c>
      <c r="AC26" s="1">
        <v>0.96326000000000001</v>
      </c>
      <c r="AD26" s="1">
        <v>1.5969000000000001E-2</v>
      </c>
      <c r="AE26" s="1">
        <v>1.6577999999999999</v>
      </c>
      <c r="AF26" s="1">
        <v>50.67</v>
      </c>
      <c r="AG26" s="1">
        <v>0.34778999999999999</v>
      </c>
      <c r="AH26" s="1">
        <v>0.68637999999999999</v>
      </c>
      <c r="AI26" s="1">
        <v>2.9697000000000002E-4</v>
      </c>
      <c r="AJ26" s="1">
        <v>2.6496E-6</v>
      </c>
      <c r="AK26" s="1">
        <v>0.89220999999999995</v>
      </c>
      <c r="AL26" s="1">
        <v>0.97091000000000005</v>
      </c>
      <c r="AM26" s="1">
        <v>2.5866999999999999E-3</v>
      </c>
      <c r="AN26" s="1">
        <v>0.26641999999999999</v>
      </c>
      <c r="AO26" s="1">
        <v>2.4489999999999998</v>
      </c>
      <c r="AP26" s="1">
        <v>0.31040000000000001</v>
      </c>
      <c r="AQ26" s="1">
        <v>12.675000000000001</v>
      </c>
      <c r="AR26" s="1">
        <v>6.9667000000000001E-3</v>
      </c>
      <c r="AS26" s="1">
        <v>3.2239E-3</v>
      </c>
      <c r="AT26" s="1">
        <v>46.276000000000003</v>
      </c>
      <c r="AU26" s="1">
        <v>0.36527999999999999</v>
      </c>
      <c r="AV26" s="1">
        <v>5.1006999999999997E-2</v>
      </c>
      <c r="AW26" s="1">
        <v>13.964</v>
      </c>
    </row>
    <row r="27" spans="3:49" x14ac:dyDescent="0.35">
      <c r="E27" s="36">
        <f>1000/F27</f>
        <v>1.2212027176786009</v>
      </c>
      <c r="F27" s="28">
        <f>1/(0.000479779-0.000434801*LOG(0.05/(0.5*0.5*(T28-10)))-0.000100649*(LOG(0.05/(0.5*0.5*(T28-10))))^2-0.0000198446*(LOG(0.05/(0.5*0.5*(T28-10))))^3-0.00000195494*(LOG(0.05/(0.5*0.5*(T28-10))))^4-0.0000000757244*(LOG(0.05/(0.5*0.5*(T28-10))))^5)</f>
        <v>818.86486618774654</v>
      </c>
      <c r="G27" s="28">
        <f>F27-273</f>
        <v>545.86486618774654</v>
      </c>
      <c r="H27" s="1">
        <f>(AF28^(1-AL28)*AI28)^(1/AL28)</f>
        <v>2.070964832176502E-4</v>
      </c>
      <c r="I27">
        <f>AF28</f>
        <v>139.80000000000001</v>
      </c>
      <c r="J27" s="3">
        <f>I27*C$20</f>
        <v>22.554170492231592</v>
      </c>
      <c r="K27" s="3">
        <f>1.38E-23*F27/(4*(1.602E-19^2)*I27*C$16)</f>
        <v>1.5323792111144337E-8</v>
      </c>
      <c r="L27" s="2">
        <f>3/5.814E-23-((0.05/5.814E-29/4-H27*1.38E-23*F27/(8*(1.602E-19)^2)))*10^-6+SQRT(0.05/5.814E-29*H27*1.38E-23*F27/(8*(1.602E-19)^2)*5.814E-29+ (-0.05/5.814E-29/4+(H27*1.38E-23*F27/(8*(1.602E-19)^2)^2)))*10^-6</f>
        <v>5.1392039965327098E+22</v>
      </c>
      <c r="M27" s="3"/>
      <c r="N27" s="1" t="s">
        <v>218</v>
      </c>
      <c r="O27" s="1">
        <v>1.8102E-6</v>
      </c>
      <c r="P27" s="1">
        <v>1.0679999999999999E-4</v>
      </c>
      <c r="Q27" s="1">
        <v>5.8088000000000002E-6</v>
      </c>
      <c r="R27" s="1">
        <v>1.7826E-8</v>
      </c>
      <c r="S27" s="1">
        <v>0.30687999999999999</v>
      </c>
      <c r="T27" s="1">
        <v>68.42</v>
      </c>
      <c r="U27" s="1">
        <v>0.37367</v>
      </c>
      <c r="V27" s="1">
        <v>0.54613999999999996</v>
      </c>
      <c r="W27" s="1">
        <v>10.32</v>
      </c>
      <c r="X27" s="1">
        <v>0.83301000000000003</v>
      </c>
      <c r="Y27" s="1">
        <v>8.0717999999999996</v>
      </c>
      <c r="Z27" s="1">
        <v>1.7697000000000001E-2</v>
      </c>
      <c r="AA27" s="1">
        <v>1.5934E-3</v>
      </c>
      <c r="AB27" s="1">
        <v>9.0038</v>
      </c>
      <c r="AC27" s="1">
        <v>0.99055000000000004</v>
      </c>
      <c r="AD27" s="1">
        <v>3.6420000000000001E-2</v>
      </c>
      <c r="AE27" s="1">
        <v>3.6766999999999999</v>
      </c>
      <c r="AF27" s="1">
        <v>77.09</v>
      </c>
      <c r="AG27" s="1">
        <v>0.88431000000000004</v>
      </c>
      <c r="AH27" s="1">
        <v>1.1471</v>
      </c>
      <c r="AI27" s="1">
        <v>2.6099000000000001E-4</v>
      </c>
      <c r="AJ27" s="1">
        <v>2.9670999999999999E-6</v>
      </c>
      <c r="AK27" s="1">
        <v>1.1369</v>
      </c>
      <c r="AL27" s="1">
        <v>0.97187000000000001</v>
      </c>
      <c r="AM27" s="1">
        <v>3.6762000000000001E-3</v>
      </c>
      <c r="AN27" s="1">
        <v>0.37825999999999999</v>
      </c>
      <c r="AO27" s="1">
        <v>4.6989999999999998</v>
      </c>
      <c r="AP27" s="1">
        <v>0.74887000000000004</v>
      </c>
      <c r="AQ27" s="1">
        <v>15.936999999999999</v>
      </c>
      <c r="AR27" s="1">
        <v>5.6699999999999997E-3</v>
      </c>
      <c r="AS27" s="1">
        <v>2.8070999999999999E-3</v>
      </c>
      <c r="AT27" s="1">
        <v>49.508000000000003</v>
      </c>
      <c r="AU27" s="1">
        <v>0.32691999999999999</v>
      </c>
      <c r="AV27" s="1">
        <v>5.6898999999999998E-2</v>
      </c>
      <c r="AW27" s="1">
        <v>17.405000000000001</v>
      </c>
    </row>
    <row r="28" spans="3:49" x14ac:dyDescent="0.35">
      <c r="E28" s="36">
        <f>1000/F28</f>
        <v>1.2889668818166546</v>
      </c>
      <c r="F28" s="28">
        <f>1/(0.000479779-0.000434801*LOG(0.05/(0.5*0.5*(T29-10)))-0.000100649*(LOG(0.05/(0.5*0.5*(T29-10))))^2-0.0000198446*(LOG(0.05/(0.5*0.5*(T29-10))))^3-0.00000195494*(LOG(0.05/(0.5*0.5*(T29-10))))^4-0.0000000757244*(LOG(0.05/(0.5*0.5*(T29-10))))^5)</f>
        <v>775.81512303140937</v>
      </c>
      <c r="G28" s="28">
        <f>F28-273</f>
        <v>502.81512303140937</v>
      </c>
      <c r="H28" s="1">
        <f>(AO29^(1-AU29)*AR29)^(1/AU29)</f>
        <v>1.90971716995513E-4</v>
      </c>
      <c r="I28">
        <f>AO29</f>
        <v>347.4</v>
      </c>
      <c r="J28" s="3">
        <f>I28*C$20</f>
        <v>56.046629678120553</v>
      </c>
      <c r="K28" s="3">
        <f>1.38E-23*F28/(4*(1.602E-19^2)*I28*C$16)</f>
        <v>5.8423774587890056E-9</v>
      </c>
      <c r="L28" s="2">
        <f>3/5.814E-23-((0.05/5.814E-29/4-H28*1.38E-23*F28/(8*(1.602E-19)^2)))*10^-6+SQRT(0.05/5.814E-29*H28*1.38E-23*F28/(8*(1.602E-19)^2)*5.814E-29+ (-0.05/5.814E-29/4+(H28*1.38E-23*F28/(8*(1.602E-19)^2)^2)))*10^-6</f>
        <v>5.13915533950154E+22</v>
      </c>
      <c r="M28" s="3"/>
      <c r="N28" s="1" t="s">
        <v>217</v>
      </c>
      <c r="O28" s="1">
        <v>2.4689000000000002E-6</v>
      </c>
      <c r="P28" s="1">
        <v>1.4567000000000001E-4</v>
      </c>
      <c r="Q28" s="1">
        <v>5.5114000000000003E-6</v>
      </c>
      <c r="R28" s="1">
        <v>2.8290999999999998E-8</v>
      </c>
      <c r="S28" s="1">
        <v>0.51332</v>
      </c>
      <c r="T28" s="1">
        <v>114.7</v>
      </c>
      <c r="U28" s="1">
        <v>0.36048000000000002</v>
      </c>
      <c r="V28" s="1">
        <v>0.31428</v>
      </c>
      <c r="W28" s="1">
        <v>10.62</v>
      </c>
      <c r="X28" s="1">
        <v>2.9577</v>
      </c>
      <c r="Y28" s="1">
        <v>27.85</v>
      </c>
      <c r="Z28" s="1">
        <v>1.6986999999999999E-2</v>
      </c>
      <c r="AA28" s="1">
        <v>5.8272999999999997E-3</v>
      </c>
      <c r="AB28" s="1">
        <v>34.304000000000002</v>
      </c>
      <c r="AC28" s="1">
        <v>0.99953999999999998</v>
      </c>
      <c r="AD28" s="1">
        <v>8.7813000000000002E-2</v>
      </c>
      <c r="AE28" s="1">
        <v>8.7852999999999994</v>
      </c>
      <c r="AF28" s="1">
        <v>139.80000000000001</v>
      </c>
      <c r="AG28" s="1">
        <v>3.1652999999999998</v>
      </c>
      <c r="AH28" s="1">
        <v>2.2642000000000002</v>
      </c>
      <c r="AI28" s="1">
        <v>2.2368999999999999E-4</v>
      </c>
      <c r="AJ28" s="1">
        <v>2.6933999999999999E-6</v>
      </c>
      <c r="AK28" s="1">
        <v>1.2040999999999999</v>
      </c>
      <c r="AL28" s="1">
        <v>0.97824</v>
      </c>
      <c r="AM28" s="1">
        <v>5.3146000000000001E-3</v>
      </c>
      <c r="AN28" s="1">
        <v>0.54327999999999999</v>
      </c>
      <c r="AO28" s="1">
        <v>9.0120000000000005</v>
      </c>
      <c r="AP28" s="1">
        <v>1.3745000000000001</v>
      </c>
      <c r="AQ28" s="1">
        <v>15.252000000000001</v>
      </c>
      <c r="AR28" s="1">
        <v>4.7368999999999996E-3</v>
      </c>
      <c r="AS28" s="1">
        <v>2.2152000000000001E-3</v>
      </c>
      <c r="AT28" s="1">
        <v>46.765000000000001</v>
      </c>
      <c r="AU28" s="1">
        <v>0.34293000000000001</v>
      </c>
      <c r="AV28" s="1">
        <v>5.0106999999999999E-2</v>
      </c>
      <c r="AW28" s="1">
        <v>14.611000000000001</v>
      </c>
    </row>
    <row r="29" spans="3:49" x14ac:dyDescent="0.35">
      <c r="D29" s="35"/>
      <c r="E29" s="28"/>
      <c r="G29" s="1"/>
      <c r="J29" s="3"/>
      <c r="K29" s="3"/>
      <c r="L29" s="3"/>
      <c r="M29" s="3"/>
      <c r="N29" s="1" t="s">
        <v>216</v>
      </c>
      <c r="O29" s="1">
        <v>1.1423999999999999E-5</v>
      </c>
      <c r="P29" s="1">
        <v>6.9687000000000004E-4</v>
      </c>
      <c r="Q29" s="1">
        <v>3.9557000000000001E-6</v>
      </c>
      <c r="R29" s="1">
        <v>1.1952E-7</v>
      </c>
      <c r="S29" s="1">
        <v>3.0215000000000001</v>
      </c>
      <c r="T29" s="1">
        <v>250.2</v>
      </c>
      <c r="U29" s="1">
        <v>2.0756000000000001</v>
      </c>
      <c r="V29" s="1">
        <v>0.82957999999999998</v>
      </c>
      <c r="W29" s="1">
        <v>41.05</v>
      </c>
      <c r="X29" s="1">
        <v>22.094000000000001</v>
      </c>
      <c r="Y29" s="1">
        <v>53.822000000000003</v>
      </c>
      <c r="Z29" s="1">
        <v>9.2759999999999995E-3</v>
      </c>
      <c r="AA29" s="1">
        <v>5.2274000000000001E-3</v>
      </c>
      <c r="AB29" s="1">
        <v>56.353999999999999</v>
      </c>
      <c r="AC29" s="1">
        <v>0.21260999999999999</v>
      </c>
      <c r="AD29" s="1">
        <v>6.4406000000000005E-2</v>
      </c>
      <c r="AE29" s="1">
        <v>30.292999999999999</v>
      </c>
      <c r="AF29" s="1">
        <v>2.8809999999999998</v>
      </c>
      <c r="AG29" s="1">
        <v>19.87</v>
      </c>
      <c r="AH29" s="1">
        <v>689.69</v>
      </c>
      <c r="AI29" s="1">
        <v>4.5716999999999997E-3</v>
      </c>
      <c r="AJ29" s="1">
        <v>1.0824E-2</v>
      </c>
      <c r="AK29" s="1">
        <v>236.76</v>
      </c>
      <c r="AL29" s="1">
        <v>1.3380000000000001</v>
      </c>
      <c r="AM29" s="1">
        <v>1.1977</v>
      </c>
      <c r="AN29" s="1">
        <v>89.513999999999996</v>
      </c>
      <c r="AO29" s="1">
        <v>347.4</v>
      </c>
      <c r="AP29" s="1">
        <v>18.594000000000001</v>
      </c>
      <c r="AQ29" s="1">
        <v>5.3522999999999996</v>
      </c>
      <c r="AR29" s="1">
        <v>2.0434000000000001E-4</v>
      </c>
      <c r="AS29" s="1">
        <v>2.4391000000000001E-5</v>
      </c>
      <c r="AT29" s="1">
        <v>11.936</v>
      </c>
      <c r="AU29" s="1">
        <v>0.97506000000000004</v>
      </c>
      <c r="AV29" s="1">
        <v>1.6004999999999998E-2</v>
      </c>
      <c r="AW29" s="1">
        <v>1.6414</v>
      </c>
    </row>
    <row r="30" spans="3:49" x14ac:dyDescent="0.35">
      <c r="D30" s="35"/>
      <c r="E30" s="35"/>
      <c r="K30" s="3"/>
    </row>
    <row r="31" spans="3:49" x14ac:dyDescent="0.35">
      <c r="K31" s="3"/>
      <c r="M31" s="1"/>
    </row>
    <row r="32" spans="3:49" x14ac:dyDescent="0.35">
      <c r="K32" s="3"/>
      <c r="M32" s="1"/>
    </row>
    <row r="33" spans="10:36" x14ac:dyDescent="0.35">
      <c r="K33" s="3"/>
      <c r="M33" s="1"/>
      <c r="O33" s="1"/>
      <c r="P33" s="1"/>
      <c r="Q33" s="1"/>
      <c r="R33" s="1"/>
      <c r="AA33" s="1"/>
      <c r="AI33" s="1"/>
      <c r="AJ33" s="1"/>
    </row>
    <row r="34" spans="10:36" x14ac:dyDescent="0.35">
      <c r="K34" s="3"/>
      <c r="M34" s="1"/>
      <c r="O34" s="1"/>
      <c r="P34" s="1"/>
      <c r="Q34" s="1"/>
      <c r="R34" s="1"/>
      <c r="AA34" s="1"/>
      <c r="AI34" s="1"/>
      <c r="AJ34" s="1"/>
    </row>
    <row r="35" spans="10:36" x14ac:dyDescent="0.35">
      <c r="K35" s="3"/>
      <c r="O35" s="1"/>
      <c r="P35" s="1"/>
      <c r="Q35" s="1"/>
      <c r="R35" s="1"/>
      <c r="AA35" s="1"/>
      <c r="AI35" s="1"/>
      <c r="AJ35" s="1"/>
    </row>
    <row r="36" spans="10:36" x14ac:dyDescent="0.35">
      <c r="O36" s="1"/>
      <c r="P36" s="1"/>
      <c r="Q36" s="1"/>
      <c r="R36" s="1"/>
      <c r="AI36" s="1"/>
      <c r="AJ36" s="1"/>
    </row>
    <row r="37" spans="10:36" x14ac:dyDescent="0.35">
      <c r="O37" s="1"/>
      <c r="P37" s="1"/>
      <c r="Q37" s="1"/>
      <c r="R37" s="1"/>
      <c r="AJ37" s="1"/>
    </row>
    <row r="38" spans="10:36" x14ac:dyDescent="0.35">
      <c r="O38" s="1"/>
      <c r="Q38" s="1"/>
      <c r="R38" s="1"/>
      <c r="AJ38" s="1"/>
    </row>
    <row r="39" spans="10:36" x14ac:dyDescent="0.35">
      <c r="O39" s="1"/>
      <c r="Q39" s="1"/>
      <c r="R39" s="1"/>
      <c r="AJ39" s="1"/>
    </row>
    <row r="40" spans="10:36" x14ac:dyDescent="0.35">
      <c r="O40" s="1"/>
      <c r="Q40" s="1"/>
      <c r="R40" s="1"/>
      <c r="AJ40" s="1"/>
    </row>
    <row r="41" spans="10:36" x14ac:dyDescent="0.35">
      <c r="O41" s="1"/>
      <c r="Q41" s="1"/>
      <c r="R41" s="1"/>
      <c r="AJ41" s="1"/>
    </row>
    <row r="46" spans="10:36" x14ac:dyDescent="0.35">
      <c r="J46" s="1"/>
      <c r="K46" s="1"/>
      <c r="L46" s="1"/>
      <c r="M46" s="1"/>
      <c r="AE46" s="1"/>
    </row>
    <row r="47" spans="10:36" x14ac:dyDescent="0.35">
      <c r="J47" s="1"/>
      <c r="K47" s="1"/>
      <c r="L47" s="1"/>
      <c r="M47" s="1"/>
      <c r="AE47" s="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E1" zoomScale="85" zoomScaleNormal="85" workbookViewId="0">
      <selection activeCell="P40" sqref="P40"/>
    </sheetView>
  </sheetViews>
  <sheetFormatPr baseColWidth="10" defaultRowHeight="14.5" x14ac:dyDescent="0.35"/>
  <cols>
    <col min="1" max="1" width="39.6328125" customWidth="1"/>
    <col min="2" max="2" width="16.6328125" customWidth="1"/>
    <col min="7" max="8" width="14" bestFit="1" customWidth="1"/>
    <col min="12" max="12" width="13.7265625" customWidth="1"/>
    <col min="13" max="13" width="14" bestFit="1" customWidth="1"/>
    <col min="16" max="16" width="14" bestFit="1" customWidth="1"/>
    <col min="23" max="23" width="14.6328125" customWidth="1"/>
    <col min="24" max="24" width="14" bestFit="1" customWidth="1"/>
    <col min="26" max="26" width="12.453125" bestFit="1" customWidth="1"/>
    <col min="27" max="27" width="14" bestFit="1" customWidth="1"/>
  </cols>
  <sheetData>
    <row r="1" spans="1:36" x14ac:dyDescent="0.35">
      <c r="A1" t="s">
        <v>177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33</v>
      </c>
      <c r="H1" t="s">
        <v>34</v>
      </c>
      <c r="I1" t="s">
        <v>35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 x14ac:dyDescent="0.35">
      <c r="A2" t="s">
        <v>427</v>
      </c>
      <c r="B2" s="1">
        <v>3.3434999999999998E-6</v>
      </c>
      <c r="C2">
        <v>1.9725999999999999E-4</v>
      </c>
      <c r="D2" s="1">
        <v>6.0615999999999997E-6</v>
      </c>
      <c r="E2" s="1">
        <v>2.0780000000000001E-8</v>
      </c>
      <c r="F2">
        <v>0.34281</v>
      </c>
      <c r="G2">
        <v>49.65</v>
      </c>
      <c r="H2">
        <v>0.43520999999999999</v>
      </c>
      <c r="I2">
        <v>0.87656000000000001</v>
      </c>
      <c r="J2">
        <v>52.41</v>
      </c>
      <c r="K2">
        <v>0.62368000000000001</v>
      </c>
      <c r="L2">
        <v>1.19</v>
      </c>
      <c r="M2" s="1">
        <v>2.9304999999999999E-4</v>
      </c>
      <c r="N2" s="1">
        <v>4.5429000000000002E-6</v>
      </c>
      <c r="O2">
        <v>1.5502</v>
      </c>
      <c r="P2">
        <v>0.97082999999999997</v>
      </c>
      <c r="Q2">
        <v>4.2715000000000001E-3</v>
      </c>
      <c r="R2">
        <v>0.43997999999999998</v>
      </c>
      <c r="S2">
        <v>1.8480000000000001</v>
      </c>
      <c r="T2">
        <v>0.61402999999999996</v>
      </c>
      <c r="U2">
        <v>33.226999999999997</v>
      </c>
      <c r="V2" s="1">
        <v>5.0464000000000004E-3</v>
      </c>
      <c r="W2" s="1">
        <v>5.3274999999999998E-3</v>
      </c>
      <c r="X2">
        <v>105.57</v>
      </c>
      <c r="Y2">
        <v>0.37414999999999998</v>
      </c>
      <c r="Z2">
        <v>0.12753999999999999</v>
      </c>
      <c r="AA2">
        <v>34.088000000000001</v>
      </c>
      <c r="AB2">
        <v>9.8239999999999998</v>
      </c>
      <c r="AC2">
        <v>0.65886999999999996</v>
      </c>
      <c r="AD2">
        <v>6.7066999999999997</v>
      </c>
      <c r="AE2">
        <v>1.9574000000000001E-2</v>
      </c>
      <c r="AF2">
        <v>1.3709E-3</v>
      </c>
      <c r="AG2">
        <v>7.0037000000000003</v>
      </c>
      <c r="AH2">
        <v>0.96538000000000002</v>
      </c>
      <c r="AI2">
        <v>3.4976E-2</v>
      </c>
      <c r="AJ2">
        <v>3.6230000000000002</v>
      </c>
    </row>
    <row r="3" spans="1:36" x14ac:dyDescent="0.35">
      <c r="A3" t="s">
        <v>426</v>
      </c>
      <c r="B3" s="1">
        <v>2.3336000000000002E-5</v>
      </c>
      <c r="C3">
        <v>1.4468E-3</v>
      </c>
      <c r="D3" s="1">
        <v>6.2912E-6</v>
      </c>
      <c r="E3" s="1">
        <v>3.5641000000000001E-8</v>
      </c>
      <c r="F3">
        <v>0.56652000000000002</v>
      </c>
      <c r="G3">
        <v>50.49</v>
      </c>
      <c r="H3">
        <v>6.6471000000000002E-2</v>
      </c>
      <c r="I3">
        <v>0.13164999999999999</v>
      </c>
      <c r="J3">
        <v>31.21</v>
      </c>
      <c r="K3">
        <v>7.0395000000000003</v>
      </c>
      <c r="L3">
        <v>22.555</v>
      </c>
      <c r="M3">
        <v>5.7819999999999998E-3</v>
      </c>
      <c r="N3">
        <v>3.5025999999999998E-3</v>
      </c>
      <c r="O3">
        <v>60.578000000000003</v>
      </c>
      <c r="P3">
        <v>0.62658000000000003</v>
      </c>
      <c r="Q3">
        <v>6.0578E-2</v>
      </c>
      <c r="R3">
        <v>9.6679999999999993</v>
      </c>
      <c r="S3">
        <v>70.33</v>
      </c>
      <c r="T3">
        <v>7.9234</v>
      </c>
      <c r="U3">
        <v>11.266</v>
      </c>
      <c r="V3">
        <v>3.0595999999999998E-4</v>
      </c>
      <c r="W3" s="1">
        <v>7.3865000000000003E-6</v>
      </c>
      <c r="X3">
        <v>2.4142000000000001</v>
      </c>
      <c r="Y3">
        <v>1.0149999999999999</v>
      </c>
      <c r="Z3">
        <v>2.249E-2</v>
      </c>
      <c r="AA3">
        <v>2.2158000000000002</v>
      </c>
      <c r="AB3">
        <v>0</v>
      </c>
      <c r="AC3">
        <v>0</v>
      </c>
      <c r="AD3">
        <v>1</v>
      </c>
    </row>
    <row r="4" spans="1:36" x14ac:dyDescent="0.35">
      <c r="A4" t="s">
        <v>425</v>
      </c>
      <c r="B4" s="1">
        <v>1.2048000000000001E-6</v>
      </c>
      <c r="C4" s="1">
        <v>7.3495E-5</v>
      </c>
      <c r="D4" s="1">
        <v>6.3485000000000003E-6</v>
      </c>
      <c r="E4" s="1">
        <v>1.0665E-8</v>
      </c>
      <c r="F4">
        <v>0.16799</v>
      </c>
      <c r="G4">
        <v>48.54</v>
      </c>
      <c r="H4">
        <v>0.15393999999999999</v>
      </c>
      <c r="I4">
        <v>0.31713999999999998</v>
      </c>
      <c r="J4">
        <v>77.599999999999994</v>
      </c>
      <c r="K4">
        <v>0.56506999999999996</v>
      </c>
      <c r="L4">
        <v>0.72818000000000005</v>
      </c>
      <c r="M4">
        <v>3.0203000000000001E-4</v>
      </c>
      <c r="N4" s="1">
        <v>2.0959000000000001E-6</v>
      </c>
      <c r="O4">
        <v>0.69394</v>
      </c>
      <c r="P4">
        <v>0.96694999999999998</v>
      </c>
      <c r="Q4">
        <v>2.2035000000000002E-3</v>
      </c>
      <c r="R4">
        <v>0.22788</v>
      </c>
      <c r="S4">
        <v>2.1859999999999999</v>
      </c>
      <c r="T4">
        <v>0.29899999999999999</v>
      </c>
      <c r="U4">
        <v>13.678000000000001</v>
      </c>
      <c r="V4">
        <v>7.4872000000000003E-3</v>
      </c>
      <c r="W4" s="1">
        <v>3.8113000000000001E-3</v>
      </c>
      <c r="X4">
        <v>50.904000000000003</v>
      </c>
      <c r="Y4">
        <v>0.37069000000000002</v>
      </c>
      <c r="Z4">
        <v>5.6684999999999999E-2</v>
      </c>
      <c r="AA4">
        <v>15.292</v>
      </c>
      <c r="AB4">
        <v>9.6940000000000008</v>
      </c>
      <c r="AC4">
        <v>0.56000000000000005</v>
      </c>
      <c r="AD4">
        <v>5.7767999999999997</v>
      </c>
      <c r="AE4">
        <v>2.1326000000000001E-2</v>
      </c>
      <c r="AF4">
        <v>1.4811E-3</v>
      </c>
      <c r="AG4">
        <v>6.9450000000000003</v>
      </c>
      <c r="AH4">
        <v>0.98443999999999998</v>
      </c>
      <c r="AI4">
        <v>2.5309000000000002E-2</v>
      </c>
      <c r="AJ4">
        <v>2.5709</v>
      </c>
    </row>
    <row r="5" spans="1:36" x14ac:dyDescent="0.35">
      <c r="A5" t="s">
        <v>424</v>
      </c>
      <c r="B5" s="1">
        <v>2.8986000000000001E-6</v>
      </c>
      <c r="C5" s="1">
        <v>1.7682E-4</v>
      </c>
      <c r="D5" s="1">
        <v>6.3990000000000001E-6</v>
      </c>
      <c r="E5" s="1">
        <v>2.2615000000000001E-8</v>
      </c>
      <c r="F5">
        <v>0.35341</v>
      </c>
      <c r="G5">
        <v>47.75</v>
      </c>
      <c r="H5">
        <v>1.7868999999999999</v>
      </c>
      <c r="I5">
        <v>3.7422</v>
      </c>
      <c r="J5">
        <v>99.21</v>
      </c>
      <c r="K5">
        <v>1.1874</v>
      </c>
      <c r="L5">
        <v>1.1969000000000001</v>
      </c>
      <c r="M5">
        <v>3.0567000000000002E-4</v>
      </c>
      <c r="N5" s="1">
        <v>2.7371999999999998E-6</v>
      </c>
      <c r="O5">
        <v>0.89548000000000005</v>
      </c>
      <c r="P5">
        <v>0.96414999999999995</v>
      </c>
      <c r="Q5">
        <v>3.1391000000000001E-3</v>
      </c>
      <c r="R5">
        <v>0.32557999999999998</v>
      </c>
      <c r="S5">
        <v>4.0369999999999999</v>
      </c>
      <c r="T5">
        <v>2.3205</v>
      </c>
      <c r="U5">
        <v>57.481000000000002</v>
      </c>
      <c r="V5">
        <v>9.8329999999999997E-3</v>
      </c>
      <c r="W5" s="1">
        <v>5.6042000000000002E-3</v>
      </c>
      <c r="X5">
        <v>56.994</v>
      </c>
      <c r="Y5">
        <v>0.23580000000000001</v>
      </c>
      <c r="Z5">
        <v>0.12053</v>
      </c>
      <c r="AA5">
        <v>51.115000000000002</v>
      </c>
      <c r="AB5">
        <v>8.423</v>
      </c>
      <c r="AC5">
        <v>1.1351</v>
      </c>
      <c r="AD5">
        <v>13.476000000000001</v>
      </c>
      <c r="AE5">
        <v>2.4556000000000001E-2</v>
      </c>
      <c r="AF5">
        <v>4.1149000000000003E-3</v>
      </c>
      <c r="AG5">
        <v>16.757000000000001</v>
      </c>
      <c r="AH5">
        <v>1.008</v>
      </c>
      <c r="AI5">
        <v>5.3204000000000001E-2</v>
      </c>
      <c r="AJ5">
        <v>5.2782</v>
      </c>
    </row>
    <row r="6" spans="1:36" x14ac:dyDescent="0.35">
      <c r="A6" t="s">
        <v>379</v>
      </c>
      <c r="B6" s="1">
        <v>9.1609000000000007E-6</v>
      </c>
      <c r="C6">
        <v>5.8629999999999999E-4</v>
      </c>
      <c r="D6" s="1">
        <v>6.3357000000000002E-6</v>
      </c>
      <c r="E6" s="1">
        <v>2.6187999999999999E-8</v>
      </c>
      <c r="F6">
        <v>0.41333999999999999</v>
      </c>
      <c r="G6">
        <v>48.64</v>
      </c>
      <c r="H6">
        <v>0.16696</v>
      </c>
      <c r="I6">
        <v>0.34326000000000001</v>
      </c>
      <c r="J6">
        <v>1.3959999999999999</v>
      </c>
      <c r="K6">
        <v>0.23386999999999999</v>
      </c>
      <c r="L6">
        <v>16.753</v>
      </c>
      <c r="M6">
        <v>7.9739999999999998E-4</v>
      </c>
      <c r="N6">
        <v>1.0146000000000001E-3</v>
      </c>
      <c r="O6">
        <v>127.24</v>
      </c>
      <c r="P6">
        <v>0.58177000000000001</v>
      </c>
      <c r="Q6">
        <v>0.11937</v>
      </c>
      <c r="R6">
        <v>20.518000000000001</v>
      </c>
      <c r="S6">
        <v>135.80000000000001</v>
      </c>
      <c r="T6">
        <v>0.26616000000000001</v>
      </c>
      <c r="U6">
        <v>0.19599</v>
      </c>
      <c r="V6">
        <v>3.2935000000000001E-4</v>
      </c>
      <c r="W6" s="1">
        <v>2.2539000000000001E-6</v>
      </c>
      <c r="X6">
        <v>0.68435000000000001</v>
      </c>
      <c r="Y6">
        <v>0.94657000000000002</v>
      </c>
      <c r="Z6">
        <v>1.8192E-3</v>
      </c>
      <c r="AA6">
        <v>0.19219</v>
      </c>
      <c r="AB6">
        <v>0</v>
      </c>
      <c r="AC6">
        <v>0</v>
      </c>
      <c r="AD6">
        <v>1</v>
      </c>
    </row>
    <row r="7" spans="1:36" x14ac:dyDescent="0.35">
      <c r="B7" s="1"/>
      <c r="C7" s="1"/>
      <c r="D7" s="1"/>
      <c r="E7" s="1"/>
      <c r="N7" s="1"/>
      <c r="W7" s="1"/>
    </row>
    <row r="8" spans="1:36" x14ac:dyDescent="0.35">
      <c r="A8" s="27" t="s">
        <v>423</v>
      </c>
      <c r="B8" t="s">
        <v>39</v>
      </c>
      <c r="C8" t="s">
        <v>422</v>
      </c>
      <c r="D8" t="s">
        <v>40</v>
      </c>
      <c r="E8" t="s">
        <v>32</v>
      </c>
      <c r="F8" s="2" t="s">
        <v>52</v>
      </c>
      <c r="G8" s="2" t="s">
        <v>77</v>
      </c>
      <c r="H8" s="2" t="s">
        <v>193</v>
      </c>
      <c r="I8" s="2" t="s">
        <v>54</v>
      </c>
      <c r="K8" t="s">
        <v>41</v>
      </c>
      <c r="L8" t="s">
        <v>40</v>
      </c>
      <c r="M8" t="s">
        <v>32</v>
      </c>
      <c r="N8" s="2" t="s">
        <v>77</v>
      </c>
      <c r="O8" s="2" t="s">
        <v>52</v>
      </c>
      <c r="P8" s="2" t="s">
        <v>193</v>
      </c>
      <c r="Q8" s="2" t="s">
        <v>54</v>
      </c>
      <c r="T8" s="2" t="s">
        <v>46</v>
      </c>
      <c r="U8" s="2" t="s">
        <v>47</v>
      </c>
      <c r="V8" s="2" t="s">
        <v>48</v>
      </c>
      <c r="W8" s="2" t="s">
        <v>40</v>
      </c>
      <c r="X8" s="2" t="s">
        <v>32</v>
      </c>
      <c r="Y8" s="2" t="s">
        <v>52</v>
      </c>
      <c r="Z8" s="2" t="s">
        <v>193</v>
      </c>
      <c r="AA8" s="2"/>
    </row>
    <row r="9" spans="1:36" x14ac:dyDescent="0.35">
      <c r="A9" s="13">
        <v>0.16133169164686401</v>
      </c>
      <c r="B9" s="2">
        <v>0</v>
      </c>
      <c r="C9" s="1">
        <f>50+B9/20</f>
        <v>50</v>
      </c>
      <c r="D9">
        <f>J2</f>
        <v>52.41</v>
      </c>
      <c r="E9" s="1">
        <f>(J2^(1-P2)*M2)^(1/P2)</f>
        <v>2.584926204945284E-4</v>
      </c>
      <c r="F9" s="3">
        <f>1.38E-23*I9/(4*(1.602E-19^2)*D9*A$11)</f>
        <v>4.3846682738560929E-8</v>
      </c>
      <c r="G9" s="3">
        <f>D9*A$9</f>
        <v>8.4553939592121417</v>
      </c>
      <c r="H9">
        <f>3/5.814E-23-((0.05/5.814E-29/4-I9*1.38E-23*E9/(8*(1.602E-19)^2)))*10^-6+SQRT(0.05/5.814E-29*I9*1.38E-23*E9/(8*(1.602E-19)^2)*5.814E-29+ (-0.05/5.814E-29/4+(I9*1.38E-23*E9/(8*(1.602E-19)^2)^2)))*10^-6</f>
        <v>5.1393210634377353E+22</v>
      </c>
      <c r="I9" s="6">
        <f>1/(0.000479779-0.000434801*LOG(0.05/(0.5*0.5*(G2-10)))-0.000100649*(LOG(0.05/(0.5*0.5*(G2-10))))^2-0.0000198446*(LOG(0.05/(0.5*0.5*(G2-10))))^3-0.00000195494*(LOG(0.05/(0.5*0.5*(G2-10))))^4-0.0000000757244*(LOG(0.05/(0.5*0.5*(G2-10))))^5)</f>
        <v>878.39472011292889</v>
      </c>
      <c r="K9">
        <v>0.01</v>
      </c>
      <c r="L9">
        <f>S21</f>
        <v>286</v>
      </c>
      <c r="M9" s="1">
        <f>(S21^(1-Y21)*V21)^(1/Y21)</f>
        <v>3.1199355734118432E-4</v>
      </c>
      <c r="N9" s="3">
        <f>A$9*L9</f>
        <v>46.140863811003108</v>
      </c>
      <c r="O9" s="3">
        <f>1.38E-23*Q9/(4*(1.602E-19^2)*L9*A$11)</f>
        <v>8.0102620515089348E-9</v>
      </c>
      <c r="P9" s="2">
        <f>3/5.814E-23-((0.05/5.814E-29/4-Q9*1.38E-23*M9/(8*(1.602E-19)^2)))*10^-6+SQRT(0.05/5.814E-29*Q9*1.38E-23*M9/(8*(1.602E-19)^2)*5.814E-29+ (-0.05/5.814E-29/4+(Q9*1.38E-23*M9/(8*(1.602E-19)^2)^2)))*10^-6</f>
        <v>5.1394046353206493E+22</v>
      </c>
      <c r="Q9" s="6">
        <f>1/(0.000479779-0.000434801*LOG(0.05/(0.5*0.5*(G21-10)))-0.000100649*(LOG(0.05/(0.5*0.5*(G21-10))))^2-0.0000198446*(LOG(0.05/(0.5*0.5*(G21-10))))^3-0.00000195494*(LOG(0.05/(0.5*0.5*(G21-10))))^4-0.0000000757244*(LOG(0.05/(0.5*0.5*(G21-10))))^5)</f>
        <v>875.69238297647632</v>
      </c>
      <c r="T9" s="32">
        <f>1000/U9</f>
        <v>1.1729762159602501</v>
      </c>
      <c r="U9" s="7">
        <f>1/(0.000479779-0.000434801*LOG(0.05/(0.5*0.5*(G29-10)))-0.000100649*(LOG(0.05/(0.5*0.5*(G29-10))))^2-0.0000198446*(LOG(0.05/(0.5*0.5*(G29))))^3-0.00000195494*(LOG(0.05/(0.5*0.5*(G29-10))))^4-0.0000000757244*(LOG(0.05/(0.5*0.5*(G29-10))))^5)</f>
        <v>852.53220516611736</v>
      </c>
      <c r="V9" s="7">
        <f>U9-273</f>
        <v>579.53220516611736</v>
      </c>
      <c r="W9" s="2">
        <f>J29</f>
        <v>159.80000000000001</v>
      </c>
      <c r="X9" s="2">
        <f>(J29^(1-P29)*M29)^(1/P29)</f>
        <v>2.6881292789398604E-4</v>
      </c>
      <c r="Y9" s="3">
        <f>1.38E-23*U9/(4*(1.602E-19^2)*W9*A$11)</f>
        <v>1.3957100442419849E-8</v>
      </c>
      <c r="Z9" s="2">
        <f>3/5.814E-23-((0.05/5.814E-29/4-U9*1.38E-23*X9/(8*(1.602E-19)^2)))*10^-6+SQRT(0.05/5.814E-29*U9*1.38E-23*X9/(8*(1.602E-19)^2)*5.814E-29+ (-0.05/5.814E-29/4+(U9*1.38E-23*X9/(8*(1.602E-19)^2)^2)))*10^-6</f>
        <v>5.1393250660534081E+22</v>
      </c>
      <c r="AA9" s="6"/>
    </row>
    <row r="10" spans="1:36" x14ac:dyDescent="0.35">
      <c r="A10" s="11" t="s">
        <v>421</v>
      </c>
      <c r="B10" s="2">
        <v>14</v>
      </c>
      <c r="C10" s="1">
        <f>50+B10/20</f>
        <v>50.7</v>
      </c>
      <c r="D10">
        <f>S3</f>
        <v>70.33</v>
      </c>
      <c r="E10" s="1">
        <f>(S3^(1-Y3)*V3)^(1/Y3)</f>
        <v>3.2381950011222381E-4</v>
      </c>
      <c r="F10" s="3">
        <f>1.38E-23*I10/(4*(1.602E-19^2)*D10*A$11)</f>
        <v>3.2621862984809733E-8</v>
      </c>
      <c r="G10" s="3">
        <f>D10*A$9</f>
        <v>11.346457873523946</v>
      </c>
      <c r="H10">
        <f>3/5.814E-23-((0.05/5.814E-29/4-I10*1.38E-23*E10/(8*(1.602E-19)^2)))*10^-6+SQRT(0.05/5.814E-29*I10*1.38E-23*E10/(8*(1.602E-19)^2)*5.814E-29+ (-0.05/5.814E-29/4+(I10*1.38E-23*E10/(8*(1.602E-19)^2)^2)))*10^-6</f>
        <v>5.1394230989902483E+22</v>
      </c>
      <c r="I10" s="6">
        <f>1/(0.000479779-0.000434801*LOG(0.05/(0.5*0.5*(G3-10)))-0.000100649*(LOG(0.05/(0.5*0.5*(G3-10))))^2-0.0000198446*(LOG(0.05/(0.5*0.5*(G3-10))))^3-0.00000195494*(LOG(0.05/(0.5*0.5*(G3-10))))^4-0.0000000757244*(LOG(0.05/(0.5*0.5*(G3-10))))^5)</f>
        <v>876.97697608379474</v>
      </c>
      <c r="K10">
        <v>0.04</v>
      </c>
      <c r="L10">
        <f>S22</f>
        <v>130</v>
      </c>
      <c r="M10" s="1">
        <f>(S22^(1-Y22)*V22)^(1/Y22)</f>
        <v>2.7415134360677821E-4</v>
      </c>
      <c r="N10" s="3">
        <f>A$9*L10</f>
        <v>20.973119914092322</v>
      </c>
      <c r="O10" s="3">
        <f>1.38E-23*Q10/(4*(1.602E-19^2)*L10*A$11)</f>
        <v>1.7722965335420476E-8</v>
      </c>
      <c r="P10" s="2">
        <f>3/5.814E-23-((0.05/5.814E-29/4-Q10*1.38E-23*M10/(8*(1.602E-19)^2)))*10^-6+SQRT(0.05/5.814E-29*Q10*1.38E-23*M10/(8*(1.602E-19)^2)*5.814E-29+ (-0.05/5.814E-29/4+(Q10*1.38E-23*M10/(8*(1.602E-19)^2)^2)))*10^-6</f>
        <v>5.1393479480882451E+22</v>
      </c>
      <c r="Q10" s="6">
        <f>1/(0.000479779-0.000434801*LOG(0.05/(0.5*0.5*(G22-10)))-0.000100649*(LOG(0.05/(0.5*0.5*(G22-10))))^2-0.0000198446*(LOG(0.05/(0.5*0.5*(G22-10))))^3-0.00000195494*(LOG(0.05/(0.5*0.5*(G22-10))))^4-0.0000000757244*(LOG(0.05/(0.5*0.5*(G22-10))))^5)</f>
        <v>880.68085482582399</v>
      </c>
      <c r="T10" s="32">
        <f>1000/U10</f>
        <v>1.1994884846191396</v>
      </c>
      <c r="U10" s="7">
        <f>1/(0.000479779-0.000434801*LOG(0.05/(0.5*0.5*(G30-10)))-0.000100649*(LOG(0.05/(0.5*0.5*(G30-10))))^2-0.0000198446*(LOG(0.05/(0.5*0.5*(G30))))^3-0.00000195494*(LOG(0.05/(0.5*0.5*(G30-10))))^4-0.0000000757244*(LOG(0.05/(0.5*0.5*(G30-10))))^5)</f>
        <v>833.68870382904845</v>
      </c>
      <c r="V10" s="7">
        <f>U10-273</f>
        <v>560.68870382904845</v>
      </c>
      <c r="W10" s="2">
        <f>J30</f>
        <v>260.60000000000002</v>
      </c>
      <c r="X10" s="2">
        <f>(J30^(1-P30)*M30)^(1/P30)</f>
        <v>2.3927541072795607E-4</v>
      </c>
      <c r="Y10" s="3">
        <f>1.38E-23*U10/(4*(1.602E-19^2)*W10*A$11)</f>
        <v>8.3693299691420021E-9</v>
      </c>
      <c r="Z10" s="2">
        <f>3/5.814E-23-((0.05/5.814E-29/4-U10*1.38E-23*X10/(8*(1.602E-19)^2)))*10^-6+SQRT(0.05/5.814E-29*U10*1.38E-23*X10/(8*(1.602E-19)^2)*5.814E-29+ (-0.05/5.814E-29/4+(U10*1.38E-23*X10/(8*(1.602E-19)^2)^2)))*10^-6</f>
        <v>5.1392670117171271E+22</v>
      </c>
      <c r="AA10" s="6"/>
    </row>
    <row r="11" spans="1:36" x14ac:dyDescent="0.35">
      <c r="A11" s="11">
        <f>((3/5.814E-29)-(0.05/5.814E-29/4))*10^-6</f>
        <v>5.1384588923288611E+22</v>
      </c>
      <c r="B11" s="2">
        <v>28</v>
      </c>
      <c r="C11" s="1">
        <f>50+B11/20</f>
        <v>51.4</v>
      </c>
      <c r="D11">
        <f>J4</f>
        <v>77.599999999999994</v>
      </c>
      <c r="E11" s="1">
        <f>(J4^(1-P4)*M4)^(1/P4)</f>
        <v>2.656649496648971E-4</v>
      </c>
      <c r="F11" s="3">
        <f>1.38E-23*I11/(4*(1.602E-19^2)*D11*A$11)</f>
        <v>2.9678560624640972E-8</v>
      </c>
      <c r="G11" s="3">
        <f>D11*A$9</f>
        <v>12.519339271796646</v>
      </c>
      <c r="H11">
        <f>3/5.814E-23-((0.05/5.814E-29/4-I11*1.38E-23*E11/(8*(1.602E-19)^2)))*10^-6+SQRT(0.05/5.814E-29*I11*1.38E-23*E11/(8*(1.602E-19)^2)*5.814E-29+ (-0.05/5.814E-29/4+(I11*1.38E-23*E11/(8*(1.602E-19)^2)^2)))*10^-6</f>
        <v>5.1393339029968441E+22</v>
      </c>
      <c r="I11" s="6">
        <f>1/(0.000479779-0.000434801*LOG(0.05/(0.5*0.5*(G4-10)))-0.000100649*(LOG(0.05/(0.5*0.5*(G4-10))))^2-0.0000198446*(LOG(0.05/(0.5*0.5*(G4-10))))^3-0.00000195494*(LOG(0.05/(0.5*0.5*(G4-10))))^4-0.0000000757244*(LOG(0.05/(0.5*0.5*(G4-10))))^5)</f>
        <v>880.32567937797648</v>
      </c>
      <c r="K11">
        <v>0.1</v>
      </c>
      <c r="L11">
        <f>S23</f>
        <v>85.52</v>
      </c>
      <c r="M11" s="1">
        <f>(S23^(1-Y23)*V23)^(1/Y23)</f>
        <v>2.5152841813176944E-4</v>
      </c>
      <c r="N11" s="3">
        <f>A$9*L11</f>
        <v>13.797086269639809</v>
      </c>
      <c r="O11" s="3">
        <f>1.38E-23*Q11/(4*(1.602E-19^2)*L11*A$11)</f>
        <v>2.6978365391357222E-8</v>
      </c>
      <c r="P11" s="2">
        <f>3/5.814E-23-((0.05/5.814E-29/4-Q11*1.38E-23*M11/(8*(1.602E-19)^2)))*10^-6+SQRT(0.05/5.814E-29*Q11*1.38E-23*M11/(8*(1.602E-19)^2)*5.814E-29+ (-0.05/5.814E-29/4+(Q11*1.38E-23*M11/(8*(1.602E-19)^2)^2)))*10^-6</f>
        <v>5.1393110680018327E+22</v>
      </c>
      <c r="Q11" s="6">
        <f>1/(0.000479779-0.000434801*LOG(0.05/(0.5*0.5*(G23-10)))-0.000100649*(LOG(0.05/(0.5*0.5*(G23-10))))^2-0.0000198446*(LOG(0.05/(0.5*0.5*(G23-10))))^3-0.00000195494*(LOG(0.05/(0.5*0.5*(G23-10))))^4-0.0000000757244*(LOG(0.05/(0.5*0.5*(G23-10))))^5)</f>
        <v>881.90567962851401</v>
      </c>
      <c r="T11" s="32">
        <f>1000/U11</f>
        <v>1.2364653277337021</v>
      </c>
      <c r="U11" s="7">
        <f>1/(0.000479779-0.000434801*LOG(0.05/(0.5*0.5*(G31-10)))-0.000100649*(LOG(0.05/(0.5*0.5*(G31-10))))^2-0.0000198446*(LOG(0.05/(0.5*0.5*(G31))))^3-0.00000195494*(LOG(0.05/(0.5*0.5*(G31-10))))^4-0.0000000757244*(LOG(0.05/(0.5*0.5*(G31-10))))^5)</f>
        <v>808.75700884624428</v>
      </c>
      <c r="V11" s="7">
        <f>U11-273</f>
        <v>535.75700884624428</v>
      </c>
      <c r="W11" s="2">
        <f>J31</f>
        <v>503.9</v>
      </c>
      <c r="X11" s="2">
        <f>(J31^(1-P31)*M31)^(1/P31)</f>
        <v>2.1330490727438677E-4</v>
      </c>
      <c r="Y11" s="3">
        <f>1.38E-23*U11/(4*(1.602E-19^2)*W11*A$11)</f>
        <v>4.1988937384668045E-9</v>
      </c>
      <c r="Z11" s="2">
        <f>3/5.814E-23-((0.05/5.814E-29/4-U11*1.38E-23*X11/(8*(1.602E-19)^2)))*10^-6+SQRT(0.05/5.814E-29*U11*1.38E-23*X11/(8*(1.602E-19)^2)*5.814E-29+ (-0.05/5.814E-29/4+(U11*1.38E-23*X11/(8*(1.602E-19)^2)^2)))*10^-6</f>
        <v>5.139210400980753E+22</v>
      </c>
      <c r="AA11" s="6"/>
    </row>
    <row r="12" spans="1:36" x14ac:dyDescent="0.35">
      <c r="A12" s="11" t="s">
        <v>225</v>
      </c>
      <c r="B12" s="2">
        <v>42</v>
      </c>
      <c r="C12" s="1">
        <f>50+B12/20</f>
        <v>52.1</v>
      </c>
      <c r="D12">
        <f>J5</f>
        <v>99.21</v>
      </c>
      <c r="E12" s="1">
        <f>(J5^(1-P5)*M5)^(1/P5)</f>
        <v>2.6841196849272501E-4</v>
      </c>
      <c r="F12" s="3">
        <f>1.38E-23*I12/(4*(1.602E-19^2)*D12*A$11)</f>
        <v>2.3251301734792903E-8</v>
      </c>
      <c r="G12" s="3">
        <f>D12*A$9</f>
        <v>16.005717128285376</v>
      </c>
      <c r="H12">
        <f>3/5.814E-23-((0.05/5.814E-29/4-I12*1.38E-23*E12/(8*(1.602E-19)^2)))*10^-6+SQRT(0.05/5.814E-29*I12*1.38E-23*E12/(8*(1.602E-19)^2)*5.814E-29+ (-0.05/5.814E-29/4+(I12*1.38E-23*E12/(8*(1.602E-19)^2)^2)))*10^-6</f>
        <v>5.1393391224778345E+22</v>
      </c>
      <c r="I12" s="6">
        <f>1/(0.000479779-0.000434801*LOG(0.05/(0.5*0.5*(G5-10)))-0.000100649*(LOG(0.05/(0.5*0.5*(G5-10))))^2-0.0000198446*(LOG(0.05/(0.5*0.5*(G5-10))))^3-0.00000195494*(LOG(0.05/(0.5*0.5*(G5-10))))^4-0.0000000757244*(LOG(0.05/(0.5*0.5*(G5-10))))^5)</f>
        <v>881.74201753130967</v>
      </c>
      <c r="K12">
        <v>1</v>
      </c>
      <c r="L12">
        <f>S24</f>
        <v>29.3</v>
      </c>
      <c r="M12" s="1">
        <f>(S24^(1-Y24)*V24)^(1/Y24)</f>
        <v>2.1896922379801184E-4</v>
      </c>
      <c r="N12" s="3">
        <f>A$9*L12</f>
        <v>4.7270185652531156</v>
      </c>
      <c r="O12" s="3">
        <f>1.38E-23*Q12/(4*(1.602E-19^2)*L12*A$11)</f>
        <v>7.8658235435191824E-8</v>
      </c>
      <c r="P12" s="2">
        <f>3/5.814E-23-((0.05/5.814E-29/4-Q12*1.38E-23*M12/(8*(1.602E-19)^2)))*10^-6+SQRT(0.05/5.814E-29*Q12*1.38E-23*M12/(8*(1.602E-19)^2)*5.814E-29+ (-0.05/5.814E-29/4+(Q12*1.38E-23*M12/(8*(1.602E-19)^2)^2)))*10^-6</f>
        <v>5.1392535706938416E+22</v>
      </c>
      <c r="Q12" s="6">
        <f>1/(0.000479779-0.000434801*LOG(0.05/(0.5*0.5*(G24-10)))-0.000100649*(LOG(0.05/(0.5*0.5*(G24-10))))^2-0.0000198446*(LOG(0.05/(0.5*0.5*(G24-10))))^3-0.00000195494*(LOG(0.05/(0.5*0.5*(G24-10))))^4-0.0000000757244*(LOG(0.05/(0.5*0.5*(G24-10))))^5)</f>
        <v>880.94873204849841</v>
      </c>
      <c r="T12" s="32">
        <f>1000/U12</f>
        <v>1.2988118992597821</v>
      </c>
      <c r="U12" s="7">
        <f>1/(0.000479779-0.000434801*LOG(0.05/(0.5*0.5*(G32-10)))-0.000100649*(LOG(0.05/(0.5*0.5*(G32-10))))^2-0.0000198446*(LOG(0.05/(0.5*0.5*(G32))))^3-0.00000195494*(LOG(0.05/(0.5*0.5*(G32-10))))^4-0.0000000757244*(LOG(0.05/(0.5*0.5*(G32-10))))^5)</f>
        <v>769.93443051293207</v>
      </c>
      <c r="V12" s="7">
        <f>U12-273</f>
        <v>496.93443051293207</v>
      </c>
      <c r="W12" s="2">
        <f>J32</f>
        <v>1471</v>
      </c>
      <c r="X12" s="2">
        <f>(J32^(1-P32)*M32)^(1/P32)</f>
        <v>1.9412210678899114E-4</v>
      </c>
      <c r="Y12" s="3">
        <f>1.38E-23*U12/(4*(1.602E-19^2)*W12*A$11)</f>
        <v>1.369311493563982E-9</v>
      </c>
      <c r="Z12" s="2">
        <f>3/5.814E-23-((0.05/5.814E-29/4-U12*1.38E-23*X12/(8*(1.602E-19)^2)))*10^-6+SQRT(0.05/5.814E-29*U12*1.38E-23*X12/(8*(1.602E-19)^2)*5.814E-29+ (-0.05/5.814E-29/4+(U12*1.38E-23*X12/(8*(1.602E-19)^2)^2)))*10^-6</f>
        <v>5.1391583942334428E+22</v>
      </c>
      <c r="AA12" s="6"/>
    </row>
    <row r="13" spans="1:36" x14ac:dyDescent="0.35">
      <c r="A13" s="11">
        <f>((0.05/5.814E-29/4))*10^-6</f>
        <v>2.1499828001375987E+20</v>
      </c>
      <c r="B13" s="2">
        <v>56</v>
      </c>
      <c r="C13" s="1">
        <f>50+B13/20</f>
        <v>52.8</v>
      </c>
      <c r="D13">
        <f>S6</f>
        <v>135.80000000000001</v>
      </c>
      <c r="E13" s="1">
        <f>(S6^(1-Y6)*V6)^(1/Y6)</f>
        <v>2.7636762190539488E-4</v>
      </c>
      <c r="F13" s="3">
        <f>1.38E-23*I13/(4*(1.602E-19^2)*D13*A$11)</f>
        <v>1.6955772651472736E-8</v>
      </c>
      <c r="G13" s="3">
        <f>D13*A$9</f>
        <v>21.908843725644132</v>
      </c>
      <c r="H13">
        <f>3/5.814E-23-((0.05/5.814E-29/4-I13*1.38E-23*E13/(8*(1.602E-19)^2)))*10^-6+SQRT(0.05/5.814E-29*I13*1.38E-23*E13/(8*(1.602E-19)^2)*5.814E-29+ (-0.05/5.814E-29/4+(I13*1.38E-23*E13/(8*(1.602E-19)^2)^2)))*10^-6</f>
        <v>5.1393512648700059E+22</v>
      </c>
      <c r="I13" s="6">
        <f>1/(0.000479779-0.000434801*LOG(0.05/(0.5*0.5*(G6-10)))-0.000100649*(LOG(0.05/(0.5*0.5*(G6-10))))^2-0.0000198446*(LOG(0.05/(0.5*0.5*(G6-10))))^3-0.00000195494*(LOG(0.05/(0.5*0.5*(G6-10))))^4-0.0000000757244*(LOG(0.05/(0.5*0.5*(G6-10))))^5)</f>
        <v>880.14893876585836</v>
      </c>
      <c r="K13">
        <v>10</v>
      </c>
      <c r="L13">
        <f>S25</f>
        <v>20.87</v>
      </c>
      <c r="M13" s="1">
        <f>(S25^(1-Y25)*V25)^(1/Y25)</f>
        <v>2.2654938310118943E-4</v>
      </c>
      <c r="N13" s="3">
        <f>A$9*L13</f>
        <v>3.3669924046700519</v>
      </c>
      <c r="O13" s="3">
        <f>1.38E-23*Q13/(4*(1.602E-19^2)*L13*A$11)</f>
        <v>1.1033032707570664E-7</v>
      </c>
      <c r="P13" s="2">
        <f>3/5.814E-23-((0.05/5.814E-29/4-Q13*1.38E-23*M13/(8*(1.602E-19)^2)))*10^-6+SQRT(0.05/5.814E-29*Q13*1.38E-23*M13/(8*(1.602E-19)^2)*5.814E-29+ (-0.05/5.814E-29/4+(Q13*1.38E-23*M13/(8*(1.602E-19)^2)^2)))*10^-6</f>
        <v>5.1392668415367538E+22</v>
      </c>
      <c r="Q13" s="6">
        <f>1/(0.000479779-0.000434801*LOG(0.05/(0.5*0.5*(G25-10)))-0.000100649*(LOG(0.05/(0.5*0.5*(G25-10))))^2-0.0000198446*(LOG(0.05/(0.5*0.5*(G25-10))))^3-0.00000195494*(LOG(0.05/(0.5*0.5*(G25-10))))^4-0.0000000757244*(LOG(0.05/(0.5*0.5*(G25-10))))^5)</f>
        <v>880.14893876585836</v>
      </c>
      <c r="Y13" s="3"/>
      <c r="Z13" s="2"/>
      <c r="AA13" s="6"/>
    </row>
    <row r="14" spans="1:36" x14ac:dyDescent="0.35">
      <c r="A14" s="2"/>
      <c r="F14" s="3"/>
      <c r="G14" s="2"/>
      <c r="H14" s="6"/>
      <c r="K14">
        <v>100</v>
      </c>
      <c r="L14">
        <f>S26</f>
        <v>8.4580000000000002</v>
      </c>
      <c r="M14" s="1">
        <f>(S26^(1-Y26)*V26)^(1/Y26)</f>
        <v>2.5293416562763857E-4</v>
      </c>
      <c r="N14" s="3">
        <f>A$9*L14</f>
        <v>1.3645434479491758</v>
      </c>
      <c r="O14" s="3">
        <f>1.38E-23*Q14/(4*(1.602E-19^2)*L14*A$11)</f>
        <v>2.7157478992297654E-7</v>
      </c>
      <c r="P14" s="2">
        <f>3/5.814E-23-((0.05/5.814E-29/4-Q14*1.38E-23*M14/(8*(1.602E-19)^2)))*10^-6+SQRT(0.05/5.814E-29*Q14*1.38E-23*M14/(8*(1.602E-19)^2)*5.814E-29+ (-0.05/5.814E-29/4+(Q14*1.38E-23*M14/(8*(1.602E-19)^2)^2)))*10^-6</f>
        <v>5.1393115530458172E+22</v>
      </c>
      <c r="Q14" s="6">
        <f>1/(0.000479779-0.000434801*LOG(0.05/(0.5*0.5*(G26-10)))-0.000100649*(LOG(0.05/(0.5*0.5*(G26-10))))^2-0.0000198446*(LOG(0.05/(0.5*0.5*(G26-10))))^3-0.00000195494*(LOG(0.05/(0.5*0.5*(G26-10))))^4-0.0000000757244*(LOG(0.05/(0.5*0.5*(G26-10))))^5)</f>
        <v>878.00289525721712</v>
      </c>
      <c r="Y14" s="3"/>
      <c r="Z14" s="2"/>
      <c r="AA14" s="6"/>
    </row>
    <row r="15" spans="1:36" x14ac:dyDescent="0.35">
      <c r="A15" s="2"/>
    </row>
    <row r="16" spans="1:36" x14ac:dyDescent="0.35">
      <c r="A16" s="20"/>
    </row>
    <row r="20" spans="1:36" x14ac:dyDescent="0.35">
      <c r="A20" t="s">
        <v>227</v>
      </c>
      <c r="B20" s="1" t="s">
        <v>0</v>
      </c>
      <c r="C20" s="1" t="s">
        <v>1</v>
      </c>
      <c r="D20" s="1" t="s">
        <v>2</v>
      </c>
      <c r="E20" s="1" t="s">
        <v>3</v>
      </c>
      <c r="F20" t="s">
        <v>4</v>
      </c>
      <c r="G20" t="s">
        <v>33</v>
      </c>
      <c r="H20" t="s">
        <v>34</v>
      </c>
      <c r="I20" t="s">
        <v>35</v>
      </c>
      <c r="J20" t="s">
        <v>5</v>
      </c>
      <c r="K20" s="1" t="s">
        <v>6</v>
      </c>
      <c r="L20" t="s">
        <v>7</v>
      </c>
      <c r="M20" t="s">
        <v>8</v>
      </c>
      <c r="N20" s="1" t="s">
        <v>9</v>
      </c>
      <c r="O20" t="s">
        <v>10</v>
      </c>
      <c r="P20" t="s">
        <v>11</v>
      </c>
      <c r="Q20" t="s">
        <v>12</v>
      </c>
      <c r="R20" t="s">
        <v>13</v>
      </c>
      <c r="S20" t="s">
        <v>14</v>
      </c>
      <c r="T20" t="s">
        <v>15</v>
      </c>
      <c r="U20" t="s">
        <v>16</v>
      </c>
      <c r="V20" t="s">
        <v>17</v>
      </c>
      <c r="W20" s="1" t="s">
        <v>18</v>
      </c>
      <c r="X20" t="s">
        <v>19</v>
      </c>
      <c r="Y20" t="s">
        <v>20</v>
      </c>
      <c r="Z20" t="s">
        <v>21</v>
      </c>
      <c r="AA20" t="s">
        <v>22</v>
      </c>
      <c r="AB20" t="s">
        <v>23</v>
      </c>
      <c r="AC20" t="s">
        <v>24</v>
      </c>
      <c r="AD20" t="s">
        <v>25</v>
      </c>
      <c r="AE20" t="s">
        <v>26</v>
      </c>
      <c r="AF20" t="s">
        <v>27</v>
      </c>
      <c r="AG20" t="s">
        <v>28</v>
      </c>
      <c r="AH20" t="s">
        <v>29</v>
      </c>
      <c r="AI20" t="s">
        <v>30</v>
      </c>
      <c r="AJ20" t="s">
        <v>31</v>
      </c>
    </row>
    <row r="21" spans="1:36" x14ac:dyDescent="0.35">
      <c r="A21" t="s">
        <v>420</v>
      </c>
      <c r="B21" s="1">
        <v>1.5216E-6</v>
      </c>
      <c r="C21" s="1">
        <v>9.5863E-5</v>
      </c>
      <c r="D21" s="1">
        <v>6.2519999999999996E-6</v>
      </c>
      <c r="E21" s="1">
        <v>1.1765E-8</v>
      </c>
      <c r="F21">
        <v>0.18817999999999999</v>
      </c>
      <c r="G21">
        <v>51.27</v>
      </c>
      <c r="H21">
        <v>0.11695999999999999</v>
      </c>
      <c r="I21">
        <v>0.22813</v>
      </c>
      <c r="J21">
        <v>26.89</v>
      </c>
      <c r="K21">
        <v>3.5133000000000001</v>
      </c>
      <c r="L21">
        <v>13.065</v>
      </c>
      <c r="M21">
        <v>1.9848999999999999E-2</v>
      </c>
      <c r="N21">
        <v>3.8284E-3</v>
      </c>
      <c r="O21">
        <v>19.288</v>
      </c>
      <c r="P21">
        <v>0.95826</v>
      </c>
      <c r="Q21">
        <v>4.2613999999999999E-2</v>
      </c>
      <c r="R21">
        <v>4.4470000000000001</v>
      </c>
      <c r="S21">
        <v>286</v>
      </c>
      <c r="T21">
        <v>3.1461000000000001</v>
      </c>
      <c r="U21">
        <v>1.1000000000000001</v>
      </c>
      <c r="V21">
        <v>3.4749E-4</v>
      </c>
      <c r="W21" s="1">
        <v>1.2361999999999999E-6</v>
      </c>
      <c r="X21">
        <v>0.35575000000000001</v>
      </c>
      <c r="Y21">
        <v>0.95540999999999998</v>
      </c>
      <c r="Z21">
        <v>1.2933E-3</v>
      </c>
      <c r="AA21">
        <v>0.13536999999999999</v>
      </c>
      <c r="AB21">
        <v>1.9430000000000001</v>
      </c>
      <c r="AC21">
        <v>0.17851</v>
      </c>
      <c r="AD21">
        <v>9.1873000000000005</v>
      </c>
      <c r="AE21">
        <v>3.2420000000000001E-3</v>
      </c>
      <c r="AF21">
        <v>1.4304999999999999E-3</v>
      </c>
      <c r="AG21">
        <v>44.124000000000002</v>
      </c>
      <c r="AH21">
        <v>0.44153999999999999</v>
      </c>
      <c r="AI21">
        <v>4.8787999999999998E-2</v>
      </c>
      <c r="AJ21">
        <v>11.05</v>
      </c>
    </row>
    <row r="22" spans="1:36" x14ac:dyDescent="0.35">
      <c r="A22" t="s">
        <v>379</v>
      </c>
      <c r="B22" s="1">
        <v>1.2171E-6</v>
      </c>
      <c r="C22" s="1">
        <v>7.4241999999999998E-5</v>
      </c>
      <c r="D22" s="1">
        <v>6.3517999999999999E-6</v>
      </c>
      <c r="E22" s="1">
        <v>1.0748E-8</v>
      </c>
      <c r="F22">
        <v>0.16921</v>
      </c>
      <c r="G22">
        <v>48.34</v>
      </c>
      <c r="H22">
        <v>0.16224</v>
      </c>
      <c r="I22">
        <v>0.33561999999999997</v>
      </c>
      <c r="J22">
        <v>6.1829999999999998</v>
      </c>
      <c r="K22">
        <v>0.98251999999999995</v>
      </c>
      <c r="L22">
        <v>15.891</v>
      </c>
      <c r="M22">
        <v>3.5652999999999997E-2</v>
      </c>
      <c r="N22">
        <v>6.8976999999999997E-3</v>
      </c>
      <c r="O22">
        <v>19.347000000000001</v>
      </c>
      <c r="P22">
        <v>1.0409999999999999</v>
      </c>
      <c r="Q22">
        <v>5.6349000000000003E-2</v>
      </c>
      <c r="R22">
        <v>5.4130000000000003</v>
      </c>
      <c r="S22">
        <v>130</v>
      </c>
      <c r="T22">
        <v>0.96569000000000005</v>
      </c>
      <c r="U22">
        <v>0.74283999999999994</v>
      </c>
      <c r="V22">
        <v>3.1107999999999998E-4</v>
      </c>
      <c r="W22" s="1">
        <v>1.4367999999999999E-6</v>
      </c>
      <c r="X22">
        <v>0.46187</v>
      </c>
      <c r="Y22">
        <v>0.96209999999999996</v>
      </c>
      <c r="Z22">
        <v>1.6576E-3</v>
      </c>
      <c r="AA22">
        <v>0.17229</v>
      </c>
      <c r="AB22">
        <v>2.2069999999999999</v>
      </c>
      <c r="AC22">
        <v>0.29547000000000001</v>
      </c>
      <c r="AD22">
        <v>13.388</v>
      </c>
      <c r="AE22">
        <v>7.8098000000000004E-3</v>
      </c>
      <c r="AF22">
        <v>3.7312999999999999E-3</v>
      </c>
      <c r="AG22">
        <v>47.777000000000001</v>
      </c>
      <c r="AH22">
        <v>0.36298000000000002</v>
      </c>
      <c r="AI22">
        <v>5.4701E-2</v>
      </c>
      <c r="AJ22">
        <v>15.07</v>
      </c>
    </row>
    <row r="23" spans="1:36" x14ac:dyDescent="0.35">
      <c r="A23" t="s">
        <v>419</v>
      </c>
      <c r="B23" s="1">
        <v>3.7322999999999998E-6</v>
      </c>
      <c r="C23">
        <v>2.0901000000000001E-4</v>
      </c>
      <c r="D23" s="1">
        <v>6.0626000000000002E-6</v>
      </c>
      <c r="E23" s="1">
        <v>1.7541000000000001E-8</v>
      </c>
      <c r="F23">
        <v>0.28932999999999998</v>
      </c>
      <c r="G23">
        <v>47.66</v>
      </c>
      <c r="H23" s="29">
        <v>0.15454999999999999</v>
      </c>
      <c r="I23">
        <v>0.32428000000000001</v>
      </c>
      <c r="J23">
        <v>1.425</v>
      </c>
      <c r="K23">
        <v>0.21934999999999999</v>
      </c>
      <c r="L23">
        <v>15.393000000000001</v>
      </c>
      <c r="M23">
        <v>1.7109E-3</v>
      </c>
      <c r="N23">
        <v>1.4924999999999999E-3</v>
      </c>
      <c r="O23">
        <v>87.234999999999999</v>
      </c>
      <c r="P23">
        <v>0.50385999999999997</v>
      </c>
      <c r="Q23">
        <v>9.1486999999999999E-2</v>
      </c>
      <c r="R23">
        <v>18.157</v>
      </c>
      <c r="S23">
        <v>85.52</v>
      </c>
      <c r="T23">
        <v>0.18376000000000001</v>
      </c>
      <c r="U23">
        <v>0.21487000000000001</v>
      </c>
      <c r="V23">
        <v>2.9512000000000001E-4</v>
      </c>
      <c r="W23" s="1">
        <v>1.9715000000000001E-6</v>
      </c>
      <c r="X23">
        <v>0.66803000000000001</v>
      </c>
      <c r="Y23">
        <v>0.95837000000000006</v>
      </c>
      <c r="Z23">
        <v>1.7178E-3</v>
      </c>
      <c r="AA23">
        <v>0.17924000000000001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1</v>
      </c>
      <c r="AI23">
        <v>0</v>
      </c>
      <c r="AJ23">
        <v>0</v>
      </c>
    </row>
    <row r="24" spans="1:36" x14ac:dyDescent="0.35">
      <c r="A24" t="s">
        <v>317</v>
      </c>
      <c r="B24" s="1">
        <v>3.2144000000000001E-6</v>
      </c>
      <c r="C24">
        <v>1.8001000000000001E-4</v>
      </c>
      <c r="D24" s="1">
        <v>5.8108000000000003E-6</v>
      </c>
      <c r="E24" s="1">
        <v>1.4944000000000001E-8</v>
      </c>
      <c r="F24">
        <v>0.25718000000000002</v>
      </c>
      <c r="G24">
        <v>48.19</v>
      </c>
      <c r="H24" s="29">
        <v>0.10802</v>
      </c>
      <c r="I24">
        <v>0.22414999999999999</v>
      </c>
      <c r="J24">
        <v>1.6870000000000001</v>
      </c>
      <c r="K24">
        <v>0.25831999999999999</v>
      </c>
      <c r="L24">
        <v>15.311999999999999</v>
      </c>
      <c r="M24">
        <v>2.8119999999999998E-3</v>
      </c>
      <c r="N24">
        <v>2.4069999999999999E-3</v>
      </c>
      <c r="O24">
        <v>85.596999999999994</v>
      </c>
      <c r="P24">
        <v>0.49615999999999999</v>
      </c>
      <c r="Q24">
        <v>8.5582000000000005E-2</v>
      </c>
      <c r="R24">
        <v>17.248999999999999</v>
      </c>
      <c r="S24">
        <v>29.3</v>
      </c>
      <c r="T24">
        <v>0.18445</v>
      </c>
      <c r="U24">
        <v>0.62951999999999997</v>
      </c>
      <c r="V24">
        <v>2.5318999999999998E-4</v>
      </c>
      <c r="W24" s="1">
        <v>3.9434000000000002E-6</v>
      </c>
      <c r="X24">
        <v>1.5575000000000001</v>
      </c>
      <c r="Y24">
        <v>0.97123999999999999</v>
      </c>
      <c r="Z24">
        <v>3.9877000000000003E-3</v>
      </c>
      <c r="AA24">
        <v>0.41058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1</v>
      </c>
      <c r="AI24">
        <v>0</v>
      </c>
      <c r="AJ24">
        <v>0</v>
      </c>
    </row>
    <row r="25" spans="1:36" x14ac:dyDescent="0.35">
      <c r="A25" t="s">
        <v>290</v>
      </c>
      <c r="B25" s="1">
        <v>1.8299E-6</v>
      </c>
      <c r="C25" s="1">
        <v>9.8814000000000006E-5</v>
      </c>
      <c r="D25" s="1">
        <v>5.8652000000000002E-6</v>
      </c>
      <c r="E25" s="1">
        <v>1.0489E-8</v>
      </c>
      <c r="F25">
        <v>0.17882999999999999</v>
      </c>
      <c r="G25">
        <v>48.64</v>
      </c>
      <c r="H25" s="29">
        <v>5.2683000000000001E-2</v>
      </c>
      <c r="I25">
        <v>0.10831</v>
      </c>
      <c r="J25">
        <v>1.76</v>
      </c>
      <c r="K25">
        <v>0.20416000000000001</v>
      </c>
      <c r="L25">
        <v>11.6</v>
      </c>
      <c r="M25">
        <v>2.3156000000000001E-3</v>
      </c>
      <c r="N25">
        <v>1.4212999999999999E-3</v>
      </c>
      <c r="O25">
        <v>61.378999999999998</v>
      </c>
      <c r="P25">
        <v>0.55162</v>
      </c>
      <c r="Q25">
        <v>6.0488E-2</v>
      </c>
      <c r="R25">
        <v>10.965999999999999</v>
      </c>
      <c r="S25">
        <v>20.87</v>
      </c>
      <c r="T25">
        <v>0.17441000000000001</v>
      </c>
      <c r="U25">
        <v>0.8357</v>
      </c>
      <c r="V25">
        <v>2.6401000000000002E-4</v>
      </c>
      <c r="W25" s="1">
        <v>4.4313999999999996E-6</v>
      </c>
      <c r="X25">
        <v>1.6785000000000001</v>
      </c>
      <c r="Y25">
        <v>0.97141999999999995</v>
      </c>
      <c r="Z25">
        <v>4.4900000000000001E-3</v>
      </c>
      <c r="AA25">
        <v>0.46221000000000001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</v>
      </c>
      <c r="AI25">
        <v>0</v>
      </c>
      <c r="AJ25">
        <v>0</v>
      </c>
    </row>
    <row r="26" spans="1:36" x14ac:dyDescent="0.35">
      <c r="A26" t="s">
        <v>263</v>
      </c>
      <c r="B26" s="1">
        <v>8.103E-7</v>
      </c>
      <c r="C26" s="1">
        <v>4.3755999999999999E-5</v>
      </c>
      <c r="D26" s="1">
        <v>5.7865999999999998E-6</v>
      </c>
      <c r="E26" s="1">
        <v>7.2939000000000002E-9</v>
      </c>
      <c r="F26">
        <v>0.12605</v>
      </c>
      <c r="G26">
        <v>49.88</v>
      </c>
      <c r="H26" s="29">
        <v>4.0861000000000001E-2</v>
      </c>
      <c r="I26">
        <v>8.1919000000000006E-2</v>
      </c>
      <c r="J26">
        <v>2.2050000000000001</v>
      </c>
      <c r="K26">
        <v>0.20355000000000001</v>
      </c>
      <c r="L26">
        <v>9.2312999999999992</v>
      </c>
      <c r="M26">
        <v>1.5545999999999999E-3</v>
      </c>
      <c r="N26">
        <v>6.7124000000000003E-4</v>
      </c>
      <c r="O26">
        <v>43.177999999999997</v>
      </c>
      <c r="P26">
        <v>0.55625999999999998</v>
      </c>
      <c r="Q26">
        <v>4.0772000000000003E-2</v>
      </c>
      <c r="R26">
        <v>7.3296999999999999</v>
      </c>
      <c r="S26">
        <v>8.4580000000000002</v>
      </c>
      <c r="T26">
        <v>0.17091000000000001</v>
      </c>
      <c r="U26">
        <v>2.0207000000000002</v>
      </c>
      <c r="V26">
        <v>3.5116999999999999E-4</v>
      </c>
      <c r="W26" s="1">
        <v>1.0444E-5</v>
      </c>
      <c r="X26">
        <v>2.9741</v>
      </c>
      <c r="Y26">
        <v>0.94662000000000002</v>
      </c>
      <c r="Z26">
        <v>8.2270999999999993E-3</v>
      </c>
      <c r="AA26">
        <v>0.86909999999999998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1</v>
      </c>
      <c r="AI26">
        <v>0</v>
      </c>
      <c r="AJ26">
        <v>0</v>
      </c>
    </row>
    <row r="28" spans="1:36" x14ac:dyDescent="0.35">
      <c r="A28" t="s">
        <v>177</v>
      </c>
      <c r="B28" t="s">
        <v>0</v>
      </c>
      <c r="C28" t="s">
        <v>1</v>
      </c>
      <c r="D28" t="s">
        <v>2</v>
      </c>
      <c r="E28" t="s">
        <v>3</v>
      </c>
      <c r="F28" t="s">
        <v>4</v>
      </c>
      <c r="G28" t="s">
        <v>33</v>
      </c>
      <c r="H28" t="s">
        <v>34</v>
      </c>
      <c r="I28" t="s">
        <v>35</v>
      </c>
      <c r="J28" t="s">
        <v>5</v>
      </c>
      <c r="K28" t="s">
        <v>6</v>
      </c>
      <c r="L28" t="s">
        <v>7</v>
      </c>
      <c r="M28" t="s">
        <v>8</v>
      </c>
      <c r="N28" t="s">
        <v>9</v>
      </c>
      <c r="O28" t="s">
        <v>10</v>
      </c>
      <c r="P28" t="s">
        <v>11</v>
      </c>
      <c r="Q28" t="s">
        <v>12</v>
      </c>
      <c r="R28" t="s">
        <v>13</v>
      </c>
      <c r="S28" t="s">
        <v>14</v>
      </c>
      <c r="T28" t="s">
        <v>15</v>
      </c>
      <c r="U28" t="s">
        <v>16</v>
      </c>
      <c r="V28" t="s">
        <v>17</v>
      </c>
      <c r="W28" t="s">
        <v>18</v>
      </c>
      <c r="X28" t="s">
        <v>19</v>
      </c>
      <c r="Y28" t="s">
        <v>20</v>
      </c>
      <c r="Z28" t="s">
        <v>21</v>
      </c>
      <c r="AA28" t="s">
        <v>22</v>
      </c>
      <c r="AB28" t="s">
        <v>23</v>
      </c>
      <c r="AC28" t="s">
        <v>24</v>
      </c>
      <c r="AD28" t="s">
        <v>25</v>
      </c>
      <c r="AE28" t="s">
        <v>26</v>
      </c>
      <c r="AF28" t="s">
        <v>27</v>
      </c>
      <c r="AG28" t="s">
        <v>28</v>
      </c>
      <c r="AH28" t="s">
        <v>29</v>
      </c>
      <c r="AI28" t="s">
        <v>30</v>
      </c>
      <c r="AJ28" t="s">
        <v>31</v>
      </c>
    </row>
    <row r="29" spans="1:36" x14ac:dyDescent="0.35">
      <c r="A29" t="s">
        <v>418</v>
      </c>
      <c r="B29" s="1">
        <v>4.7323000000000004E-6</v>
      </c>
      <c r="C29">
        <v>3.1232999999999999E-4</v>
      </c>
      <c r="D29" s="1">
        <v>5.6610999999999999E-6</v>
      </c>
      <c r="E29" s="1">
        <v>1.7858E-8</v>
      </c>
      <c r="F29">
        <v>0.31545000000000001</v>
      </c>
      <c r="G29">
        <v>51.11</v>
      </c>
      <c r="H29">
        <v>9.3085000000000001E-2</v>
      </c>
      <c r="I29">
        <v>0.18212999999999999</v>
      </c>
      <c r="J29">
        <v>159.80000000000001</v>
      </c>
      <c r="K29">
        <v>0.20235</v>
      </c>
      <c r="L29">
        <v>0.12662999999999999</v>
      </c>
      <c r="M29">
        <v>3.1178E-4</v>
      </c>
      <c r="N29" s="1">
        <v>1.3951E-6</v>
      </c>
      <c r="O29">
        <v>0.44746000000000002</v>
      </c>
      <c r="P29">
        <v>0.95289000000000001</v>
      </c>
      <c r="Q29">
        <v>1.2065000000000001E-3</v>
      </c>
      <c r="R29">
        <v>0.12661</v>
      </c>
      <c r="S29">
        <v>1.411</v>
      </c>
      <c r="T29">
        <v>0.14115</v>
      </c>
      <c r="U29">
        <v>10.004</v>
      </c>
      <c r="V29">
        <v>7.7271000000000002E-4</v>
      </c>
      <c r="W29" s="1">
        <v>6.2985000000000005E-4</v>
      </c>
      <c r="X29">
        <v>81.512</v>
      </c>
      <c r="Y29">
        <v>0.60336000000000001</v>
      </c>
      <c r="Z29">
        <v>8.1223000000000004E-2</v>
      </c>
      <c r="AA29">
        <v>13.462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1</v>
      </c>
      <c r="AI29">
        <v>0</v>
      </c>
      <c r="AJ29">
        <v>0</v>
      </c>
    </row>
    <row r="30" spans="1:36" x14ac:dyDescent="0.35">
      <c r="A30" t="s">
        <v>417</v>
      </c>
      <c r="B30" s="1">
        <v>1.9556E-6</v>
      </c>
      <c r="C30">
        <v>1.2907000000000001E-4</v>
      </c>
      <c r="D30" s="1">
        <v>5.6307000000000001E-6</v>
      </c>
      <c r="E30" s="1">
        <v>1.6234000000000002E-8</v>
      </c>
      <c r="F30">
        <v>0.28831000000000001</v>
      </c>
      <c r="G30">
        <v>70.03</v>
      </c>
      <c r="H30">
        <v>0.15964999999999999</v>
      </c>
      <c r="I30">
        <v>0.22797000000000001</v>
      </c>
      <c r="J30">
        <v>260.60000000000002</v>
      </c>
      <c r="K30">
        <v>0.24895999999999999</v>
      </c>
      <c r="L30">
        <v>9.5533000000000007E-2</v>
      </c>
      <c r="M30">
        <v>2.6556000000000003E-4</v>
      </c>
      <c r="N30" s="1">
        <v>6.7128999999999997E-7</v>
      </c>
      <c r="O30">
        <v>0.25278</v>
      </c>
      <c r="P30">
        <v>0.96243999999999996</v>
      </c>
      <c r="Q30">
        <v>8.1411000000000005E-4</v>
      </c>
      <c r="R30">
        <v>8.4587999999999997E-2</v>
      </c>
      <c r="S30">
        <v>3.5390000000000001</v>
      </c>
      <c r="T30">
        <v>0.27096999999999999</v>
      </c>
      <c r="U30">
        <v>7.6566999999999998</v>
      </c>
      <c r="V30">
        <v>2.7737999999999999E-3</v>
      </c>
      <c r="W30" s="1">
        <v>1.0026E-3</v>
      </c>
      <c r="X30">
        <v>36.145000000000003</v>
      </c>
      <c r="Y30">
        <v>0.42197000000000001</v>
      </c>
      <c r="Z30">
        <v>4.0261999999999999E-2</v>
      </c>
      <c r="AA30">
        <v>9.5413999999999994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1</v>
      </c>
      <c r="AI30">
        <v>0</v>
      </c>
      <c r="AJ30">
        <v>0</v>
      </c>
    </row>
    <row r="31" spans="1:36" x14ac:dyDescent="0.35">
      <c r="A31" t="s">
        <v>416</v>
      </c>
      <c r="B31" s="1">
        <v>3.1779000000000001E-6</v>
      </c>
      <c r="C31">
        <v>1.9703E-4</v>
      </c>
      <c r="D31" s="1">
        <v>5.4022999999999999E-6</v>
      </c>
      <c r="E31" s="1">
        <v>3.0327999999999999E-8</v>
      </c>
      <c r="F31">
        <v>0.56138999999999994</v>
      </c>
      <c r="G31">
        <v>111.2</v>
      </c>
      <c r="H31">
        <v>0.3473</v>
      </c>
      <c r="I31">
        <v>0.31231999999999999</v>
      </c>
      <c r="J31">
        <v>503.9</v>
      </c>
      <c r="K31">
        <v>0.87817999999999996</v>
      </c>
      <c r="L31">
        <v>0.17427999999999999</v>
      </c>
      <c r="M31">
        <v>2.2735999999999999E-4</v>
      </c>
      <c r="N31" s="1">
        <v>6.3124000000000003E-7</v>
      </c>
      <c r="O31">
        <v>0.27764</v>
      </c>
      <c r="P31">
        <v>0.97138999999999998</v>
      </c>
      <c r="Q31">
        <v>1.1539E-3</v>
      </c>
      <c r="R31">
        <v>0.11879000000000001</v>
      </c>
      <c r="S31">
        <v>8.6449999999999996</v>
      </c>
      <c r="T31">
        <v>0.88934000000000002</v>
      </c>
      <c r="U31">
        <v>10.287000000000001</v>
      </c>
      <c r="V31">
        <v>4.4689999999999999E-3</v>
      </c>
      <c r="W31" s="1">
        <v>1.5605E-3</v>
      </c>
      <c r="X31">
        <v>34.917999999999999</v>
      </c>
      <c r="Y31">
        <v>0.34420000000000001</v>
      </c>
      <c r="Z31">
        <v>4.0744000000000002E-2</v>
      </c>
      <c r="AA31">
        <v>11.837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</row>
    <row r="32" spans="1:36" x14ac:dyDescent="0.35">
      <c r="A32" t="s">
        <v>415</v>
      </c>
      <c r="B32" s="1">
        <v>1.1321000000000001E-5</v>
      </c>
      <c r="C32">
        <v>7.0191999999999997E-4</v>
      </c>
      <c r="D32" s="1">
        <v>3.8303000000000004E-6</v>
      </c>
      <c r="E32" s="1">
        <v>1.2370999999999999E-7</v>
      </c>
      <c r="F32">
        <v>3.2298</v>
      </c>
      <c r="G32">
        <v>249.5</v>
      </c>
      <c r="H32">
        <v>2.5057</v>
      </c>
      <c r="I32">
        <v>1.0043</v>
      </c>
      <c r="J32">
        <v>1471</v>
      </c>
      <c r="K32">
        <v>10.179</v>
      </c>
      <c r="L32">
        <v>0.69198000000000004</v>
      </c>
      <c r="M32">
        <v>2.0006000000000001E-4</v>
      </c>
      <c r="N32" s="1">
        <v>7.9780000000000001E-7</v>
      </c>
      <c r="O32">
        <v>0.39878000000000002</v>
      </c>
      <c r="P32">
        <v>0.97596000000000005</v>
      </c>
      <c r="Q32">
        <v>3.0217E-3</v>
      </c>
      <c r="R32">
        <v>0.30961</v>
      </c>
      <c r="S32">
        <v>41.22</v>
      </c>
      <c r="T32">
        <v>28.635000000000002</v>
      </c>
      <c r="U32">
        <v>69.468999999999994</v>
      </c>
      <c r="V32">
        <v>9.6095E-3</v>
      </c>
      <c r="W32" s="1">
        <v>7.3518999999999998E-3</v>
      </c>
      <c r="X32">
        <v>76.507000000000005</v>
      </c>
      <c r="Y32">
        <v>0.21845000000000001</v>
      </c>
      <c r="Z32">
        <v>9.1118000000000005E-2</v>
      </c>
      <c r="AA32">
        <v>41.710999999999999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1</v>
      </c>
      <c r="AI32">
        <v>0</v>
      </c>
      <c r="AJ32">
        <v>0</v>
      </c>
    </row>
    <row r="34" spans="1:36" x14ac:dyDescent="0.35">
      <c r="A34" s="3"/>
    </row>
    <row r="35" spans="1:36" x14ac:dyDescent="0.35">
      <c r="B35" s="1"/>
      <c r="D35" s="1"/>
      <c r="E35" s="1"/>
      <c r="W35" s="1"/>
    </row>
    <row r="36" spans="1:36" x14ac:dyDescent="0.35">
      <c r="A36" t="s">
        <v>227</v>
      </c>
      <c r="B36" s="1" t="s">
        <v>0</v>
      </c>
      <c r="C36" s="1" t="s">
        <v>1</v>
      </c>
      <c r="D36" s="1" t="s">
        <v>2</v>
      </c>
      <c r="E36" s="1" t="s">
        <v>3</v>
      </c>
      <c r="F36" t="s">
        <v>4</v>
      </c>
      <c r="G36" t="s">
        <v>33</v>
      </c>
      <c r="H36" t="s">
        <v>34</v>
      </c>
      <c r="I36" t="s">
        <v>35</v>
      </c>
      <c r="J36" t="s">
        <v>5</v>
      </c>
      <c r="K36" s="1" t="s">
        <v>6</v>
      </c>
      <c r="L36" t="s">
        <v>7</v>
      </c>
      <c r="M36" t="s">
        <v>8</v>
      </c>
      <c r="N36" s="1" t="s">
        <v>9</v>
      </c>
      <c r="O36" t="s">
        <v>10</v>
      </c>
      <c r="P36" t="s">
        <v>11</v>
      </c>
      <c r="Q36" t="s">
        <v>12</v>
      </c>
      <c r="R36" t="s">
        <v>13</v>
      </c>
      <c r="S36" t="s">
        <v>14</v>
      </c>
      <c r="T36" t="s">
        <v>15</v>
      </c>
      <c r="U36" t="s">
        <v>16</v>
      </c>
      <c r="V36" t="s">
        <v>17</v>
      </c>
      <c r="W36" s="1" t="s">
        <v>18</v>
      </c>
      <c r="X36" t="s">
        <v>19</v>
      </c>
      <c r="Y36" t="s">
        <v>20</v>
      </c>
      <c r="Z36" t="s">
        <v>21</v>
      </c>
      <c r="AA36" t="s">
        <v>22</v>
      </c>
      <c r="AB36" t="s">
        <v>23</v>
      </c>
      <c r="AC36" t="s">
        <v>24</v>
      </c>
      <c r="AD36" t="s">
        <v>25</v>
      </c>
      <c r="AE36" t="s">
        <v>26</v>
      </c>
      <c r="AF36" t="s">
        <v>27</v>
      </c>
      <c r="AG36" t="s">
        <v>28</v>
      </c>
      <c r="AH36" t="s">
        <v>29</v>
      </c>
      <c r="AI36" t="s">
        <v>30</v>
      </c>
      <c r="AJ36" t="s">
        <v>31</v>
      </c>
    </row>
    <row r="37" spans="1:36" x14ac:dyDescent="0.35">
      <c r="A37" t="s">
        <v>414</v>
      </c>
      <c r="B37" t="s">
        <v>413</v>
      </c>
      <c r="C37" t="s">
        <v>412</v>
      </c>
      <c r="D37" t="s">
        <v>411</v>
      </c>
      <c r="E37" t="s">
        <v>410</v>
      </c>
      <c r="F37" t="s">
        <v>409</v>
      </c>
      <c r="G37" t="s">
        <v>408</v>
      </c>
      <c r="H37" t="s">
        <v>407</v>
      </c>
      <c r="I37" t="s">
        <v>406</v>
      </c>
      <c r="J37" t="s">
        <v>405</v>
      </c>
      <c r="K37" t="s">
        <v>404</v>
      </c>
      <c r="L37" t="s">
        <v>403</v>
      </c>
      <c r="M37" t="s">
        <v>402</v>
      </c>
      <c r="N37" t="s">
        <v>401</v>
      </c>
      <c r="O37" t="s">
        <v>400</v>
      </c>
      <c r="P37" t="s">
        <v>399</v>
      </c>
      <c r="Q37" t="s">
        <v>398</v>
      </c>
      <c r="R37" t="s">
        <v>397</v>
      </c>
      <c r="S37">
        <v>286</v>
      </c>
      <c r="T37" t="s">
        <v>396</v>
      </c>
      <c r="U37" t="s">
        <v>395</v>
      </c>
      <c r="V37" t="s">
        <v>394</v>
      </c>
      <c r="W37" t="s">
        <v>393</v>
      </c>
      <c r="X37" t="s">
        <v>392</v>
      </c>
      <c r="Y37" t="s">
        <v>391</v>
      </c>
      <c r="Z37" t="s">
        <v>390</v>
      </c>
      <c r="AA37" t="s">
        <v>389</v>
      </c>
      <c r="AB37" t="s">
        <v>388</v>
      </c>
      <c r="AC37" t="s">
        <v>387</v>
      </c>
      <c r="AD37" t="s">
        <v>386</v>
      </c>
      <c r="AE37" t="s">
        <v>385</v>
      </c>
      <c r="AF37" t="s">
        <v>384</v>
      </c>
      <c r="AG37" t="s">
        <v>383</v>
      </c>
      <c r="AH37" t="s">
        <v>382</v>
      </c>
      <c r="AI37" t="s">
        <v>381</v>
      </c>
      <c r="AJ37" t="s">
        <v>380</v>
      </c>
    </row>
    <row r="38" spans="1:36" x14ac:dyDescent="0.35">
      <c r="A38" t="s">
        <v>379</v>
      </c>
      <c r="B38" s="1" t="s">
        <v>378</v>
      </c>
      <c r="C38" t="s">
        <v>377</v>
      </c>
      <c r="D38" s="1" t="s">
        <v>376</v>
      </c>
      <c r="E38" s="1" t="s">
        <v>375</v>
      </c>
      <c r="F38" t="s">
        <v>374</v>
      </c>
      <c r="G38" t="s">
        <v>373</v>
      </c>
      <c r="H38" t="s">
        <v>372</v>
      </c>
      <c r="I38" t="s">
        <v>371</v>
      </c>
      <c r="J38" t="s">
        <v>370</v>
      </c>
      <c r="K38" t="s">
        <v>369</v>
      </c>
      <c r="L38" t="s">
        <v>368</v>
      </c>
      <c r="M38" t="s">
        <v>367</v>
      </c>
      <c r="N38" t="s">
        <v>366</v>
      </c>
      <c r="O38" t="s">
        <v>365</v>
      </c>
      <c r="P38" t="s">
        <v>364</v>
      </c>
      <c r="Q38" t="s">
        <v>363</v>
      </c>
      <c r="R38" t="s">
        <v>362</v>
      </c>
      <c r="S38">
        <v>130</v>
      </c>
      <c r="T38" t="s">
        <v>361</v>
      </c>
      <c r="U38" t="s">
        <v>360</v>
      </c>
      <c r="V38" t="s">
        <v>359</v>
      </c>
      <c r="W38" s="1" t="s">
        <v>358</v>
      </c>
      <c r="X38" t="s">
        <v>357</v>
      </c>
      <c r="Y38" t="s">
        <v>356</v>
      </c>
      <c r="Z38" t="s">
        <v>355</v>
      </c>
      <c r="AA38" t="s">
        <v>354</v>
      </c>
      <c r="AB38" t="s">
        <v>353</v>
      </c>
      <c r="AC38" t="s">
        <v>352</v>
      </c>
      <c r="AD38" t="s">
        <v>351</v>
      </c>
      <c r="AE38" t="s">
        <v>350</v>
      </c>
      <c r="AF38" t="s">
        <v>349</v>
      </c>
      <c r="AG38" t="s">
        <v>348</v>
      </c>
      <c r="AH38" t="s">
        <v>347</v>
      </c>
      <c r="AI38" t="s">
        <v>346</v>
      </c>
      <c r="AJ38" t="s">
        <v>345</v>
      </c>
    </row>
    <row r="39" spans="1:36" x14ac:dyDescent="0.35">
      <c r="A39" t="s">
        <v>344</v>
      </c>
      <c r="B39" t="s">
        <v>343</v>
      </c>
      <c r="C39" t="s">
        <v>342</v>
      </c>
      <c r="D39" t="s">
        <v>341</v>
      </c>
      <c r="E39" t="s">
        <v>340</v>
      </c>
      <c r="F39" t="s">
        <v>339</v>
      </c>
      <c r="G39" t="s">
        <v>338</v>
      </c>
      <c r="H39" s="29" t="s">
        <v>337</v>
      </c>
      <c r="I39" t="s">
        <v>336</v>
      </c>
      <c r="J39" t="s">
        <v>335</v>
      </c>
      <c r="K39" t="s">
        <v>334</v>
      </c>
      <c r="L39" t="s">
        <v>333</v>
      </c>
      <c r="M39" t="s">
        <v>332</v>
      </c>
      <c r="N39" t="s">
        <v>331</v>
      </c>
      <c r="O39" t="s">
        <v>330</v>
      </c>
      <c r="P39" t="s">
        <v>329</v>
      </c>
      <c r="Q39" t="s">
        <v>328</v>
      </c>
      <c r="R39" t="s">
        <v>327</v>
      </c>
      <c r="S39" t="s">
        <v>326</v>
      </c>
      <c r="T39" t="s">
        <v>325</v>
      </c>
      <c r="U39" t="s">
        <v>324</v>
      </c>
      <c r="V39" t="s">
        <v>323</v>
      </c>
      <c r="W39" t="s">
        <v>322</v>
      </c>
      <c r="X39" t="s">
        <v>321</v>
      </c>
      <c r="Y39" t="s">
        <v>320</v>
      </c>
      <c r="Z39" t="s">
        <v>319</v>
      </c>
      <c r="AA39" t="s">
        <v>318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</v>
      </c>
      <c r="AI39">
        <v>0</v>
      </c>
      <c r="AJ39">
        <v>0</v>
      </c>
    </row>
    <row r="40" spans="1:36" x14ac:dyDescent="0.35">
      <c r="A40" t="s">
        <v>317</v>
      </c>
      <c r="B40" t="s">
        <v>316</v>
      </c>
      <c r="C40" t="s">
        <v>315</v>
      </c>
      <c r="D40" s="1" t="s">
        <v>314</v>
      </c>
      <c r="E40" s="1" t="s">
        <v>313</v>
      </c>
      <c r="F40" t="s">
        <v>312</v>
      </c>
      <c r="G40" t="s">
        <v>311</v>
      </c>
      <c r="H40" s="29" t="s">
        <v>310</v>
      </c>
      <c r="I40" t="s">
        <v>309</v>
      </c>
      <c r="J40" t="s">
        <v>308</v>
      </c>
      <c r="K40" t="s">
        <v>307</v>
      </c>
      <c r="L40" t="s">
        <v>306</v>
      </c>
      <c r="M40" t="s">
        <v>305</v>
      </c>
      <c r="N40" t="s">
        <v>304</v>
      </c>
      <c r="O40" t="s">
        <v>303</v>
      </c>
      <c r="P40" t="s">
        <v>302</v>
      </c>
      <c r="Q40" t="s">
        <v>301</v>
      </c>
      <c r="R40" t="s">
        <v>300</v>
      </c>
      <c r="S40" t="s">
        <v>299</v>
      </c>
      <c r="T40" t="s">
        <v>298</v>
      </c>
      <c r="U40" t="s">
        <v>297</v>
      </c>
      <c r="V40" t="s">
        <v>296</v>
      </c>
      <c r="W40" t="s">
        <v>295</v>
      </c>
      <c r="X40" t="s">
        <v>294</v>
      </c>
      <c r="Y40" t="s">
        <v>293</v>
      </c>
      <c r="Z40" t="s">
        <v>292</v>
      </c>
      <c r="AA40" t="s">
        <v>291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v>0</v>
      </c>
      <c r="AJ40">
        <v>0</v>
      </c>
    </row>
    <row r="41" spans="1:36" x14ac:dyDescent="0.35">
      <c r="A41" t="s">
        <v>290</v>
      </c>
      <c r="B41" t="s">
        <v>289</v>
      </c>
      <c r="C41" t="s">
        <v>288</v>
      </c>
      <c r="D41" t="s">
        <v>287</v>
      </c>
      <c r="E41" t="s">
        <v>286</v>
      </c>
      <c r="F41" t="s">
        <v>285</v>
      </c>
      <c r="G41" t="s">
        <v>284</v>
      </c>
      <c r="H41" s="29" t="s">
        <v>283</v>
      </c>
      <c r="I41" t="s">
        <v>282</v>
      </c>
      <c r="J41" t="s">
        <v>281</v>
      </c>
      <c r="K41" t="s">
        <v>280</v>
      </c>
      <c r="L41" t="s">
        <v>279</v>
      </c>
      <c r="M41" t="s">
        <v>278</v>
      </c>
      <c r="N41" t="s">
        <v>277</v>
      </c>
      <c r="O41" t="s">
        <v>276</v>
      </c>
      <c r="P41" t="s">
        <v>275</v>
      </c>
      <c r="Q41" t="s">
        <v>274</v>
      </c>
      <c r="R41" t="s">
        <v>273</v>
      </c>
      <c r="S41" t="s">
        <v>272</v>
      </c>
      <c r="T41" t="s">
        <v>271</v>
      </c>
      <c r="U41" t="s">
        <v>270</v>
      </c>
      <c r="V41" t="s">
        <v>269</v>
      </c>
      <c r="W41" t="s">
        <v>268</v>
      </c>
      <c r="X41" t="s">
        <v>267</v>
      </c>
      <c r="Y41" t="s">
        <v>266</v>
      </c>
      <c r="Z41" t="s">
        <v>265</v>
      </c>
      <c r="AA41" t="s">
        <v>264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0</v>
      </c>
      <c r="AJ41">
        <v>0</v>
      </c>
    </row>
    <row r="42" spans="1:36" x14ac:dyDescent="0.35">
      <c r="A42" t="s">
        <v>263</v>
      </c>
      <c r="B42" t="s">
        <v>262</v>
      </c>
      <c r="C42" t="s">
        <v>261</v>
      </c>
      <c r="D42" t="s">
        <v>260</v>
      </c>
      <c r="E42" t="s">
        <v>259</v>
      </c>
      <c r="F42" t="s">
        <v>258</v>
      </c>
      <c r="G42" t="s">
        <v>257</v>
      </c>
      <c r="H42" s="29" t="s">
        <v>256</v>
      </c>
      <c r="I42" t="s">
        <v>255</v>
      </c>
      <c r="J42" t="s">
        <v>254</v>
      </c>
      <c r="K42" t="s">
        <v>253</v>
      </c>
      <c r="L42" t="s">
        <v>252</v>
      </c>
      <c r="M42" t="s">
        <v>251</v>
      </c>
      <c r="N42" t="s">
        <v>250</v>
      </c>
      <c r="O42" t="s">
        <v>249</v>
      </c>
      <c r="P42" t="s">
        <v>248</v>
      </c>
      <c r="Q42" t="s">
        <v>247</v>
      </c>
      <c r="R42" t="s">
        <v>246</v>
      </c>
      <c r="S42" t="s">
        <v>245</v>
      </c>
      <c r="T42" t="s">
        <v>244</v>
      </c>
      <c r="U42" t="s">
        <v>243</v>
      </c>
      <c r="V42" t="s">
        <v>242</v>
      </c>
      <c r="W42" t="s">
        <v>241</v>
      </c>
      <c r="X42" t="s">
        <v>240</v>
      </c>
      <c r="Y42" t="s">
        <v>239</v>
      </c>
      <c r="Z42" t="s">
        <v>238</v>
      </c>
      <c r="AA42" t="s">
        <v>237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1</v>
      </c>
      <c r="AI42">
        <v>0</v>
      </c>
      <c r="AJ42"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zoomScale="69" workbookViewId="0">
      <selection activeCell="K39" sqref="K39"/>
    </sheetView>
  </sheetViews>
  <sheetFormatPr baseColWidth="10" defaultRowHeight="14.5" x14ac:dyDescent="0.35"/>
  <cols>
    <col min="1" max="1" width="39.6328125" customWidth="1"/>
    <col min="2" max="2" width="16.6328125" customWidth="1"/>
    <col min="7" max="8" width="11.81640625" bestFit="1" customWidth="1"/>
    <col min="13" max="13" width="11.81640625" bestFit="1" customWidth="1"/>
    <col min="14" max="14" width="13.26953125" bestFit="1" customWidth="1"/>
    <col min="15" max="16" width="15.26953125" bestFit="1" customWidth="1"/>
    <col min="17" max="17" width="11.81640625" bestFit="1" customWidth="1"/>
  </cols>
  <sheetData>
    <row r="1" spans="1:36" x14ac:dyDescent="0.35">
      <c r="A1" t="s">
        <v>150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33</v>
      </c>
      <c r="H1" t="s">
        <v>34</v>
      </c>
      <c r="I1" t="s">
        <v>35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 x14ac:dyDescent="0.35">
      <c r="A2" t="s">
        <v>438</v>
      </c>
      <c r="B2" s="1">
        <v>5.3291000000000004E-6</v>
      </c>
      <c r="C2">
        <v>3.6770999999999999E-4</v>
      </c>
      <c r="D2" s="1">
        <v>6.5014000000000001E-6</v>
      </c>
      <c r="E2" s="1">
        <v>2.1079E-8</v>
      </c>
      <c r="F2">
        <v>0.32422000000000001</v>
      </c>
      <c r="G2">
        <v>45.39</v>
      </c>
      <c r="H2">
        <v>2.6082000000000001</v>
      </c>
      <c r="I2">
        <v>5.7462</v>
      </c>
      <c r="J2">
        <v>8.43</v>
      </c>
      <c r="K2">
        <v>0.77583000000000002</v>
      </c>
      <c r="L2">
        <v>9.2032000000000007</v>
      </c>
      <c r="M2">
        <v>2.0057999999999999E-2</v>
      </c>
      <c r="N2">
        <v>1.8323E-3</v>
      </c>
      <c r="O2">
        <v>9.1349999999999998</v>
      </c>
      <c r="P2">
        <v>1.01</v>
      </c>
      <c r="Q2">
        <v>4.2571999999999999E-2</v>
      </c>
      <c r="R2">
        <v>4.2149999999999999</v>
      </c>
      <c r="S2">
        <v>42.96</v>
      </c>
      <c r="T2">
        <v>0.66503000000000001</v>
      </c>
      <c r="U2">
        <v>1.548</v>
      </c>
      <c r="V2">
        <v>4.0126000000000002E-4</v>
      </c>
      <c r="W2" s="1">
        <v>8.2298000000000004E-6</v>
      </c>
      <c r="X2">
        <v>2.0510000000000002</v>
      </c>
      <c r="Y2">
        <v>0.97726000000000002</v>
      </c>
      <c r="Z2">
        <v>5.6037999999999999E-3</v>
      </c>
      <c r="AA2">
        <v>0.57342000000000004</v>
      </c>
      <c r="AB2">
        <v>7.9610000000000003</v>
      </c>
      <c r="AC2">
        <v>6.6211000000000002</v>
      </c>
      <c r="AD2">
        <v>83.168999999999997</v>
      </c>
      <c r="AE2">
        <v>6.9710999999999995E-2</v>
      </c>
      <c r="AF2">
        <v>2.8815E-2</v>
      </c>
      <c r="AG2">
        <v>41.335000000000001</v>
      </c>
      <c r="AH2">
        <v>0.10228</v>
      </c>
      <c r="AI2">
        <v>8.7245000000000003E-2</v>
      </c>
      <c r="AJ2">
        <v>85.3</v>
      </c>
    </row>
    <row r="3" spans="1:36" x14ac:dyDescent="0.35">
      <c r="A3" t="s">
        <v>437</v>
      </c>
      <c r="B3" s="1">
        <v>2.6525999999999998E-6</v>
      </c>
      <c r="C3">
        <v>1.6181E-4</v>
      </c>
      <c r="D3" s="1">
        <v>6.5401000000000003E-6</v>
      </c>
      <c r="E3" s="1">
        <v>2.1123E-8</v>
      </c>
      <c r="F3">
        <v>0.32297999999999999</v>
      </c>
      <c r="G3">
        <v>46.04</v>
      </c>
      <c r="H3">
        <v>2.8765000000000001</v>
      </c>
      <c r="I3">
        <v>6.2477999999999998</v>
      </c>
      <c r="J3">
        <v>6.59</v>
      </c>
      <c r="K3">
        <v>0.99880999999999998</v>
      </c>
      <c r="L3">
        <v>15.156000000000001</v>
      </c>
      <c r="M3">
        <v>2.9694999999999999E-2</v>
      </c>
      <c r="N3">
        <v>5.6299999999999996E-3</v>
      </c>
      <c r="O3">
        <v>18.959</v>
      </c>
      <c r="P3">
        <v>1.0369999999999999</v>
      </c>
      <c r="Q3">
        <v>5.5731000000000003E-2</v>
      </c>
      <c r="R3">
        <v>5.3742999999999999</v>
      </c>
      <c r="S3">
        <v>82.72</v>
      </c>
      <c r="T3">
        <v>1.0988</v>
      </c>
      <c r="U3">
        <v>1.3283</v>
      </c>
      <c r="V3">
        <v>4.0863E-4</v>
      </c>
      <c r="W3" s="1">
        <v>3.7946000000000001E-6</v>
      </c>
      <c r="X3">
        <v>0.92862</v>
      </c>
      <c r="Y3">
        <v>0.96794999999999998</v>
      </c>
      <c r="Z3">
        <v>3.4821000000000001E-3</v>
      </c>
      <c r="AA3">
        <v>0.35974</v>
      </c>
      <c r="AB3">
        <v>4.2469999999999999</v>
      </c>
      <c r="AC3">
        <v>3.7930000000000001</v>
      </c>
      <c r="AD3">
        <v>89.31</v>
      </c>
      <c r="AE3">
        <v>1.6513E-2</v>
      </c>
      <c r="AF3">
        <v>8.2670999999999994E-3</v>
      </c>
      <c r="AG3">
        <v>50.064</v>
      </c>
      <c r="AH3">
        <v>0.18947</v>
      </c>
      <c r="AI3">
        <v>0.15037</v>
      </c>
      <c r="AJ3">
        <v>79.363</v>
      </c>
    </row>
    <row r="4" spans="1:36" x14ac:dyDescent="0.35">
      <c r="A4" t="s">
        <v>436</v>
      </c>
      <c r="B4" s="1">
        <v>8.5367999999999993E-6</v>
      </c>
      <c r="C4" s="1">
        <v>5.4635000000000003E-4</v>
      </c>
      <c r="D4" s="1">
        <v>6.5118000000000001E-6</v>
      </c>
      <c r="E4" s="1">
        <v>2.4604E-8</v>
      </c>
      <c r="F4">
        <v>0.37784000000000001</v>
      </c>
      <c r="G4">
        <v>45.46</v>
      </c>
      <c r="H4">
        <v>1.3361000000000001</v>
      </c>
      <c r="I4">
        <v>2.9390999999999998</v>
      </c>
      <c r="J4">
        <v>7.5970000000000004</v>
      </c>
      <c r="K4">
        <v>9.7928999999999995</v>
      </c>
      <c r="L4">
        <v>128.9</v>
      </c>
      <c r="M4">
        <v>0.10974</v>
      </c>
      <c r="N4">
        <v>0.12436999999999999</v>
      </c>
      <c r="O4">
        <v>113.33</v>
      </c>
      <c r="P4">
        <v>0.10162</v>
      </c>
      <c r="Q4">
        <v>0.14587</v>
      </c>
      <c r="R4">
        <v>143.54</v>
      </c>
      <c r="S4">
        <v>131.9</v>
      </c>
      <c r="T4">
        <v>0.88710999999999995</v>
      </c>
      <c r="U4">
        <v>0.67256000000000005</v>
      </c>
      <c r="V4">
        <v>4.239E-4</v>
      </c>
      <c r="W4" s="1">
        <v>2.9977999999999999E-6</v>
      </c>
      <c r="X4">
        <v>0.70720000000000005</v>
      </c>
      <c r="Y4">
        <v>0.96235999999999999</v>
      </c>
      <c r="Z4">
        <v>2.9895E-3</v>
      </c>
      <c r="AA4">
        <v>0.31064000000000003</v>
      </c>
      <c r="AB4">
        <v>0</v>
      </c>
      <c r="AC4">
        <v>0</v>
      </c>
      <c r="AD4">
        <v>1</v>
      </c>
      <c r="AE4">
        <v>8.6279000000000008E-3</v>
      </c>
      <c r="AF4">
        <v>4.9782999999999997E-3</v>
      </c>
      <c r="AG4">
        <v>57.7</v>
      </c>
      <c r="AH4">
        <v>0.36337999999999998</v>
      </c>
      <c r="AI4">
        <v>6.2755000000000005E-2</v>
      </c>
      <c r="AJ4">
        <v>17.27</v>
      </c>
    </row>
    <row r="5" spans="1:36" x14ac:dyDescent="0.35">
      <c r="A5" t="s">
        <v>435</v>
      </c>
      <c r="B5" s="1">
        <v>1.3141E-6</v>
      </c>
      <c r="C5" s="1">
        <v>8.6732999999999998E-5</v>
      </c>
      <c r="D5" s="1">
        <v>6.5034999999999997E-6</v>
      </c>
      <c r="E5" s="1">
        <v>1.0371000000000001E-8</v>
      </c>
      <c r="F5">
        <v>0.15947</v>
      </c>
      <c r="G5">
        <v>47.29</v>
      </c>
      <c r="H5">
        <v>0.12297</v>
      </c>
      <c r="I5">
        <v>0.26002999999999998</v>
      </c>
      <c r="J5">
        <v>2.2000000000000002</v>
      </c>
      <c r="K5">
        <v>0.21071000000000001</v>
      </c>
      <c r="L5">
        <v>9.5777000000000001</v>
      </c>
      <c r="M5">
        <v>7.7786000000000001E-3</v>
      </c>
      <c r="N5">
        <v>2.8103E-3</v>
      </c>
      <c r="O5">
        <v>36.128999999999998</v>
      </c>
      <c r="P5">
        <v>0.37393999999999999</v>
      </c>
      <c r="Q5">
        <v>4.2674999999999998E-2</v>
      </c>
      <c r="R5">
        <v>11.412000000000001</v>
      </c>
      <c r="S5">
        <v>188.6</v>
      </c>
      <c r="T5">
        <v>0.15917000000000001</v>
      </c>
      <c r="U5">
        <v>8.4395999999999999E-2</v>
      </c>
      <c r="V5">
        <v>4.1543999999999999E-4</v>
      </c>
      <c r="W5" s="1">
        <v>8.1638999999999997E-7</v>
      </c>
      <c r="X5">
        <v>0.19650999999999999</v>
      </c>
      <c r="Y5">
        <v>0.96233000000000002</v>
      </c>
      <c r="Z5">
        <v>6.7761000000000004E-4</v>
      </c>
      <c r="AA5">
        <v>7.0413000000000003E-2</v>
      </c>
      <c r="AB5">
        <v>0</v>
      </c>
      <c r="AC5">
        <v>0</v>
      </c>
      <c r="AD5">
        <v>1</v>
      </c>
      <c r="AE5">
        <v>1.0685E-2</v>
      </c>
      <c r="AF5">
        <v>1.146E-2</v>
      </c>
      <c r="AG5">
        <v>107.25</v>
      </c>
      <c r="AH5">
        <v>0.26368999999999998</v>
      </c>
      <c r="AI5">
        <v>0.16930000000000001</v>
      </c>
      <c r="AJ5">
        <v>64.203999999999994</v>
      </c>
    </row>
    <row r="6" spans="1:36" x14ac:dyDescent="0.35">
      <c r="A6" t="s">
        <v>434</v>
      </c>
      <c r="B6" s="1">
        <v>8.0152000000000008E-6</v>
      </c>
      <c r="C6">
        <v>5.4502999999999995E-4</v>
      </c>
      <c r="D6" s="1">
        <v>6.5390000000000004E-6</v>
      </c>
      <c r="E6" s="1">
        <v>2.8285000000000001E-8</v>
      </c>
      <c r="F6">
        <v>0.43256</v>
      </c>
      <c r="G6">
        <v>46.32</v>
      </c>
      <c r="H6">
        <v>0.47842000000000001</v>
      </c>
      <c r="I6">
        <v>1.0328999999999999</v>
      </c>
      <c r="J6">
        <v>2.4649999999999999</v>
      </c>
      <c r="K6">
        <v>0.63519999999999999</v>
      </c>
      <c r="L6">
        <v>25.768999999999998</v>
      </c>
      <c r="M6">
        <v>4.9823000000000003E-3</v>
      </c>
      <c r="N6">
        <v>3.7997E-3</v>
      </c>
      <c r="O6">
        <v>76.263999999999996</v>
      </c>
      <c r="P6">
        <v>0.36387999999999998</v>
      </c>
      <c r="Q6">
        <v>9.9814E-2</v>
      </c>
      <c r="R6">
        <v>27.43</v>
      </c>
      <c r="S6">
        <v>308.2</v>
      </c>
      <c r="T6">
        <v>0.48076000000000002</v>
      </c>
      <c r="U6">
        <v>0.15598999999999999</v>
      </c>
      <c r="V6">
        <v>4.2906999999999998E-4</v>
      </c>
      <c r="W6" s="1">
        <v>1.5436999999999999E-6</v>
      </c>
      <c r="X6">
        <v>0.35977999999999999</v>
      </c>
      <c r="Y6">
        <v>0.95409999999999995</v>
      </c>
      <c r="Z6">
        <v>1.2371000000000001E-3</v>
      </c>
      <c r="AA6">
        <v>0.12966</v>
      </c>
      <c r="AB6">
        <v>0</v>
      </c>
      <c r="AC6">
        <v>0</v>
      </c>
      <c r="AD6">
        <v>1</v>
      </c>
      <c r="AE6">
        <v>1.4097000000000001E-3</v>
      </c>
      <c r="AF6">
        <v>9.3227000000000002E-4</v>
      </c>
      <c r="AG6">
        <v>66.132999999999996</v>
      </c>
      <c r="AH6">
        <v>0.54847999999999997</v>
      </c>
      <c r="AI6">
        <v>6.6871E-2</v>
      </c>
      <c r="AJ6">
        <v>12.192</v>
      </c>
    </row>
    <row r="7" spans="1:36" x14ac:dyDescent="0.35">
      <c r="A7" t="s">
        <v>432</v>
      </c>
      <c r="B7" s="1">
        <v>5.3267000000000002E-6</v>
      </c>
      <c r="C7">
        <v>3.5156E-4</v>
      </c>
      <c r="D7" s="1">
        <v>6.477E-6</v>
      </c>
      <c r="E7" s="1">
        <v>1.8253999999999999E-8</v>
      </c>
      <c r="F7">
        <v>0.28183000000000002</v>
      </c>
      <c r="G7">
        <v>46.59</v>
      </c>
      <c r="H7">
        <v>9.2508999999999994E-2</v>
      </c>
      <c r="I7">
        <v>0.19855999999999999</v>
      </c>
      <c r="J7">
        <v>1.5029999999999999</v>
      </c>
      <c r="K7">
        <v>0.13389000000000001</v>
      </c>
      <c r="L7">
        <v>8.9082000000000008</v>
      </c>
      <c r="M7">
        <v>9.7506999999999997E-4</v>
      </c>
      <c r="N7">
        <v>6.7929999999999998E-4</v>
      </c>
      <c r="O7">
        <v>69.667000000000002</v>
      </c>
      <c r="P7">
        <v>0.58387999999999995</v>
      </c>
      <c r="Q7">
        <v>7.1300000000000002E-2</v>
      </c>
      <c r="R7">
        <v>12.211</v>
      </c>
      <c r="S7">
        <v>368.1</v>
      </c>
      <c r="T7">
        <v>0.45419999999999999</v>
      </c>
      <c r="U7">
        <v>0.12339</v>
      </c>
      <c r="V7">
        <v>4.3464000000000003E-4</v>
      </c>
      <c r="W7" s="1">
        <v>1.1561E-6</v>
      </c>
      <c r="X7">
        <v>0.26599</v>
      </c>
      <c r="Y7">
        <v>0.95233999999999996</v>
      </c>
      <c r="Z7">
        <v>8.3898999999999996E-4</v>
      </c>
      <c r="AA7">
        <v>8.8097999999999996E-2</v>
      </c>
      <c r="AB7">
        <v>0</v>
      </c>
      <c r="AC7">
        <v>0</v>
      </c>
      <c r="AD7">
        <v>1</v>
      </c>
    </row>
    <row r="8" spans="1:36" x14ac:dyDescent="0.35">
      <c r="B8" s="1"/>
      <c r="D8" s="1"/>
      <c r="E8" s="1"/>
      <c r="W8" s="1"/>
    </row>
    <row r="9" spans="1:36" x14ac:dyDescent="0.35">
      <c r="A9" s="27" t="s">
        <v>423</v>
      </c>
      <c r="B9" t="s">
        <v>39</v>
      </c>
      <c r="C9" t="s">
        <v>136</v>
      </c>
      <c r="D9" t="s">
        <v>40</v>
      </c>
      <c r="E9" t="s">
        <v>32</v>
      </c>
      <c r="F9" s="2" t="s">
        <v>52</v>
      </c>
      <c r="G9" s="2" t="s">
        <v>193</v>
      </c>
      <c r="H9" s="2" t="s">
        <v>54</v>
      </c>
      <c r="K9" t="s">
        <v>41</v>
      </c>
      <c r="L9" t="s">
        <v>40</v>
      </c>
      <c r="M9" t="s">
        <v>32</v>
      </c>
      <c r="N9" s="2" t="s">
        <v>77</v>
      </c>
      <c r="O9" s="2" t="s">
        <v>52</v>
      </c>
      <c r="P9" s="2" t="s">
        <v>193</v>
      </c>
      <c r="Q9" s="2" t="s">
        <v>54</v>
      </c>
      <c r="R9" s="2"/>
      <c r="S9" s="2"/>
      <c r="T9" s="2"/>
      <c r="U9" s="2"/>
    </row>
    <row r="10" spans="1:36" x14ac:dyDescent="0.35">
      <c r="A10" s="13">
        <v>0.16133169164686401</v>
      </c>
      <c r="B10" s="2">
        <v>0</v>
      </c>
      <c r="C10" s="1">
        <f>B10/9</f>
        <v>0</v>
      </c>
      <c r="D10">
        <f>S2</f>
        <v>42.96</v>
      </c>
      <c r="E10" s="1">
        <f>(S2^(1-Y2)*V2)^(1/Y2)</f>
        <v>3.6508207528907215E-4</v>
      </c>
      <c r="F10" s="3">
        <f>1.38E-23*H10/(4*(1.602E-19^2)*D10*A$12)</f>
        <v>5.3967049534494818E-8</v>
      </c>
      <c r="G10" s="2">
        <f>3/5.814E-23-((0.05/5.814E-29/4-E10*1.38E-23*H10/(8*(1.602E-19)^2)))*10^-6+SQRT(0.05/5.814E-29*E10*1.38E-23*H10/(8*(1.602E-19)^2)*5.814E-29+ (-0.05/5.814E-29/4+(E10*1.38E-23*H10/(8*(1.602E-19)^2)^2)))*10^-6</f>
        <v>5.1394880588956314E+22</v>
      </c>
      <c r="H10" s="6">
        <f>1/(0.000479779-0.000434801*LOG(0.05/(0.5*0.5*(G2-10)))-0.000100649*(LOG(0.05/(0.5*0.5*(G2-10))))^2-0.0000198446*(LOG(0.05/(0.5*0.5*(G2-10))))^3-0.00000195494*(LOG(0.05/(0.5*0.5*(G2-10))))^4-0.0000000757244*(LOG(0.05/(0.5*0.5*(G2-10))))^5)</f>
        <v>886.20003484524921</v>
      </c>
      <c r="K10">
        <v>0.01</v>
      </c>
      <c r="L10">
        <f>S22</f>
        <v>781.5</v>
      </c>
      <c r="M10" s="1">
        <f>(S22^(1-Y22)*V22)^(1/Y22)</f>
        <v>4.6185908680628841E-4</v>
      </c>
      <c r="N10" s="3">
        <f>A$10*L10</f>
        <v>126.08071702202422</v>
      </c>
      <c r="O10" s="3">
        <f>1.38E-23*Q10/(4*(1.602E-19^2)*L10*A$12)</f>
        <v>2.9382297609955365E-9</v>
      </c>
      <c r="P10" s="2">
        <f>3/5.814E-23-((0.05/5.814E-29/4-M10*1.38E-23*Q10/(8*(1.602E-19)^2)))*10^-6+SQRT(0.05/5.814E-29*M10*1.38E-23*Q10/(8*(1.602E-19)^2)*5.814E-29+ (-0.05/5.814E-29/4+(M10*1.38E-23*Q10/(8*(1.602E-19)^2)^2)))*10^-6</f>
        <v>5.1396109018124333E+22</v>
      </c>
      <c r="Q10" s="6">
        <f>1/(0.000479779-0.000434801*LOG(0.05/(0.5*0.5*(G22-10)))-0.000100649*(LOG(0.05/(0.5*0.5*(G22-10))))^2-0.0000198446*(LOG(0.05/(0.5*0.5*(G22-10))))^3-0.00000195494*(LOG(0.05/(0.5*0.5*(G22-10))))^4-0.0000000757244*(LOG(0.05/(0.5*0.5*(G22-10))))^5)</f>
        <v>877.71506104464743</v>
      </c>
      <c r="R10" s="1"/>
      <c r="S10" s="7"/>
      <c r="T10" s="2"/>
      <c r="U10" s="2"/>
    </row>
    <row r="11" spans="1:36" x14ac:dyDescent="0.35">
      <c r="A11" s="11" t="s">
        <v>421</v>
      </c>
      <c r="B11" s="2">
        <v>1</v>
      </c>
      <c r="C11" s="1">
        <f>B11/9</f>
        <v>0.1111111111111111</v>
      </c>
      <c r="D11">
        <f>S3</f>
        <v>82.72</v>
      </c>
      <c r="E11" s="1">
        <f>(S3^(1-Y3)*V3)^(1/Y3)</f>
        <v>3.6527646410374306E-4</v>
      </c>
      <c r="F11" s="3">
        <f>1.38E-23*H11/(4*(1.602E-19^2)*D11*A$12)</f>
        <v>2.7987413385118846E-8</v>
      </c>
      <c r="G11" s="2">
        <f>3/5.814E-23-((0.05/5.814E-29/4-E11*1.38E-23*H11/(8*(1.602E-19)^2)))*10^-6+SQRT(0.05/5.814E-29*E11*1.38E-23*H11/(8*(1.602E-19)^2)*5.814E-29+ (-0.05/5.814E-29/4+(E11*1.38E-23*H11/(8*(1.602E-19)^2)^2)))*10^-6</f>
        <v>5.1394875986996147E+22</v>
      </c>
      <c r="H11" s="6">
        <f>1/(0.000479779-0.000434801*LOG(0.05/(0.5*0.5*(G3-10)))-0.000100649*(LOG(0.05/(0.5*0.5*(G3-10))))^2-0.0000198446*(LOG(0.05/(0.5*0.5*(G3-10))))^3-0.00000195494*(LOG(0.05/(0.5*0.5*(G3-10))))^4-0.0000000757244*(LOG(0.05/(0.5*0.5*(G3-10))))^5)</f>
        <v>884.93648960975179</v>
      </c>
      <c r="K11">
        <v>0.04</v>
      </c>
      <c r="L11">
        <f>S23</f>
        <v>368.1</v>
      </c>
      <c r="M11" s="1">
        <f>(S23^(1-Y23)*V23)^(1/Y23)</f>
        <v>3.9655052653612749E-4</v>
      </c>
      <c r="N11" s="3">
        <f>A$10*L11</f>
        <v>59.386195695210645</v>
      </c>
      <c r="O11" s="3">
        <f>1.38E-23*Q11/(4*(1.602E-19^2)*L11*A$12)</f>
        <v>6.2819303765281816E-9</v>
      </c>
      <c r="P11" s="2">
        <f>3/5.814E-23-((0.05/5.814E-29/4-M11*1.38E-23*Q11/(8*(1.602E-19)^2)))*10^-6+SQRT(0.05/5.814E-29*M11*1.38E-23*Q11/(8*(1.602E-19)^2)*5.814E-29+ (-0.05/5.814E-29/4+(M11*1.38E-23*Q11/(8*(1.602E-19)^2)^2)))*10^-6</f>
        <v>5.1395300975325378E+22</v>
      </c>
      <c r="Q11" s="6">
        <f>1/(0.000479779-0.000434801*LOG(0.05/(0.5*0.5*(G23-10)))-0.000100649*(LOG(0.05/(0.5*0.5*(G23-10))))^2-0.0000198446*(LOG(0.05/(0.5*0.5*(G23-10))))^3-0.00000195494*(LOG(0.05/(0.5*0.5*(G23-10))))^4-0.0000000757244*(LOG(0.05/(0.5*0.5*(G23-10))))^5)</f>
        <v>883.88904477497613</v>
      </c>
      <c r="R11" s="1"/>
      <c r="S11" s="7"/>
      <c r="T11" s="2"/>
      <c r="U11" s="2"/>
    </row>
    <row r="12" spans="1:36" x14ac:dyDescent="0.35">
      <c r="A12" s="11">
        <f>((3/5.814E-29)-(0.05/5.814E-29/4))*10^-6</f>
        <v>5.1384588923288611E+22</v>
      </c>
      <c r="B12" s="2">
        <v>2</v>
      </c>
      <c r="C12" s="1">
        <f>B12/9</f>
        <v>0.22222222222222221</v>
      </c>
      <c r="D12">
        <f>S4</f>
        <v>131.9</v>
      </c>
      <c r="E12" s="1">
        <f>(S4^(1-Y4)*V4)^(1/Y4)</f>
        <v>3.7868293032480128E-4</v>
      </c>
      <c r="F12" s="3">
        <f>1.38E-23*H12/(4*(1.602E-19^2)*D12*A$12)</f>
        <v>1.7574411532653553E-8</v>
      </c>
      <c r="G12" s="2">
        <f>3/5.814E-23-((0.05/5.814E-29/4-E12*1.38E-23*H12/(8*(1.602E-19)^2)))*10^-6+SQRT(0.05/5.814E-29*E12*1.38E-23*H12/(8*(1.602E-19)^2)*5.814E-29+ (-0.05/5.814E-29/4+(E12*1.38E-23*H12/(8*(1.602E-19)^2)^2)))*10^-6</f>
        <v>5.1395069727266256E+22</v>
      </c>
      <c r="H12" s="6">
        <f>1/(0.000479779-0.000434801*LOG(0.05/(0.5*0.5*(G4-10)))-0.000100649*(LOG(0.05/(0.5*0.5*(G4-10))))^2-0.0000198446*(LOG(0.05/(0.5*0.5*(G4-10))))^3-0.00000195494*(LOG(0.05/(0.5*0.5*(G4-10))))^4-0.0000000757244*(LOG(0.05/(0.5*0.5*(G4-10))))^5)</f>
        <v>886.06259316551325</v>
      </c>
      <c r="K12">
        <v>0.1</v>
      </c>
      <c r="L12">
        <f>S24</f>
        <v>314.2</v>
      </c>
      <c r="M12" s="1">
        <f>(S24^(1-Y24)*V24)^(1/Y24)</f>
        <v>3.4412069694403407E-4</v>
      </c>
      <c r="N12" s="3">
        <f>A$10*L12</f>
        <v>50.690417515444672</v>
      </c>
      <c r="O12" s="3">
        <f>1.38E-23*Q12/(4*(1.602E-19^2)*L12*A$12)</f>
        <v>7.281405761952727E-9</v>
      </c>
      <c r="P12" s="2">
        <f>3/5.814E-23-((0.05/5.814E-29/4-M12*1.38E-23*Q12/(8*(1.602E-19)^2)))*10^-6+SQRT(0.05/5.814E-29*M12*1.38E-23*Q12/(8*(1.602E-19)^2)*5.814E-29+ (-0.05/5.814E-29/4+(M12*1.38E-23*Q12/(8*(1.602E-19)^2)^2)))*10^-6</f>
        <v>5.1394514598132449E+22</v>
      </c>
      <c r="Q12" s="6">
        <f>1/(0.000479779-0.000434801*LOG(0.05/(0.5*0.5*(G24-10)))-0.000100649*(LOG(0.05/(0.5*0.5*(G24-10))))^2-0.0000198446*(LOG(0.05/(0.5*0.5*(G24-10))))^3-0.00000195494*(LOG(0.05/(0.5*0.5*(G24-10))))^4-0.0000000757244*(LOG(0.05/(0.5*0.5*(G24-10))))^5)</f>
        <v>874.50083555852564</v>
      </c>
      <c r="R12" s="1"/>
      <c r="S12" s="7"/>
      <c r="T12" s="2"/>
      <c r="U12" s="2"/>
    </row>
    <row r="13" spans="1:36" x14ac:dyDescent="0.35">
      <c r="A13" s="11" t="s">
        <v>225</v>
      </c>
      <c r="B13" s="2">
        <v>3</v>
      </c>
      <c r="C13" s="1">
        <f>B13/9</f>
        <v>0.33333333333333331</v>
      </c>
      <c r="D13">
        <f>S5</f>
        <v>188.6</v>
      </c>
      <c r="E13" s="1">
        <f>(S5^(1-Y5)*V5)^(1/Y5)</f>
        <v>3.7602469310333674E-4</v>
      </c>
      <c r="F13" s="3">
        <f>1.38E-23*H13/(4*(1.602E-19^2)*D13*A$12)</f>
        <v>1.2242647578073077E-8</v>
      </c>
      <c r="G13" s="2">
        <f>3/5.814E-23-((0.05/5.814E-29/4-E13*1.38E-23*H13/(8*(1.602E-19)^2)))*10^-6+SQRT(0.05/5.814E-29*E13*1.38E-23*H13/(8*(1.602E-19)^2)*5.814E-29+ (-0.05/5.814E-29/4+(E13*1.38E-23*H13/(8*(1.602E-19)^2)^2)))*10^-6</f>
        <v>5.1395012352973977E+22</v>
      </c>
      <c r="H13" s="6">
        <f>1/(0.000479779-0.000434801*LOG(0.05/(0.5*0.5*(G5-10)))-0.000100649*(LOG(0.05/(0.5*0.5*(G5-10))))^2-0.0000198446*(LOG(0.05/(0.5*0.5*(G5-10))))^3-0.00000195494*(LOG(0.05/(0.5*0.5*(G5-10))))^4-0.0000000757244*(LOG(0.05/(0.5*0.5*(G5-10))))^5)</f>
        <v>882.58359599490927</v>
      </c>
      <c r="K13">
        <v>1</v>
      </c>
      <c r="L13">
        <f>S25</f>
        <v>93.83</v>
      </c>
      <c r="M13" s="1">
        <f>(S25^(1-Y25)*V25)^(1/Y25)</f>
        <v>3.1473532137556349E-4</v>
      </c>
      <c r="N13" s="3">
        <f>A$10*L13</f>
        <v>15.13775262722525</v>
      </c>
      <c r="O13" s="3">
        <f>1.38E-23*Q13/(4*(1.602E-19^2)*L13*A$12)</f>
        <v>2.462603653239659E-8</v>
      </c>
      <c r="P13" s="2">
        <f>3/5.814E-23-((0.05/5.814E-29/4-M13*1.38E-23*Q13/(8*(1.602E-19)^2)))*10^-6+SQRT(0.05/5.814E-29*M13*1.38E-23*Q13/(8*(1.602E-19)^2)*5.814E-29+ (-0.05/5.814E-29/4+(M13*1.38E-23*Q13/(8*(1.602E-19)^2)^2)))*10^-6</f>
        <v>5.1394128625110369E+22</v>
      </c>
      <c r="Q13" s="6">
        <f>1/(0.000479779-0.000434801*LOG(0.05/(0.5*0.5*(G25-10)))-0.000100649*(LOG(0.05/(0.5*0.5*(G25-10))))^2-0.0000198446*(LOG(0.05/(0.5*0.5*(G25-10))))^3-0.00000195494*(LOG(0.05/(0.5*0.5*(G25-10))))^4-0.0000000757244*(LOG(0.05/(0.5*0.5*(G25-10))))^5)</f>
        <v>883.23251914614798</v>
      </c>
      <c r="R13" s="1"/>
      <c r="S13" s="7"/>
      <c r="T13" s="2"/>
      <c r="U13" s="2"/>
    </row>
    <row r="14" spans="1:36" x14ac:dyDescent="0.35">
      <c r="A14" s="11">
        <f>((0.05/5.814E-29/4))*10^-6</f>
        <v>2.1499828001375987E+20</v>
      </c>
      <c r="B14" s="2">
        <v>4</v>
      </c>
      <c r="C14" s="1">
        <f>B14/9</f>
        <v>0.44444444444444442</v>
      </c>
      <c r="D14">
        <f>S6</f>
        <v>308.2</v>
      </c>
      <c r="E14" s="1">
        <f>(S6^(1-Y6)*V6)^(1/Y6)</f>
        <v>3.8927671810019344E-4</v>
      </c>
      <c r="F14" s="3">
        <f>1.38E-23*H14/(4*(1.602E-19^2)*D14*A$12)</f>
        <v>7.5071947206276377E-9</v>
      </c>
      <c r="G14" s="2">
        <f>3/5.814E-23-((0.05/5.814E-29/4-E14*1.38E-23*H14/(8*(1.602E-19)^2)))*10^-6+SQRT(0.05/5.814E-29*E14*1.38E-23*H14/(8*(1.602E-19)^2)*5.814E-29+ (-0.05/5.814E-29/4+(E14*1.38E-23*H14/(8*(1.602E-19)^2)^2)))*10^-6</f>
        <v>5.1395205348699014E+22</v>
      </c>
      <c r="H14" s="6">
        <f>1/(0.000479779-0.000434801*LOG(0.05/(0.5*0.5*(G6-10)))-0.000100649*(LOG(0.05/(0.5*0.5*(G6-10))))^2-0.0000198446*(LOG(0.05/(0.5*0.5*(G6-10))))^3-0.00000195494*(LOG(0.05/(0.5*0.5*(G6-10))))^4-0.0000000757244*(LOG(0.05/(0.5*0.5*(G6-10))))^5)</f>
        <v>884.40080663352762</v>
      </c>
      <c r="K14">
        <v>10</v>
      </c>
      <c r="L14">
        <f>S26</f>
        <v>45.79</v>
      </c>
      <c r="M14" s="1">
        <f>(S26^(1-Y26)*V26)^(1/Y26)</f>
        <v>3.2615140534289765E-4</v>
      </c>
      <c r="N14" s="3">
        <f>A$10*L14</f>
        <v>7.3873781605099023</v>
      </c>
      <c r="O14" s="3">
        <f>1.38E-23*Q14/(4*(1.602E-19^2)*L14*A$12)</f>
        <v>5.0428217503537754E-8</v>
      </c>
      <c r="P14" s="2">
        <f>3/5.814E-23-((0.05/5.814E-29/4-M14*1.38E-23*Q14/(8*(1.602E-19)^2)))*10^-6+SQRT(0.05/5.814E-29*M14*1.38E-23*Q14/(8*(1.602E-19)^2)*5.814E-29+ (-0.05/5.814E-29/4+(M14*1.38E-23*Q14/(8*(1.602E-19)^2)^2)))*10^-6</f>
        <v>5.1394296832311356E+22</v>
      </c>
      <c r="Q14" s="6">
        <f>1/(0.000479779-0.000434801*LOG(0.05/(0.5*0.5*(G26-10)))-0.000100649*(LOG(0.05/(0.5*0.5*(G26-10))))^2-0.0000198446*(LOG(0.05/(0.5*0.5*(G26-10))))^3-0.00000195494*(LOG(0.05/(0.5*0.5*(G26-10))))^4-0.0000000757244*(LOG(0.05/(0.5*0.5*(G26-10))))^5)</f>
        <v>882.63892414800193</v>
      </c>
      <c r="R14" s="1"/>
    </row>
    <row r="15" spans="1:36" x14ac:dyDescent="0.35">
      <c r="A15" s="2"/>
      <c r="B15" s="2">
        <v>5</v>
      </c>
      <c r="C15" s="1">
        <f>B15/9</f>
        <v>0.55555555555555558</v>
      </c>
      <c r="D15">
        <f>S7</f>
        <v>368.1</v>
      </c>
      <c r="E15" s="1">
        <f>(S7^(1-Y7)*V7)^(1/Y7)</f>
        <v>3.9655052653612749E-4</v>
      </c>
      <c r="F15" s="3">
        <f>1.38E-23*H15/(4*(1.602E-19^2)*D15*A$12)</f>
        <v>6.2819303765281816E-9</v>
      </c>
      <c r="G15" s="2">
        <f>3/5.814E-23-((0.05/5.814E-29/4-E15*1.38E-23*H15/(8*(1.602E-19)^2)))*10^-6+SQRT(0.05/5.814E-29*E15*1.38E-23*H15/(8*(1.602E-19)^2)*5.814E-29+ (-0.05/5.814E-29/4+(E15*1.38E-23*H15/(8*(1.602E-19)^2)^2)))*10^-6</f>
        <v>5.1395300975325378E+22</v>
      </c>
      <c r="H15" s="6">
        <f>1/(0.000479779-0.000434801*LOG(0.05/(0.5*0.5*(G7-10)))-0.000100649*(LOG(0.05/(0.5*0.5*(G7-10))))^2-0.0000198446*(LOG(0.05/(0.5*0.5*(G7-10))))^3-0.00000195494*(LOG(0.05/(0.5*0.5*(G7-10))))^4-0.0000000757244*(LOG(0.05/(0.5*0.5*(G7-10))))^5)</f>
        <v>883.88904477497613</v>
      </c>
      <c r="K15">
        <v>100</v>
      </c>
      <c r="L15">
        <f>S27</f>
        <v>20.21</v>
      </c>
      <c r="M15" s="1">
        <f>(S27^(1-Y27)*V27)^(1/Y27)</f>
        <v>3.9268465589176676E-4</v>
      </c>
      <c r="N15" s="3">
        <f>A$10*L15</f>
        <v>3.2605134881831219</v>
      </c>
      <c r="O15" s="3">
        <f>1.38E-23*Q15/(4*(1.602E-19^2)*L15*A$12)</f>
        <v>1.1393339564918346E-7</v>
      </c>
      <c r="P15" s="2">
        <f>3/5.814E-23-((0.05/5.814E-29/4-M15*1.38E-23*Q15/(8*(1.602E-19)^2)))*10^-6+SQRT(0.05/5.814E-29*M15*1.38E-23*Q15/(8*(1.602E-19)^2)*5.814E-29+ (-0.05/5.814E-29/4+(M15*1.38E-23*Q15/(8*(1.602E-19)^2)^2)))*10^-6</f>
        <v>5.1395226056139754E+22</v>
      </c>
      <c r="Q15" s="6">
        <f>1/(0.000479779-0.000434801*LOG(0.05/(0.5*0.5*(G27-10)))-0.000100649*(LOG(0.05/(0.5*0.5*(G27-10))))^2-0.0000198446*(LOG(0.05/(0.5*0.5*(G27-10))))^3-0.00000195494*(LOG(0.05/(0.5*0.5*(G27-10))))^4-0.0000000757244*(LOG(0.05/(0.5*0.5*(G27-10))))^5)</f>
        <v>880.14893876585836</v>
      </c>
      <c r="R15" s="1"/>
    </row>
    <row r="21" spans="1:30" x14ac:dyDescent="0.35">
      <c r="A21" t="s">
        <v>150</v>
      </c>
      <c r="B21" t="s">
        <v>0</v>
      </c>
      <c r="C21" t="s">
        <v>1</v>
      </c>
      <c r="D21" t="s">
        <v>2</v>
      </c>
      <c r="E21" t="s">
        <v>3</v>
      </c>
      <c r="F21" t="s">
        <v>4</v>
      </c>
      <c r="G21" t="s">
        <v>33</v>
      </c>
      <c r="H21" t="s">
        <v>34</v>
      </c>
      <c r="I21" t="s">
        <v>35</v>
      </c>
      <c r="J21" t="s">
        <v>5</v>
      </c>
      <c r="K21" t="s">
        <v>6</v>
      </c>
      <c r="L21" t="s">
        <v>7</v>
      </c>
      <c r="M21" t="s">
        <v>8</v>
      </c>
      <c r="N21" t="s">
        <v>9</v>
      </c>
      <c r="O21" t="s">
        <v>10</v>
      </c>
      <c r="P21" t="s">
        <v>11</v>
      </c>
      <c r="Q21" t="s">
        <v>12</v>
      </c>
      <c r="R21" t="s">
        <v>13</v>
      </c>
      <c r="S21" t="s">
        <v>14</v>
      </c>
      <c r="T21" t="s">
        <v>15</v>
      </c>
      <c r="U21" t="s">
        <v>16</v>
      </c>
      <c r="V21" t="s">
        <v>17</v>
      </c>
      <c r="W21" t="s">
        <v>18</v>
      </c>
      <c r="X21" t="s">
        <v>19</v>
      </c>
      <c r="Y21" t="s">
        <v>20</v>
      </c>
      <c r="Z21" t="s">
        <v>21</v>
      </c>
      <c r="AA21" t="s">
        <v>22</v>
      </c>
      <c r="AB21" t="s">
        <v>36</v>
      </c>
      <c r="AC21" t="s">
        <v>37</v>
      </c>
      <c r="AD21" t="s">
        <v>38</v>
      </c>
    </row>
    <row r="22" spans="1:30" x14ac:dyDescent="0.35">
      <c r="A22" t="s">
        <v>433</v>
      </c>
      <c r="B22" s="1">
        <v>3.4972999999999999E-5</v>
      </c>
      <c r="C22">
        <v>2.3081999999999998E-3</v>
      </c>
      <c r="D22" s="1">
        <v>6.4451000000000003E-6</v>
      </c>
      <c r="E22" s="1">
        <v>4.8343999999999999E-8</v>
      </c>
      <c r="F22">
        <v>0.75009000000000003</v>
      </c>
      <c r="G22">
        <v>50.05</v>
      </c>
      <c r="H22">
        <v>0.21182000000000001</v>
      </c>
      <c r="I22">
        <v>0.42321999999999999</v>
      </c>
      <c r="J22">
        <v>1.264</v>
      </c>
      <c r="K22">
        <v>0.27705999999999997</v>
      </c>
      <c r="L22">
        <v>21.919</v>
      </c>
      <c r="M22">
        <v>2.6621000000000001E-4</v>
      </c>
      <c r="N22">
        <v>5.7218000000000004E-4</v>
      </c>
      <c r="O22">
        <v>214.94</v>
      </c>
      <c r="P22">
        <v>0.68938999999999995</v>
      </c>
      <c r="Q22">
        <v>0.20768</v>
      </c>
      <c r="R22">
        <v>30.125</v>
      </c>
      <c r="S22">
        <v>781.5</v>
      </c>
      <c r="T22">
        <v>2.7336</v>
      </c>
      <c r="U22">
        <v>0.34978999999999999</v>
      </c>
      <c r="V22">
        <v>4.9304999999999998E-4</v>
      </c>
      <c r="W22" s="1">
        <v>2.3495999999999999E-6</v>
      </c>
      <c r="X22">
        <v>0.47654000000000002</v>
      </c>
      <c r="Y22">
        <v>0.93586999999999998</v>
      </c>
      <c r="Z22">
        <v>1.6218000000000001E-3</v>
      </c>
      <c r="AA22">
        <v>0.17329</v>
      </c>
      <c r="AB22">
        <v>0</v>
      </c>
      <c r="AC22">
        <v>0</v>
      </c>
      <c r="AD22">
        <v>1</v>
      </c>
    </row>
    <row r="23" spans="1:30" x14ac:dyDescent="0.35">
      <c r="A23" t="s">
        <v>432</v>
      </c>
      <c r="B23" s="1">
        <v>5.3267000000000002E-6</v>
      </c>
      <c r="C23">
        <v>3.5156E-4</v>
      </c>
      <c r="D23" s="1">
        <v>6.477E-6</v>
      </c>
      <c r="E23" s="1">
        <v>1.8253999999999999E-8</v>
      </c>
      <c r="F23">
        <v>0.28183000000000002</v>
      </c>
      <c r="G23">
        <v>46.59</v>
      </c>
      <c r="H23">
        <v>9.2508999999999994E-2</v>
      </c>
      <c r="I23">
        <v>0.19855999999999999</v>
      </c>
      <c r="J23">
        <v>1.5029999999999999</v>
      </c>
      <c r="K23">
        <v>0.13389000000000001</v>
      </c>
      <c r="L23">
        <v>8.9082000000000008</v>
      </c>
      <c r="M23">
        <v>9.7506000000000003E-4</v>
      </c>
      <c r="N23">
        <v>6.7929999999999998E-4</v>
      </c>
      <c r="O23">
        <v>69.668000000000006</v>
      </c>
      <c r="P23">
        <v>0.58387999999999995</v>
      </c>
      <c r="Q23">
        <v>7.1300000000000002E-2</v>
      </c>
      <c r="R23">
        <v>12.211</v>
      </c>
      <c r="S23">
        <v>368.1</v>
      </c>
      <c r="T23">
        <v>0.45419999999999999</v>
      </c>
      <c r="U23">
        <v>0.12339</v>
      </c>
      <c r="V23">
        <v>4.3464000000000003E-4</v>
      </c>
      <c r="W23" s="1">
        <v>1.1561E-6</v>
      </c>
      <c r="X23">
        <v>0.26599</v>
      </c>
      <c r="Y23">
        <v>0.95233999999999996</v>
      </c>
      <c r="Z23">
        <v>8.3898999999999996E-4</v>
      </c>
      <c r="AA23">
        <v>8.8097999999999996E-2</v>
      </c>
      <c r="AB23">
        <v>0</v>
      </c>
      <c r="AC23">
        <v>0</v>
      </c>
      <c r="AD23">
        <v>1</v>
      </c>
    </row>
    <row r="24" spans="1:30" x14ac:dyDescent="0.35">
      <c r="A24" t="s">
        <v>431</v>
      </c>
      <c r="B24" s="1">
        <v>4.0288999999999997E-6</v>
      </c>
      <c r="C24">
        <v>2.5785000000000001E-4</v>
      </c>
      <c r="D24" s="1">
        <v>6.4895999999999997E-6</v>
      </c>
      <c r="E24" s="1">
        <v>1.8301E-8</v>
      </c>
      <c r="F24">
        <v>0.28200999999999998</v>
      </c>
      <c r="G24">
        <v>52.01</v>
      </c>
      <c r="H24">
        <v>0.15465999999999999</v>
      </c>
      <c r="I24">
        <v>0.29737000000000002</v>
      </c>
      <c r="J24">
        <v>2.7</v>
      </c>
      <c r="K24">
        <v>0.26839000000000002</v>
      </c>
      <c r="L24">
        <v>9.9404000000000003</v>
      </c>
      <c r="M24">
        <v>3.9357999999999997E-3</v>
      </c>
      <c r="N24">
        <v>1.8695999999999999E-3</v>
      </c>
      <c r="O24">
        <v>47.502000000000002</v>
      </c>
      <c r="P24">
        <v>0.42558000000000001</v>
      </c>
      <c r="Q24">
        <v>5.3454000000000002E-2</v>
      </c>
      <c r="R24">
        <v>12.56</v>
      </c>
      <c r="S24">
        <v>314.2</v>
      </c>
      <c r="T24">
        <v>0.41141</v>
      </c>
      <c r="U24">
        <v>0.13094</v>
      </c>
      <c r="V24">
        <v>3.7787999999999998E-4</v>
      </c>
      <c r="W24" s="1">
        <v>1.0550000000000001E-6</v>
      </c>
      <c r="X24">
        <v>0.27918999999999999</v>
      </c>
      <c r="Y24">
        <v>0.95792999999999995</v>
      </c>
      <c r="Z24">
        <v>9.5637999999999995E-4</v>
      </c>
      <c r="AA24">
        <v>9.9837999999999996E-2</v>
      </c>
      <c r="AB24">
        <v>0</v>
      </c>
      <c r="AC24">
        <v>0</v>
      </c>
      <c r="AD24">
        <v>1</v>
      </c>
    </row>
    <row r="25" spans="1:30" x14ac:dyDescent="0.35">
      <c r="A25" t="s">
        <v>430</v>
      </c>
      <c r="B25" s="1">
        <v>4.2884000000000003E-6</v>
      </c>
      <c r="C25">
        <v>2.7446000000000003E-4</v>
      </c>
      <c r="D25" s="1">
        <v>6.4199000000000001E-6</v>
      </c>
      <c r="E25" s="1">
        <v>1.7570999999999999E-8</v>
      </c>
      <c r="F25">
        <v>0.2737</v>
      </c>
      <c r="G25">
        <v>46.94</v>
      </c>
      <c r="H25">
        <v>0.1968</v>
      </c>
      <c r="I25">
        <v>0.41926000000000002</v>
      </c>
      <c r="J25">
        <v>3.456</v>
      </c>
      <c r="K25">
        <v>0.72899999999999998</v>
      </c>
      <c r="L25">
        <v>21.094000000000001</v>
      </c>
      <c r="M25">
        <v>1.3611E-2</v>
      </c>
      <c r="N25">
        <v>8.5917000000000007E-3</v>
      </c>
      <c r="O25">
        <v>63.122999999999998</v>
      </c>
      <c r="P25">
        <v>0.3392</v>
      </c>
      <c r="Q25">
        <v>6.9431999999999994E-2</v>
      </c>
      <c r="R25">
        <v>20.469000000000001</v>
      </c>
      <c r="S25">
        <v>93.83</v>
      </c>
      <c r="T25">
        <v>0.44827</v>
      </c>
      <c r="U25">
        <v>0.47775000000000001</v>
      </c>
      <c r="V25">
        <v>3.4018999999999998E-4</v>
      </c>
      <c r="W25" s="1">
        <v>2.1038000000000001E-6</v>
      </c>
      <c r="X25">
        <v>0.61841999999999997</v>
      </c>
      <c r="Y25">
        <v>0.97792000000000001</v>
      </c>
      <c r="Z25">
        <v>2.4881999999999999E-3</v>
      </c>
      <c r="AA25">
        <v>0.25444</v>
      </c>
      <c r="AB25">
        <v>0</v>
      </c>
      <c r="AC25">
        <v>0</v>
      </c>
      <c r="AD25">
        <v>1</v>
      </c>
    </row>
    <row r="26" spans="1:30" x14ac:dyDescent="0.35">
      <c r="A26" t="s">
        <v>429</v>
      </c>
      <c r="B26" s="1">
        <v>1.9692000000000001E-6</v>
      </c>
      <c r="C26">
        <v>1.1027999999999999E-4</v>
      </c>
      <c r="D26" s="1">
        <v>6.1858000000000001E-6</v>
      </c>
      <c r="E26" s="1">
        <v>1.1420000000000001E-8</v>
      </c>
      <c r="F26">
        <v>0.18462000000000001</v>
      </c>
      <c r="G26">
        <v>47.26</v>
      </c>
      <c r="H26">
        <v>9.4566999999999998E-2</v>
      </c>
      <c r="I26">
        <v>0.2001</v>
      </c>
      <c r="J26">
        <v>3.0169999999999999</v>
      </c>
      <c r="K26">
        <v>0.43225000000000002</v>
      </c>
      <c r="L26">
        <v>14.327</v>
      </c>
      <c r="M26">
        <v>9.5337000000000009E-3</v>
      </c>
      <c r="N26">
        <v>4.6108E-3</v>
      </c>
      <c r="O26">
        <v>48.363</v>
      </c>
      <c r="P26">
        <v>0.39366000000000001</v>
      </c>
      <c r="Q26">
        <v>5.0538E-2</v>
      </c>
      <c r="R26">
        <v>12.837999999999999</v>
      </c>
      <c r="S26">
        <v>45.79</v>
      </c>
      <c r="T26">
        <v>0.30060999999999999</v>
      </c>
      <c r="U26">
        <v>0.65649999999999997</v>
      </c>
      <c r="V26">
        <v>3.5713999999999999E-4</v>
      </c>
      <c r="W26" s="1">
        <v>2.8563000000000001E-6</v>
      </c>
      <c r="X26">
        <v>0.79976999999999998</v>
      </c>
      <c r="Y26">
        <v>0.97841</v>
      </c>
      <c r="Z26">
        <v>3.0122E-3</v>
      </c>
      <c r="AA26">
        <v>0.30786999999999998</v>
      </c>
      <c r="AB26">
        <v>0</v>
      </c>
      <c r="AC26">
        <v>0</v>
      </c>
      <c r="AD26">
        <v>1</v>
      </c>
    </row>
    <row r="27" spans="1:30" x14ac:dyDescent="0.35">
      <c r="A27" t="s">
        <v>428</v>
      </c>
      <c r="B27" s="1">
        <v>2.4874000000000001E-6</v>
      </c>
      <c r="C27">
        <v>1.3432E-4</v>
      </c>
      <c r="D27" s="1">
        <v>6.1784E-6</v>
      </c>
      <c r="E27" s="1">
        <v>1.3335999999999999E-8</v>
      </c>
      <c r="F27">
        <v>0.21584999999999999</v>
      </c>
      <c r="G27">
        <v>48.64</v>
      </c>
      <c r="H27">
        <v>0.11121</v>
      </c>
      <c r="I27">
        <v>0.22864000000000001</v>
      </c>
      <c r="J27">
        <v>3.484</v>
      </c>
      <c r="K27">
        <v>0.48060000000000003</v>
      </c>
      <c r="L27">
        <v>13.794</v>
      </c>
      <c r="M27">
        <v>5.3162000000000001E-3</v>
      </c>
      <c r="N27">
        <v>2.7285E-3</v>
      </c>
      <c r="O27">
        <v>51.323999999999998</v>
      </c>
      <c r="P27">
        <v>0.41835</v>
      </c>
      <c r="Q27">
        <v>5.1823000000000001E-2</v>
      </c>
      <c r="R27">
        <v>12.387</v>
      </c>
      <c r="S27">
        <v>20.21</v>
      </c>
      <c r="T27">
        <v>0.33484000000000003</v>
      </c>
      <c r="U27">
        <v>1.6568000000000001</v>
      </c>
      <c r="V27">
        <v>4.5321000000000001E-4</v>
      </c>
      <c r="W27" s="1">
        <v>9.0782000000000006E-6</v>
      </c>
      <c r="X27">
        <v>2.0030999999999999</v>
      </c>
      <c r="Y27">
        <v>0.97036</v>
      </c>
      <c r="Z27">
        <v>7.0178999999999997E-3</v>
      </c>
      <c r="AA27">
        <v>0.72323000000000004</v>
      </c>
      <c r="AB27">
        <v>0</v>
      </c>
      <c r="AC27">
        <v>0</v>
      </c>
      <c r="AD27">
        <v>1</v>
      </c>
    </row>
    <row r="30" spans="1:30" x14ac:dyDescent="0.35">
      <c r="B30" s="1"/>
      <c r="D30" s="1"/>
      <c r="E30" s="1"/>
      <c r="W30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="69" workbookViewId="0">
      <selection activeCell="P53" sqref="P53"/>
    </sheetView>
  </sheetViews>
  <sheetFormatPr baseColWidth="10" defaultRowHeight="14.5" x14ac:dyDescent="0.35"/>
  <cols>
    <col min="1" max="1" width="39.6328125" customWidth="1"/>
    <col min="2" max="2" width="16.6328125" customWidth="1"/>
    <col min="7" max="7" width="11.81640625" bestFit="1" customWidth="1"/>
    <col min="13" max="13" width="11.81640625" bestFit="1" customWidth="1"/>
    <col min="16" max="16" width="11.81640625" bestFit="1" customWidth="1"/>
    <col min="26" max="27" width="11.81640625" bestFit="1" customWidth="1"/>
  </cols>
  <sheetData>
    <row r="1" spans="1:36" x14ac:dyDescent="0.35">
      <c r="A1" t="s">
        <v>177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33</v>
      </c>
      <c r="H1" t="s">
        <v>34</v>
      </c>
      <c r="I1" t="s">
        <v>35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 x14ac:dyDescent="0.35">
      <c r="A2" t="s">
        <v>456</v>
      </c>
      <c r="B2" s="1">
        <v>1.3799E-5</v>
      </c>
      <c r="C2">
        <v>7.8651999999999997E-4</v>
      </c>
      <c r="D2" s="1">
        <v>5.8539E-6</v>
      </c>
      <c r="E2" s="1">
        <v>2.8699000000000001E-8</v>
      </c>
      <c r="F2">
        <v>0.49025000000000002</v>
      </c>
      <c r="G2">
        <v>54.85</v>
      </c>
      <c r="H2">
        <v>6.1420000000000002E-2</v>
      </c>
      <c r="I2">
        <v>0.11198</v>
      </c>
      <c r="J2">
        <v>220.9</v>
      </c>
      <c r="K2">
        <v>47.994999999999997</v>
      </c>
      <c r="L2">
        <v>21.727</v>
      </c>
      <c r="M2" s="1">
        <v>6.4951999999999997E-5</v>
      </c>
      <c r="N2" s="1">
        <v>7.7792E-6</v>
      </c>
      <c r="O2">
        <v>11.977</v>
      </c>
      <c r="P2">
        <v>0.79681999999999997</v>
      </c>
      <c r="Q2">
        <v>9.0778000000000005E-3</v>
      </c>
      <c r="R2">
        <v>1.1393</v>
      </c>
      <c r="S2">
        <v>203.5</v>
      </c>
      <c r="T2">
        <v>264.13</v>
      </c>
      <c r="U2">
        <v>129.79</v>
      </c>
      <c r="V2" s="1">
        <v>4.8656000000000003E-5</v>
      </c>
      <c r="W2" s="1">
        <v>2.4873000000000001E-5</v>
      </c>
      <c r="X2">
        <v>51.12</v>
      </c>
      <c r="Y2">
        <v>1.071</v>
      </c>
      <c r="Z2">
        <v>0.14172999999999999</v>
      </c>
      <c r="AA2">
        <v>13.233000000000001</v>
      </c>
      <c r="AB2">
        <v>80.319999999999993</v>
      </c>
      <c r="AC2">
        <v>245.82</v>
      </c>
      <c r="AD2">
        <v>306.05</v>
      </c>
      <c r="AE2">
        <v>4.6275E-4</v>
      </c>
      <c r="AF2">
        <v>2.1381E-3</v>
      </c>
      <c r="AG2">
        <v>462.04</v>
      </c>
      <c r="AH2">
        <v>0.91849999999999998</v>
      </c>
      <c r="AI2">
        <v>8.3693000000000004E-2</v>
      </c>
      <c r="AJ2">
        <v>9.1119000000000003</v>
      </c>
    </row>
    <row r="3" spans="1:36" x14ac:dyDescent="0.35">
      <c r="A3" t="s">
        <v>455</v>
      </c>
      <c r="B3" s="1">
        <v>9.3365000000000005E-7</v>
      </c>
      <c r="C3" s="1">
        <v>5.3217999999999998E-5</v>
      </c>
      <c r="D3" s="1">
        <v>5.8957000000000002E-6</v>
      </c>
      <c r="E3" s="1">
        <v>7.7561999999999993E-9</v>
      </c>
      <c r="F3">
        <v>0.13156000000000001</v>
      </c>
      <c r="G3">
        <v>48.16</v>
      </c>
      <c r="H3">
        <v>9.8632999999999998E-2</v>
      </c>
      <c r="I3">
        <v>0.20480000000000001</v>
      </c>
      <c r="J3">
        <v>34.74</v>
      </c>
      <c r="K3">
        <v>0.46467000000000003</v>
      </c>
      <c r="L3">
        <v>1.3375999999999999</v>
      </c>
      <c r="M3">
        <v>3.7430999999999999E-4</v>
      </c>
      <c r="N3" s="1">
        <v>4.3687000000000002E-6</v>
      </c>
      <c r="O3">
        <v>1.1671</v>
      </c>
      <c r="P3">
        <v>0.95920000000000005</v>
      </c>
      <c r="Q3">
        <v>3.9564999999999999E-3</v>
      </c>
      <c r="R3">
        <v>0.41248000000000001</v>
      </c>
      <c r="S3">
        <v>6.7619999999999996</v>
      </c>
      <c r="T3">
        <v>0.97824</v>
      </c>
      <c r="U3">
        <v>14.467000000000001</v>
      </c>
      <c r="V3">
        <v>2.6526999999999998E-2</v>
      </c>
      <c r="W3" s="1">
        <v>1.6773999999999999E-3</v>
      </c>
      <c r="X3">
        <v>6.3234000000000004</v>
      </c>
      <c r="Y3">
        <v>0.99448000000000003</v>
      </c>
      <c r="Z3">
        <v>4.0871999999999999E-2</v>
      </c>
      <c r="AA3">
        <v>4.1098999999999997</v>
      </c>
      <c r="AB3">
        <v>3.7709999999999999</v>
      </c>
      <c r="AC3">
        <v>2.6663999999999999</v>
      </c>
      <c r="AD3">
        <v>70.707999999999998</v>
      </c>
      <c r="AE3">
        <v>7.1913000000000005E-2</v>
      </c>
      <c r="AF3">
        <v>5.0771999999999998E-2</v>
      </c>
      <c r="AG3">
        <v>70.602000000000004</v>
      </c>
      <c r="AH3">
        <v>0.27259</v>
      </c>
      <c r="AI3">
        <v>6.9995000000000002E-2</v>
      </c>
      <c r="AJ3">
        <v>25.678000000000001</v>
      </c>
    </row>
    <row r="4" spans="1:36" x14ac:dyDescent="0.35">
      <c r="A4" t="s">
        <v>454</v>
      </c>
      <c r="B4" s="1">
        <v>1.449E-6</v>
      </c>
      <c r="C4" s="1">
        <v>7.9694E-5</v>
      </c>
      <c r="D4" s="1">
        <v>5.9067999999999999E-6</v>
      </c>
      <c r="E4" s="1">
        <v>1.0916999999999999E-8</v>
      </c>
      <c r="F4">
        <v>0.18482000000000001</v>
      </c>
      <c r="G4">
        <v>47.12</v>
      </c>
      <c r="H4">
        <v>0.21931999999999999</v>
      </c>
      <c r="I4">
        <v>0.46544999999999997</v>
      </c>
      <c r="J4">
        <v>23.76</v>
      </c>
      <c r="K4">
        <v>0.74192999999999998</v>
      </c>
      <c r="L4">
        <v>3.1225999999999998</v>
      </c>
      <c r="M4">
        <v>3.6952000000000003E-4</v>
      </c>
      <c r="N4" s="1">
        <v>7.7409000000000007E-6</v>
      </c>
      <c r="O4">
        <v>2.0949</v>
      </c>
      <c r="P4">
        <v>0.95242000000000004</v>
      </c>
      <c r="Q4">
        <v>8.5448E-3</v>
      </c>
      <c r="R4">
        <v>0.89717000000000002</v>
      </c>
      <c r="S4">
        <v>7.5469999999999997</v>
      </c>
      <c r="T4">
        <v>0.79103000000000001</v>
      </c>
      <c r="U4">
        <v>10.481</v>
      </c>
      <c r="V4">
        <v>2.2346000000000001E-2</v>
      </c>
      <c r="W4" s="1">
        <v>1.2742999999999999E-3</v>
      </c>
      <c r="X4">
        <v>5.7026000000000003</v>
      </c>
      <c r="Y4">
        <v>0.98385</v>
      </c>
      <c r="Z4">
        <v>2.9485999999999998E-2</v>
      </c>
      <c r="AA4">
        <v>2.9969999999999999</v>
      </c>
      <c r="AB4">
        <v>2.911</v>
      </c>
      <c r="AC4">
        <v>2.4613999999999998</v>
      </c>
      <c r="AD4">
        <v>84.555000000000007</v>
      </c>
      <c r="AE4">
        <v>4.4220000000000002E-2</v>
      </c>
      <c r="AF4">
        <v>6.1408999999999998E-2</v>
      </c>
      <c r="AG4">
        <v>138.87</v>
      </c>
      <c r="AH4">
        <v>0.28198000000000001</v>
      </c>
      <c r="AI4">
        <v>0.1348</v>
      </c>
      <c r="AJ4">
        <v>47.805</v>
      </c>
    </row>
    <row r="5" spans="1:36" x14ac:dyDescent="0.35">
      <c r="A5" t="s">
        <v>453</v>
      </c>
      <c r="B5" s="1">
        <v>2.3825999999999999E-6</v>
      </c>
      <c r="C5" s="1">
        <v>1.3580999999999999E-4</v>
      </c>
      <c r="D5" s="1">
        <v>5.9344000000000003E-6</v>
      </c>
      <c r="E5" s="1">
        <v>1.6861999999999999E-8</v>
      </c>
      <c r="F5">
        <v>0.28414</v>
      </c>
      <c r="G5">
        <v>44.8</v>
      </c>
      <c r="H5">
        <v>18.32</v>
      </c>
      <c r="I5">
        <v>40.893000000000001</v>
      </c>
      <c r="J5">
        <v>20.309999999999999</v>
      </c>
      <c r="K5">
        <v>0.35703000000000001</v>
      </c>
      <c r="L5">
        <v>1.7579</v>
      </c>
      <c r="M5">
        <v>3.8214999999999999E-4</v>
      </c>
      <c r="N5" s="1">
        <v>1.0499000000000001E-5</v>
      </c>
      <c r="O5">
        <v>2.7473999999999998</v>
      </c>
      <c r="P5">
        <v>0.94455999999999996</v>
      </c>
      <c r="Q5">
        <v>6.8345999999999997E-3</v>
      </c>
      <c r="R5">
        <v>0.72357000000000005</v>
      </c>
      <c r="S5">
        <v>7.375</v>
      </c>
      <c r="T5">
        <v>0.96062999999999998</v>
      </c>
      <c r="U5">
        <v>13.025</v>
      </c>
      <c r="V5">
        <v>2.3456999999999999E-2</v>
      </c>
      <c r="W5" s="1">
        <v>1.0211E-3</v>
      </c>
      <c r="X5">
        <v>4.3531000000000004</v>
      </c>
      <c r="Y5">
        <v>0.97502999999999995</v>
      </c>
      <c r="Z5">
        <v>4.1248E-2</v>
      </c>
      <c r="AA5">
        <v>4.2304000000000004</v>
      </c>
      <c r="AB5">
        <v>7.6289999999999996</v>
      </c>
      <c r="AC5">
        <v>45.747</v>
      </c>
      <c r="AD5">
        <v>599.65</v>
      </c>
      <c r="AE5">
        <v>7.0741999999999999E-2</v>
      </c>
      <c r="AF5">
        <v>7.8102000000000005E-2</v>
      </c>
      <c r="AG5">
        <v>110.4</v>
      </c>
      <c r="AH5">
        <v>7.2450000000000001E-2</v>
      </c>
      <c r="AI5">
        <v>0.42603000000000002</v>
      </c>
      <c r="AJ5">
        <v>588.03</v>
      </c>
    </row>
    <row r="6" spans="1:36" x14ac:dyDescent="0.35">
      <c r="A6" t="s">
        <v>452</v>
      </c>
      <c r="B6" s="1">
        <v>8.7627E-7</v>
      </c>
      <c r="C6" s="1">
        <v>5.1700000000000003E-5</v>
      </c>
      <c r="D6" s="1">
        <v>5.8958999999999997E-6</v>
      </c>
      <c r="E6" s="1">
        <v>7.4586999999999995E-9</v>
      </c>
      <c r="F6">
        <v>0.12651000000000001</v>
      </c>
      <c r="G6">
        <v>47.16</v>
      </c>
      <c r="H6">
        <v>7.8960000000000002E-2</v>
      </c>
      <c r="I6">
        <v>0.16743</v>
      </c>
      <c r="J6">
        <v>27.13</v>
      </c>
      <c r="K6">
        <v>0.52612999999999999</v>
      </c>
      <c r="L6">
        <v>1.9393</v>
      </c>
      <c r="M6">
        <v>3.8843999999999999E-4</v>
      </c>
      <c r="N6" s="1">
        <v>5.2704999999999998E-6</v>
      </c>
      <c r="O6">
        <v>1.3568</v>
      </c>
      <c r="P6">
        <v>0.95235999999999998</v>
      </c>
      <c r="Q6">
        <v>5.2830000000000004E-3</v>
      </c>
      <c r="R6">
        <v>0.55472999999999995</v>
      </c>
      <c r="S6">
        <v>7.1580000000000004</v>
      </c>
      <c r="T6">
        <v>0.61753999999999998</v>
      </c>
      <c r="U6">
        <v>8.6273</v>
      </c>
      <c r="V6">
        <v>2.5478000000000001E-2</v>
      </c>
      <c r="W6" s="1">
        <v>1.1578000000000001E-3</v>
      </c>
      <c r="X6">
        <v>4.5442999999999998</v>
      </c>
      <c r="Y6">
        <v>0.97413000000000005</v>
      </c>
      <c r="Z6">
        <v>2.5125000000000001E-2</v>
      </c>
      <c r="AA6">
        <v>2.5792000000000002</v>
      </c>
      <c r="AB6">
        <v>2.8050000000000002</v>
      </c>
      <c r="AC6">
        <v>1.5228999999999999</v>
      </c>
      <c r="AD6">
        <v>54.292000000000002</v>
      </c>
      <c r="AE6">
        <v>4.2998000000000001E-2</v>
      </c>
      <c r="AF6">
        <v>3.3203000000000003E-2</v>
      </c>
      <c r="AG6">
        <v>77.22</v>
      </c>
      <c r="AH6">
        <v>0.32362999999999997</v>
      </c>
      <c r="AI6">
        <v>7.5090000000000004E-2</v>
      </c>
      <c r="AJ6">
        <v>23.202000000000002</v>
      </c>
    </row>
    <row r="7" spans="1:36" x14ac:dyDescent="0.35">
      <c r="A7" t="s">
        <v>451</v>
      </c>
      <c r="B7" s="1">
        <v>1.2719000000000001E-6</v>
      </c>
      <c r="C7" s="1">
        <v>7.504E-5</v>
      </c>
      <c r="D7" s="1">
        <v>5.8946000000000003E-6</v>
      </c>
      <c r="E7" s="1">
        <v>8.8680000000000004E-9</v>
      </c>
      <c r="F7">
        <v>0.15043999999999999</v>
      </c>
      <c r="G7">
        <v>46.71</v>
      </c>
      <c r="H7">
        <v>7.8080999999999998E-2</v>
      </c>
      <c r="I7">
        <v>0.16716</v>
      </c>
      <c r="J7">
        <v>38.22</v>
      </c>
      <c r="K7">
        <v>0.63710999999999995</v>
      </c>
      <c r="L7">
        <v>1.667</v>
      </c>
      <c r="M7">
        <v>3.9007000000000001E-4</v>
      </c>
      <c r="N7" s="1">
        <v>4.9968000000000002E-6</v>
      </c>
      <c r="O7">
        <v>1.2809999999999999</v>
      </c>
      <c r="P7">
        <v>0.95201000000000002</v>
      </c>
      <c r="Q7">
        <v>5.2411000000000003E-3</v>
      </c>
      <c r="R7">
        <v>0.55052999999999996</v>
      </c>
      <c r="S7">
        <v>6.8259999999999996</v>
      </c>
      <c r="T7">
        <v>0.37236000000000002</v>
      </c>
      <c r="U7">
        <v>5.4550000000000001</v>
      </c>
      <c r="V7">
        <v>2.7827000000000001E-2</v>
      </c>
      <c r="W7" s="1">
        <v>1.3106000000000001E-3</v>
      </c>
      <c r="X7">
        <v>4.7098000000000004</v>
      </c>
      <c r="Y7">
        <v>0.98270000000000002</v>
      </c>
      <c r="Z7">
        <v>2.4771999999999999E-2</v>
      </c>
      <c r="AA7">
        <v>2.5207999999999999</v>
      </c>
      <c r="AB7">
        <v>2.343</v>
      </c>
      <c r="AC7">
        <v>0.99739999999999995</v>
      </c>
      <c r="AD7">
        <v>42.569000000000003</v>
      </c>
      <c r="AE7">
        <v>2.8969000000000002E-2</v>
      </c>
      <c r="AF7">
        <v>2.3921999999999999E-2</v>
      </c>
      <c r="AG7">
        <v>82.578000000000003</v>
      </c>
      <c r="AH7">
        <v>0.36231999999999998</v>
      </c>
      <c r="AI7">
        <v>8.251E-2</v>
      </c>
      <c r="AJ7">
        <v>22.773</v>
      </c>
    </row>
    <row r="8" spans="1:36" x14ac:dyDescent="0.35">
      <c r="A8" t="s">
        <v>450</v>
      </c>
      <c r="B8" s="1">
        <v>2.3066000000000001E-6</v>
      </c>
      <c r="C8">
        <v>1.3609000000000001E-4</v>
      </c>
      <c r="D8" s="1">
        <v>5.8895000000000001E-6</v>
      </c>
      <c r="E8" s="1">
        <v>1.1088E-8</v>
      </c>
      <c r="F8">
        <v>0.18826999999999999</v>
      </c>
      <c r="G8">
        <v>46.54</v>
      </c>
      <c r="H8">
        <v>5.6709000000000002E-2</v>
      </c>
      <c r="I8">
        <v>0.12185</v>
      </c>
      <c r="J8">
        <v>48.95</v>
      </c>
      <c r="K8">
        <v>0.97877999999999998</v>
      </c>
      <c r="L8">
        <v>1.9996</v>
      </c>
      <c r="M8">
        <v>3.9138999999999998E-4</v>
      </c>
      <c r="N8" s="1">
        <v>5.9618000000000002E-6</v>
      </c>
      <c r="O8">
        <v>1.5232000000000001</v>
      </c>
      <c r="P8">
        <v>0.95130000000000003</v>
      </c>
      <c r="Q8">
        <v>6.5211000000000002E-3</v>
      </c>
      <c r="R8">
        <v>0.68549000000000004</v>
      </c>
      <c r="S8">
        <v>6.3109999999999999</v>
      </c>
      <c r="T8">
        <v>0.56040000000000001</v>
      </c>
      <c r="U8">
        <v>8.8796999999999997</v>
      </c>
      <c r="V8">
        <v>3.0778E-2</v>
      </c>
      <c r="W8" s="1">
        <v>3.0228999999999998E-3</v>
      </c>
      <c r="X8">
        <v>9.8216000000000001</v>
      </c>
      <c r="Y8">
        <v>0.99306000000000005</v>
      </c>
      <c r="Z8">
        <v>4.2108E-2</v>
      </c>
      <c r="AA8">
        <v>4.2401999999999997</v>
      </c>
      <c r="AB8">
        <v>1.9530000000000001</v>
      </c>
      <c r="AC8">
        <v>0.87289000000000005</v>
      </c>
      <c r="AD8">
        <v>44.695</v>
      </c>
      <c r="AE8">
        <v>1.8837E-2</v>
      </c>
      <c r="AF8">
        <v>1.7432E-2</v>
      </c>
      <c r="AG8">
        <v>92.540999999999997</v>
      </c>
      <c r="AH8">
        <v>0.44613999999999998</v>
      </c>
      <c r="AI8">
        <v>9.5740000000000006E-2</v>
      </c>
      <c r="AJ8">
        <v>21.46</v>
      </c>
    </row>
    <row r="9" spans="1:36" x14ac:dyDescent="0.35">
      <c r="A9" t="s">
        <v>449</v>
      </c>
      <c r="B9" s="1">
        <v>2.4248999999999999E-6</v>
      </c>
      <c r="C9">
        <v>1.4307E-4</v>
      </c>
      <c r="D9" s="1">
        <v>5.8927000000000003E-6</v>
      </c>
      <c r="E9" s="1">
        <v>1.1733999999999999E-8</v>
      </c>
      <c r="F9">
        <v>0.19913</v>
      </c>
      <c r="G9">
        <v>45.99</v>
      </c>
      <c r="H9">
        <v>8.4901000000000004E-2</v>
      </c>
      <c r="I9">
        <v>0.18461</v>
      </c>
      <c r="J9">
        <v>61.22</v>
      </c>
      <c r="K9">
        <v>0.98860000000000003</v>
      </c>
      <c r="L9">
        <v>1.6148</v>
      </c>
      <c r="M9">
        <v>3.9661999999999998E-4</v>
      </c>
      <c r="N9" s="1">
        <v>4.8658000000000001E-6</v>
      </c>
      <c r="O9">
        <v>1.2267999999999999</v>
      </c>
      <c r="P9">
        <v>0.94735999999999998</v>
      </c>
      <c r="Q9">
        <v>5.3055999999999997E-3</v>
      </c>
      <c r="R9">
        <v>0.56003999999999998</v>
      </c>
      <c r="S9">
        <v>2.359</v>
      </c>
      <c r="T9">
        <v>1.109</v>
      </c>
      <c r="U9">
        <v>47.011000000000003</v>
      </c>
      <c r="V9">
        <v>2.6979E-2</v>
      </c>
      <c r="W9" s="1">
        <v>2.5045000000000001E-2</v>
      </c>
      <c r="X9">
        <v>92.831000000000003</v>
      </c>
      <c r="Y9">
        <v>0.37963000000000002</v>
      </c>
      <c r="Z9">
        <v>9.5169000000000004E-2</v>
      </c>
      <c r="AA9">
        <v>25.068999999999999</v>
      </c>
      <c r="AB9">
        <v>5.6630000000000003</v>
      </c>
      <c r="AC9">
        <v>0.55842000000000003</v>
      </c>
      <c r="AD9">
        <v>9.8609000000000009</v>
      </c>
      <c r="AE9">
        <v>3.5961E-2</v>
      </c>
      <c r="AF9">
        <v>3.7777000000000002E-3</v>
      </c>
      <c r="AG9">
        <v>10.505000000000001</v>
      </c>
      <c r="AH9">
        <v>1.054</v>
      </c>
      <c r="AI9">
        <v>4.7421999999999999E-2</v>
      </c>
      <c r="AJ9">
        <v>4.4992000000000001</v>
      </c>
    </row>
    <row r="10" spans="1:36" x14ac:dyDescent="0.35">
      <c r="A10" t="s">
        <v>440</v>
      </c>
      <c r="B10" s="1">
        <v>1.4638000000000001E-6</v>
      </c>
      <c r="C10" s="1">
        <v>8.9289999999999994E-5</v>
      </c>
      <c r="D10" s="1">
        <v>5.8997999999999998E-6</v>
      </c>
      <c r="E10" s="1">
        <v>9.3131999999999996E-9</v>
      </c>
      <c r="F10">
        <v>0.15786</v>
      </c>
      <c r="G10">
        <v>46.57</v>
      </c>
      <c r="H10">
        <v>0.1069</v>
      </c>
      <c r="I10">
        <v>0.22955</v>
      </c>
      <c r="J10">
        <v>75.239999999999995</v>
      </c>
      <c r="K10">
        <v>0.62373000000000001</v>
      </c>
      <c r="L10">
        <v>0.82899</v>
      </c>
      <c r="M10">
        <v>3.9196000000000001E-4</v>
      </c>
      <c r="N10" s="1">
        <v>3.0131999999999998E-6</v>
      </c>
      <c r="O10">
        <v>0.76875000000000004</v>
      </c>
      <c r="P10">
        <v>0.94930999999999999</v>
      </c>
      <c r="Q10">
        <v>2.7436000000000001E-3</v>
      </c>
      <c r="R10">
        <v>0.28900999999999999</v>
      </c>
      <c r="S10">
        <v>3.6890000000000001</v>
      </c>
      <c r="T10">
        <v>1.7116</v>
      </c>
      <c r="U10">
        <v>46.396999999999998</v>
      </c>
      <c r="V10">
        <v>6.4795000000000005E-2</v>
      </c>
      <c r="W10" s="1">
        <v>3.6433E-2</v>
      </c>
      <c r="X10">
        <v>56.228000000000002</v>
      </c>
      <c r="Y10">
        <v>0.27035999999999999</v>
      </c>
      <c r="Z10">
        <v>5.9338000000000002E-2</v>
      </c>
      <c r="AA10">
        <v>21.948</v>
      </c>
      <c r="AB10">
        <v>3.72</v>
      </c>
      <c r="AC10">
        <v>0.72150999999999998</v>
      </c>
      <c r="AD10">
        <v>19.395</v>
      </c>
      <c r="AE10">
        <v>5.0449000000000001E-2</v>
      </c>
      <c r="AF10">
        <v>7.6371E-3</v>
      </c>
      <c r="AG10">
        <v>15.138</v>
      </c>
      <c r="AH10">
        <v>1.0880000000000001</v>
      </c>
      <c r="AI10">
        <v>7.4802999999999994E-2</v>
      </c>
      <c r="AJ10">
        <v>6.8753000000000002</v>
      </c>
    </row>
    <row r="11" spans="1:36" x14ac:dyDescent="0.35">
      <c r="B11" s="1"/>
      <c r="C11" s="1"/>
      <c r="D11" s="1"/>
      <c r="E11" s="1"/>
      <c r="N11" s="1"/>
      <c r="W11" s="1"/>
    </row>
    <row r="12" spans="1:36" x14ac:dyDescent="0.35">
      <c r="A12" s="27" t="s">
        <v>423</v>
      </c>
      <c r="B12" t="s">
        <v>39</v>
      </c>
      <c r="C12" t="s">
        <v>136</v>
      </c>
      <c r="D12" t="s">
        <v>40</v>
      </c>
      <c r="E12" t="s">
        <v>32</v>
      </c>
      <c r="F12" s="2" t="s">
        <v>52</v>
      </c>
      <c r="G12" s="2" t="s">
        <v>53</v>
      </c>
      <c r="H12" s="2" t="s">
        <v>54</v>
      </c>
      <c r="K12" t="s">
        <v>41</v>
      </c>
      <c r="L12" t="s">
        <v>40</v>
      </c>
      <c r="M12" t="s">
        <v>32</v>
      </c>
      <c r="N12" s="2" t="s">
        <v>77</v>
      </c>
      <c r="O12" s="2" t="s">
        <v>52</v>
      </c>
      <c r="P12" s="2" t="s">
        <v>53</v>
      </c>
      <c r="Q12" s="2" t="s">
        <v>54</v>
      </c>
      <c r="S12" s="2" t="s">
        <v>46</v>
      </c>
      <c r="T12" s="2" t="s">
        <v>47</v>
      </c>
      <c r="U12" s="2" t="s">
        <v>48</v>
      </c>
      <c r="V12" s="2" t="s">
        <v>49</v>
      </c>
      <c r="W12" s="2" t="s">
        <v>40</v>
      </c>
      <c r="X12" s="2" t="s">
        <v>77</v>
      </c>
      <c r="Y12" s="2" t="s">
        <v>52</v>
      </c>
      <c r="Z12" s="2" t="s">
        <v>53</v>
      </c>
      <c r="AA12" s="2"/>
    </row>
    <row r="13" spans="1:36" x14ac:dyDescent="0.35">
      <c r="A13" s="13">
        <v>0.16133169164686401</v>
      </c>
      <c r="B13" s="2">
        <v>0</v>
      </c>
      <c r="C13" s="1">
        <f>B13/20</f>
        <v>0</v>
      </c>
      <c r="D13">
        <f>J3</f>
        <v>34.74</v>
      </c>
      <c r="E13" s="1">
        <f>(J2^(1-P2)*M2)^(1/P2)</f>
        <v>2.2008709643539786E-5</v>
      </c>
      <c r="F13" s="3">
        <f>1.38E-23*H13/(4*(1.602E-19^2)*D13*A$15)</f>
        <v>6.5528175349028041E-8</v>
      </c>
      <c r="G13" s="2">
        <f>3/5.814E-23-((0.05/5.814E-29/4-E13*1.38E-23*H13/(8*(1.602E-19)^2)))*10^-6+SQRT(0.05/5.814E-29*E13*1.38E-23*H13/(8*(1.602E-19)^2)*5.814E-29+ (-0.05/5.814E-29/4+(E13*1.38E-23*H13/(8*(1.602E-19)^2)^2)))*10^-6</f>
        <v>5.1387092841709607E+22</v>
      </c>
      <c r="H13" s="6">
        <f>1/(0.000479779-0.000434801*LOG(0.05/(0.5*0.5*(G2-10)))-0.000100649*(LOG(0.05/(0.5*0.5*(G2-10))))^2-0.0000198446*(LOG(0.05/(0.5*0.5*(G2-10))))^3-0.00000195494*(LOG(0.05/(0.5*0.5*(G2-10))))^4-0.0000000757244*(LOG(0.05/(0.5*0.5*(G2-10))))^5)</f>
        <v>870.15516849141557</v>
      </c>
      <c r="K13">
        <v>0.01</v>
      </c>
      <c r="L13">
        <f>S44</f>
        <v>169.1</v>
      </c>
      <c r="M13" s="1">
        <f>(J25^(1-P25)*M25)^(1/P25)</f>
        <v>3.948022714391481E-4</v>
      </c>
      <c r="N13" s="3">
        <f>A$13*L13</f>
        <v>27.281189057484703</v>
      </c>
      <c r="O13" s="3">
        <f>1.38E-23*Q13/(4*(1.602E-19^2)*L13*A$15)</f>
        <v>1.3584345750718985E-8</v>
      </c>
      <c r="P13" s="2">
        <f>3/5.814E-23-((0.05/5.814E-29/4-M13*1.38E-23*Q13/(8*(1.602E-19)^2)))*10^-6+SQRT(0.05/5.814E-29*M13*1.38E-23*Q13/(8*(1.602E-19)^2)*5.814E-29+ (-0.05/5.814E-29/4+(M13*1.38E-23*Q13/(8*(1.602E-19)^2)^2)))*10^-6</f>
        <v>5.1395241996918263E+22</v>
      </c>
      <c r="Q13" s="6">
        <f>1/(0.000479779-0.000434801*LOG(0.05/(0.5*0.5*(G25-10)))-0.000100649*(LOG(0.05/(0.5*0.5*(G25-10))))^2-0.0000198446*(LOG(0.05/(0.5*0.5*(G25-10))))^3-0.00000195494*(LOG(0.05/(0.5*0.5*(G25-10))))^4-0.0000000757244*(LOG(0.05/(0.5*0.5*(G25-10))))^5)</f>
        <v>878.05384559452477</v>
      </c>
      <c r="S13" s="32">
        <f>1000/T13</f>
        <v>1.1658087017984513</v>
      </c>
      <c r="T13" s="7">
        <f>1/(0.000479779-0.000434801*LOG(0.05/(0.5*0.5*(G33-10)))-0.000100649*(LOG(0.05/(0.5*0.5*(G33-10))))^2-0.0000198446*(LOG(0.05/(0.5*0.5*(G33))))^3-0.00000195494*(LOG(0.05/(0.5*0.5*(G33-10))))^4-0.0000000757244*(LOG(0.05/(0.5*0.5*(G33-10))))^5)</f>
        <v>857.77366257202902</v>
      </c>
      <c r="U13" s="7">
        <f>T13-273</f>
        <v>584.77366257202902</v>
      </c>
      <c r="V13" s="2">
        <f>(S33^(1-Y33)*V33)^(1/Y33)</f>
        <v>3.7034626668822665E-4</v>
      </c>
      <c r="W13" s="2">
        <f>S33</f>
        <v>61.18</v>
      </c>
      <c r="X13" s="3">
        <f>A$13*W13</f>
        <v>9.8702728949551393</v>
      </c>
      <c r="Y13" s="3">
        <f>1.38E-23*T13/(4*(1.602E-19^2)*W13*A$15)</f>
        <v>3.6679585542932044E-8</v>
      </c>
      <c r="Z13" s="2">
        <f>3/5.814E-23-((0.05/5.814E-29/4-V13*1.38E-23*T13/(8*(1.602E-19)^2)))*10^-6+SQRT(0.05/5.814E-29*V13*1.38E-23*T13/(8*(1.602E-19)^2)*5.814E-29+ (-0.05/5.814E-29/4+(V13*1.38E-23*T13/(8*(1.602E-19)^2)^2)))*10^-6</f>
        <v>5.1394786920101898E+22</v>
      </c>
      <c r="AA13" s="6"/>
    </row>
    <row r="14" spans="1:36" x14ac:dyDescent="0.35">
      <c r="A14" s="11" t="s">
        <v>421</v>
      </c>
      <c r="B14" s="2">
        <v>3</v>
      </c>
      <c r="C14" s="1">
        <f>B14/20</f>
        <v>0.15</v>
      </c>
      <c r="D14">
        <f>J4</f>
        <v>23.76</v>
      </c>
      <c r="E14" s="1">
        <f>(J3^(1-P3)*M3)^(1/P3)</f>
        <v>3.1118036315630097E-4</v>
      </c>
      <c r="F14" s="3">
        <f>1.38E-23*H14/(4*(1.602E-19^2)*D14*A$15)</f>
        <v>9.7004497671212164E-8</v>
      </c>
      <c r="G14" s="2">
        <f>3/5.814E-23-((0.05/5.814E-29/4-E14*1.38E-23*H14/(8*(1.602E-19)^2)))*10^-6+SQRT(0.05/5.814E-29*E14*1.38E-23*H14/(8*(1.602E-19)^2)*5.814E-29+ (-0.05/5.814E-29/4+(E14*1.38E-23*H14/(8*(1.602E-19)^2)^2)))*10^-6</f>
        <v>5.1394062613636853E+22</v>
      </c>
      <c r="H14" s="6">
        <f>1/(0.000479779-0.000434801*LOG(0.05/(0.5*0.5*(G3-10)))-0.000100649*(LOG(0.05/(0.5*0.5*(G3-10))))^2-0.0000198446*(LOG(0.05/(0.5*0.5*(G3-10))))^3-0.00000195494*(LOG(0.05/(0.5*0.5*(G3-10))))^4-0.0000000757244*(LOG(0.05/(0.5*0.5*(G3-10))))^5)</f>
        <v>881.0024624875665</v>
      </c>
      <c r="K14">
        <v>0.04</v>
      </c>
      <c r="L14">
        <f>S43</f>
        <v>76.38</v>
      </c>
      <c r="M14" s="1">
        <f>(S26^(1-Y26)*V26)^(1/Y26)</f>
        <v>3.3207933732228392E-4</v>
      </c>
      <c r="N14" s="3">
        <f>A$13*L14</f>
        <v>12.322514607987472</v>
      </c>
      <c r="O14" s="3">
        <f>1.38E-23*Q14/(4*(1.602E-19^2)*L14*A$15)</f>
        <v>3.0270786867139966E-8</v>
      </c>
      <c r="P14" s="2">
        <f>3/5.814E-23-((0.05/5.814E-29/4-M14*1.38E-23*Q14/(8*(1.602E-19)^2)))*10^-6+SQRT(0.05/5.814E-29*M14*1.38E-23*Q14/(8*(1.602E-19)^2)*5.814E-29+ (-0.05/5.814E-29/4+(M14*1.38E-23*Q14/(8*(1.602E-19)^2)^2)))*10^-6</f>
        <v>5.1394390965066196E+22</v>
      </c>
      <c r="Q14" s="6">
        <f>1/(0.000479779-0.000434801*LOG(0.05/(0.5*0.5*(G26-10)))-0.000100649*(LOG(0.05/(0.5*0.5*(G26-10))))^2-0.0000198446*(LOG(0.05/(0.5*0.5*(G26-10))))^3-0.00000195494*(LOG(0.05/(0.5*0.5*(G26-10))))^4-0.0000000757244*(LOG(0.05/(0.5*0.5*(G26-10))))^5)</f>
        <v>883.77595046468753</v>
      </c>
      <c r="S14" s="32">
        <f>1000/T14</f>
        <v>1.2062666459388771</v>
      </c>
      <c r="T14" s="7">
        <f>1/(0.000479779-0.000434801*LOG(0.05/(0.5*0.5*(G34-10)))-0.000100649*(LOG(0.05/(0.5*0.5*(G34-10))))^2-0.0000198446*(LOG(0.05/(0.5*0.5*(G34))))^3-0.00000195494*(LOG(0.05/(0.5*0.5*(G34-10))))^4-0.0000000757244*(LOG(0.05/(0.5*0.5*(G34-10))))^5)</f>
        <v>829.00410399863699</v>
      </c>
      <c r="U14" s="7">
        <f>T14-273</f>
        <v>556.00410399863699</v>
      </c>
      <c r="V14" s="2">
        <f>(S34^(1-Y34)*V34)^(1/Y34)</f>
        <v>2.7242030028353154E-4</v>
      </c>
      <c r="W14" s="2">
        <f>S34</f>
        <v>203</v>
      </c>
      <c r="X14" s="3">
        <f>A$13*W14</f>
        <v>32.750333404313395</v>
      </c>
      <c r="Y14" s="3">
        <f>1.38E-23*T14/(4*(1.602E-19^2)*W14*A$15)</f>
        <v>1.0683703523163919E-8</v>
      </c>
      <c r="Z14" s="2">
        <f>3/5.814E-23-((0.05/5.814E-29/4-V14*1.38E-23*T14/(8*(1.602E-19)^2)))*10^-6+SQRT(0.05/5.814E-29*V14*1.38E-23*T14/(8*(1.602E-19)^2)*5.814E-29+ (-0.05/5.814E-29/4+(V14*1.38E-23*T14/(8*(1.602E-19)^2)^2)))*10^-6</f>
        <v>5.1393187421527269E+22</v>
      </c>
      <c r="AA14" s="6"/>
    </row>
    <row r="15" spans="1:36" x14ac:dyDescent="0.35">
      <c r="A15" s="11">
        <f>((3/5.814E-29)-(0.05/5.814E-29/4))*10^-6</f>
        <v>5.1384588923288611E+22</v>
      </c>
      <c r="B15" s="2">
        <v>6</v>
      </c>
      <c r="C15" s="1">
        <f>B15/20</f>
        <v>0.3</v>
      </c>
      <c r="D15">
        <f>J5</f>
        <v>20.309999999999999</v>
      </c>
      <c r="E15" s="1">
        <f>(J4^(1-P4)*M4)^(1/P4)</f>
        <v>2.9167600159819607E-4</v>
      </c>
      <c r="F15" s="3">
        <f>1.38E-23*H15/(4*(1.602E-19^2)*D15*A$15)</f>
        <v>1.1372651210224793E-7</v>
      </c>
      <c r="G15" s="2">
        <f>3/5.814E-23-((0.05/5.814E-29/4-E15*1.38E-23*H15/(8*(1.602E-19)^2)))*10^-6+SQRT(0.05/5.814E-29*E15*1.38E-23*H15/(8*(1.602E-19)^2)*5.814E-29+ (-0.05/5.814E-29/4+(E15*1.38E-23*H15/(8*(1.602E-19)^2)^2)))*10^-6</f>
        <v>5.1393770771537558E+22</v>
      </c>
      <c r="H15" s="6">
        <f>1/(0.000479779-0.000434801*LOG(0.05/(0.5*0.5*(G4-10)))-0.000100649*(LOG(0.05/(0.5*0.5*(G4-10))))^2-0.0000198446*(LOG(0.05/(0.5*0.5*(G4-10))))^3-0.00000195494*(LOG(0.05/(0.5*0.5*(G4-10))))^4-0.0000000757244*(LOG(0.05/(0.5*0.5*(G4-10))))^5)</f>
        <v>882.89784797911614</v>
      </c>
      <c r="K15">
        <v>0.1</v>
      </c>
      <c r="L15">
        <f>S42</f>
        <v>67.790000000000006</v>
      </c>
      <c r="M15" s="1">
        <f>(S27^(1-Y27)*V27)^(1/Y27)</f>
        <v>3.2169803532252988E-4</v>
      </c>
      <c r="N15" s="3">
        <f>A$13*L15</f>
        <v>10.936675376740912</v>
      </c>
      <c r="O15" s="3">
        <f>1.38E-23*Q15/(4*(1.602E-19^2)*L15*A$15)</f>
        <v>3.3930780203396497E-8</v>
      </c>
      <c r="P15" s="2">
        <f>3/5.814E-23-((0.05/5.814E-29/4-M15*1.38E-23*Q15/(8*(1.602E-19)^2)))*10^-6+SQRT(0.05/5.814E-29*M15*1.38E-23*Q15/(8*(1.602E-19)^2)*5.814E-29+ (-0.05/5.814E-29/4+(M15*1.38E-23*Q15/(8*(1.602E-19)^2)^2)))*10^-6</f>
        <v>5.1394211644073541E+22</v>
      </c>
      <c r="Q15" s="6">
        <f>1/(0.000479779-0.000434801*LOG(0.05/(0.5*0.5*(G27-10)))-0.000100649*(LOG(0.05/(0.5*0.5*(G27-10))))^2-0.0000198446*(LOG(0.05/(0.5*0.5*(G27-10))))^3-0.00000195494*(LOG(0.05/(0.5*0.5*(G27-10))))^4-0.0000000757244*(LOG(0.05/(0.5*0.5*(G27-10))))^5)</f>
        <v>879.22149033334836</v>
      </c>
      <c r="S15" s="32">
        <f>1000/T15</f>
        <v>1.2611827432860185</v>
      </c>
      <c r="T15" s="7">
        <f>1/(0.000479779-0.000434801*LOG(0.05/(0.5*0.5*(G35-10)))-0.000100649*(LOG(0.05/(0.5*0.5*(G35-10))))^2-0.0000198446*(LOG(0.05/(0.5*0.5*(G35))))^3-0.00000195494*(LOG(0.05/(0.5*0.5*(G35-10))))^4-0.0000000757244*(LOG(0.05/(0.5*0.5*(G35-10))))^5)</f>
        <v>792.90650409194041</v>
      </c>
      <c r="U15" s="7">
        <f>T15-273</f>
        <v>519.90650409194041</v>
      </c>
      <c r="V15" s="2">
        <f>(S35^(1-Y35)*V35)^(1/Y35)</f>
        <v>2.5903600836731891E-4</v>
      </c>
      <c r="W15" s="2">
        <f>S35</f>
        <v>676.2</v>
      </c>
      <c r="X15" s="3">
        <f>A$13*W15</f>
        <v>109.09248989160945</v>
      </c>
      <c r="Y15" s="3">
        <f>1.38E-23*T15/(4*(1.602E-19^2)*W15*A$15)</f>
        <v>3.0676654774187487E-9</v>
      </c>
      <c r="Z15" s="2">
        <f>3/5.814E-23-((0.05/5.814E-29/4-V15*1.38E-23*T15/(8*(1.602E-19)^2)))*10^-6+SQRT(0.05/5.814E-29*V15*1.38E-23*T15/(8*(1.602E-19)^2)*5.814E-29+ (-0.05/5.814E-29/4+(V15*1.38E-23*T15/(8*(1.602E-19)^2)^2)))*10^-6</f>
        <v>5.1392788956143346E+22</v>
      </c>
      <c r="AA15" s="6"/>
    </row>
    <row r="16" spans="1:36" x14ac:dyDescent="0.35">
      <c r="A16" s="11" t="s">
        <v>225</v>
      </c>
      <c r="B16" s="2">
        <v>9</v>
      </c>
      <c r="C16" s="1">
        <f>B16/20</f>
        <v>0.45</v>
      </c>
      <c r="D16">
        <f>J6</f>
        <v>27.13</v>
      </c>
      <c r="E16" s="1">
        <f>(J5^(1-P5)*M5)^(1/P5)</f>
        <v>2.8733348142442942E-4</v>
      </c>
      <c r="F16" s="3">
        <f>1.38E-23*H16/(4*(1.602E-19^2)*D16*A$15)</f>
        <v>8.5569123500402249E-8</v>
      </c>
      <c r="G16" s="2">
        <f>3/5.814E-23-((0.05/5.814E-29/4-E16*1.38E-23*H16/(8*(1.602E-19)^2)))*10^-6+SQRT(0.05/5.814E-29*E16*1.38E-23*H16/(8*(1.602E-19)^2)*5.814E-29+ (-0.05/5.814E-29/4+(E16*1.38E-23*H16/(8*(1.602E-19)^2)^2)))*10^-6</f>
        <v>5.1393725226330867E+22</v>
      </c>
      <c r="H16" s="6">
        <f>1/(0.000479779-0.000434801*LOG(0.05/(0.5*0.5*(G5-10)))-0.000100649*(LOG(0.05/(0.5*0.5*(G5-10))))^2-0.0000198446*(LOG(0.05/(0.5*0.5*(G5-10))))^3-0.00000195494*(LOG(0.05/(0.5*0.5*(G5-10))))^4-0.0000000757244*(LOG(0.05/(0.5*0.5*(G5-10))))^5)</f>
        <v>887.37194121269761</v>
      </c>
      <c r="K16">
        <v>1</v>
      </c>
      <c r="L16">
        <f>S41</f>
        <v>27.83</v>
      </c>
      <c r="M16" s="1">
        <f>(S28^(1-Y28)*V28)^(1/Y28)</f>
        <v>4.1848202260666412E-4</v>
      </c>
      <c r="N16" s="3">
        <f>A$13*L16</f>
        <v>4.4898609785322252</v>
      </c>
      <c r="O16" s="3">
        <f>1.38E-23*Q16/(4*(1.602E-19^2)*L16*A$15)</f>
        <v>8.2348054918960088E-8</v>
      </c>
      <c r="P16" s="2">
        <f>3/5.814E-23-((0.05/5.814E-29/4-M16*1.38E-23*Q16/(8*(1.602E-19)^2)))*10^-6+SQRT(0.05/5.814E-29*M16*1.38E-23*Q16/(8*(1.602E-19)^2)*5.814E-29+ (-0.05/5.814E-29/4+(M16*1.38E-23*Q16/(8*(1.602E-19)^2)^2)))*10^-6</f>
        <v>5.1395544004947383E+22</v>
      </c>
      <c r="Q16" s="6">
        <f>1/(0.000479779-0.000434801*LOG(0.05/(0.5*0.5*(G28-10)))-0.000100649*(LOG(0.05/(0.5*0.5*(G28-10))))^2-0.0000198446*(LOG(0.05/(0.5*0.5*(G28-10))))^3-0.00000195494*(LOG(0.05/(0.5*0.5*(G28-10))))^4-0.0000000757244*(LOG(0.05/(0.5*0.5*(G28-10))))^5)</f>
        <v>876.00254270876201</v>
      </c>
      <c r="S16" s="32">
        <f>1000/T16</f>
        <v>1.284638498193581</v>
      </c>
      <c r="T16" s="7">
        <f>1/(0.000479779-0.000434801*LOG(0.05/(0.5*0.5*(G36-10)))-0.000100649*(LOG(0.05/(0.5*0.5*(G36-10))))^2-0.0000198446*(LOG(0.05/(0.5*0.5*(G36))))^3-0.00000195494*(LOG(0.05/(0.5*0.5*(G36-10))))^4-0.0000000757244*(LOG(0.05/(0.5*0.5*(G36-10))))^5)</f>
        <v>778.42910780438945</v>
      </c>
      <c r="U16" s="7">
        <f>T16-273</f>
        <v>505.42910780438945</v>
      </c>
      <c r="V16" s="2">
        <f>(S36^(1-Y36)*V36)^(1/Y36)</f>
        <v>2.6161431299307327E-4</v>
      </c>
      <c r="W16" s="2">
        <f>S36</f>
        <v>1132</v>
      </c>
      <c r="X16" s="3">
        <f>A$13*W16</f>
        <v>182.62747494425005</v>
      </c>
      <c r="Y16" s="3">
        <f>1.38E-23*T16/(4*(1.602E-19^2)*W16*A$15)</f>
        <v>1.7990110269602411E-9</v>
      </c>
      <c r="Z16" s="2">
        <f>3/5.814E-23-((0.05/5.814E-29/4-V16*1.38E-23*T16/(8*(1.602E-19)^2)))*10^-6+SQRT(0.05/5.814E-29*V16*1.38E-23*T16/(8*(1.602E-19)^2)*5.814E-29+ (-0.05/5.814E-29/4+(V16*1.38E-23*T16/(8*(1.602E-19)^2)^2)))*10^-6</f>
        <v>5.1392754085493368E+22</v>
      </c>
      <c r="AA16" s="6"/>
    </row>
    <row r="17" spans="1:36" x14ac:dyDescent="0.35">
      <c r="A17" s="11">
        <f>((0.05/5.814E-29/4))*10^-6</f>
        <v>2.1499828001375987E+20</v>
      </c>
      <c r="B17" s="2">
        <v>12</v>
      </c>
      <c r="C17" s="1">
        <f>B17/20</f>
        <v>0.6</v>
      </c>
      <c r="D17">
        <f>J7</f>
        <v>38.22</v>
      </c>
      <c r="E17" s="1">
        <f>(J6^(1-P6)*M6)^(1/P6)</f>
        <v>3.0932637882897856E-4</v>
      </c>
      <c r="F17" s="3">
        <f>1.38E-23*H17/(4*(1.602E-19^2)*D17*A$15)</f>
        <v>6.0428875021372694E-8</v>
      </c>
      <c r="G17" s="2">
        <f>3/5.814E-23-((0.05/5.814E-29/4-E17*1.38E-23*H17/(8*(1.602E-19)^2)))*10^-6+SQRT(0.05/5.814E-29*E17*1.38E-23*H17/(8*(1.602E-19)^2)*5.814E-29+ (-0.05/5.814E-29/4+(E17*1.38E-23*H17/(8*(1.602E-19)^2)^2)))*10^-6</f>
        <v>5.1394044107945616E+22</v>
      </c>
      <c r="H17" s="6">
        <f>1/(0.000479779-0.000434801*LOG(0.05/(0.5*0.5*(G6-10)))-0.000100649*(LOG(0.05/(0.5*0.5*(G6-10))))^2-0.0000198446*(LOG(0.05/(0.5*0.5*(G6-10))))^3-0.00000195494*(LOG(0.05/(0.5*0.5*(G6-10))))^4-0.0000000757244*(LOG(0.05/(0.5*0.5*(G6-10))))^5)</f>
        <v>882.82374743833998</v>
      </c>
      <c r="K17">
        <v>10</v>
      </c>
      <c r="L17">
        <f>S40</f>
        <v>23.04</v>
      </c>
      <c r="M17" s="1">
        <f>(S29^(1-Y29)*V29)^(1/Y29)</f>
        <v>3.0082687138281939E-4</v>
      </c>
      <c r="N17" s="3">
        <f>A$13*L17</f>
        <v>3.7170821755437466</v>
      </c>
      <c r="O17" s="3">
        <f>1.38E-23*Q17/(4*(1.602E-19^2)*L17*A$15)</f>
        <v>9.9236452633636987E-8</v>
      </c>
      <c r="P17" s="2">
        <f>3/5.814E-23-((0.05/5.814E-29/4-M17*1.38E-23*Q17/(8*(1.602E-19)^2)))*10^-6+SQRT(0.05/5.814E-29*M17*1.38E-23*Q17/(8*(1.602E-19)^2)*5.814E-29+ (-0.05/5.814E-29/4+(M17*1.38E-23*Q17/(8*(1.602E-19)^2)^2)))*10^-6</f>
        <v>5.139386638363445E+22</v>
      </c>
      <c r="Q17" s="6">
        <f>1/(0.000479779-0.000434801*LOG(0.05/(0.5*0.5*(G29-10)))-0.000100649*(LOG(0.05/(0.5*0.5*(G29-10))))^2-0.0000198446*(LOG(0.05/(0.5*0.5*(G29-10))))^3-0.00000195494*(LOG(0.05/(0.5*0.5*(G29-10))))^4-0.0000000757244*(LOG(0.05/(0.5*0.5*(G29-10))))^5)</f>
        <v>873.96194197315492</v>
      </c>
    </row>
    <row r="18" spans="1:36" x14ac:dyDescent="0.35">
      <c r="A18" s="33"/>
      <c r="B18" s="2">
        <v>15</v>
      </c>
      <c r="C18" s="1">
        <f>B18/20</f>
        <v>0.75</v>
      </c>
      <c r="D18">
        <f>J8</f>
        <v>48.95</v>
      </c>
      <c r="E18" s="1">
        <f>(J7^(1-P7)*M7)^(1/P7)</f>
        <v>3.155490672486559E-4</v>
      </c>
      <c r="F18" s="3">
        <f>1.38E-23*H18/(4*(1.602E-19^2)*D18*A$15)</f>
        <v>4.722752656278375E-8</v>
      </c>
      <c r="G18" s="2">
        <f>3/5.814E-23-((0.05/5.814E-29/4-E18*1.38E-23*H18/(8*(1.602E-19)^2)))*10^-6+SQRT(0.05/5.814E-29*E18*1.38E-23*H18/(8*(1.602E-19)^2)*5.814E-29+ (-0.05/5.814E-29/4+(E18*1.38E-23*H18/(8*(1.602E-19)^2)^2)))*10^-6</f>
        <v>5.1394143277525055E+22</v>
      </c>
      <c r="H18" s="6">
        <f>1/(0.000479779-0.000434801*LOG(0.05/(0.5*0.5*(G7-10)))-0.000100649*(LOG(0.05/(0.5*0.5*(G7-10))))^2-0.0000198446*(LOG(0.05/(0.5*0.5*(G7-10))))^3-0.00000195494*(LOG(0.05/(0.5*0.5*(G7-10))))^4-0.0000000757244*(LOG(0.05/(0.5*0.5*(G7-10))))^5)</f>
        <v>883.6630835977727</v>
      </c>
      <c r="K18">
        <v>100</v>
      </c>
      <c r="L18">
        <f>S30</f>
        <v>10.119999999999999</v>
      </c>
      <c r="M18" s="1">
        <f>(S30^(1-Y30)*V30)^(1/Y30)</f>
        <v>3.3387316217812552E-4</v>
      </c>
      <c r="N18" s="3">
        <f>A$13*L18</f>
        <v>1.6326767194662637</v>
      </c>
      <c r="O18" s="3">
        <f>1.38E-23*Q18/(4*(1.602E-19^2)*L18*A$15)</f>
        <v>2.2577150777875241E-7</v>
      </c>
      <c r="P18" s="2">
        <f>3/5.814E-23-((0.05/5.814E-29/4-M18*1.38E-23*Q18/(8*(1.602E-19)^2)))*10^-6+SQRT(0.05/5.814E-29*M18*1.38E-23*Q18/(8*(1.602E-19)^2)*5.814E-29+ (-0.05/5.814E-29/4+(M18*1.38E-23*Q18/(8*(1.602E-19)^2)^2)))*10^-6</f>
        <v>5.1394359259717316E+22</v>
      </c>
      <c r="Q18" s="6">
        <f>1/(0.000479779-0.000434801*LOG(0.05/(0.5*0.5*(G30-10)))-0.000100649*(LOG(0.05/(0.5*0.5*(G30-10))))^2-0.0000198446*(LOG(0.05/(0.5*0.5*(G30-10))))^3-0.00000195494*(LOG(0.05/(0.5*0.5*(G30-10))))^4-0.0000000757244*(LOG(0.05/(0.5*0.5*(G30-10))))^5)</f>
        <v>873.35027394067674</v>
      </c>
    </row>
    <row r="19" spans="1:36" x14ac:dyDescent="0.35">
      <c r="A19" s="33"/>
      <c r="B19" s="2">
        <v>18</v>
      </c>
      <c r="C19" s="1">
        <f>B19/20</f>
        <v>0.9</v>
      </c>
      <c r="D19">
        <f>J9</f>
        <v>61.22</v>
      </c>
      <c r="E19" s="1">
        <f>(J8^(1-P8)*M8)^(1/P8)</f>
        <v>3.1965280940024862E-4</v>
      </c>
      <c r="F19" s="3">
        <f>1.38E-23*H19/(4*(1.602E-19^2)*D19*A$15)</f>
        <v>3.7775654796460788E-8</v>
      </c>
      <c r="G19" s="2">
        <f>3/5.814E-23-((0.05/5.814E-29/4-E19*1.38E-23*H19/(8*(1.602E-19)^2)))*10^-6+SQRT(0.05/5.814E-29*E19*1.38E-23*H19/(8*(1.602E-19)^2)*5.814E-29+ (-0.05/5.814E-29/4+(E19*1.38E-23*H19/(8*(1.602E-19)^2)^2)))*10^-6</f>
        <v>5.1394206947505345E+22</v>
      </c>
      <c r="H19" s="6">
        <f>1/(0.000479779-0.000434801*LOG(0.05/(0.5*0.5*(G8-10)))-0.000100649*(LOG(0.05/(0.5*0.5*(G8-10))))^2-0.0000198446*(LOG(0.05/(0.5*0.5*(G8-10))))^3-0.00000195494*(LOG(0.05/(0.5*0.5*(G8-10))))^4-0.0000000757244*(LOG(0.05/(0.5*0.5*(G8-10))))^5)</f>
        <v>883.9834643868071</v>
      </c>
    </row>
    <row r="20" spans="1:36" x14ac:dyDescent="0.35">
      <c r="A20" s="33"/>
      <c r="B20" s="2">
        <v>21</v>
      </c>
      <c r="C20" s="1">
        <f>B20/20</f>
        <v>1.05</v>
      </c>
      <c r="D20">
        <f>J10</f>
        <v>75.239999999999995</v>
      </c>
      <c r="E20" s="1">
        <f>(J9^(1-P9)*M9)^(1/P9)</f>
        <v>3.2259090772860809E-4</v>
      </c>
      <c r="F20" s="3">
        <f>1.38E-23*H20/(4*(1.602E-19^2)*D20*A$15)</f>
        <v>3.0773132628961241E-8</v>
      </c>
      <c r="G20" s="2">
        <f>3/5.814E-23-((0.05/5.814E-29/4-E20*1.38E-23*H20/(8*(1.602E-19)^2)))*10^-6+SQRT(0.05/5.814E-29*E20*1.38E-23*H20/(8*(1.602E-19)^2)*5.814E-29+ (-0.05/5.814E-29/4+(E20*1.38E-23*H20/(8*(1.602E-19)^2)^2)))*10^-6</f>
        <v>5.1394256780983209E+22</v>
      </c>
      <c r="H20" s="6">
        <f>1/(0.000479779-0.000434801*LOG(0.05/(0.5*0.5*(G9-10)))-0.000100649*(LOG(0.05/(0.5*0.5*(G9-10))))^2-0.0000198446*(LOG(0.05/(0.5*0.5*(G9-10))))^3-0.00000195494*(LOG(0.05/(0.5*0.5*(G9-10))))^4-0.0000000757244*(LOG(0.05/(0.5*0.5*(G9-10))))^5)</f>
        <v>885.03268616949981</v>
      </c>
    </row>
    <row r="24" spans="1:36" x14ac:dyDescent="0.35">
      <c r="A24" t="s">
        <v>177</v>
      </c>
      <c r="B24" t="s">
        <v>0</v>
      </c>
      <c r="C24" t="s">
        <v>1</v>
      </c>
      <c r="D24" t="s">
        <v>2</v>
      </c>
      <c r="E24" t="s">
        <v>3</v>
      </c>
      <c r="F24" t="s">
        <v>4</v>
      </c>
      <c r="G24" t="s">
        <v>33</v>
      </c>
      <c r="H24" t="s">
        <v>34</v>
      </c>
      <c r="I24" t="s">
        <v>35</v>
      </c>
      <c r="J24" t="s">
        <v>5</v>
      </c>
      <c r="K24" t="s">
        <v>6</v>
      </c>
      <c r="L24" t="s">
        <v>7</v>
      </c>
      <c r="M24" t="s">
        <v>8</v>
      </c>
      <c r="N24" t="s">
        <v>9</v>
      </c>
      <c r="O24" t="s">
        <v>10</v>
      </c>
      <c r="P24" t="s">
        <v>11</v>
      </c>
      <c r="Q24" t="s">
        <v>12</v>
      </c>
      <c r="R24" t="s">
        <v>13</v>
      </c>
      <c r="S24" t="s">
        <v>14</v>
      </c>
      <c r="T24" t="s">
        <v>15</v>
      </c>
      <c r="U24" t="s">
        <v>16</v>
      </c>
      <c r="V24" t="s">
        <v>17</v>
      </c>
      <c r="W24" t="s">
        <v>18</v>
      </c>
      <c r="X24" t="s">
        <v>19</v>
      </c>
      <c r="Y24" t="s">
        <v>20</v>
      </c>
      <c r="Z24" t="s">
        <v>21</v>
      </c>
      <c r="AA24" t="s">
        <v>22</v>
      </c>
      <c r="AB24" t="s">
        <v>36</v>
      </c>
      <c r="AC24" t="s">
        <v>37</v>
      </c>
      <c r="AD24" t="s">
        <v>38</v>
      </c>
    </row>
    <row r="25" spans="1:36" x14ac:dyDescent="0.35">
      <c r="A25" t="s">
        <v>439</v>
      </c>
      <c r="B25" s="1">
        <v>1.2719E-5</v>
      </c>
      <c r="C25">
        <v>8.1402000000000004E-4</v>
      </c>
      <c r="D25" s="1">
        <v>5.8879E-6</v>
      </c>
      <c r="E25" s="1">
        <v>2.564E-8</v>
      </c>
      <c r="F25">
        <v>0.43547000000000002</v>
      </c>
      <c r="G25">
        <v>49.85</v>
      </c>
      <c r="H25">
        <v>4.9395000000000001E-2</v>
      </c>
      <c r="I25">
        <v>9.9086999999999995E-2</v>
      </c>
      <c r="J25">
        <v>169.1</v>
      </c>
      <c r="K25">
        <v>6.5777000000000001</v>
      </c>
      <c r="L25">
        <v>3.8898000000000001</v>
      </c>
      <c r="M25">
        <v>4.5506000000000002E-4</v>
      </c>
      <c r="N25" s="1">
        <v>4.2311E-6</v>
      </c>
      <c r="O25">
        <v>0.92979000000000001</v>
      </c>
      <c r="P25">
        <v>0.94752000000000003</v>
      </c>
      <c r="Q25">
        <v>8.1586000000000002E-3</v>
      </c>
      <c r="R25">
        <v>0.86104999999999998</v>
      </c>
      <c r="S25">
        <v>39.869999999999997</v>
      </c>
      <c r="T25">
        <v>3.7966000000000002</v>
      </c>
      <c r="U25">
        <v>9.5223999999999993</v>
      </c>
      <c r="V25">
        <v>1.7493999999999999E-2</v>
      </c>
      <c r="W25" s="1">
        <v>8.1943999999999993E-3</v>
      </c>
      <c r="X25">
        <v>46.841000000000001</v>
      </c>
      <c r="Y25">
        <v>0.54891000000000001</v>
      </c>
      <c r="Z25">
        <v>4.9659000000000002E-2</v>
      </c>
      <c r="AA25">
        <v>9.0467999999999993</v>
      </c>
      <c r="AB25">
        <v>0</v>
      </c>
      <c r="AC25">
        <v>0</v>
      </c>
      <c r="AD25">
        <v>1</v>
      </c>
    </row>
    <row r="26" spans="1:36" x14ac:dyDescent="0.35">
      <c r="A26" t="s">
        <v>440</v>
      </c>
      <c r="B26" s="1">
        <v>7.1450000000000002E-6</v>
      </c>
      <c r="C26">
        <v>4.5728000000000001E-4</v>
      </c>
      <c r="D26" s="1">
        <v>5.8937E-6</v>
      </c>
      <c r="E26" s="1">
        <v>1.9521E-8</v>
      </c>
      <c r="F26">
        <v>0.33122000000000001</v>
      </c>
      <c r="G26">
        <v>46.65</v>
      </c>
      <c r="H26">
        <v>0.16793</v>
      </c>
      <c r="I26">
        <v>0.35998000000000002</v>
      </c>
      <c r="J26">
        <v>17.09</v>
      </c>
      <c r="K26">
        <v>14.510999999999999</v>
      </c>
      <c r="L26">
        <v>84.909000000000006</v>
      </c>
      <c r="M26">
        <v>0.13336000000000001</v>
      </c>
      <c r="N26">
        <v>6.7653000000000005E-2</v>
      </c>
      <c r="O26">
        <v>50.73</v>
      </c>
      <c r="P26">
        <v>0.23580000000000001</v>
      </c>
      <c r="Q26">
        <v>7.2581999999999994E-2</v>
      </c>
      <c r="R26">
        <v>30.780999999999999</v>
      </c>
      <c r="S26">
        <v>76.38</v>
      </c>
      <c r="T26">
        <v>0.85646</v>
      </c>
      <c r="U26">
        <v>1.1213</v>
      </c>
      <c r="V26">
        <v>4.1332000000000001E-4</v>
      </c>
      <c r="W26" s="1">
        <v>4.5001000000000003E-6</v>
      </c>
      <c r="X26">
        <v>1.0888</v>
      </c>
      <c r="Y26">
        <v>0.94044000000000005</v>
      </c>
      <c r="Z26">
        <v>4.5049000000000001E-3</v>
      </c>
      <c r="AA26">
        <v>0.47902</v>
      </c>
      <c r="AB26">
        <v>0</v>
      </c>
      <c r="AC26">
        <v>0</v>
      </c>
      <c r="AD26">
        <v>1</v>
      </c>
    </row>
    <row r="27" spans="1:36" x14ac:dyDescent="0.35">
      <c r="A27" t="s">
        <v>441</v>
      </c>
      <c r="B27" s="1">
        <v>2.9226000000000002E-6</v>
      </c>
      <c r="C27">
        <v>1.6074000000000001E-4</v>
      </c>
      <c r="D27" s="1">
        <v>5.9205000000000003E-6</v>
      </c>
      <c r="E27" s="1">
        <v>1.5428999999999999E-8</v>
      </c>
      <c r="F27">
        <v>0.2606</v>
      </c>
      <c r="G27">
        <v>49.17</v>
      </c>
      <c r="H27">
        <v>0.23294000000000001</v>
      </c>
      <c r="I27">
        <v>0.47373999999999999</v>
      </c>
      <c r="J27">
        <v>3.044</v>
      </c>
      <c r="K27">
        <v>1.6817</v>
      </c>
      <c r="L27">
        <v>55.246000000000002</v>
      </c>
      <c r="M27">
        <v>2.2787999999999999E-2</v>
      </c>
      <c r="N27">
        <v>2.7615000000000001E-2</v>
      </c>
      <c r="O27">
        <v>121.18</v>
      </c>
      <c r="P27">
        <v>0.31797999999999998</v>
      </c>
      <c r="Q27">
        <v>0.12073</v>
      </c>
      <c r="R27">
        <v>37.968000000000004</v>
      </c>
      <c r="S27">
        <v>64.02</v>
      </c>
      <c r="T27">
        <v>18.247</v>
      </c>
      <c r="U27">
        <v>28.501999999999999</v>
      </c>
      <c r="V27">
        <v>4.2810999999999999E-4</v>
      </c>
      <c r="W27">
        <v>2.0063000000000001E-4</v>
      </c>
      <c r="X27">
        <v>46.863999999999997</v>
      </c>
      <c r="Y27">
        <v>0.9264</v>
      </c>
      <c r="Z27">
        <v>3.7385000000000002E-2</v>
      </c>
      <c r="AA27">
        <v>4.0354999999999999</v>
      </c>
      <c r="AB27">
        <v>4.6100000000000003</v>
      </c>
      <c r="AC27">
        <v>18.558</v>
      </c>
      <c r="AD27">
        <v>402.56</v>
      </c>
      <c r="AE27">
        <v>2.0601E-3</v>
      </c>
      <c r="AF27">
        <v>4.3727000000000002E-3</v>
      </c>
      <c r="AG27">
        <v>212.26</v>
      </c>
      <c r="AH27">
        <v>1.1359999999999999</v>
      </c>
      <c r="AI27">
        <v>0.38945999999999997</v>
      </c>
      <c r="AJ27">
        <v>34.283000000000001</v>
      </c>
    </row>
    <row r="28" spans="1:36" x14ac:dyDescent="0.35">
      <c r="A28" t="s">
        <v>442</v>
      </c>
      <c r="B28" s="1">
        <v>7.1394999999999996E-7</v>
      </c>
      <c r="C28" s="1">
        <v>3.4983E-5</v>
      </c>
      <c r="D28" s="1">
        <v>5.8945000000000001E-6</v>
      </c>
      <c r="E28" s="1">
        <v>6.9777E-9</v>
      </c>
      <c r="F28">
        <v>0.11838</v>
      </c>
      <c r="G28">
        <v>51.08</v>
      </c>
      <c r="H28">
        <v>5.8206000000000001E-2</v>
      </c>
      <c r="I28">
        <v>0.11395</v>
      </c>
      <c r="J28">
        <v>2.8290000000000002</v>
      </c>
      <c r="K28">
        <v>1.9359999999999999</v>
      </c>
      <c r="L28">
        <v>68.433999999999997</v>
      </c>
      <c r="M28">
        <v>1.9824999999999999E-2</v>
      </c>
      <c r="N28">
        <v>1.4321E-2</v>
      </c>
      <c r="O28">
        <v>72.236999999999995</v>
      </c>
      <c r="P28">
        <v>0.37508999999999998</v>
      </c>
      <c r="Q28">
        <v>6.2824000000000005E-2</v>
      </c>
      <c r="R28">
        <v>16.748999999999999</v>
      </c>
      <c r="S28">
        <v>21.23</v>
      </c>
      <c r="T28">
        <v>28.792999999999999</v>
      </c>
      <c r="U28">
        <v>135.62</v>
      </c>
      <c r="V28">
        <v>4.1650999999999998E-4</v>
      </c>
      <c r="W28">
        <v>5.0920999999999996E-4</v>
      </c>
      <c r="X28">
        <v>122.26</v>
      </c>
      <c r="Y28">
        <v>1.0009999999999999</v>
      </c>
      <c r="Z28">
        <v>7.7646999999999994E-2</v>
      </c>
      <c r="AA28">
        <v>7.7568999999999999</v>
      </c>
      <c r="AB28">
        <v>6.5449999999999999</v>
      </c>
      <c r="AC28">
        <v>29.908000000000001</v>
      </c>
      <c r="AD28">
        <v>456.96</v>
      </c>
      <c r="AE28">
        <v>1.1862999999999999E-3</v>
      </c>
      <c r="AF28">
        <v>3.2542000000000001E-3</v>
      </c>
      <c r="AG28">
        <v>274.32</v>
      </c>
      <c r="AH28">
        <v>0.91807000000000005</v>
      </c>
      <c r="AI28">
        <v>8.0300999999999997E-2</v>
      </c>
      <c r="AJ28">
        <v>8.7467000000000006</v>
      </c>
    </row>
    <row r="29" spans="1:36" x14ac:dyDescent="0.35">
      <c r="A29" t="s">
        <v>443</v>
      </c>
      <c r="B29" s="1">
        <v>1.1880000000000001E-6</v>
      </c>
      <c r="C29" s="1">
        <v>6.4152999999999994E-5</v>
      </c>
      <c r="D29" s="1">
        <v>5.8872000000000001E-6</v>
      </c>
      <c r="E29" s="1">
        <v>8.5881999999999998E-9</v>
      </c>
      <c r="F29">
        <v>0.14588000000000001</v>
      </c>
      <c r="G29">
        <v>52.35</v>
      </c>
      <c r="H29">
        <v>4.0286000000000002E-2</v>
      </c>
      <c r="I29">
        <v>7.6954999999999996E-2</v>
      </c>
      <c r="J29">
        <v>2.383</v>
      </c>
      <c r="K29">
        <v>0.65578000000000003</v>
      </c>
      <c r="L29">
        <v>27.518999999999998</v>
      </c>
      <c r="M29">
        <v>1.0688E-2</v>
      </c>
      <c r="N29">
        <v>6.0140999999999997E-3</v>
      </c>
      <c r="O29">
        <v>56.27</v>
      </c>
      <c r="P29">
        <v>0.47038999999999997</v>
      </c>
      <c r="Q29">
        <v>5.6101999999999999E-2</v>
      </c>
      <c r="R29">
        <v>11.927</v>
      </c>
      <c r="S29">
        <v>23.04</v>
      </c>
      <c r="T29">
        <v>0.53154999999999997</v>
      </c>
      <c r="U29">
        <v>2.3071000000000002</v>
      </c>
      <c r="V29">
        <v>3.4372E-4</v>
      </c>
      <c r="W29" s="1">
        <v>5.1703000000000003E-6</v>
      </c>
      <c r="X29">
        <v>1.5042</v>
      </c>
      <c r="Y29">
        <v>0.97319</v>
      </c>
      <c r="Z29">
        <v>7.2811999999999998E-3</v>
      </c>
      <c r="AA29">
        <v>0.74817999999999996</v>
      </c>
      <c r="AB29">
        <v>0</v>
      </c>
      <c r="AC29">
        <v>0</v>
      </c>
      <c r="AD29">
        <v>1</v>
      </c>
    </row>
    <row r="30" spans="1:36" x14ac:dyDescent="0.35">
      <c r="A30" t="s">
        <v>444</v>
      </c>
      <c r="B30" s="1">
        <v>2.1165E-6</v>
      </c>
      <c r="C30">
        <v>1.1006E-4</v>
      </c>
      <c r="D30" s="1">
        <v>5.9119000000000001E-6</v>
      </c>
      <c r="E30" s="1">
        <v>1.3297999999999999E-8</v>
      </c>
      <c r="F30">
        <v>0.22494</v>
      </c>
      <c r="G30">
        <v>52.74</v>
      </c>
      <c r="H30">
        <v>0.16202</v>
      </c>
      <c r="I30">
        <v>0.30720999999999998</v>
      </c>
      <c r="J30">
        <v>2.2189999999999999</v>
      </c>
      <c r="K30">
        <v>0.75041000000000002</v>
      </c>
      <c r="L30">
        <v>33.817</v>
      </c>
      <c r="M30">
        <v>1.3270000000000001E-2</v>
      </c>
      <c r="N30">
        <v>1.3108E-2</v>
      </c>
      <c r="O30">
        <v>98.778999999999996</v>
      </c>
      <c r="P30">
        <v>0.35859000000000002</v>
      </c>
      <c r="Q30">
        <v>9.5125000000000001E-2</v>
      </c>
      <c r="R30">
        <v>26.527999999999999</v>
      </c>
      <c r="S30">
        <v>10.119999999999999</v>
      </c>
      <c r="T30">
        <v>0.44901000000000002</v>
      </c>
      <c r="U30">
        <v>4.4368999999999996</v>
      </c>
      <c r="V30">
        <v>4.2236999999999998E-4</v>
      </c>
      <c r="W30" s="1">
        <v>2.2988000000000001E-5</v>
      </c>
      <c r="X30">
        <v>5.4425999999999997</v>
      </c>
      <c r="Y30">
        <v>0.95867999999999998</v>
      </c>
      <c r="Z30">
        <v>1.6299999999999999E-2</v>
      </c>
      <c r="AA30">
        <v>1.7002999999999999</v>
      </c>
      <c r="AB30">
        <v>0</v>
      </c>
      <c r="AC30">
        <v>0</v>
      </c>
      <c r="AD30">
        <v>1</v>
      </c>
    </row>
    <row r="32" spans="1:36" x14ac:dyDescent="0.35">
      <c r="A32" t="s">
        <v>177</v>
      </c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33</v>
      </c>
      <c r="H32" t="s">
        <v>34</v>
      </c>
      <c r="I32" t="s">
        <v>35</v>
      </c>
      <c r="J32" t="s">
        <v>5</v>
      </c>
      <c r="K32" t="s">
        <v>6</v>
      </c>
      <c r="L32" t="s">
        <v>7</v>
      </c>
      <c r="M32" t="s">
        <v>8</v>
      </c>
      <c r="N32" t="s">
        <v>9</v>
      </c>
      <c r="O32" t="s">
        <v>10</v>
      </c>
      <c r="P32" t="s">
        <v>11</v>
      </c>
      <c r="Q32" t="s">
        <v>12</v>
      </c>
      <c r="R32" t="s">
        <v>13</v>
      </c>
      <c r="S32" t="s">
        <v>14</v>
      </c>
      <c r="T32" t="s">
        <v>15</v>
      </c>
      <c r="U32" t="s">
        <v>16</v>
      </c>
      <c r="V32" t="s">
        <v>17</v>
      </c>
      <c r="W32" t="s">
        <v>18</v>
      </c>
      <c r="X32" t="s">
        <v>19</v>
      </c>
      <c r="Y32" t="s">
        <v>20</v>
      </c>
      <c r="Z32" t="s">
        <v>21</v>
      </c>
      <c r="AA32" t="s">
        <v>22</v>
      </c>
      <c r="AB32" t="s">
        <v>36</v>
      </c>
      <c r="AC32" t="s">
        <v>37</v>
      </c>
      <c r="AD32" t="s">
        <v>38</v>
      </c>
    </row>
    <row r="33" spans="1:30" x14ac:dyDescent="0.35">
      <c r="A33" t="s">
        <v>448</v>
      </c>
      <c r="B33" s="1">
        <v>7.3624E-6</v>
      </c>
      <c r="C33">
        <v>4.5647E-4</v>
      </c>
      <c r="D33" s="1">
        <v>5.8776000000000003E-6</v>
      </c>
      <c r="E33" s="1">
        <v>1.8693999999999999E-8</v>
      </c>
      <c r="F33">
        <v>0.31805</v>
      </c>
      <c r="G33">
        <v>47.1</v>
      </c>
      <c r="H33">
        <v>3.5706000000000002E-2</v>
      </c>
      <c r="I33">
        <v>7.5809000000000001E-2</v>
      </c>
      <c r="J33">
        <v>22.51</v>
      </c>
      <c r="K33">
        <v>5.5404</v>
      </c>
      <c r="L33">
        <v>24.613</v>
      </c>
      <c r="M33">
        <v>6.9147999999999996E-3</v>
      </c>
      <c r="N33">
        <v>3.9836000000000003E-3</v>
      </c>
      <c r="O33">
        <v>57.61</v>
      </c>
      <c r="P33">
        <v>0.63329999999999997</v>
      </c>
      <c r="Q33">
        <v>5.5168000000000002E-2</v>
      </c>
      <c r="R33">
        <v>8.7111999999999998</v>
      </c>
      <c r="S33">
        <v>61.18</v>
      </c>
      <c r="T33">
        <v>5.9748999999999999</v>
      </c>
      <c r="U33">
        <v>9.7660999999999998</v>
      </c>
      <c r="V33">
        <v>3.9487000000000002E-4</v>
      </c>
      <c r="W33" s="1">
        <v>8.5516999999999998E-6</v>
      </c>
      <c r="X33">
        <v>2.1657000000000002</v>
      </c>
      <c r="Y33">
        <v>0.98307</v>
      </c>
      <c r="Z33">
        <v>1.7229999999999999E-2</v>
      </c>
      <c r="AA33">
        <v>1.7526999999999999</v>
      </c>
      <c r="AB33">
        <v>0</v>
      </c>
      <c r="AC33">
        <v>0</v>
      </c>
      <c r="AD33">
        <v>1</v>
      </c>
    </row>
    <row r="34" spans="1:30" x14ac:dyDescent="0.35">
      <c r="A34" t="s">
        <v>447</v>
      </c>
      <c r="B34" s="1">
        <v>2.7389000000000002E-6</v>
      </c>
      <c r="C34">
        <v>1.7529000000000001E-4</v>
      </c>
      <c r="D34" s="1">
        <v>5.8574E-6</v>
      </c>
      <c r="E34" s="1">
        <v>2.1139000000000002E-8</v>
      </c>
      <c r="F34">
        <v>0.36088999999999999</v>
      </c>
      <c r="G34">
        <v>76.099999999999994</v>
      </c>
      <c r="H34">
        <v>0.52349000000000001</v>
      </c>
      <c r="I34">
        <v>0.68789999999999996</v>
      </c>
      <c r="J34">
        <v>6.9950000000000001</v>
      </c>
      <c r="K34">
        <v>2.613</v>
      </c>
      <c r="L34">
        <v>37.354999999999997</v>
      </c>
      <c r="M34">
        <v>2.3917999999999998E-2</v>
      </c>
      <c r="N34">
        <v>1.5228999999999999E-2</v>
      </c>
      <c r="O34">
        <v>63.671999999999997</v>
      </c>
      <c r="P34">
        <v>0.23549999999999999</v>
      </c>
      <c r="Q34">
        <v>7.3057999999999998E-2</v>
      </c>
      <c r="R34">
        <v>31.023</v>
      </c>
      <c r="S34">
        <v>203</v>
      </c>
      <c r="T34">
        <v>1.0155000000000001</v>
      </c>
      <c r="U34">
        <v>0.50024999999999997</v>
      </c>
      <c r="V34">
        <v>3.2057E-4</v>
      </c>
      <c r="W34" s="1">
        <v>1.2394999999999999E-6</v>
      </c>
      <c r="X34">
        <v>0.38666</v>
      </c>
      <c r="Y34">
        <v>0.94377999999999995</v>
      </c>
      <c r="Z34">
        <v>2.1251999999999998E-3</v>
      </c>
      <c r="AA34">
        <v>0.22517999999999999</v>
      </c>
      <c r="AB34">
        <v>0</v>
      </c>
      <c r="AC34">
        <v>0</v>
      </c>
      <c r="AD34">
        <v>1</v>
      </c>
    </row>
    <row r="35" spans="1:30" x14ac:dyDescent="0.35">
      <c r="A35" t="s">
        <v>446</v>
      </c>
      <c r="B35" s="1">
        <v>6.8588000000000003E-6</v>
      </c>
      <c r="C35">
        <v>4.3897000000000001E-4</v>
      </c>
      <c r="D35" s="1">
        <v>5.3291999999999997E-6</v>
      </c>
      <c r="E35" s="1">
        <v>5.4061999999999998E-8</v>
      </c>
      <c r="F35">
        <v>1.0144</v>
      </c>
      <c r="G35">
        <v>152.80000000000001</v>
      </c>
      <c r="H35">
        <v>0.36082999999999998</v>
      </c>
      <c r="I35">
        <v>0.23615</v>
      </c>
      <c r="J35">
        <v>10.16</v>
      </c>
      <c r="K35">
        <v>2.4881000000000002</v>
      </c>
      <c r="L35">
        <v>24.489000000000001</v>
      </c>
      <c r="M35">
        <v>7.6280999999999996E-3</v>
      </c>
      <c r="N35">
        <v>4.7022000000000001E-3</v>
      </c>
      <c r="O35">
        <v>61.643000000000001</v>
      </c>
      <c r="P35">
        <v>0.36613000000000001</v>
      </c>
      <c r="Q35">
        <v>7.1834999999999996E-2</v>
      </c>
      <c r="R35">
        <v>19.62</v>
      </c>
      <c r="S35">
        <v>676.2</v>
      </c>
      <c r="T35">
        <v>2.5295999999999998</v>
      </c>
      <c r="U35">
        <v>0.37408999999999998</v>
      </c>
      <c r="V35">
        <v>2.9030000000000001E-4</v>
      </c>
      <c r="W35" s="1">
        <v>1.0535E-6</v>
      </c>
      <c r="X35">
        <v>0.3629</v>
      </c>
      <c r="Y35">
        <v>0.93459000000000003</v>
      </c>
      <c r="Z35">
        <v>2.1358000000000002E-3</v>
      </c>
      <c r="AA35">
        <v>0.22853000000000001</v>
      </c>
      <c r="AB35">
        <v>0</v>
      </c>
      <c r="AC35">
        <v>0</v>
      </c>
      <c r="AD35">
        <v>1</v>
      </c>
    </row>
    <row r="36" spans="1:30" x14ac:dyDescent="0.35">
      <c r="A36" t="s">
        <v>445</v>
      </c>
      <c r="B36" s="1">
        <v>1.9188E-5</v>
      </c>
      <c r="C36">
        <v>1.2279999999999999E-3</v>
      </c>
      <c r="D36" s="1">
        <v>4.7080999999999999E-6</v>
      </c>
      <c r="E36" s="1">
        <v>1.4513E-7</v>
      </c>
      <c r="F36">
        <v>3.0825999999999998</v>
      </c>
      <c r="G36">
        <v>207.3</v>
      </c>
      <c r="H36">
        <v>13.471</v>
      </c>
      <c r="I36">
        <v>6.4983000000000004</v>
      </c>
      <c r="J36">
        <v>52.88</v>
      </c>
      <c r="K36">
        <v>676.4</v>
      </c>
      <c r="L36">
        <v>1279.0999999999999</v>
      </c>
      <c r="M36">
        <v>4.1642999999999999E-2</v>
      </c>
      <c r="N36">
        <v>0.15472</v>
      </c>
      <c r="O36">
        <v>371.54</v>
      </c>
      <c r="P36">
        <v>0.11547</v>
      </c>
      <c r="Q36">
        <v>0.41733999999999999</v>
      </c>
      <c r="R36">
        <v>361.43</v>
      </c>
      <c r="S36">
        <v>1132</v>
      </c>
      <c r="T36">
        <v>17.338999999999999</v>
      </c>
      <c r="U36">
        <v>1.5317000000000001</v>
      </c>
      <c r="V36">
        <v>2.854E-4</v>
      </c>
      <c r="W36" s="1">
        <v>1.6342E-6</v>
      </c>
      <c r="X36">
        <v>0.5726</v>
      </c>
      <c r="Y36">
        <v>0.92849000000000004</v>
      </c>
      <c r="Z36">
        <v>5.1056000000000001E-3</v>
      </c>
      <c r="AA36">
        <v>0.54988000000000004</v>
      </c>
      <c r="AB36">
        <v>0</v>
      </c>
      <c r="AC36">
        <v>0</v>
      </c>
      <c r="AD36">
        <v>1</v>
      </c>
    </row>
    <row r="38" spans="1:30" x14ac:dyDescent="0.35">
      <c r="A38" t="s">
        <v>177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33</v>
      </c>
      <c r="H38" t="s">
        <v>34</v>
      </c>
      <c r="I38" t="s">
        <v>35</v>
      </c>
      <c r="J38" t="s">
        <v>5</v>
      </c>
      <c r="K38" t="s">
        <v>6</v>
      </c>
      <c r="L38" t="s">
        <v>7</v>
      </c>
      <c r="M38" t="s">
        <v>8</v>
      </c>
      <c r="N38" t="s">
        <v>9</v>
      </c>
      <c r="O38" t="s">
        <v>10</v>
      </c>
      <c r="P38" t="s">
        <v>11</v>
      </c>
      <c r="Q38" t="s">
        <v>12</v>
      </c>
      <c r="R38" t="s">
        <v>13</v>
      </c>
      <c r="S38" t="s">
        <v>14</v>
      </c>
      <c r="T38" t="s">
        <v>15</v>
      </c>
      <c r="U38" t="s">
        <v>16</v>
      </c>
      <c r="V38" t="s">
        <v>17</v>
      </c>
      <c r="W38" t="s">
        <v>18</v>
      </c>
      <c r="X38" t="s">
        <v>19</v>
      </c>
      <c r="Y38" t="s">
        <v>20</v>
      </c>
      <c r="Z38" t="s">
        <v>21</v>
      </c>
      <c r="AA38" t="s">
        <v>22</v>
      </c>
      <c r="AB38" t="s">
        <v>36</v>
      </c>
      <c r="AC38" t="s">
        <v>37</v>
      </c>
      <c r="AD38" t="s">
        <v>38</v>
      </c>
    </row>
    <row r="39" spans="1:30" x14ac:dyDescent="0.35">
      <c r="A39" t="s">
        <v>444</v>
      </c>
      <c r="B39" s="1">
        <v>2.1165E-6</v>
      </c>
      <c r="C39">
        <v>1.1006E-4</v>
      </c>
      <c r="D39" s="1">
        <v>5.9119000000000001E-6</v>
      </c>
      <c r="E39" s="1">
        <v>1.3297999999999999E-8</v>
      </c>
      <c r="F39">
        <v>0.22494</v>
      </c>
      <c r="G39">
        <v>52.74</v>
      </c>
      <c r="H39">
        <v>0.16202</v>
      </c>
      <c r="I39">
        <v>0.30720999999999998</v>
      </c>
      <c r="J39">
        <v>2.2189999999999999</v>
      </c>
      <c r="K39">
        <v>0.75041999999999998</v>
      </c>
      <c r="L39">
        <v>33.817999999999998</v>
      </c>
      <c r="M39">
        <v>1.3270000000000001E-2</v>
      </c>
      <c r="N39">
        <v>1.3108E-2</v>
      </c>
      <c r="O39">
        <v>98.778999999999996</v>
      </c>
      <c r="P39">
        <v>0.35859000000000002</v>
      </c>
      <c r="Q39">
        <v>9.5125000000000001E-2</v>
      </c>
      <c r="R39">
        <v>26.527999999999999</v>
      </c>
      <c r="S39">
        <v>10.119999999999999</v>
      </c>
      <c r="T39">
        <v>0.44901000000000002</v>
      </c>
      <c r="U39">
        <v>4.4368999999999996</v>
      </c>
      <c r="V39">
        <v>4.2236999999999998E-4</v>
      </c>
      <c r="W39" s="1">
        <v>2.2988000000000001E-5</v>
      </c>
      <c r="X39">
        <v>5.4425999999999997</v>
      </c>
      <c r="Y39">
        <v>0.95867999999999998</v>
      </c>
      <c r="Z39">
        <v>1.6299999999999999E-2</v>
      </c>
      <c r="AA39">
        <v>1.7002999999999999</v>
      </c>
      <c r="AB39">
        <v>0</v>
      </c>
      <c r="AC39">
        <v>0</v>
      </c>
      <c r="AD39">
        <v>1</v>
      </c>
    </row>
    <row r="40" spans="1:30" x14ac:dyDescent="0.35">
      <c r="A40" t="s">
        <v>443</v>
      </c>
      <c r="B40" s="1">
        <v>1.1880000000000001E-6</v>
      </c>
      <c r="C40" s="1">
        <v>6.4152999999999994E-5</v>
      </c>
      <c r="D40" s="1">
        <v>5.8872000000000001E-6</v>
      </c>
      <c r="E40" s="1">
        <v>8.5881999999999998E-9</v>
      </c>
      <c r="F40">
        <v>0.14588000000000001</v>
      </c>
      <c r="G40">
        <v>52.35</v>
      </c>
      <c r="H40">
        <v>4.0286000000000002E-2</v>
      </c>
      <c r="I40">
        <v>7.6954999999999996E-2</v>
      </c>
      <c r="J40">
        <v>2.383</v>
      </c>
      <c r="K40">
        <v>0.65578000000000003</v>
      </c>
      <c r="L40">
        <v>27.518999999999998</v>
      </c>
      <c r="M40">
        <v>1.0688E-2</v>
      </c>
      <c r="N40">
        <v>6.0140999999999997E-3</v>
      </c>
      <c r="O40">
        <v>56.27</v>
      </c>
      <c r="P40">
        <v>0.47038999999999997</v>
      </c>
      <c r="Q40">
        <v>5.6101999999999999E-2</v>
      </c>
      <c r="R40">
        <v>11.927</v>
      </c>
      <c r="S40">
        <v>23.04</v>
      </c>
      <c r="T40">
        <v>0.53154999999999997</v>
      </c>
      <c r="U40">
        <v>2.3071000000000002</v>
      </c>
      <c r="V40">
        <v>3.4372E-4</v>
      </c>
      <c r="W40" s="1">
        <v>5.1703999999999997E-6</v>
      </c>
      <c r="X40">
        <v>1.5042</v>
      </c>
      <c r="Y40">
        <v>0.97319</v>
      </c>
      <c r="Z40">
        <v>7.2811999999999998E-3</v>
      </c>
      <c r="AA40">
        <v>0.74817999999999996</v>
      </c>
      <c r="AB40">
        <v>0</v>
      </c>
      <c r="AC40">
        <v>0</v>
      </c>
      <c r="AD40">
        <v>1</v>
      </c>
    </row>
    <row r="41" spans="1:30" x14ac:dyDescent="0.35">
      <c r="A41" t="s">
        <v>442</v>
      </c>
      <c r="B41" s="1">
        <v>9.6741999999999996E-7</v>
      </c>
      <c r="C41" s="1">
        <v>5.0306000000000003E-5</v>
      </c>
      <c r="D41" s="1">
        <v>5.8904999999999998E-6</v>
      </c>
      <c r="E41" s="1">
        <v>7.8466999999999994E-9</v>
      </c>
      <c r="F41">
        <v>0.13321</v>
      </c>
      <c r="G41">
        <v>51.14</v>
      </c>
      <c r="H41">
        <v>4.8094999999999999E-2</v>
      </c>
      <c r="I41">
        <v>9.4046000000000005E-2</v>
      </c>
      <c r="J41">
        <v>2.7810000000000001</v>
      </c>
      <c r="K41">
        <v>0.70267000000000002</v>
      </c>
      <c r="L41">
        <v>25.266999999999999</v>
      </c>
      <c r="M41">
        <v>1.4133E-2</v>
      </c>
      <c r="N41">
        <v>7.2125999999999996E-3</v>
      </c>
      <c r="O41">
        <v>51.033999999999999</v>
      </c>
      <c r="P41">
        <v>0.41785</v>
      </c>
      <c r="Q41">
        <v>5.0194000000000003E-2</v>
      </c>
      <c r="R41">
        <v>12.012</v>
      </c>
      <c r="S41">
        <v>27.83</v>
      </c>
      <c r="T41">
        <v>0.50824000000000003</v>
      </c>
      <c r="U41">
        <v>1.8262</v>
      </c>
      <c r="V41">
        <v>3.3620999999999998E-4</v>
      </c>
      <c r="W41" s="1">
        <v>4.0917000000000001E-6</v>
      </c>
      <c r="X41">
        <v>1.2170000000000001</v>
      </c>
      <c r="Y41">
        <v>0.96762000000000004</v>
      </c>
      <c r="Z41">
        <v>5.7643E-3</v>
      </c>
      <c r="AA41">
        <v>0.59572000000000003</v>
      </c>
      <c r="AB41">
        <v>0</v>
      </c>
      <c r="AC41">
        <v>0</v>
      </c>
      <c r="AD41">
        <v>1</v>
      </c>
    </row>
    <row r="42" spans="1:30" x14ac:dyDescent="0.35">
      <c r="A42" t="s">
        <v>441</v>
      </c>
      <c r="B42" s="1">
        <v>2.9749999999999999E-6</v>
      </c>
      <c r="C42">
        <v>1.7254999999999999E-4</v>
      </c>
      <c r="D42" s="1">
        <v>5.9247000000000002E-6</v>
      </c>
      <c r="E42" s="1">
        <v>1.3938E-8</v>
      </c>
      <c r="F42">
        <v>0.23524999999999999</v>
      </c>
      <c r="G42">
        <v>49.04</v>
      </c>
      <c r="H42">
        <v>0.18579000000000001</v>
      </c>
      <c r="I42">
        <v>0.37885000000000002</v>
      </c>
      <c r="J42">
        <v>4.3440000000000003</v>
      </c>
      <c r="K42">
        <v>1.6892</v>
      </c>
      <c r="L42">
        <v>38.886000000000003</v>
      </c>
      <c r="M42">
        <v>4.1341999999999997E-2</v>
      </c>
      <c r="N42">
        <v>2.3585999999999999E-2</v>
      </c>
      <c r="O42">
        <v>57.051000000000002</v>
      </c>
      <c r="P42">
        <v>0.25853999999999999</v>
      </c>
      <c r="Q42">
        <v>5.9233000000000001E-2</v>
      </c>
      <c r="R42">
        <v>22.911000000000001</v>
      </c>
      <c r="S42">
        <v>67.790000000000006</v>
      </c>
      <c r="T42">
        <v>0.68928999999999996</v>
      </c>
      <c r="U42">
        <v>1.0167999999999999</v>
      </c>
      <c r="V42">
        <v>3.6685999999999999E-4</v>
      </c>
      <c r="W42" s="1">
        <v>3.2221E-6</v>
      </c>
      <c r="X42">
        <v>0.87829000000000002</v>
      </c>
      <c r="Y42">
        <v>0.94567999999999997</v>
      </c>
      <c r="Z42">
        <v>3.7664E-3</v>
      </c>
      <c r="AA42">
        <v>0.39827000000000001</v>
      </c>
      <c r="AB42">
        <v>0</v>
      </c>
      <c r="AC42">
        <v>0</v>
      </c>
      <c r="AD42">
        <v>1</v>
      </c>
    </row>
    <row r="43" spans="1:30" x14ac:dyDescent="0.35">
      <c r="A43" t="s">
        <v>440</v>
      </c>
      <c r="B43" s="1">
        <v>7.1450000000000002E-6</v>
      </c>
      <c r="C43">
        <v>4.5728000000000001E-4</v>
      </c>
      <c r="D43" s="1">
        <v>5.8937E-6</v>
      </c>
      <c r="E43" s="1">
        <v>1.9521E-8</v>
      </c>
      <c r="F43">
        <v>0.33122000000000001</v>
      </c>
      <c r="G43">
        <v>46.65</v>
      </c>
      <c r="H43">
        <v>0.16793</v>
      </c>
      <c r="I43">
        <v>0.35998000000000002</v>
      </c>
      <c r="J43">
        <v>17.09</v>
      </c>
      <c r="K43">
        <v>14.512</v>
      </c>
      <c r="L43">
        <v>84.915000000000006</v>
      </c>
      <c r="M43">
        <v>0.13336000000000001</v>
      </c>
      <c r="N43">
        <v>6.7654000000000006E-2</v>
      </c>
      <c r="O43">
        <v>50.73</v>
      </c>
      <c r="P43">
        <v>0.23580000000000001</v>
      </c>
      <c r="Q43">
        <v>7.2581999999999994E-2</v>
      </c>
      <c r="R43">
        <v>30.780999999999999</v>
      </c>
      <c r="S43">
        <v>76.38</v>
      </c>
      <c r="T43">
        <v>0.85646</v>
      </c>
      <c r="U43">
        <v>1.1213</v>
      </c>
      <c r="V43">
        <v>4.1332000000000001E-4</v>
      </c>
      <c r="W43" s="1">
        <v>4.5001000000000003E-6</v>
      </c>
      <c r="X43">
        <v>1.0888</v>
      </c>
      <c r="Y43">
        <v>0.94044000000000005</v>
      </c>
      <c r="Z43">
        <v>4.5047999999999998E-3</v>
      </c>
      <c r="AA43">
        <v>0.47900999999999999</v>
      </c>
      <c r="AB43">
        <v>0</v>
      </c>
      <c r="AC43">
        <v>0</v>
      </c>
      <c r="AD43">
        <v>1</v>
      </c>
    </row>
    <row r="44" spans="1:30" x14ac:dyDescent="0.35">
      <c r="A44" t="s">
        <v>439</v>
      </c>
      <c r="B44" s="1">
        <v>1.2719E-5</v>
      </c>
      <c r="C44">
        <v>8.1402000000000004E-4</v>
      </c>
      <c r="D44" s="1">
        <v>5.8879E-6</v>
      </c>
      <c r="E44" s="1">
        <v>2.564E-8</v>
      </c>
      <c r="F44">
        <v>0.43547000000000002</v>
      </c>
      <c r="G44">
        <v>49.85</v>
      </c>
      <c r="H44">
        <v>4.9395000000000001E-2</v>
      </c>
      <c r="I44">
        <v>9.9086999999999995E-2</v>
      </c>
      <c r="J44">
        <v>39.869999999999997</v>
      </c>
      <c r="K44">
        <v>3.7966000000000002</v>
      </c>
      <c r="L44">
        <v>9.5223999999999993</v>
      </c>
      <c r="M44">
        <v>1.7493999999999999E-2</v>
      </c>
      <c r="N44">
        <v>8.1943999999999993E-3</v>
      </c>
      <c r="O44">
        <v>46.841000000000001</v>
      </c>
      <c r="P44">
        <v>0.54891000000000001</v>
      </c>
      <c r="Q44">
        <v>4.9659000000000002E-2</v>
      </c>
      <c r="R44">
        <v>9.0467999999999993</v>
      </c>
      <c r="S44">
        <v>169.1</v>
      </c>
      <c r="T44">
        <v>6.5777000000000001</v>
      </c>
      <c r="U44">
        <v>3.8898000000000001</v>
      </c>
      <c r="V44">
        <v>4.5506000000000002E-4</v>
      </c>
      <c r="W44" s="1">
        <v>4.2311E-6</v>
      </c>
      <c r="X44">
        <v>0.92979000000000001</v>
      </c>
      <c r="Y44">
        <v>0.94752000000000003</v>
      </c>
      <c r="Z44">
        <v>8.1586000000000002E-3</v>
      </c>
      <c r="AA44">
        <v>0.86104999999999998</v>
      </c>
      <c r="AB44">
        <v>0</v>
      </c>
      <c r="AC44">
        <v>0</v>
      </c>
      <c r="AD44">
        <v>1</v>
      </c>
    </row>
    <row r="45" spans="1:30" x14ac:dyDescent="0.35">
      <c r="B45" s="1"/>
      <c r="C45" s="1"/>
      <c r="D45" s="1"/>
      <c r="E45" s="1"/>
      <c r="W45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M29" sqref="M29"/>
    </sheetView>
  </sheetViews>
  <sheetFormatPr baseColWidth="10" defaultRowHeight="14.5" x14ac:dyDescent="0.35"/>
  <cols>
    <col min="4" max="4" width="11.36328125" bestFit="1" customWidth="1"/>
  </cols>
  <sheetData>
    <row r="1" spans="1:5" x14ac:dyDescent="0.35">
      <c r="B1" t="s">
        <v>59</v>
      </c>
      <c r="C1" t="s">
        <v>60</v>
      </c>
      <c r="D1" t="s">
        <v>61</v>
      </c>
    </row>
    <row r="2" spans="1:5" x14ac:dyDescent="0.35">
      <c r="B2">
        <v>17</v>
      </c>
      <c r="C2">
        <v>9</v>
      </c>
      <c r="D2">
        <v>106</v>
      </c>
      <c r="E2" t="s">
        <v>62</v>
      </c>
    </row>
    <row r="3" spans="1:5" x14ac:dyDescent="0.35">
      <c r="B3">
        <v>20</v>
      </c>
      <c r="C3">
        <v>9</v>
      </c>
      <c r="D3">
        <v>111</v>
      </c>
    </row>
    <row r="4" spans="1:5" x14ac:dyDescent="0.35">
      <c r="B4">
        <v>22</v>
      </c>
      <c r="C4">
        <v>9</v>
      </c>
      <c r="D4">
        <v>106</v>
      </c>
    </row>
    <row r="5" spans="1:5" x14ac:dyDescent="0.35">
      <c r="D5">
        <v>101</v>
      </c>
    </row>
    <row r="6" spans="1:5" x14ac:dyDescent="0.35">
      <c r="A6" t="s">
        <v>133</v>
      </c>
      <c r="B6">
        <f>AVERAGE(B2:B4)</f>
        <v>19.666666666666668</v>
      </c>
      <c r="C6">
        <f>AVERAGE(C2:C4)</f>
        <v>9</v>
      </c>
      <c r="D6">
        <f>AVERAGE(D2:D5)</f>
        <v>106</v>
      </c>
    </row>
    <row r="7" spans="1:5" x14ac:dyDescent="0.35">
      <c r="A7" t="s">
        <v>134</v>
      </c>
      <c r="B7">
        <f>_xlfn.STDEV.S(B1:B4)</f>
        <v>2.5166114784235907</v>
      </c>
      <c r="C7">
        <f>_xlfn.STDEV.S(C1:C4)</f>
        <v>0</v>
      </c>
      <c r="D7" s="33">
        <f>_xlfn.STDEV.S(D2:D5)</f>
        <v>4.0824829046386304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68" zoomScaleNormal="70" workbookViewId="0">
      <selection activeCell="Y61" sqref="Y61"/>
    </sheetView>
  </sheetViews>
  <sheetFormatPr baseColWidth="10" defaultColWidth="8.7265625" defaultRowHeight="14.5" x14ac:dyDescent="0.35"/>
  <cols>
    <col min="1" max="1" width="90.6328125" style="2" customWidth="1"/>
    <col min="2" max="2" width="20.1796875" style="2" customWidth="1"/>
    <col min="3" max="3" width="12" style="2" customWidth="1"/>
    <col min="4" max="4" width="17.36328125" style="2" customWidth="1"/>
    <col min="5" max="5" width="20.54296875" style="2" customWidth="1"/>
    <col min="6" max="6" width="16" style="2" customWidth="1"/>
    <col min="7" max="7" width="14.54296875" style="2" customWidth="1"/>
    <col min="8" max="8" width="12.7265625" style="2" customWidth="1"/>
    <col min="9" max="9" width="13.6328125" style="2" bestFit="1" customWidth="1"/>
    <col min="10" max="13" width="8.81640625" style="2" bestFit="1" customWidth="1"/>
    <col min="14" max="14" width="13" style="2" customWidth="1"/>
    <col min="15" max="15" width="12.36328125" style="2" bestFit="1" customWidth="1"/>
    <col min="16" max="16" width="11.26953125" style="2" bestFit="1" customWidth="1"/>
    <col min="17" max="19" width="11.81640625" style="2" bestFit="1" customWidth="1"/>
    <col min="20" max="23" width="8.81640625" style="2" bestFit="1" customWidth="1"/>
    <col min="24" max="24" width="11.81640625" style="2" bestFit="1" customWidth="1"/>
    <col min="25" max="25" width="8.81640625" style="2" bestFit="1" customWidth="1"/>
    <col min="26" max="26" width="12.08984375" style="2" bestFit="1" customWidth="1"/>
    <col min="27" max="27" width="13.90625" style="2" bestFit="1" customWidth="1"/>
    <col min="28" max="32" width="8.81640625" style="2" bestFit="1" customWidth="1"/>
    <col min="33" max="33" width="11.81640625" style="2" bestFit="1" customWidth="1"/>
    <col min="34" max="37" width="8.81640625" style="2" bestFit="1" customWidth="1"/>
    <col min="38" max="16384" width="8.7265625" style="2"/>
  </cols>
  <sheetData>
    <row r="1" spans="1:37" x14ac:dyDescent="0.35">
      <c r="B1" s="2" t="s">
        <v>136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33</v>
      </c>
      <c r="I1" s="2" t="s">
        <v>34</v>
      </c>
      <c r="J1" s="2" t="s">
        <v>35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</row>
    <row r="2" spans="1:37" x14ac:dyDescent="0.35">
      <c r="A2" s="2" t="s">
        <v>96</v>
      </c>
      <c r="B2" s="2">
        <f>D13</f>
        <v>0</v>
      </c>
      <c r="C2" s="1">
        <v>2.4107999999999999E-6</v>
      </c>
      <c r="D2" s="2">
        <v>1.4705999999999999E-4</v>
      </c>
      <c r="E2" s="1">
        <v>6.4069999999999998E-6</v>
      </c>
      <c r="F2" s="1">
        <v>1.4152E-8</v>
      </c>
      <c r="G2" s="2">
        <v>0.22087999999999999</v>
      </c>
      <c r="H2" s="2">
        <v>50.08</v>
      </c>
      <c r="I2" s="2">
        <v>1.4356</v>
      </c>
      <c r="J2" s="2">
        <v>2.8666</v>
      </c>
      <c r="K2" s="2">
        <v>28.5</v>
      </c>
      <c r="L2" s="2">
        <v>0.39844000000000002</v>
      </c>
      <c r="M2" s="2">
        <v>1.3979999999999999</v>
      </c>
      <c r="N2" s="2">
        <v>8.8119999999999995E-4</v>
      </c>
      <c r="O2" s="1">
        <v>1.6407000000000001E-5</v>
      </c>
      <c r="P2" s="2">
        <v>1.8619000000000001</v>
      </c>
      <c r="Q2" s="2">
        <v>0.96350000000000002</v>
      </c>
      <c r="R2" s="1">
        <v>5.8129000000000002E-3</v>
      </c>
      <c r="S2" s="2">
        <v>0.60331000000000001</v>
      </c>
      <c r="T2" s="2">
        <v>9.3789999999999996</v>
      </c>
      <c r="U2" s="2">
        <v>0.80161000000000004</v>
      </c>
      <c r="V2" s="2">
        <v>8.5469000000000008</v>
      </c>
      <c r="W2" s="2">
        <v>3.4617000000000002E-2</v>
      </c>
      <c r="X2" s="2">
        <v>1.738E-3</v>
      </c>
      <c r="Y2" s="2">
        <v>5.0206999999999997</v>
      </c>
      <c r="Z2" s="2">
        <v>1.0289999999999999</v>
      </c>
      <c r="AA2" s="2">
        <v>3.4535000000000003E-2</v>
      </c>
      <c r="AB2" s="2">
        <v>3.3561999999999999</v>
      </c>
      <c r="AC2" s="2">
        <v>109.6</v>
      </c>
      <c r="AD2" s="2">
        <v>1399.6</v>
      </c>
      <c r="AE2" s="2">
        <v>1277</v>
      </c>
      <c r="AF2" s="2">
        <v>0.13739999999999999</v>
      </c>
      <c r="AG2" s="2">
        <v>8.1961999999999993E-2</v>
      </c>
      <c r="AH2" s="2">
        <v>59.652000000000001</v>
      </c>
      <c r="AI2" s="2">
        <v>8.5485000000000005E-2</v>
      </c>
      <c r="AJ2" s="2">
        <v>7.0396E-2</v>
      </c>
      <c r="AK2" s="2">
        <v>82.349000000000004</v>
      </c>
    </row>
    <row r="3" spans="1:37" x14ac:dyDescent="0.35">
      <c r="A3" s="2" t="s">
        <v>97</v>
      </c>
      <c r="B3" s="2">
        <f t="shared" ref="B3:B7" si="0">D14</f>
        <v>0.13375796178343949</v>
      </c>
      <c r="C3" s="1">
        <v>1.9974999999999999E-6</v>
      </c>
      <c r="D3" s="2">
        <v>1.2184999999999999E-4</v>
      </c>
      <c r="E3" s="1">
        <v>6.4246000000000003E-6</v>
      </c>
      <c r="F3" s="1">
        <v>1.3579E-8</v>
      </c>
      <c r="G3" s="2">
        <v>0.21135999999999999</v>
      </c>
      <c r="H3" s="2">
        <v>50.03</v>
      </c>
      <c r="I3" s="2">
        <v>0.59589999999999999</v>
      </c>
      <c r="J3" s="2">
        <v>1.1911</v>
      </c>
      <c r="K3" s="2">
        <v>29.82</v>
      </c>
      <c r="L3" s="2">
        <v>0.48231000000000002</v>
      </c>
      <c r="M3" s="2">
        <v>1.6173999999999999</v>
      </c>
      <c r="N3" s="2">
        <v>9.0715000000000001E-4</v>
      </c>
      <c r="O3" s="1">
        <v>1.4431E-5</v>
      </c>
      <c r="P3" s="2">
        <v>1.5908</v>
      </c>
      <c r="Q3" s="2">
        <v>0.95530000000000004</v>
      </c>
      <c r="R3" s="2">
        <v>5.8288999999999997E-3</v>
      </c>
      <c r="S3" s="2">
        <v>0.61016000000000004</v>
      </c>
      <c r="T3" s="2">
        <v>10.84</v>
      </c>
      <c r="U3" s="2">
        <v>0.82181000000000004</v>
      </c>
      <c r="V3" s="2">
        <v>7.5812999999999997</v>
      </c>
      <c r="W3" s="2">
        <v>3.2339E-2</v>
      </c>
      <c r="X3" s="2">
        <v>1.5757E-3</v>
      </c>
      <c r="Y3" s="2">
        <v>4.8723999999999998</v>
      </c>
      <c r="Z3" s="2">
        <v>0.99699000000000004</v>
      </c>
      <c r="AA3" s="2">
        <v>2.6808999999999999E-2</v>
      </c>
      <c r="AB3" s="2">
        <v>2.6890000000000001</v>
      </c>
      <c r="AC3" s="2">
        <v>6.1779999999999999</v>
      </c>
      <c r="AD3" s="2">
        <v>4.0072999999999999</v>
      </c>
      <c r="AE3" s="2">
        <v>64.864000000000004</v>
      </c>
      <c r="AF3" s="2">
        <v>5.7285999999999997E-2</v>
      </c>
      <c r="AG3" s="1">
        <v>4.1160000000000002E-2</v>
      </c>
      <c r="AH3" s="2">
        <v>71.849999999999994</v>
      </c>
      <c r="AI3" s="2">
        <v>0.17973</v>
      </c>
      <c r="AJ3" s="2">
        <v>8.3737000000000006E-2</v>
      </c>
      <c r="AK3" s="2">
        <v>46.59</v>
      </c>
    </row>
    <row r="4" spans="1:37" x14ac:dyDescent="0.35">
      <c r="A4" s="2" t="s">
        <v>98</v>
      </c>
      <c r="B4" s="2">
        <f t="shared" si="0"/>
        <v>0.26751592356687898</v>
      </c>
      <c r="C4" s="1">
        <v>1.9910000000000001E-6</v>
      </c>
      <c r="D4" s="1">
        <v>1.2145E-4</v>
      </c>
      <c r="E4" s="1">
        <v>6.4249000000000001E-6</v>
      </c>
      <c r="F4" s="1">
        <v>1.3602999999999999E-8</v>
      </c>
      <c r="G4" s="2">
        <v>0.21171999999999999</v>
      </c>
      <c r="H4" s="2">
        <v>50.36</v>
      </c>
      <c r="I4" s="2">
        <v>0.70484000000000002</v>
      </c>
      <c r="J4" s="2">
        <v>1.3996</v>
      </c>
      <c r="K4" s="2">
        <v>34.299999999999997</v>
      </c>
      <c r="L4" s="2">
        <v>0.50394000000000005</v>
      </c>
      <c r="M4" s="2">
        <v>1.4692000000000001</v>
      </c>
      <c r="N4" s="2">
        <v>9.2769E-4</v>
      </c>
      <c r="O4" s="1">
        <v>1.3295000000000001E-5</v>
      </c>
      <c r="P4" s="2">
        <v>1.4331</v>
      </c>
      <c r="Q4" s="2">
        <v>0.95069999999999999</v>
      </c>
      <c r="R4" s="2">
        <v>5.2712999999999996E-3</v>
      </c>
      <c r="S4" s="2">
        <v>0.55447000000000002</v>
      </c>
      <c r="T4" s="2">
        <v>10.37</v>
      </c>
      <c r="U4" s="2">
        <v>0.87851000000000001</v>
      </c>
      <c r="V4" s="2">
        <v>8.4716000000000005</v>
      </c>
      <c r="W4" s="2">
        <v>3.3838E-2</v>
      </c>
      <c r="X4" s="2">
        <v>1.9472000000000001E-3</v>
      </c>
      <c r="Y4" s="2">
        <v>5.7545000000000002</v>
      </c>
      <c r="Z4" s="2">
        <v>1.004</v>
      </c>
      <c r="AA4" s="2">
        <v>3.0706000000000001E-2</v>
      </c>
      <c r="AB4" s="2">
        <v>3.0583999999999998</v>
      </c>
      <c r="AC4" s="2">
        <v>6.9859999999999998</v>
      </c>
      <c r="AD4" s="2">
        <v>5.0518000000000001</v>
      </c>
      <c r="AE4" s="2">
        <v>72.313000000000002</v>
      </c>
      <c r="AF4" s="2">
        <v>6.3006000000000006E-2</v>
      </c>
      <c r="AG4" s="1">
        <v>4.3747000000000001E-2</v>
      </c>
      <c r="AH4" s="2">
        <v>69.433000000000007</v>
      </c>
      <c r="AI4" s="2">
        <v>0.16411999999999999</v>
      </c>
      <c r="AJ4" s="2">
        <v>8.2819000000000004E-2</v>
      </c>
      <c r="AK4" s="2">
        <v>50.462000000000003</v>
      </c>
    </row>
    <row r="5" spans="1:37" x14ac:dyDescent="0.35">
      <c r="A5" s="2" t="s">
        <v>99</v>
      </c>
      <c r="B5" s="2">
        <f t="shared" si="0"/>
        <v>0.40127388535031849</v>
      </c>
      <c r="C5" s="1">
        <v>2.0779E-6</v>
      </c>
      <c r="D5" s="2">
        <v>1.2674999999999999E-4</v>
      </c>
      <c r="E5" s="1">
        <v>6.4307000000000001E-6</v>
      </c>
      <c r="F5" s="1">
        <v>1.4196E-8</v>
      </c>
      <c r="G5" s="2">
        <v>0.22075</v>
      </c>
      <c r="H5" s="2">
        <v>49.63</v>
      </c>
      <c r="I5" s="2">
        <v>0.73492999999999997</v>
      </c>
      <c r="J5" s="2">
        <v>1.4807999999999999</v>
      </c>
      <c r="K5" s="2">
        <v>39.89</v>
      </c>
      <c r="L5" s="2">
        <v>0.62195999999999996</v>
      </c>
      <c r="M5" s="2">
        <v>1.5591999999999999</v>
      </c>
      <c r="N5" s="2">
        <v>9.6117000000000001E-4</v>
      </c>
      <c r="O5" s="1">
        <v>1.2228999999999999E-5</v>
      </c>
      <c r="P5" s="2">
        <v>1.2723</v>
      </c>
      <c r="Q5" s="2">
        <v>0.94491000000000003</v>
      </c>
      <c r="R5" s="1">
        <v>5.2843999999999999E-3</v>
      </c>
      <c r="S5" s="2">
        <v>0.55925000000000002</v>
      </c>
      <c r="T5" s="2">
        <v>10.02</v>
      </c>
      <c r="U5" s="2">
        <v>0.80615999999999999</v>
      </c>
      <c r="V5" s="2">
        <v>8.0455000000000005</v>
      </c>
      <c r="W5" s="2">
        <v>3.6151999999999997E-2</v>
      </c>
      <c r="X5" s="2">
        <v>2.3440000000000002E-3</v>
      </c>
      <c r="Y5" s="2">
        <v>6.4836999999999998</v>
      </c>
      <c r="Z5" s="2">
        <v>1.0129999999999999</v>
      </c>
      <c r="AA5" s="2">
        <v>3.0754E-2</v>
      </c>
      <c r="AB5" s="2">
        <v>3.0358999999999998</v>
      </c>
      <c r="AC5" s="2">
        <v>6.0170000000000003</v>
      </c>
      <c r="AD5" s="2">
        <v>4.1318000000000001</v>
      </c>
      <c r="AE5" s="2">
        <v>68.668999999999997</v>
      </c>
      <c r="AF5" s="2">
        <v>5.5993000000000001E-2</v>
      </c>
      <c r="AG5" s="2">
        <v>4.2854000000000003E-2</v>
      </c>
      <c r="AH5" s="2">
        <v>76.534999999999997</v>
      </c>
      <c r="AI5" s="2">
        <v>0.17433000000000001</v>
      </c>
      <c r="AJ5" s="2">
        <v>9.2851000000000003E-2</v>
      </c>
      <c r="AK5" s="2">
        <v>53.262</v>
      </c>
    </row>
    <row r="6" spans="1:37" x14ac:dyDescent="0.35">
      <c r="A6" s="2" t="s">
        <v>100</v>
      </c>
      <c r="B6" s="2">
        <f t="shared" si="0"/>
        <v>0.53503184713375795</v>
      </c>
      <c r="C6" s="1">
        <v>4.2454E-6</v>
      </c>
      <c r="D6" s="2">
        <v>2.5897000000000002E-4</v>
      </c>
      <c r="E6" s="1">
        <v>6.4119000000000004E-6</v>
      </c>
      <c r="F6" s="1">
        <v>1.8226000000000001E-8</v>
      </c>
      <c r="G6" s="2">
        <v>0.28425</v>
      </c>
      <c r="H6" s="2">
        <v>49.99</v>
      </c>
      <c r="I6" s="2">
        <v>0.20275000000000001</v>
      </c>
      <c r="J6" s="2">
        <v>0.40558</v>
      </c>
      <c r="K6" s="2">
        <v>47.91</v>
      </c>
      <c r="L6" s="2">
        <v>1.0304</v>
      </c>
      <c r="M6" s="2">
        <v>2.1507000000000001</v>
      </c>
      <c r="N6" s="2">
        <v>9.7861999999999992E-4</v>
      </c>
      <c r="O6" s="1">
        <v>1.6728E-5</v>
      </c>
      <c r="P6" s="2">
        <v>1.7093</v>
      </c>
      <c r="Q6" s="2">
        <v>0.93564000000000003</v>
      </c>
      <c r="R6" s="1">
        <v>7.3864000000000004E-3</v>
      </c>
      <c r="S6" s="2">
        <v>0.78944999999999999</v>
      </c>
      <c r="T6" s="2">
        <v>10.14</v>
      </c>
      <c r="U6" s="2">
        <v>0.84394000000000002</v>
      </c>
      <c r="V6" s="2">
        <v>8.3229000000000006</v>
      </c>
      <c r="W6" s="2">
        <v>3.7345999999999997E-2</v>
      </c>
      <c r="X6" s="2">
        <v>3.8367000000000002E-3</v>
      </c>
      <c r="Y6" s="2">
        <v>10.273</v>
      </c>
      <c r="Z6" s="2">
        <v>1.0409999999999999</v>
      </c>
      <c r="AA6" s="2">
        <v>3.7631999999999999E-2</v>
      </c>
      <c r="AB6" s="2">
        <v>3.6150000000000002</v>
      </c>
      <c r="AC6" s="2">
        <v>3.6150000000000002</v>
      </c>
      <c r="AD6" s="2">
        <v>0.80930999999999997</v>
      </c>
      <c r="AE6" s="2">
        <v>22.388000000000002</v>
      </c>
      <c r="AF6" s="2">
        <v>1.3377E-2</v>
      </c>
      <c r="AG6" s="2">
        <v>8.7483000000000005E-3</v>
      </c>
      <c r="AH6" s="2">
        <v>65.397999999999996</v>
      </c>
      <c r="AI6" s="2">
        <v>0.34018999999999999</v>
      </c>
      <c r="AJ6" s="2">
        <v>7.1340000000000001E-2</v>
      </c>
      <c r="AK6" s="2">
        <v>20.971</v>
      </c>
    </row>
    <row r="7" spans="1:37" x14ac:dyDescent="0.35">
      <c r="A7" s="2" t="s">
        <v>101</v>
      </c>
      <c r="B7" s="2">
        <f t="shared" si="0"/>
        <v>0.66878980891719741</v>
      </c>
      <c r="C7" s="1">
        <v>8.9915999999999996E-7</v>
      </c>
      <c r="D7" s="1">
        <v>5.4849000000000003E-5</v>
      </c>
      <c r="E7" s="1">
        <v>6.4046999999999999E-6</v>
      </c>
      <c r="F7" s="1">
        <v>8.3258000000000003E-9</v>
      </c>
      <c r="G7" s="2">
        <v>0.13</v>
      </c>
      <c r="H7" s="2">
        <v>50.01</v>
      </c>
      <c r="I7" s="2">
        <v>8.9862999999999998E-2</v>
      </c>
      <c r="J7" s="2">
        <v>0.17968999999999999</v>
      </c>
      <c r="K7" s="2">
        <v>57.19</v>
      </c>
      <c r="L7" s="2">
        <v>0.65720000000000001</v>
      </c>
      <c r="M7" s="2">
        <v>1.1492</v>
      </c>
      <c r="N7" s="2">
        <v>9.9584999999999995E-4</v>
      </c>
      <c r="O7" s="1">
        <v>6.6985000000000003E-6</v>
      </c>
      <c r="P7" s="2">
        <v>0.67264000000000002</v>
      </c>
      <c r="Q7" s="2">
        <v>0.93567999999999996</v>
      </c>
      <c r="R7" s="1">
        <v>3.2515E-3</v>
      </c>
      <c r="S7" s="2">
        <v>0.34749999999999998</v>
      </c>
      <c r="T7" s="2">
        <v>8.8810000000000002</v>
      </c>
      <c r="U7" s="2">
        <v>0.59565999999999997</v>
      </c>
      <c r="V7" s="2">
        <v>6.7070999999999996</v>
      </c>
      <c r="W7" s="2">
        <v>4.3707000000000003E-2</v>
      </c>
      <c r="X7" s="2">
        <v>3.7996000000000002E-3</v>
      </c>
      <c r="Y7" s="2">
        <v>8.6933000000000007</v>
      </c>
      <c r="Z7" s="2">
        <v>1.0089999999999999</v>
      </c>
      <c r="AA7" s="2">
        <v>2.5878000000000002E-2</v>
      </c>
      <c r="AB7" s="2">
        <v>2.5647000000000002</v>
      </c>
      <c r="AC7" s="2">
        <v>3.1930000000000001</v>
      </c>
      <c r="AD7" s="2">
        <v>0.35870000000000002</v>
      </c>
      <c r="AE7" s="2">
        <v>11.234</v>
      </c>
      <c r="AF7" s="2">
        <v>1.5332E-2</v>
      </c>
      <c r="AG7" s="2">
        <v>5.0359999999999997E-3</v>
      </c>
      <c r="AH7" s="2">
        <v>32.845999999999997</v>
      </c>
      <c r="AI7" s="2">
        <v>0.34105000000000002</v>
      </c>
      <c r="AJ7" s="2">
        <v>3.6019000000000002E-2</v>
      </c>
      <c r="AK7" s="2">
        <v>10.561</v>
      </c>
    </row>
    <row r="12" spans="1:37" x14ac:dyDescent="0.35">
      <c r="A12" s="11" t="s">
        <v>132</v>
      </c>
      <c r="C12" s="2" t="s">
        <v>39</v>
      </c>
      <c r="D12" s="2" t="s">
        <v>136</v>
      </c>
      <c r="E12" s="2" t="s">
        <v>40</v>
      </c>
      <c r="F12" s="2" t="s">
        <v>32</v>
      </c>
      <c r="G12" s="2" t="s">
        <v>52</v>
      </c>
      <c r="H12" s="2" t="s">
        <v>130</v>
      </c>
      <c r="I12" s="2" t="s">
        <v>54</v>
      </c>
      <c r="L12" s="2" t="s">
        <v>41</v>
      </c>
      <c r="M12" s="2" t="s">
        <v>54</v>
      </c>
      <c r="N12" s="2" t="s">
        <v>40</v>
      </c>
      <c r="O12" s="2" t="s">
        <v>32</v>
      </c>
      <c r="P12" s="2" t="s">
        <v>77</v>
      </c>
      <c r="Q12" s="2" t="s">
        <v>52</v>
      </c>
      <c r="R12" s="2" t="s">
        <v>130</v>
      </c>
      <c r="T12" s="2" t="s">
        <v>46</v>
      </c>
      <c r="U12" s="2" t="s">
        <v>47</v>
      </c>
      <c r="V12" s="2" t="s">
        <v>48</v>
      </c>
      <c r="W12" s="2" t="s">
        <v>49</v>
      </c>
      <c r="X12" s="2" t="s">
        <v>40</v>
      </c>
      <c r="Y12" s="2" t="s">
        <v>52</v>
      </c>
      <c r="Z12" s="2" t="s">
        <v>130</v>
      </c>
    </row>
    <row r="13" spans="1:37" x14ac:dyDescent="0.35">
      <c r="A13" s="13">
        <v>0.14398006905486599</v>
      </c>
      <c r="B13" s="9"/>
      <c r="C13" s="2">
        <v>0</v>
      </c>
      <c r="D13" s="2">
        <v>0</v>
      </c>
      <c r="E13" s="4">
        <f>K2</f>
        <v>28.5</v>
      </c>
      <c r="F13" s="3">
        <f>(K2^(1-Q2)*N2)^(1/Q2)</f>
        <v>7.6640632878339468E-4</v>
      </c>
      <c r="G13" s="3">
        <f>1.38E-23*I13/(4*(1.602E-19^2)*E13*H$13)</f>
        <v>8.1564977392550761E-8</v>
      </c>
      <c r="H13" s="2">
        <f>3/5.814E-23-((0.2/5.814E-29/4-F13*1.38E-23*I13/(8*(1.602E-19)^2)))*10^-6+SQRT(0.2/5.814E-29*F13*1.38E-23*I13/(8*(1.602E-19)^2)*5.814E-29+ (-0.2/5.814E-29/4+(F13*1.38E-23*I13/(8*(1.602E-19)^2)^2)))*10^-6</f>
        <v>5.0754433550876741E+22</v>
      </c>
      <c r="I13" s="6">
        <f>1/(0.000479779-0.000434801*LOG(0.05/(0.5*0.5*(H2-10)))-0.000100649*(LOG(0.05/(0.5*0.5*(H2-10))))^2-0.0000198446*(LOG(0.05/(0.5*0.5*(H2-10))))^3-0.00000195494*(LOG(0.05/(0.5*0.5*(H2-10))))^4-0.0000000757244*(LOG(0.05/(0.5*0.5*(H2-10))))^5)</f>
        <v>877.66442215924201</v>
      </c>
      <c r="L13" s="2">
        <v>0.01</v>
      </c>
      <c r="M13" s="6">
        <f>1/(0.000479779-0.000434801*LOG(0.05/(0.5*0.5*(H22-10)))-0.000100649*(LOG(0.05/(0.5*0.5*(H22-10))))^2-0.0000198446*(LOG(0.05/(0.5*0.5*(H22-10))))^3-0.00000195494*(LOG(0.05/(0.5*0.5*(H22-10))))^4-0.0000000757244*(LOG(0.05/(0.5*0.5*(H22-10))))^5)</f>
        <v>874.83635273465165</v>
      </c>
      <c r="N13" s="2">
        <f>AC22</f>
        <v>149.4</v>
      </c>
      <c r="O13" s="2">
        <f>(AC22^(1-AI22)*AF22)^(1/AI22)</f>
        <v>1.0598238796893187E-3</v>
      </c>
      <c r="P13" s="10">
        <f t="shared" ref="P13:P18" si="1">N13*A$13</f>
        <v>21.510622316796979</v>
      </c>
      <c r="Q13" s="3">
        <f t="shared" ref="Q13:Q18" si="2">1.38E-23*M13/(4*(1.602E-19^2)*N13*A$15)</f>
        <v>1.5513982844450724E-8</v>
      </c>
      <c r="R13" s="2">
        <f>3/5.814E-23-((0.2/5.814E-29/4-M13*1.38E-23*O13/(8*(1.602E-19)^2)))*10^-6+SQRT(0.2/5.814E-29*M13*1.38E-23*O13/(8*(1.602E-19)^2)*5.814E-29+ (-0.2/5.814E-29/4+(M13*1.38E-23*O13/(8*(1.602E-19)^2)^2)))*10^-6</f>
        <v>5.0757016355406608E+22</v>
      </c>
      <c r="T13" s="5">
        <f>1000/U13</f>
        <v>1.1682136318806204</v>
      </c>
      <c r="U13" s="6">
        <f>1/(0.000479779-0.000434801*LOG(0.05/(0.5*0.5*(H30-10)))-0.000100649*(LOG(0.05/(0.5*0.5*(H30-10))))^2-0.0000198446*(LOG(0.05/(0.5*0.5*(H30))))^3-0.00000195494*(LOG(0.05/(0.5*0.5*(H30-10))))^4-0.0000000757244*(LOG(0.05/(0.5*0.5*(H30-10))))^5)</f>
        <v>856.0078163016932</v>
      </c>
      <c r="V13" s="7">
        <f>U13-273</f>
        <v>583.0078163016932</v>
      </c>
      <c r="W13" s="2">
        <f>(T30^(1-Z30)*W30)^(1/Z30)</f>
        <v>1.0538418695305223E-3</v>
      </c>
      <c r="X13" s="2">
        <f>T30</f>
        <v>48.55</v>
      </c>
      <c r="Y13" s="3">
        <f>1.38E-23*U13/(4*(1.602E-19^2)*X13*A$15)</f>
        <v>4.6712765480998158E-8</v>
      </c>
      <c r="Z13" s="2">
        <f>3/5.814E-23-((0.2/5.814E-29/4-W13*1.38E-23*U13/(8*(1.602E-19)^2)))*10^-6+SQRT(0.2/5.814E-29*W13*1.38E-23*U13/(8*(1.602E-19)^2)*5.814E-29+ (-0.2/5.814E-29/4+(W13*1.38E-23*U13/(8*(1.602E-19)^2)^2)))*10^-6</f>
        <v>5.0756779146005902E+22</v>
      </c>
    </row>
    <row r="14" spans="1:37" x14ac:dyDescent="0.35">
      <c r="A14" s="11" t="s">
        <v>131</v>
      </c>
      <c r="B14" s="9"/>
      <c r="C14" s="2">
        <v>21</v>
      </c>
      <c r="D14" s="2">
        <f>C14/157</f>
        <v>0.13375796178343949</v>
      </c>
      <c r="E14" s="4">
        <f>K3</f>
        <v>29.82</v>
      </c>
      <c r="F14" s="3">
        <f t="shared" ref="F14:F18" si="3">(K3^(1-Q3)*N3)^(1/Q3)</f>
        <v>7.6615852720352852E-4</v>
      </c>
      <c r="G14" s="3">
        <f>1.38E-23*I14/(4*(1.602E-19^2)*E14*H$13)</f>
        <v>7.7961953820171913E-8</v>
      </c>
      <c r="H14" s="2">
        <f>3/5.814E-23-((0.2/5.814E-29/4-F14*1.38E-23*I14/(8*(1.602E-19)^2)))*10^-6+SQRT(0.2/5.814E-29*F14*1.38E-23*I14/(8*(1.602E-19)^2)*5.814E-29+ (-0.2/5.814E-29/4+(F14*1.38E-23*I14/(8*(1.602E-19)^2)^2)))*10^-6</f>
        <v>5.0754431865249558E+22</v>
      </c>
      <c r="I14" s="6">
        <f t="shared" ref="I14:I18" si="4">1/(0.000479779-0.000434801*LOG(0.05/(0.5*0.5*(H3-10)))-0.000100649*(LOG(0.05/(0.5*0.5*(H3-10))))^2-0.0000198446*(LOG(0.05/(0.5*0.5*(H3-10))))^3-0.00000195494*(LOG(0.05/(0.5*0.5*(H3-10))))^4-0.0000000757244*(LOG(0.05/(0.5*0.5*(H3-10))))^5)</f>
        <v>877.74884612615892</v>
      </c>
      <c r="L14" s="2">
        <v>0.04</v>
      </c>
      <c r="M14" s="6">
        <f t="shared" ref="M14:M18" si="5">1/(0.000479779-0.000434801*LOG(0.05/(0.5*0.5*(H23-10)))-0.000100649*(LOG(0.05/(0.5*0.5*(H23-10))))^2-0.0000198446*(LOG(0.05/(0.5*0.5*(H23-10))))^3-0.00000195494*(LOG(0.05/(0.5*0.5*(H23-10))))^4-0.0000000757244*(LOG(0.05/(0.5*0.5*(H23-10))))^5)</f>
        <v>877.78265189463229</v>
      </c>
      <c r="N14" s="2">
        <f>AC23</f>
        <v>57.19</v>
      </c>
      <c r="O14" s="2">
        <f>(AC23^(1-AI23)*AF23)^(1/AI23)</f>
        <v>8.177982128355993E-4</v>
      </c>
      <c r="P14" s="10">
        <f t="shared" si="1"/>
        <v>8.2342201492477862</v>
      </c>
      <c r="Q14" s="3">
        <f t="shared" si="2"/>
        <v>4.0664363593043533E-8</v>
      </c>
      <c r="R14" s="2">
        <f t="shared" ref="R14:R18" si="6">3/5.814E-23-((0.2/5.814E-29/4-M14*1.38E-23*O14/(8*(1.602E-19)^2)))*10^-6+SQRT(0.2/5.814E-29*M14*1.38E-23*O14/(8*(1.602E-19)^2)*5.814E-29+ (-0.2/5.814E-29/4+(M14*1.38E-23*O14/(8*(1.602E-19)^2)^2)))*10^-6</f>
        <v>5.0754924046294106E+22</v>
      </c>
      <c r="T14" s="5">
        <f t="shared" ref="T14:T16" si="7">1000/U14</f>
        <v>1.225471329860639</v>
      </c>
      <c r="U14" s="6">
        <f>1/(0.000479779-0.000434801*LOG(0.05/(0.5*0.5*(H31-10)))-0.000100649*(LOG(0.05/(0.5*0.5*(H31-10))))^2-0.0000198446*(LOG(0.05/(0.5*0.5*(H31))))^3-0.00000195494*(LOG(0.05/(0.5*0.5*(H31-10))))^4-0.0000000757244*(LOG(0.05/(0.5*0.5*(H31-10))))^5)</f>
        <v>816.01256237771008</v>
      </c>
      <c r="V14" s="7">
        <f t="shared" ref="V14:V16" si="8">U14-273</f>
        <v>543.01256237771008</v>
      </c>
      <c r="W14" s="2">
        <f>(T31^(1-Z31)*W31)^(1/Z31)</f>
        <v>5.9936544983277891E-4</v>
      </c>
      <c r="X14" s="2">
        <f t="shared" ref="X14:X16" si="9">T31</f>
        <v>188.6</v>
      </c>
      <c r="Y14" s="3">
        <f>1.38E-23*U14/(4*(1.602E-19^2)*X14*A$15)</f>
        <v>1.1463104177592797E-8</v>
      </c>
      <c r="Z14" s="2">
        <f t="shared" ref="Z14:Z16" si="10">3/5.814E-23-((0.2/5.814E-29/4-W14*1.38E-23*U14/(8*(1.602E-19)^2)))*10^-6+SQRT(0.2/5.814E-29*W14*1.38E-23*U14/(8*(1.602E-19)^2)*5.814E-29+ (-0.2/5.814E-29/4+(W14*1.38E-23*U14/(8*(1.602E-19)^2)^2)))*10^-6</f>
        <v>5.0752247820354801E+22</v>
      </c>
    </row>
    <row r="15" spans="1:37" x14ac:dyDescent="0.35">
      <c r="A15" s="11">
        <f>((3/5.814E-29)-(0.2/5.814E-29/4))*10^-6</f>
        <v>5.0739594083247329E+22</v>
      </c>
      <c r="B15" s="9"/>
      <c r="C15" s="2">
        <v>42</v>
      </c>
      <c r="D15" s="2">
        <f t="shared" ref="D15:D18" si="11">C15/157</f>
        <v>0.26751592356687898</v>
      </c>
      <c r="E15" s="4">
        <f t="shared" ref="E15:E18" si="12">K4</f>
        <v>34.299999999999997</v>
      </c>
      <c r="F15" s="3">
        <f t="shared" si="3"/>
        <v>7.7581458841134536E-4</v>
      </c>
      <c r="G15" s="3">
        <f>1.38E-23*I15/(4*(1.602E-19^2)*E15*H$13)</f>
        <v>6.7736324740420579E-8</v>
      </c>
      <c r="H15" s="2">
        <f>3/5.814E-23-((0.2/5.814E-29/4-F15*1.38E-23*I15/(8*(1.602E-19)^2)))*10^-6+SQRT(0.2/5.814E-29*F15*1.38E-23*I15/(8*(1.602E-19)^2)*5.814E-29+ (-0.2/5.814E-29/4+(F15*1.38E-23*I15/(8*(1.602E-19)^2)^2)))*10^-6</f>
        <v>5.0754520354676688E+22</v>
      </c>
      <c r="I15" s="6">
        <f t="shared" si="4"/>
        <v>877.19402027029355</v>
      </c>
      <c r="L15" s="2">
        <v>0.1</v>
      </c>
      <c r="M15" s="6">
        <f t="shared" si="5"/>
        <v>874.94865015173662</v>
      </c>
      <c r="N15" s="2">
        <f>AC24</f>
        <v>37.79</v>
      </c>
      <c r="O15" s="2">
        <f>(AC24^(1-AI24)*AF24)^(1/AI24)</f>
        <v>6.9869530461961398E-4</v>
      </c>
      <c r="P15" s="10">
        <f t="shared" si="1"/>
        <v>5.4410068095833859</v>
      </c>
      <c r="Q15" s="3">
        <f t="shared" si="2"/>
        <v>6.1341269050812556E-8</v>
      </c>
      <c r="R15" s="2">
        <f t="shared" si="6"/>
        <v>5.0753740932566649E+22</v>
      </c>
      <c r="T15" s="5">
        <f t="shared" si="7"/>
        <v>1.2459196883844601</v>
      </c>
      <c r="U15" s="6">
        <f>1/(0.000479779-0.000434801*LOG(0.05/(0.5*0.5*(H32-10)))-0.000100649*(LOG(0.05/(0.5*0.5*(H32-10))))^2-0.0000198446*(LOG(0.05/(0.5*0.5*(H32))))^3-0.00000195494*(LOG(0.05/(0.5*0.5*(H32-10))))^4-0.0000000757244*(LOG(0.05/(0.5*0.5*(H32-10))))^5)</f>
        <v>802.61995160913182</v>
      </c>
      <c r="V15" s="7">
        <f t="shared" si="8"/>
        <v>529.61995160913182</v>
      </c>
      <c r="W15" s="2">
        <f>(T32^(1-Z32)*W32)^(1/Z32)</f>
        <v>5.5154294461972741E-4</v>
      </c>
      <c r="X15" s="2">
        <f t="shared" si="9"/>
        <v>275.10000000000002</v>
      </c>
      <c r="Y15" s="3">
        <f>1.38E-23*U15/(4*(1.602E-19^2)*X15*A$15)</f>
        <v>7.7297677266557273E-9</v>
      </c>
      <c r="Z15" s="2">
        <f t="shared" si="10"/>
        <v>5.0751632494488373E+22</v>
      </c>
    </row>
    <row r="16" spans="1:37" x14ac:dyDescent="0.35">
      <c r="A16" s="11" t="s">
        <v>129</v>
      </c>
      <c r="B16" s="9"/>
      <c r="C16" s="2">
        <v>63</v>
      </c>
      <c r="D16" s="2">
        <f t="shared" si="11"/>
        <v>0.40127388535031849</v>
      </c>
      <c r="E16" s="4">
        <f t="shared" si="12"/>
        <v>39.89</v>
      </c>
      <c r="F16" s="3">
        <f t="shared" si="3"/>
        <v>7.9474025975898087E-4</v>
      </c>
      <c r="G16" s="3">
        <f t="shared" ref="G16:G18" si="13">1.38E-23*I16/(4*(1.602E-19^2)*E16*H$13)</f>
        <v>5.8326064955273404E-8</v>
      </c>
      <c r="H16" s="2">
        <f>3/5.814E-23-((0.2/5.814E-29/4-F16*1.38E-23*I16/(8*(1.602E-19)^2)))*10^-6+SQRT(0.2/5.814E-29*F16*1.38E-23*I16/(8*(1.602E-19)^2)*5.814E-29+ (-0.2/5.814E-29/4+(F16*1.38E-23*I16/(8*(1.602E-19)^2)^2)))*10^-6</f>
        <v>5.0754711947912367E+22</v>
      </c>
      <c r="I16" s="6">
        <f t="shared" si="4"/>
        <v>878.428923432597</v>
      </c>
      <c r="L16" s="2">
        <v>1</v>
      </c>
      <c r="M16" s="6">
        <f t="shared" si="5"/>
        <v>882.49150384250902</v>
      </c>
      <c r="N16" s="2">
        <v>11.58</v>
      </c>
      <c r="O16" s="2">
        <f t="shared" ref="O16:O18" si="14">(T25^(1-Z25)*W25)^(1/Z25)</f>
        <v>5.4837415062950021E-4</v>
      </c>
      <c r="P16" s="10">
        <f t="shared" si="1"/>
        <v>1.6672891996553481</v>
      </c>
      <c r="Q16" s="3">
        <f t="shared" si="2"/>
        <v>2.0190592170469847E-7</v>
      </c>
      <c r="R16" s="2">
        <f t="shared" si="6"/>
        <v>5.075218096889246E+22</v>
      </c>
      <c r="T16" s="5">
        <f t="shared" si="7"/>
        <v>1.2915879057567341</v>
      </c>
      <c r="U16" s="6">
        <f>1/(0.000479779-0.000434801*LOG(0.05/(0.5*0.5*(H33-10)))-0.000100649*(LOG(0.05/(0.5*0.5*(H33-10))))^2-0.0000198446*(LOG(0.05/(0.5*0.5*(H33))))^3-0.00000195494*(LOG(0.05/(0.5*0.5*(H33-10))))^4-0.0000000757244*(LOG(0.05/(0.5*0.5*(H33-10))))^5)</f>
        <v>774.240758637412</v>
      </c>
      <c r="V16" s="7">
        <f t="shared" si="8"/>
        <v>501.240758637412</v>
      </c>
      <c r="W16" s="2">
        <f t="shared" ref="W16" si="15">(T33^(1-Z33)*W33)^(1/Z33)</f>
        <v>4.7754365840392565E-4</v>
      </c>
      <c r="X16" s="2">
        <f t="shared" si="9"/>
        <v>603.20000000000005</v>
      </c>
      <c r="Y16" s="3">
        <f>1.38E-23*U16/(4*(1.602E-19^2)*X16*A$15)</f>
        <v>3.4006487822741314E-9</v>
      </c>
      <c r="Z16" s="2">
        <f t="shared" si="10"/>
        <v>5.0750596018606229E+22</v>
      </c>
    </row>
    <row r="17" spans="1:37" x14ac:dyDescent="0.35">
      <c r="A17" s="11">
        <f>(0.2/5.814E-29/4)*10^-6</f>
        <v>8.5999312005503949E+20</v>
      </c>
      <c r="B17" s="9"/>
      <c r="C17" s="2">
        <v>84</v>
      </c>
      <c r="D17" s="2">
        <f t="shared" si="11"/>
        <v>0.53503184713375795</v>
      </c>
      <c r="E17" s="4">
        <f>K6</f>
        <v>47.91</v>
      </c>
      <c r="F17" s="3">
        <f t="shared" si="3"/>
        <v>7.9286408711600105E-4</v>
      </c>
      <c r="G17" s="3">
        <f>1.38E-23*I17/(4*(1.602E-19^2)*E17*H$13)</f>
        <v>4.8528586834039149E-8</v>
      </c>
      <c r="H17" s="2">
        <f t="shared" ref="H17:H18" si="16">3/5.814E-23-((0.2/5.814E-29/4-F17*1.38E-23*I17/(8*(1.602E-19)^2)))*10^-6+SQRT(0.2/5.814E-29*F17*1.38E-23*I17/(8*(1.602E-19)^2)*5.814E-29+ (-0.2/5.814E-29/4+(F17*1.38E-23*I17/(8*(1.602E-19)^2)^2)))*10^-6</f>
        <v>5.0754688827898882E+22</v>
      </c>
      <c r="I17" s="6">
        <f t="shared" si="4"/>
        <v>877.81647837351159</v>
      </c>
      <c r="L17" s="2">
        <v>10</v>
      </c>
      <c r="M17" s="6">
        <f t="shared" si="5"/>
        <v>874.53270112537041</v>
      </c>
      <c r="N17" s="8">
        <f>T26</f>
        <v>8.782</v>
      </c>
      <c r="O17" s="2">
        <f t="shared" si="14"/>
        <v>4.3861865720083791E-4</v>
      </c>
      <c r="P17" s="10">
        <f t="shared" si="1"/>
        <v>1.2644329664398331</v>
      </c>
      <c r="Q17" s="3">
        <f t="shared" si="2"/>
        <v>2.6383335723285582E-7</v>
      </c>
      <c r="R17" s="2">
        <f t="shared" si="6"/>
        <v>5.0750800224953408E+22</v>
      </c>
    </row>
    <row r="18" spans="1:37" x14ac:dyDescent="0.35">
      <c r="B18" s="9"/>
      <c r="C18" s="2">
        <v>105</v>
      </c>
      <c r="D18" s="2">
        <f t="shared" si="11"/>
        <v>0.66878980891719741</v>
      </c>
      <c r="E18" s="4">
        <f t="shared" si="12"/>
        <v>57.19</v>
      </c>
      <c r="F18" s="3">
        <f t="shared" si="3"/>
        <v>8.177982128355993E-4</v>
      </c>
      <c r="G18" s="3">
        <f t="shared" si="13"/>
        <v>4.0652474237474135E-8</v>
      </c>
      <c r="H18" s="2">
        <f t="shared" si="16"/>
        <v>5.0754924046294106E+22</v>
      </c>
      <c r="I18" s="6">
        <f t="shared" si="4"/>
        <v>877.78265189463229</v>
      </c>
      <c r="L18" s="2">
        <v>100</v>
      </c>
      <c r="M18" s="6">
        <f t="shared" si="5"/>
        <v>872.17766587313611</v>
      </c>
      <c r="N18" s="8">
        <f>T27</f>
        <v>4.9649999999999999</v>
      </c>
      <c r="O18" s="2">
        <f t="shared" si="14"/>
        <v>2.9698178324353186E-4</v>
      </c>
      <c r="P18" s="10">
        <f t="shared" si="1"/>
        <v>0.71486104285740959</v>
      </c>
      <c r="Q18" s="3">
        <f t="shared" si="2"/>
        <v>4.6540687195801958E-7</v>
      </c>
      <c r="R18" s="2">
        <f t="shared" si="6"/>
        <v>5.0748802647415102E+22</v>
      </c>
    </row>
    <row r="21" spans="1:37" x14ac:dyDescent="0.35">
      <c r="B21" s="2" t="s">
        <v>128</v>
      </c>
      <c r="C21" s="2" t="s">
        <v>0</v>
      </c>
      <c r="D21" s="2" t="s">
        <v>1</v>
      </c>
      <c r="E21" s="2" t="s">
        <v>2</v>
      </c>
      <c r="F21" s="2" t="s">
        <v>3</v>
      </c>
      <c r="G21" s="2" t="s">
        <v>4</v>
      </c>
      <c r="H21" s="2" t="s">
        <v>33</v>
      </c>
      <c r="I21" s="2" t="s">
        <v>34</v>
      </c>
      <c r="J21" s="2" t="s">
        <v>35</v>
      </c>
      <c r="K21" s="2" t="s">
        <v>5</v>
      </c>
      <c r="L21" s="2" t="s">
        <v>6</v>
      </c>
      <c r="M21" s="2" t="s">
        <v>7</v>
      </c>
      <c r="N21" s="2" t="s">
        <v>8</v>
      </c>
      <c r="O21" s="2" t="s">
        <v>9</v>
      </c>
      <c r="P21" s="2" t="s">
        <v>10</v>
      </c>
      <c r="Q21" s="2" t="s">
        <v>11</v>
      </c>
      <c r="R21" s="2" t="s">
        <v>12</v>
      </c>
      <c r="S21" s="2" t="s">
        <v>13</v>
      </c>
      <c r="T21" s="2" t="s">
        <v>14</v>
      </c>
      <c r="U21" s="2" t="s">
        <v>15</v>
      </c>
      <c r="V21" s="2" t="s">
        <v>16</v>
      </c>
      <c r="W21" s="2" t="s">
        <v>17</v>
      </c>
      <c r="X21" s="2" t="s">
        <v>18</v>
      </c>
      <c r="Y21" s="2" t="s">
        <v>19</v>
      </c>
      <c r="Z21" s="2" t="s">
        <v>20</v>
      </c>
      <c r="AA21" s="2" t="s">
        <v>21</v>
      </c>
      <c r="AB21" s="2" t="s">
        <v>22</v>
      </c>
      <c r="AC21" s="2" t="s">
        <v>23</v>
      </c>
      <c r="AD21" s="2" t="s">
        <v>24</v>
      </c>
      <c r="AE21" s="2" t="s">
        <v>25</v>
      </c>
      <c r="AF21" s="2" t="s">
        <v>26</v>
      </c>
      <c r="AG21" s="2" t="s">
        <v>27</v>
      </c>
      <c r="AH21" s="2" t="s">
        <v>28</v>
      </c>
      <c r="AI21" s="2" t="s">
        <v>29</v>
      </c>
      <c r="AJ21" s="2" t="s">
        <v>30</v>
      </c>
      <c r="AK21" s="2" t="s">
        <v>31</v>
      </c>
    </row>
    <row r="22" spans="1:37" x14ac:dyDescent="0.35">
      <c r="A22" s="2" t="s">
        <v>102</v>
      </c>
      <c r="B22" s="2">
        <v>0.01</v>
      </c>
      <c r="C22" s="1">
        <v>1.2882E-6</v>
      </c>
      <c r="D22" s="1">
        <v>7.2139999999999997E-5</v>
      </c>
      <c r="E22" s="1">
        <v>6.4776999999999998E-6</v>
      </c>
      <c r="F22" s="1">
        <v>6.0380000000000002E-8</v>
      </c>
      <c r="G22" s="2">
        <v>0.93211999999999995</v>
      </c>
      <c r="H22" s="2">
        <v>51.8</v>
      </c>
      <c r="I22" s="2">
        <v>0.10224999999999999</v>
      </c>
      <c r="J22" s="2">
        <v>0.19739000000000001</v>
      </c>
      <c r="K22" s="2">
        <v>29.58</v>
      </c>
      <c r="L22" s="2">
        <v>0.45484000000000002</v>
      </c>
      <c r="M22" s="2">
        <v>1.5377000000000001</v>
      </c>
      <c r="N22" s="2">
        <v>4.9079999999999999E-2</v>
      </c>
      <c r="O22" s="2">
        <v>1.6458E-3</v>
      </c>
      <c r="P22" s="2">
        <v>3.3532999999999999</v>
      </c>
      <c r="Q22" s="2">
        <v>1</v>
      </c>
      <c r="R22" s="2">
        <v>0</v>
      </c>
      <c r="S22" s="2">
        <v>0</v>
      </c>
      <c r="T22" s="2">
        <v>2.6320000000000001</v>
      </c>
      <c r="U22" s="2">
        <v>0.18514</v>
      </c>
      <c r="V22" s="2">
        <v>7.0342000000000002</v>
      </c>
      <c r="W22" s="2">
        <v>4.4152999999999996E-3</v>
      </c>
      <c r="X22" s="2">
        <v>1.3299E-3</v>
      </c>
      <c r="Y22" s="2">
        <v>30.12</v>
      </c>
      <c r="Z22" s="2">
        <v>0.46073999999999998</v>
      </c>
      <c r="AA22" s="2">
        <v>3.7925E-2</v>
      </c>
      <c r="AB22" s="2">
        <v>8.2312999999999992</v>
      </c>
      <c r="AC22" s="2">
        <v>149.4</v>
      </c>
      <c r="AD22" s="2">
        <v>0.57962999999999998</v>
      </c>
      <c r="AE22" s="2">
        <v>0.38796999999999998</v>
      </c>
      <c r="AF22" s="2">
        <v>1.2596E-3</v>
      </c>
      <c r="AG22" s="1">
        <v>3.6003999999999999E-6</v>
      </c>
      <c r="AH22" s="2">
        <v>0.28583999999999998</v>
      </c>
      <c r="AI22" s="2">
        <v>0.90629999999999999</v>
      </c>
      <c r="AJ22" s="2">
        <v>1.3581999999999999E-3</v>
      </c>
      <c r="AK22" s="2">
        <v>0.14985999999999999</v>
      </c>
    </row>
    <row r="23" spans="1:37" x14ac:dyDescent="0.35">
      <c r="A23" s="2" t="s">
        <v>101</v>
      </c>
      <c r="B23" s="2">
        <v>0.04</v>
      </c>
      <c r="C23" s="1">
        <v>8.9915999999999996E-7</v>
      </c>
      <c r="D23" s="1">
        <v>5.4849000000000003E-5</v>
      </c>
      <c r="E23" s="1">
        <v>6.4046999999999999E-6</v>
      </c>
      <c r="F23" s="1">
        <v>8.3258000000000003E-9</v>
      </c>
      <c r="G23" s="2">
        <v>0.13</v>
      </c>
      <c r="H23" s="2">
        <v>50.01</v>
      </c>
      <c r="I23" s="2">
        <v>8.9862999999999998E-2</v>
      </c>
      <c r="J23" s="2">
        <v>0.17968999999999999</v>
      </c>
      <c r="K23" s="2">
        <v>3.1930000000000001</v>
      </c>
      <c r="L23" s="2">
        <v>0.35870000000000002</v>
      </c>
      <c r="M23" s="2">
        <v>11.234</v>
      </c>
      <c r="N23" s="2">
        <v>1.5332E-2</v>
      </c>
      <c r="O23" s="1">
        <v>5.0359999999999997E-3</v>
      </c>
      <c r="P23" s="2">
        <v>32.845999999999997</v>
      </c>
      <c r="Q23" s="2">
        <v>0.34105000000000002</v>
      </c>
      <c r="R23" s="1">
        <v>3.6019000000000002E-2</v>
      </c>
      <c r="S23" s="2">
        <v>10.561</v>
      </c>
      <c r="T23" s="2">
        <v>8.8810000000000002</v>
      </c>
      <c r="U23" s="2">
        <v>0.59565999999999997</v>
      </c>
      <c r="V23" s="2">
        <v>6.7070999999999996</v>
      </c>
      <c r="W23" s="2">
        <v>4.3707000000000003E-2</v>
      </c>
      <c r="X23" s="2">
        <v>3.7996000000000002E-3</v>
      </c>
      <c r="Y23" s="2">
        <v>8.6933000000000007</v>
      </c>
      <c r="Z23" s="2">
        <v>1.0089999999999999</v>
      </c>
      <c r="AA23" s="2">
        <v>2.5878000000000002E-2</v>
      </c>
      <c r="AB23" s="2">
        <v>2.5647000000000002</v>
      </c>
      <c r="AC23" s="2">
        <v>57.19</v>
      </c>
      <c r="AD23" s="2">
        <v>0.65720000000000001</v>
      </c>
      <c r="AE23" s="2">
        <v>1.1492</v>
      </c>
      <c r="AF23" s="2">
        <v>9.9584999999999995E-4</v>
      </c>
      <c r="AG23" s="1">
        <v>6.6985000000000003E-6</v>
      </c>
      <c r="AH23" s="2">
        <v>0.67264000000000002</v>
      </c>
      <c r="AI23" s="2">
        <v>0.93567999999999996</v>
      </c>
      <c r="AJ23" s="2">
        <v>3.2515E-3</v>
      </c>
      <c r="AK23" s="2">
        <v>0.34749999999999998</v>
      </c>
    </row>
    <row r="24" spans="1:37" x14ac:dyDescent="0.35">
      <c r="A24" s="2" t="s">
        <v>103</v>
      </c>
      <c r="B24" s="2">
        <v>0.1</v>
      </c>
      <c r="C24" s="1">
        <v>2.2813999999999999E-6</v>
      </c>
      <c r="D24" s="2">
        <v>1.0266E-4</v>
      </c>
      <c r="E24" s="1">
        <v>6.3543000000000003E-6</v>
      </c>
      <c r="F24" s="1">
        <v>8.4138999999999997E-8</v>
      </c>
      <c r="G24" s="2">
        <v>1.3241000000000001</v>
      </c>
      <c r="H24" s="2">
        <v>51.73</v>
      </c>
      <c r="I24" s="2">
        <v>0.21154000000000001</v>
      </c>
      <c r="J24" s="2">
        <v>0.40893000000000002</v>
      </c>
      <c r="K24" s="2">
        <v>3.234</v>
      </c>
      <c r="L24" s="2">
        <v>2.2439</v>
      </c>
      <c r="M24" s="2">
        <v>69.385000000000005</v>
      </c>
      <c r="N24" s="2">
        <v>6.4695000000000003E-2</v>
      </c>
      <c r="O24" s="1">
        <v>3.2118000000000001E-2</v>
      </c>
      <c r="P24" s="2">
        <v>49.645000000000003</v>
      </c>
      <c r="Q24" s="2">
        <v>0.97645000000000004</v>
      </c>
      <c r="R24" s="1">
        <v>0.28697</v>
      </c>
      <c r="S24" s="2">
        <v>29.388999999999999</v>
      </c>
      <c r="T24" s="2">
        <v>2.5419999999999998</v>
      </c>
      <c r="U24" s="2">
        <v>0.99978</v>
      </c>
      <c r="V24" s="2">
        <v>39.33</v>
      </c>
      <c r="W24" s="2">
        <v>1.7531999999999999E-2</v>
      </c>
      <c r="X24" s="2">
        <v>1.8266999999999999E-2</v>
      </c>
      <c r="Y24" s="2">
        <v>104.19</v>
      </c>
      <c r="Z24" s="2">
        <v>0.37561</v>
      </c>
      <c r="AA24" s="2">
        <v>0.11951000000000001</v>
      </c>
      <c r="AB24" s="2">
        <v>31.818000000000001</v>
      </c>
      <c r="AC24" s="2">
        <v>37.79</v>
      </c>
      <c r="AD24" s="2">
        <v>2.0348999999999999</v>
      </c>
      <c r="AE24" s="2">
        <v>5.3848000000000003</v>
      </c>
      <c r="AF24" s="2">
        <v>8.5786E-4</v>
      </c>
      <c r="AG24" s="1">
        <v>1.6946999999999999E-5</v>
      </c>
      <c r="AH24" s="2">
        <v>1.9755</v>
      </c>
      <c r="AI24" s="2">
        <v>0.94352999999999998</v>
      </c>
      <c r="AJ24" s="2">
        <v>1.1516E-2</v>
      </c>
      <c r="AK24" s="2">
        <v>1.2204999999999999</v>
      </c>
    </row>
    <row r="25" spans="1:37" x14ac:dyDescent="0.35">
      <c r="A25" s="2" t="s">
        <v>104</v>
      </c>
      <c r="B25" s="4">
        <v>1</v>
      </c>
      <c r="C25" s="1">
        <v>2.7752999999999999E-6</v>
      </c>
      <c r="D25" s="2">
        <v>1.3876000000000001E-4</v>
      </c>
      <c r="E25" s="1">
        <v>6.4249000000000001E-6</v>
      </c>
      <c r="F25" s="1">
        <v>1.3955E-8</v>
      </c>
      <c r="G25" s="2">
        <v>0.2172</v>
      </c>
      <c r="H25" s="2">
        <v>47.34</v>
      </c>
      <c r="I25" s="2">
        <v>0.15915000000000001</v>
      </c>
      <c r="J25" s="2">
        <v>0.33618999999999999</v>
      </c>
      <c r="K25" s="2">
        <v>3.27</v>
      </c>
      <c r="L25" s="2">
        <v>1.137</v>
      </c>
      <c r="M25" s="2">
        <v>34.771000000000001</v>
      </c>
      <c r="N25" s="2">
        <v>1.6681000000000001E-2</v>
      </c>
      <c r="O25" s="2">
        <v>1.3368E-2</v>
      </c>
      <c r="P25" s="2">
        <v>80.138999999999996</v>
      </c>
      <c r="Q25" s="2">
        <v>0.33659</v>
      </c>
      <c r="R25" s="2">
        <v>7.7994999999999995E-2</v>
      </c>
      <c r="S25" s="2">
        <v>23.172000000000001</v>
      </c>
      <c r="T25" s="2">
        <v>10.69</v>
      </c>
      <c r="U25" s="2">
        <v>0.62639999999999996</v>
      </c>
      <c r="V25" s="2">
        <v>5.8597000000000001</v>
      </c>
      <c r="W25" s="2">
        <v>6.6151999999999997E-4</v>
      </c>
      <c r="X25" s="1">
        <v>3.5135999999999997E-5</v>
      </c>
      <c r="Y25" s="2">
        <v>5.3113999999999999</v>
      </c>
      <c r="Z25" s="2">
        <v>0.96350000000000002</v>
      </c>
      <c r="AA25" s="2">
        <v>1.9613999999999999E-2</v>
      </c>
      <c r="AB25" s="2">
        <v>2.0356999999999998</v>
      </c>
      <c r="AC25" s="2">
        <v>0</v>
      </c>
      <c r="AF25" s="2">
        <v>0</v>
      </c>
      <c r="AI25" s="2">
        <v>1</v>
      </c>
    </row>
    <row r="26" spans="1:37" x14ac:dyDescent="0.35">
      <c r="A26" s="2" t="s">
        <v>105</v>
      </c>
      <c r="B26" s="4">
        <v>10</v>
      </c>
      <c r="C26" s="1">
        <v>5.2997999999999996E-6</v>
      </c>
      <c r="D26" s="2">
        <v>2.6499E-4</v>
      </c>
      <c r="E26" s="1">
        <v>6.4119000000000004E-6</v>
      </c>
      <c r="F26" s="1">
        <v>2.0109000000000002E-8</v>
      </c>
      <c r="G26" s="2">
        <v>0.31362000000000001</v>
      </c>
      <c r="H26" s="2">
        <v>51.99</v>
      </c>
      <c r="I26" s="2">
        <v>0.16761999999999999</v>
      </c>
      <c r="J26" s="2">
        <v>0.32240999999999997</v>
      </c>
      <c r="K26" s="1">
        <v>4.6360000000000001</v>
      </c>
      <c r="L26" s="1">
        <v>1.2707999999999999</v>
      </c>
      <c r="M26" s="1">
        <v>27.411999999999999</v>
      </c>
      <c r="N26" s="2">
        <v>5.8529999999999997E-3</v>
      </c>
      <c r="O26" s="1">
        <v>4.3296000000000003E-3</v>
      </c>
      <c r="P26" s="2">
        <v>73.971999999999994</v>
      </c>
      <c r="Q26" s="2">
        <v>0.39976</v>
      </c>
      <c r="R26" s="2">
        <v>7.0551000000000003E-2</v>
      </c>
      <c r="S26" s="2">
        <v>17.648</v>
      </c>
      <c r="T26" s="2">
        <v>8.782</v>
      </c>
      <c r="U26" s="2">
        <v>0.85072999999999999</v>
      </c>
      <c r="V26" s="2">
        <v>9.6872000000000007</v>
      </c>
      <c r="W26" s="2">
        <v>4.7973999999999998E-4</v>
      </c>
      <c r="X26" s="1">
        <v>4.7219999999999999E-5</v>
      </c>
      <c r="Y26" s="2">
        <v>9.8428000000000004</v>
      </c>
      <c r="Z26" s="2">
        <v>0.98387999999999998</v>
      </c>
      <c r="AA26" s="2">
        <v>3.3214E-2</v>
      </c>
      <c r="AB26" s="2">
        <v>3.3757999999999999</v>
      </c>
      <c r="AC26" s="2">
        <v>0</v>
      </c>
      <c r="AF26" s="2">
        <v>0</v>
      </c>
      <c r="AI26" s="2">
        <v>1</v>
      </c>
      <c r="AK26" s="1"/>
    </row>
    <row r="27" spans="1:37" x14ac:dyDescent="0.35">
      <c r="A27" s="2" t="s">
        <v>106</v>
      </c>
      <c r="B27" s="4">
        <v>100</v>
      </c>
      <c r="C27" s="1">
        <v>3.1489999999999998E-6</v>
      </c>
      <c r="D27" s="1">
        <v>1.4485999999999999E-4</v>
      </c>
      <c r="E27" s="1">
        <v>6.3812E-6</v>
      </c>
      <c r="F27" s="1">
        <v>1.468E-8</v>
      </c>
      <c r="G27" s="2">
        <v>0.23005</v>
      </c>
      <c r="H27" s="2">
        <v>53.5</v>
      </c>
      <c r="I27" s="2">
        <v>7.0327000000000001E-2</v>
      </c>
      <c r="J27" s="2">
        <v>0.13145000000000001</v>
      </c>
      <c r="K27" s="2">
        <v>4.1520000000000001</v>
      </c>
      <c r="L27" s="2">
        <v>1.1907000000000001</v>
      </c>
      <c r="M27" s="2">
        <v>28.678000000000001</v>
      </c>
      <c r="N27" s="2">
        <v>2.7033999999999999E-3</v>
      </c>
      <c r="O27" s="1">
        <v>1.5058000000000001E-3</v>
      </c>
      <c r="P27" s="2">
        <v>55.7</v>
      </c>
      <c r="Q27" s="2">
        <v>0.50541999999999998</v>
      </c>
      <c r="R27" s="2">
        <v>5.1261000000000001E-2</v>
      </c>
      <c r="S27" s="2">
        <v>10.141999999999999</v>
      </c>
      <c r="T27" s="2">
        <v>4.9649999999999999</v>
      </c>
      <c r="U27" s="2">
        <v>0.97679000000000005</v>
      </c>
      <c r="V27" s="2">
        <v>19.673999999999999</v>
      </c>
      <c r="W27" s="2">
        <v>3.0898999999999998E-4</v>
      </c>
      <c r="X27" s="1">
        <v>5.6456000000000003E-5</v>
      </c>
      <c r="Y27" s="2">
        <v>18.271000000000001</v>
      </c>
      <c r="Z27" s="2">
        <v>0.99392000000000003</v>
      </c>
      <c r="AA27" s="2">
        <v>5.7472000000000002E-2</v>
      </c>
      <c r="AB27" s="2">
        <v>5.7824</v>
      </c>
      <c r="AC27" s="2">
        <v>0</v>
      </c>
      <c r="AF27" s="2">
        <v>0</v>
      </c>
      <c r="AI27" s="2">
        <v>1</v>
      </c>
      <c r="AK27" s="1"/>
    </row>
    <row r="28" spans="1:37" x14ac:dyDescent="0.35">
      <c r="B28" s="4"/>
    </row>
    <row r="29" spans="1:37" x14ac:dyDescent="0.35">
      <c r="B29" s="2" t="s">
        <v>54</v>
      </c>
      <c r="C29" s="2" t="s">
        <v>0</v>
      </c>
      <c r="D29" s="2" t="s">
        <v>1</v>
      </c>
      <c r="E29" s="2" t="s">
        <v>2</v>
      </c>
      <c r="F29" s="2" t="s">
        <v>3</v>
      </c>
      <c r="G29" s="2" t="s">
        <v>4</v>
      </c>
      <c r="H29" s="2" t="s">
        <v>33</v>
      </c>
      <c r="I29" s="2" t="s">
        <v>34</v>
      </c>
      <c r="J29" s="2" t="s">
        <v>35</v>
      </c>
      <c r="K29" s="2" t="s">
        <v>43</v>
      </c>
      <c r="L29" s="2" t="s">
        <v>6</v>
      </c>
      <c r="M29" s="2" t="s">
        <v>7</v>
      </c>
      <c r="N29" s="2" t="s">
        <v>44</v>
      </c>
      <c r="O29" s="2" t="s">
        <v>9</v>
      </c>
      <c r="P29" s="2" t="s">
        <v>10</v>
      </c>
      <c r="Q29" s="2" t="s">
        <v>45</v>
      </c>
      <c r="R29" s="2" t="s">
        <v>12</v>
      </c>
      <c r="S29" s="2" t="s">
        <v>13</v>
      </c>
      <c r="T29" s="2" t="s">
        <v>14</v>
      </c>
      <c r="U29" s="2" t="s">
        <v>15</v>
      </c>
      <c r="V29" s="2" t="s">
        <v>16</v>
      </c>
      <c r="W29" s="2" t="s">
        <v>17</v>
      </c>
      <c r="X29" s="2" t="s">
        <v>18</v>
      </c>
      <c r="Y29" s="2" t="s">
        <v>19</v>
      </c>
      <c r="Z29" s="2" t="s">
        <v>20</v>
      </c>
      <c r="AA29" s="2" t="s">
        <v>21</v>
      </c>
      <c r="AB29" s="2" t="s">
        <v>22</v>
      </c>
    </row>
    <row r="30" spans="1:37" x14ac:dyDescent="0.35">
      <c r="A30" s="2" t="s">
        <v>107</v>
      </c>
      <c r="B30" s="9">
        <f>1/(0.000479779-0.000434801*LOG(0.05/(0.5*0.5*(H30-10)))-0.000100649*(LOG(0.05/(0.5*0.5*(H30-10))))^2-0.0000198446*(LOG(0.05/(0.5*0.5*(H30-10))))^3-0.00000195494*(LOG(0.05/(0.5*0.5*(H30-10))))^4-0.0000000757244*(LOG(0.05/(0.5*0.5*(H30-10))))^5)</f>
        <v>880.57406387959236</v>
      </c>
      <c r="C30" s="1">
        <v>1.9650999999999999E-5</v>
      </c>
      <c r="D30" s="2">
        <v>1.2183999999999999E-3</v>
      </c>
      <c r="E30" s="1">
        <v>6.3844999999999996E-6</v>
      </c>
      <c r="F30" s="1">
        <v>3.1861999999999998E-8</v>
      </c>
      <c r="G30" s="2">
        <v>0.49904999999999999</v>
      </c>
      <c r="H30" s="2">
        <v>48.4</v>
      </c>
      <c r="I30" s="2">
        <v>6.1498999999999998E-2</v>
      </c>
      <c r="J30" s="2">
        <v>0.12706000000000001</v>
      </c>
      <c r="K30" s="2">
        <v>33.08</v>
      </c>
      <c r="L30" s="2">
        <v>2.4733999999999998</v>
      </c>
      <c r="M30" s="2">
        <v>7.4770000000000003</v>
      </c>
      <c r="N30" s="2">
        <v>1.6892999999999998E-2</v>
      </c>
      <c r="O30" s="2">
        <v>7.0800999999999998E-3</v>
      </c>
      <c r="P30" s="2">
        <v>41.911000000000001</v>
      </c>
      <c r="Q30" s="2">
        <v>0.53183000000000002</v>
      </c>
      <c r="R30" s="2">
        <v>4.9410000000000003E-2</v>
      </c>
      <c r="S30" s="2">
        <v>9.2905999999999995</v>
      </c>
      <c r="T30" s="2">
        <v>48.55</v>
      </c>
      <c r="U30" s="2">
        <v>4.5484999999999998</v>
      </c>
      <c r="V30" s="2">
        <v>9.3687000000000005</v>
      </c>
      <c r="W30" s="2">
        <v>1.0953E-3</v>
      </c>
      <c r="X30" s="1">
        <v>2.4561000000000001E-5</v>
      </c>
      <c r="Y30" s="2">
        <v>2.2423999999999999</v>
      </c>
      <c r="Z30" s="2">
        <v>0.98702000000000001</v>
      </c>
      <c r="AA30" s="2">
        <v>2.164E-2</v>
      </c>
      <c r="AB30" s="2">
        <v>2.1924999999999999</v>
      </c>
    </row>
    <row r="31" spans="1:37" x14ac:dyDescent="0.35">
      <c r="A31" s="2" t="s">
        <v>108</v>
      </c>
      <c r="B31" s="9">
        <f>1/(0.000479779-0.000434801*LOG(0.05/(0.5*0.5*(H31-10)))-0.000100649*(LOG(0.05/(0.5*0.5*(H31-10))))^2-0.0000198446*(LOG(0.05/(0.5*0.5*(H31-10))))^3-0.00000195494*(LOG(0.05/(0.5*0.5*(H31-10))))^4-0.0000000757244*(LOG(0.05/(0.5*0.5*(H31-10))))^5)</f>
        <v>829.53573311531181</v>
      </c>
      <c r="C31" s="1">
        <v>3.0835000000000002E-6</v>
      </c>
      <c r="D31" s="2">
        <v>1.9734E-4</v>
      </c>
      <c r="E31" s="1">
        <v>6.2709999999999998E-6</v>
      </c>
      <c r="F31" s="1">
        <v>2.8249E-8</v>
      </c>
      <c r="G31" s="2">
        <v>0.45046999999999998</v>
      </c>
      <c r="H31" s="2">
        <v>96.72</v>
      </c>
      <c r="I31" s="2">
        <v>0.70296000000000003</v>
      </c>
      <c r="J31" s="2">
        <v>0.7268</v>
      </c>
      <c r="K31" s="2">
        <v>10.76</v>
      </c>
      <c r="L31" s="1">
        <v>2.8323</v>
      </c>
      <c r="M31" s="1">
        <v>26.321999999999999</v>
      </c>
      <c r="N31" s="2">
        <v>1.5169E-2</v>
      </c>
      <c r="O31" s="1">
        <v>6.9686000000000001E-3</v>
      </c>
      <c r="P31" s="2">
        <v>45.94</v>
      </c>
      <c r="Q31" s="2">
        <v>0.23347999999999999</v>
      </c>
      <c r="R31" s="2">
        <v>5.6758999999999997E-2</v>
      </c>
      <c r="S31" s="2">
        <v>24.31</v>
      </c>
      <c r="T31" s="2">
        <v>188.6</v>
      </c>
      <c r="U31" s="2">
        <v>1.1024</v>
      </c>
      <c r="V31" s="2">
        <v>0.58452000000000004</v>
      </c>
      <c r="W31" s="2">
        <v>6.8097999999999998E-4</v>
      </c>
      <c r="X31" s="1">
        <v>2.5508000000000002E-6</v>
      </c>
      <c r="Y31" s="2">
        <v>0.37458000000000002</v>
      </c>
      <c r="Z31" s="2">
        <v>0.94144000000000005</v>
      </c>
      <c r="AA31" s="2">
        <v>2.5785000000000001E-3</v>
      </c>
      <c r="AB31" s="2">
        <v>0.27389000000000002</v>
      </c>
      <c r="AK31" s="1"/>
    </row>
    <row r="32" spans="1:37" x14ac:dyDescent="0.35">
      <c r="A32" s="2" t="s">
        <v>109</v>
      </c>
      <c r="B32" s="9">
        <f>1/(0.000479779-0.000434801*LOG(0.05/(0.5*0.5*(H32-10)))-0.000100649*(LOG(0.05/(0.5*0.5*(H32-10))))^2-0.0000198446*(LOG(0.05/(0.5*0.5*(H32-10))))^3-0.00000195494*(LOG(0.05/(0.5*0.5*(H32-10))))^4-0.0000000757244*(LOG(0.05/(0.5*0.5*(H32-10))))^5)</f>
        <v>813.44964769585181</v>
      </c>
      <c r="C32" s="1">
        <v>4.2490999999999997E-6</v>
      </c>
      <c r="D32" s="1">
        <v>2.7193999999999997E-4</v>
      </c>
      <c r="E32" s="1">
        <v>6.0662999999999998E-6</v>
      </c>
      <c r="F32" s="1">
        <v>3.9673000000000001E-8</v>
      </c>
      <c r="G32" s="2">
        <v>0.65398999999999996</v>
      </c>
      <c r="H32" s="2">
        <v>125.5</v>
      </c>
      <c r="I32" s="2">
        <v>0.63344999999999996</v>
      </c>
      <c r="J32" s="2">
        <v>0.50473999999999997</v>
      </c>
      <c r="K32" s="2">
        <v>14.13</v>
      </c>
      <c r="L32" s="2">
        <v>2.8500999999999999</v>
      </c>
      <c r="M32" s="2">
        <v>20.170999999999999</v>
      </c>
      <c r="N32" s="2">
        <v>9.4893000000000009E-3</v>
      </c>
      <c r="O32" s="1">
        <v>3.8893E-3</v>
      </c>
      <c r="P32" s="2">
        <v>40.985999999999997</v>
      </c>
      <c r="Q32" s="2">
        <v>0.26774999999999999</v>
      </c>
      <c r="R32" s="2">
        <v>4.9487000000000003E-2</v>
      </c>
      <c r="S32" s="2">
        <v>18.483000000000001</v>
      </c>
      <c r="T32" s="2">
        <v>275.10000000000002</v>
      </c>
      <c r="U32" s="2">
        <v>1.4971000000000001</v>
      </c>
      <c r="V32" s="2">
        <v>0.54420000000000002</v>
      </c>
      <c r="W32" s="2">
        <v>6.1101999999999999E-4</v>
      </c>
      <c r="X32" s="1">
        <v>2.4037E-6</v>
      </c>
      <c r="Y32" s="2">
        <v>0.39339000000000002</v>
      </c>
      <c r="Z32" s="2">
        <v>0.94569000000000003</v>
      </c>
      <c r="AA32" s="2">
        <v>2.6137999999999999E-3</v>
      </c>
      <c r="AB32" s="2">
        <v>0.27639000000000002</v>
      </c>
      <c r="AK32" s="1"/>
    </row>
    <row r="33" spans="1:37" x14ac:dyDescent="0.35">
      <c r="A33" s="2" t="s">
        <v>110</v>
      </c>
      <c r="B33" s="9">
        <f>1/(0.000479779-0.000434801*LOG(0.05/(0.5*0.5*(H33-10)))-0.000100649*(LOG(0.05/(0.5*0.5*(H33-10))))^2-0.0000198446*(LOG(0.05/(0.5*0.5*(H33-10))))^3-0.00000195494*(LOG(0.05/(0.5*0.5*(H33-10))))^4-0.0000000757244*(LOG(0.05/(0.5*0.5*(H33-10))))^5)</f>
        <v>780.77063077496939</v>
      </c>
      <c r="C33" s="1">
        <v>1.1941E-5</v>
      </c>
      <c r="D33" s="1">
        <v>8.1196999999999997E-4</v>
      </c>
      <c r="E33" s="1">
        <v>4.9980999999999996E-6</v>
      </c>
      <c r="F33" s="1">
        <v>1.1155E-7</v>
      </c>
      <c r="G33" s="2">
        <v>2.2317999999999998</v>
      </c>
      <c r="H33" s="2">
        <v>227</v>
      </c>
      <c r="I33" s="2">
        <v>2.0442</v>
      </c>
      <c r="J33" s="2">
        <v>0.90053000000000005</v>
      </c>
      <c r="K33" s="2">
        <v>39.32</v>
      </c>
      <c r="L33" s="2">
        <v>25.587</v>
      </c>
      <c r="M33" s="2">
        <v>65.073999999999998</v>
      </c>
      <c r="N33" s="2">
        <v>1.1698999999999999E-2</v>
      </c>
      <c r="O33" s="1">
        <v>7.5849000000000003E-3</v>
      </c>
      <c r="P33" s="2">
        <v>64.834000000000003</v>
      </c>
      <c r="Q33" s="2">
        <v>0.21076</v>
      </c>
      <c r="R33" s="1">
        <v>7.7641000000000002E-2</v>
      </c>
      <c r="S33" s="2">
        <v>36.838999999999999</v>
      </c>
      <c r="T33" s="2">
        <v>603.20000000000005</v>
      </c>
      <c r="U33" s="2">
        <v>7.5016999999999996</v>
      </c>
      <c r="V33" s="2">
        <v>1.2437</v>
      </c>
      <c r="W33" s="2">
        <v>5.0390999999999999E-4</v>
      </c>
      <c r="X33" s="1">
        <v>2.8914E-6</v>
      </c>
      <c r="Y33" s="2">
        <v>0.57379000000000002</v>
      </c>
      <c r="Z33" s="2">
        <v>0.95682</v>
      </c>
      <c r="AA33" s="2">
        <v>4.8663999999999999E-3</v>
      </c>
      <c r="AB33" s="2">
        <v>0.50860000000000005</v>
      </c>
      <c r="AK33" s="1"/>
    </row>
    <row r="36" spans="1:37" x14ac:dyDescent="0.35">
      <c r="C36" s="1"/>
      <c r="E36" s="1"/>
      <c r="F36" s="1"/>
      <c r="X36" s="1"/>
    </row>
    <row r="37" spans="1:37" x14ac:dyDescent="0.35">
      <c r="C37" s="1"/>
      <c r="E37" s="1"/>
      <c r="F37" s="1"/>
      <c r="K37" s="1"/>
      <c r="L37" s="1"/>
      <c r="M37" s="1"/>
      <c r="O37" s="1"/>
      <c r="X37" s="1"/>
      <c r="AG37" s="1"/>
    </row>
    <row r="38" spans="1:37" x14ac:dyDescent="0.35">
      <c r="C38" s="1"/>
      <c r="D38" s="1"/>
      <c r="E38" s="1"/>
      <c r="F38" s="1"/>
      <c r="O38" s="1"/>
      <c r="X38" s="1"/>
      <c r="AG38" s="1"/>
    </row>
    <row r="39" spans="1:37" x14ac:dyDescent="0.35">
      <c r="C39" s="1"/>
      <c r="D39" s="1"/>
      <c r="E39" s="1"/>
      <c r="F39" s="1"/>
      <c r="N39" s="1"/>
      <c r="O39" s="1"/>
      <c r="R39" s="1"/>
      <c r="X39" s="1"/>
      <c r="AG39" s="1"/>
    </row>
    <row r="40" spans="1:37" x14ac:dyDescent="0.35">
      <c r="C40" s="1"/>
      <c r="E40" s="1"/>
      <c r="F40" s="1"/>
      <c r="O40" s="1"/>
      <c r="R40" s="1"/>
    </row>
    <row r="41" spans="1:37" x14ac:dyDescent="0.35">
      <c r="C41" s="1"/>
      <c r="D41" s="1"/>
      <c r="E41" s="1"/>
      <c r="F41" s="1"/>
      <c r="O41" s="1"/>
      <c r="R41" s="1"/>
    </row>
    <row r="42" spans="1:37" x14ac:dyDescent="0.35">
      <c r="C42" s="1"/>
      <c r="E42" s="1"/>
      <c r="F42" s="1"/>
      <c r="O42" s="1"/>
      <c r="R42" s="1"/>
      <c r="AG42" s="1"/>
    </row>
    <row r="43" spans="1:37" x14ac:dyDescent="0.35">
      <c r="C43" s="1"/>
      <c r="E43" s="1"/>
      <c r="F43" s="1"/>
      <c r="AG43" s="1"/>
    </row>
    <row r="44" spans="1:37" x14ac:dyDescent="0.35">
      <c r="C44" s="1"/>
      <c r="E44" s="1"/>
      <c r="F44" s="1"/>
      <c r="AG44" s="1"/>
    </row>
    <row r="47" spans="1:37" x14ac:dyDescent="0.35">
      <c r="C47" s="1"/>
      <c r="D47" s="1"/>
      <c r="E47" s="1"/>
      <c r="F47" s="1"/>
      <c r="AE47" s="1"/>
    </row>
    <row r="61" spans="25:25" x14ac:dyDescent="0.35">
      <c r="Y6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70" zoomScaleNormal="70" workbookViewId="0">
      <selection activeCell="A53" sqref="A53"/>
    </sheetView>
  </sheetViews>
  <sheetFormatPr baseColWidth="10" defaultColWidth="8.7265625" defaultRowHeight="14.5" x14ac:dyDescent="0.35"/>
  <cols>
    <col min="1" max="1" width="119.26953125" style="2" customWidth="1"/>
    <col min="2" max="2" width="17" style="2" customWidth="1"/>
    <col min="3" max="3" width="12" style="2" customWidth="1"/>
    <col min="4" max="4" width="17.36328125" style="2" customWidth="1"/>
    <col min="5" max="5" width="20.54296875" style="2" customWidth="1"/>
    <col min="6" max="6" width="16" style="2" customWidth="1"/>
    <col min="7" max="7" width="14.54296875" style="2" customWidth="1"/>
    <col min="8" max="8" width="12.7265625" style="2" customWidth="1"/>
    <col min="9" max="9" width="13.6328125" style="2" bestFit="1" customWidth="1"/>
    <col min="10" max="12" width="8.81640625" style="2" bestFit="1" customWidth="1"/>
    <col min="13" max="13" width="11.81640625" style="2" bestFit="1" customWidth="1"/>
    <col min="14" max="14" width="13" style="2" customWidth="1"/>
    <col min="15" max="16" width="10.36328125" style="2" bestFit="1" customWidth="1"/>
    <col min="17" max="17" width="11.81640625" style="2" bestFit="1" customWidth="1"/>
    <col min="18" max="23" width="8.81640625" style="2" bestFit="1" customWidth="1"/>
    <col min="24" max="25" width="11.81640625" style="2" bestFit="1" customWidth="1"/>
    <col min="26" max="26" width="12.08984375" style="2" bestFit="1" customWidth="1"/>
    <col min="27" max="27" width="13.90625" style="2" bestFit="1" customWidth="1"/>
    <col min="28" max="32" width="8.81640625" style="2" bestFit="1" customWidth="1"/>
    <col min="33" max="33" width="10.81640625" style="2" bestFit="1" customWidth="1"/>
    <col min="34" max="37" width="8.81640625" style="2" bestFit="1" customWidth="1"/>
    <col min="38" max="16384" width="8.7265625" style="2"/>
  </cols>
  <sheetData>
    <row r="1" spans="1:37" x14ac:dyDescent="0.35">
      <c r="B1" s="2" t="s">
        <v>136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33</v>
      </c>
      <c r="I1" s="2" t="s">
        <v>34</v>
      </c>
      <c r="J1" s="2" t="s">
        <v>35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</row>
    <row r="2" spans="1:37" x14ac:dyDescent="0.35">
      <c r="A2" s="2" t="s">
        <v>111</v>
      </c>
      <c r="B2" s="2">
        <f>D10</f>
        <v>0</v>
      </c>
      <c r="C2" s="1">
        <v>8.0261000000000001E-7</v>
      </c>
      <c r="D2" s="1">
        <v>5.0563999999999999E-5</v>
      </c>
      <c r="E2" s="1">
        <v>5.8919999999999997E-6</v>
      </c>
      <c r="F2" s="1">
        <v>7.8727999999999995E-9</v>
      </c>
      <c r="G2" s="2">
        <v>0.13361999999999999</v>
      </c>
      <c r="H2" s="2">
        <v>49.91</v>
      </c>
      <c r="I2" s="2">
        <v>0.12692999999999999</v>
      </c>
      <c r="J2" s="2">
        <v>0.25431999999999999</v>
      </c>
      <c r="K2" s="2">
        <v>4.2990000000000004</v>
      </c>
      <c r="L2" s="2">
        <v>0.84253</v>
      </c>
      <c r="M2" s="2">
        <v>19.597999999999999</v>
      </c>
      <c r="N2" s="2">
        <v>2.9908000000000001E-2</v>
      </c>
      <c r="O2" s="2">
        <v>1.1089999999999999E-2</v>
      </c>
      <c r="P2" s="2">
        <v>37.08</v>
      </c>
      <c r="Q2" s="2">
        <v>0.27584999999999998</v>
      </c>
      <c r="R2" s="2">
        <v>4.0067999999999999E-2</v>
      </c>
      <c r="S2" s="2">
        <v>14.525</v>
      </c>
      <c r="T2" s="2">
        <v>25.42</v>
      </c>
      <c r="U2" s="2">
        <v>0.35526999999999997</v>
      </c>
      <c r="V2" s="2">
        <v>1.3976</v>
      </c>
      <c r="W2" s="2">
        <v>1.1092000000000001E-3</v>
      </c>
      <c r="X2" s="1">
        <v>1.2575000000000001E-5</v>
      </c>
      <c r="Y2" s="2">
        <v>1.1336999999999999</v>
      </c>
      <c r="Z2" s="2">
        <v>0.96089000000000002</v>
      </c>
      <c r="AA2" s="2">
        <v>4.8869999999999999E-3</v>
      </c>
      <c r="AB2" s="2">
        <v>0.50858999999999999</v>
      </c>
      <c r="AC2" s="2">
        <v>11.61</v>
      </c>
      <c r="AD2" s="2">
        <v>0.30686999999999998</v>
      </c>
      <c r="AE2" s="2">
        <v>2.6432000000000002</v>
      </c>
      <c r="AF2" s="2">
        <v>3.0904000000000001E-2</v>
      </c>
      <c r="AG2" s="2">
        <v>7.8790999999999996E-4</v>
      </c>
      <c r="AH2" s="2">
        <v>2.5495000000000001</v>
      </c>
      <c r="AI2" s="2">
        <v>0.97965000000000002</v>
      </c>
      <c r="AJ2" s="2">
        <v>1.1217E-2</v>
      </c>
      <c r="AK2" s="2">
        <v>1.145</v>
      </c>
    </row>
    <row r="3" spans="1:37" x14ac:dyDescent="0.35">
      <c r="A3" s="2" t="s">
        <v>112</v>
      </c>
      <c r="B3" s="2">
        <f t="shared" ref="B3:B7" si="0">D11</f>
        <v>0.1111111111111111</v>
      </c>
      <c r="C3" s="1">
        <v>8.9294999999999996E-7</v>
      </c>
      <c r="D3" s="1">
        <v>5.4469999999999999E-5</v>
      </c>
      <c r="E3" s="1">
        <v>5.8911999999999996E-6</v>
      </c>
      <c r="F3" s="1">
        <v>8.4524000000000003E-9</v>
      </c>
      <c r="G3" s="2">
        <v>0.14348</v>
      </c>
      <c r="H3" s="2">
        <v>50.32</v>
      </c>
      <c r="I3" s="2">
        <v>0.13747000000000001</v>
      </c>
      <c r="J3" s="2">
        <v>0.27318999999999999</v>
      </c>
      <c r="K3" s="2">
        <v>3.9039999999999999</v>
      </c>
      <c r="L3" s="2">
        <v>0.64158000000000004</v>
      </c>
      <c r="M3" s="2">
        <v>16.434000000000001</v>
      </c>
      <c r="N3" s="2">
        <v>2.6571000000000001E-2</v>
      </c>
      <c r="O3" s="2">
        <v>9.4234000000000002E-3</v>
      </c>
      <c r="P3" s="2">
        <v>35.465000000000003</v>
      </c>
      <c r="Q3" s="2">
        <v>0.28006999999999999</v>
      </c>
      <c r="R3" s="2">
        <v>4.0058000000000003E-2</v>
      </c>
      <c r="S3" s="2">
        <v>14.303000000000001</v>
      </c>
      <c r="T3" s="2">
        <v>64.19</v>
      </c>
      <c r="U3" s="2">
        <v>0.93562000000000001</v>
      </c>
      <c r="V3" s="2">
        <v>1.4576</v>
      </c>
      <c r="W3" s="2">
        <v>1.1933E-3</v>
      </c>
      <c r="X3" s="1">
        <v>6.6930000000000001E-6</v>
      </c>
      <c r="Y3" s="2">
        <v>0.56088000000000005</v>
      </c>
      <c r="Z3" s="2">
        <v>0.93994999999999995</v>
      </c>
      <c r="AA3" s="2">
        <v>3.4575999999999999E-3</v>
      </c>
      <c r="AB3" s="2">
        <v>0.36785000000000001</v>
      </c>
      <c r="AC3" s="2">
        <v>7.5430000000000001</v>
      </c>
      <c r="AD3" s="2">
        <v>0.81811999999999996</v>
      </c>
      <c r="AE3" s="2">
        <v>10.846</v>
      </c>
      <c r="AF3" s="2">
        <v>5.2631999999999998E-2</v>
      </c>
      <c r="AG3" s="2">
        <v>7.6353999999999997E-3</v>
      </c>
      <c r="AH3" s="2">
        <v>14.507</v>
      </c>
      <c r="AI3" s="2">
        <v>1.0289999999999999</v>
      </c>
      <c r="AJ3" s="2">
        <v>3.4874000000000002E-2</v>
      </c>
      <c r="AK3" s="2">
        <v>3.3891</v>
      </c>
    </row>
    <row r="4" spans="1:37" x14ac:dyDescent="0.35">
      <c r="A4" s="2" t="s">
        <v>113</v>
      </c>
      <c r="B4" s="2">
        <f t="shared" si="0"/>
        <v>0.22222222222222221</v>
      </c>
      <c r="C4" s="1">
        <v>1.5734E-6</v>
      </c>
      <c r="D4" s="1">
        <v>9.7547999999999995E-5</v>
      </c>
      <c r="E4" s="1">
        <v>5.8803999999999996E-6</v>
      </c>
      <c r="F4" s="1">
        <v>1.0193000000000001E-8</v>
      </c>
      <c r="G4" s="2">
        <v>0.17333999999999999</v>
      </c>
      <c r="H4" s="2">
        <v>50</v>
      </c>
      <c r="I4" s="2">
        <v>6.7108000000000001E-2</v>
      </c>
      <c r="J4" s="2">
        <v>0.13422000000000001</v>
      </c>
      <c r="K4" s="2">
        <v>2.254</v>
      </c>
      <c r="L4" s="2">
        <v>0.13968</v>
      </c>
      <c r="M4" s="2">
        <v>6.1970000000000001</v>
      </c>
      <c r="N4" s="2">
        <v>5.3886999999999997E-3</v>
      </c>
      <c r="O4" s="2">
        <v>1.6984000000000001E-3</v>
      </c>
      <c r="P4" s="2">
        <v>31.518000000000001</v>
      </c>
      <c r="Q4" s="2">
        <v>0.44313999999999998</v>
      </c>
      <c r="R4" s="2">
        <v>3.5146999999999998E-2</v>
      </c>
      <c r="S4" s="2">
        <v>7.9314</v>
      </c>
      <c r="T4" s="2">
        <v>98.56</v>
      </c>
      <c r="U4" s="2">
        <v>0.16388</v>
      </c>
      <c r="V4" s="2">
        <v>0.16627</v>
      </c>
      <c r="W4" s="2">
        <v>1.2978E-3</v>
      </c>
      <c r="X4" s="1">
        <v>3.7237E-6</v>
      </c>
      <c r="Y4" s="2">
        <v>0.28692000000000001</v>
      </c>
      <c r="Z4" s="2">
        <v>0.91108999999999996</v>
      </c>
      <c r="AA4" s="2">
        <v>1.2068999999999999E-3</v>
      </c>
      <c r="AB4" s="2">
        <v>0.13247</v>
      </c>
    </row>
    <row r="5" spans="1:37" x14ac:dyDescent="0.35">
      <c r="A5" s="2" t="s">
        <v>114</v>
      </c>
      <c r="B5" s="2">
        <f t="shared" si="0"/>
        <v>0.33333333333333331</v>
      </c>
      <c r="C5" s="1">
        <v>6.3733999999999998E-6</v>
      </c>
      <c r="D5" s="2">
        <v>3.9514999999999998E-4</v>
      </c>
      <c r="E5" s="1">
        <v>5.8185999999999997E-6</v>
      </c>
      <c r="F5" s="1">
        <v>2.2486E-8</v>
      </c>
      <c r="G5" s="2">
        <v>0.38645000000000002</v>
      </c>
      <c r="H5" s="2">
        <v>50.51</v>
      </c>
      <c r="I5" s="2">
        <v>0.36681000000000002</v>
      </c>
      <c r="J5" s="2">
        <v>0.72621000000000002</v>
      </c>
      <c r="K5" s="2">
        <v>3.75</v>
      </c>
      <c r="L5" s="2">
        <v>1.1104000000000001</v>
      </c>
      <c r="M5" s="2">
        <v>29.611000000000001</v>
      </c>
      <c r="N5" s="2">
        <v>2.4447E-2</v>
      </c>
      <c r="O5" s="2">
        <v>1.6695000000000002E-2</v>
      </c>
      <c r="P5" s="2">
        <v>68.290999999999997</v>
      </c>
      <c r="Q5" s="2">
        <v>0.27556000000000003</v>
      </c>
      <c r="R5" s="2">
        <v>8.5177000000000003E-2</v>
      </c>
      <c r="S5" s="2">
        <v>30.911000000000001</v>
      </c>
      <c r="T5" s="2">
        <v>152.80000000000001</v>
      </c>
      <c r="U5" s="2">
        <v>0.72421999999999997</v>
      </c>
      <c r="V5" s="2">
        <v>0.47397</v>
      </c>
      <c r="W5" s="2">
        <v>1.3018000000000001E-3</v>
      </c>
      <c r="X5" s="1">
        <v>5.5698999999999998E-6</v>
      </c>
      <c r="Y5" s="2">
        <v>0.42786000000000002</v>
      </c>
      <c r="Z5" s="2">
        <v>0.91598999999999997</v>
      </c>
      <c r="AA5" s="2">
        <v>2.5195999999999999E-3</v>
      </c>
      <c r="AB5" s="2">
        <v>0.27506999999999998</v>
      </c>
    </row>
    <row r="6" spans="1:37" x14ac:dyDescent="0.35">
      <c r="A6" s="2" t="s">
        <v>115</v>
      </c>
      <c r="B6" s="2">
        <f t="shared" si="0"/>
        <v>0.44444444444444442</v>
      </c>
      <c r="C6" s="1">
        <v>2.9070000000000001E-5</v>
      </c>
      <c r="D6" s="2">
        <v>1.8605E-3</v>
      </c>
      <c r="E6" s="1">
        <v>5.8247000000000003E-6</v>
      </c>
      <c r="F6" s="1">
        <v>4.9551999999999999E-8</v>
      </c>
      <c r="G6" s="2">
        <v>0.85072000000000003</v>
      </c>
      <c r="H6" s="2">
        <v>49.34</v>
      </c>
      <c r="I6" s="2">
        <v>2.3555000000000001</v>
      </c>
      <c r="J6" s="2">
        <v>4.774</v>
      </c>
      <c r="K6" s="2">
        <v>7.3220000000000001</v>
      </c>
      <c r="L6" s="2">
        <v>19.451000000000001</v>
      </c>
      <c r="M6" s="2">
        <v>265.64999999999998</v>
      </c>
      <c r="N6" s="2">
        <v>7.4926000000000006E-2</v>
      </c>
      <c r="O6" s="2">
        <v>0.16811000000000001</v>
      </c>
      <c r="P6" s="2">
        <v>224.37</v>
      </c>
      <c r="Q6" s="2">
        <v>0.16081000000000001</v>
      </c>
      <c r="R6" s="2">
        <v>0.28717999999999999</v>
      </c>
      <c r="S6" s="2">
        <v>178.58</v>
      </c>
      <c r="T6" s="2">
        <v>264.8</v>
      </c>
      <c r="U6" s="2">
        <v>3.8024</v>
      </c>
      <c r="V6" s="2">
        <v>1.4359999999999999</v>
      </c>
      <c r="W6" s="2">
        <v>1.3812E-3</v>
      </c>
      <c r="X6" s="1">
        <v>9.9491999999999995E-6</v>
      </c>
      <c r="Y6" s="2">
        <v>0.72033000000000003</v>
      </c>
      <c r="Z6" s="2">
        <v>0.90917000000000003</v>
      </c>
      <c r="AA6" s="2">
        <v>5.5230000000000001E-3</v>
      </c>
      <c r="AB6" s="2">
        <v>0.60748000000000002</v>
      </c>
    </row>
    <row r="7" spans="1:37" x14ac:dyDescent="0.35">
      <c r="A7" s="2" t="s">
        <v>116</v>
      </c>
      <c r="B7" s="2">
        <f t="shared" si="0"/>
        <v>0.55555555555555558</v>
      </c>
      <c r="C7" s="1">
        <v>6.8011999999999999E-5</v>
      </c>
      <c r="D7" s="2">
        <v>4.6248000000000001E-3</v>
      </c>
      <c r="E7" s="1">
        <v>5.8051999999999999E-6</v>
      </c>
      <c r="F7" s="1">
        <v>6.8062000000000004E-8</v>
      </c>
      <c r="G7" s="2">
        <v>1.1724000000000001</v>
      </c>
      <c r="H7" s="2">
        <v>50.36</v>
      </c>
      <c r="I7" s="2">
        <v>1.2966</v>
      </c>
      <c r="J7" s="2">
        <v>2.5747</v>
      </c>
      <c r="K7" s="2">
        <v>10.14</v>
      </c>
      <c r="L7" s="2">
        <v>46.371000000000002</v>
      </c>
      <c r="M7" s="2">
        <v>457.31</v>
      </c>
      <c r="N7" s="2">
        <v>8.8704000000000005E-2</v>
      </c>
      <c r="O7" s="2">
        <v>0.2379</v>
      </c>
      <c r="P7" s="2">
        <v>268.2</v>
      </c>
      <c r="Q7" s="2">
        <v>0.19733000000000001</v>
      </c>
      <c r="R7" s="2">
        <v>0.30598999999999998</v>
      </c>
      <c r="S7" s="2">
        <v>155.07</v>
      </c>
      <c r="T7" s="2">
        <v>391.9</v>
      </c>
      <c r="U7" s="2">
        <v>9.7881</v>
      </c>
      <c r="V7" s="2">
        <v>2.4975999999999998</v>
      </c>
      <c r="W7" s="2">
        <v>1.4084E-3</v>
      </c>
      <c r="X7" s="1">
        <v>1.6804999999999999E-5</v>
      </c>
      <c r="Y7" s="2">
        <v>1.1932</v>
      </c>
      <c r="Z7" s="2">
        <v>0.90832999999999997</v>
      </c>
      <c r="AA7" s="2">
        <v>8.5246000000000002E-3</v>
      </c>
      <c r="AB7" s="2">
        <v>0.93849000000000005</v>
      </c>
    </row>
    <row r="9" spans="1:37" x14ac:dyDescent="0.35">
      <c r="B9" s="11" t="s">
        <v>132</v>
      </c>
      <c r="C9" s="2" t="s">
        <v>39</v>
      </c>
      <c r="D9" s="2" t="s">
        <v>136</v>
      </c>
      <c r="E9" s="2" t="s">
        <v>40</v>
      </c>
      <c r="F9" s="2" t="s">
        <v>32</v>
      </c>
      <c r="G9" s="2" t="s">
        <v>52</v>
      </c>
      <c r="H9" s="2" t="s">
        <v>130</v>
      </c>
      <c r="I9" s="2" t="s">
        <v>54</v>
      </c>
      <c r="K9" s="2" t="s">
        <v>41</v>
      </c>
      <c r="L9" s="2" t="s">
        <v>54</v>
      </c>
      <c r="M9" s="2" t="s">
        <v>40</v>
      </c>
      <c r="N9" s="2" t="s">
        <v>32</v>
      </c>
      <c r="O9" s="2" t="s">
        <v>55</v>
      </c>
      <c r="P9" s="2" t="s">
        <v>52</v>
      </c>
      <c r="Q9" s="2" t="s">
        <v>130</v>
      </c>
      <c r="S9" s="2" t="s">
        <v>46</v>
      </c>
      <c r="T9" s="2" t="s">
        <v>47</v>
      </c>
      <c r="U9" s="2" t="s">
        <v>48</v>
      </c>
      <c r="V9" s="2" t="s">
        <v>49</v>
      </c>
      <c r="W9" s="2" t="s">
        <v>40</v>
      </c>
      <c r="X9" s="2" t="s">
        <v>52</v>
      </c>
      <c r="Y9" s="2" t="s">
        <v>53</v>
      </c>
    </row>
    <row r="10" spans="1:37" x14ac:dyDescent="0.35">
      <c r="B10" s="2">
        <v>0.14399999999999999</v>
      </c>
      <c r="C10" s="2">
        <v>0</v>
      </c>
      <c r="D10" s="2">
        <f>C10/9</f>
        <v>0</v>
      </c>
      <c r="E10" s="2">
        <f t="shared" ref="E10:E15" si="1">T2</f>
        <v>25.42</v>
      </c>
      <c r="F10" s="1">
        <f t="shared" ref="F10:F15" si="2">(T2^(1-Z2)*W2)^(1/Z2)</f>
        <v>9.5924499274649964E-4</v>
      </c>
      <c r="G10" s="3">
        <f t="shared" ref="G10:G15" si="3">1.38E-23*I10/(4*(1.602E-19^2)*E10*B$12)</f>
        <v>9.150446902971932E-8</v>
      </c>
      <c r="H10" s="2">
        <f>3/5.814E-23-((0.2/5.814E-29/4-F10*1.38E-23*I10/(8*(1.602E-19)^2)))*10^-6+SQRT(0.2/5.814E-29*F10*1.38E-23*I10/(8*(1.602E-19)^2)*5.814E-29+ (-0.2/5.814E-29/4+(F10*1.38E-23*I10/(8*(1.602E-19)^2)^2)))*10^-6</f>
        <v>5.075619854061223E+22</v>
      </c>
      <c r="I10" s="6">
        <f t="shared" ref="I10:I15" si="4">1/(0.000479779-0.000434801*LOG(0.05/(0.5*0.5*(H2-10)))-0.000100649*(LOG(0.05/(0.5*0.5*(H2-10))))^2-0.0000198446*(LOG(0.05/(0.5*0.5*(H2-10))))^3-0.00000195494*(LOG(0.05/(0.5*0.5*(H2-10))))^4-0.0000000757244*(LOG(0.05/(0.5*0.5*(H2-10))))^5)</f>
        <v>877.95199186333787</v>
      </c>
      <c r="K10" s="2">
        <v>0.01</v>
      </c>
      <c r="L10" s="6">
        <f>1/(0.000479779-0.000434801*LOG(0.05/(0.5*0.5*(H19-10)))-0.000100649*(LOG(0.05/(0.5*0.5*(H19-10))))^2-0.0000198446*(LOG(0.05/(0.5*0.5*(H19-10))))^3-0.00000195494*(LOG(0.05/(0.5*0.5*(H19-10))))^4-0.0000000757244*(LOG(0.05/(0.5*0.5*(H19-10))))^5)</f>
        <v>872.08615850968681</v>
      </c>
      <c r="M10" s="2">
        <f>T19</f>
        <v>889.2</v>
      </c>
      <c r="N10" s="2">
        <f>(T19^(1-Z19)*W19)^(1/Z19)</f>
        <v>1.8185009017129543E-3</v>
      </c>
      <c r="O10" s="3">
        <f t="shared" ref="O10:O15" si="5">M10*B$10</f>
        <v>128.04480000000001</v>
      </c>
      <c r="P10" s="3">
        <f t="shared" ref="P10:P15" si="6">1.38E-23*M10/(4*(1.602E-19^2)*N10*B$12)</f>
        <v>1.2954868718887836E-3</v>
      </c>
      <c r="Q10" s="6">
        <f>3/5.814E-23-((0.2/5.814E-29/4-N10*1.38E-23*L10/(8*(1.602E-19)^2)))*10^-6+SQRT(0.2/5.814E-29*N10*1.38E-23*L10/(8*(1.602E-19)^2)*5.814E-29+ (-0.2/5.814E-29/4+(N10*1.38E-23*L10/(8*(1.602E-19)^2)^2)))*10^-6</f>
        <v>5.0762379710569728E+22</v>
      </c>
      <c r="S10" s="5">
        <f>1000/T10</f>
        <v>1.166873372707564</v>
      </c>
      <c r="T10" s="6">
        <f>1/(0.000479779-0.000434801*LOG(0.05/(0.5*0.5*(H27-10)))-0.000100649*(LOG(0.05/(0.5*0.5*(H27-10))))^2-0.0000198446*(LOG(0.05/(0.5*0.5*(H27))))^3-0.00000195494*(LOG(0.05/(0.5*0.5*(H27-10))))^4-0.0000000757244*(LOG(0.05/(0.5*0.5*(H27-10))))^5)</f>
        <v>856.99101838243337</v>
      </c>
      <c r="U10" s="6">
        <f>T10-273</f>
        <v>583.99101838243337</v>
      </c>
      <c r="V10" s="2">
        <f>(T27^(1-Z27)*W27)^(1/Z27)</f>
        <v>1.5842253761268966E-3</v>
      </c>
      <c r="W10" s="14">
        <f>T27</f>
        <v>420.7</v>
      </c>
      <c r="X10" s="15">
        <f>1.38E-23*T10/(4*(1.602E-19^2)*W10*B$12)</f>
        <v>5.3969804064711454E-9</v>
      </c>
      <c r="Y10" s="2">
        <f>3/5.814E-23-((0.2/5.814E-29/4-V10*1.38E-23*T10/(8*(1.602E-19)^2)))*10^-6+SQRT(0.2/5.814E-29*V10*1.38E-23*T10/(8*(1.602E-19)^2)*5.814E-29+ (-0.2/5.814E-29/4+(V10*1.38E-23*T10/(8*(1.602E-19)^2)^2)))*10^-6</f>
        <v>5.0760676536725784E+22</v>
      </c>
    </row>
    <row r="11" spans="1:37" x14ac:dyDescent="0.35">
      <c r="B11" s="11" t="s">
        <v>131</v>
      </c>
      <c r="C11" s="2">
        <v>1</v>
      </c>
      <c r="D11" s="2">
        <f t="shared" ref="D11:D15" si="7">C11/9</f>
        <v>0.1111111111111111</v>
      </c>
      <c r="E11" s="2">
        <f t="shared" si="1"/>
        <v>64.19</v>
      </c>
      <c r="F11" s="1">
        <f t="shared" si="2"/>
        <v>1.012666185260826E-3</v>
      </c>
      <c r="G11" s="3">
        <f t="shared" si="3"/>
        <v>3.6208331914986177E-8</v>
      </c>
      <c r="H11" s="2">
        <f t="shared" ref="H11:H15" si="8">3/5.814E-23-((0.2/5.814E-29/4-F11*1.38E-23*I11/(8*(1.602E-19)^2)))*10^-6+SQRT(0.2/5.814E-29*F11*1.38E-23*I11/(8*(1.602E-19)^2)*5.814E-29+ (-0.2/5.814E-29/4+(F11*1.38E-23*I11/(8*(1.602E-19)^2)^2)))*10^-6</f>
        <v>5.075664791963404E+22</v>
      </c>
      <c r="I11" s="6">
        <f t="shared" si="4"/>
        <v>877.26097540488058</v>
      </c>
      <c r="K11" s="4">
        <v>0.04</v>
      </c>
      <c r="L11" s="6">
        <f t="shared" ref="L11:L15" si="9">1/(0.000479779-0.000434801*LOG(0.05/(0.5*0.5*(H20-10)))-0.000100649*(LOG(0.05/(0.5*0.5*(H20-10))))^2-0.0000198446*(LOG(0.05/(0.5*0.5*(H20-10))))^3-0.00000195494*(LOG(0.05/(0.5*0.5*(H20-10))))^4-0.0000000757244*(LOG(0.05/(0.5*0.5*(H20-10))))^5)</f>
        <v>877.19402027029355</v>
      </c>
      <c r="M11" s="4">
        <f>T20</f>
        <v>391.9</v>
      </c>
      <c r="N11" s="4">
        <f>(T20^(1-Z20)*W20)^(1/Z20)</f>
        <v>1.3264116077216039E-3</v>
      </c>
      <c r="O11" s="3">
        <f t="shared" si="5"/>
        <v>56.433599999999991</v>
      </c>
      <c r="P11" s="3">
        <f t="shared" si="6"/>
        <v>7.8278777163306372E-4</v>
      </c>
      <c r="Q11" s="6">
        <f t="shared" ref="Q11:Q15" si="10">3/5.814E-23-((0.2/5.814E-29/4-N11*1.38E-23*L11/(8*(1.602E-19)^2)))*10^-6+SQRT(0.2/5.814E-29*N11*1.38E-23*L11/(8*(1.602E-19)^2)*5.814E-29+ (-0.2/5.814E-29/4+(N11*1.38E-23*L11/(8*(1.602E-19)^2)^2)))*10^-6</f>
        <v>5.0759111013984199E+22</v>
      </c>
      <c r="S11" s="5">
        <f t="shared" ref="S11:S13" si="11">1000/T11</f>
        <v>1.2295181314524957</v>
      </c>
      <c r="T11" s="6">
        <f t="shared" ref="T11:T12" si="12">1/(0.000479779-0.000434801*LOG(0.05/(0.5*0.5*(H28-10)))-0.000100649*(LOG(0.05/(0.5*0.5*(H28-10))))^2-0.0000198446*(LOG(0.05/(0.5*0.5*(H28))))^3-0.00000195494*(LOG(0.05/(0.5*0.5*(H28-10))))^4-0.0000000757244*(LOG(0.05/(0.5*0.5*(H28-10))))^5)</f>
        <v>813.32676145137145</v>
      </c>
      <c r="U11" s="6">
        <f t="shared" ref="U11:U13" si="13">T11-273</f>
        <v>540.32676145137145</v>
      </c>
      <c r="V11" s="2">
        <f>(T28^(1-Z28)*W28)^(1/Z28)</f>
        <v>1.2241612207908525E-3</v>
      </c>
      <c r="W11" s="14">
        <f t="shared" ref="W11" si="14">T28</f>
        <v>1134</v>
      </c>
      <c r="X11" s="15">
        <f>1.38E-23*T11/(4*(1.602E-19^2)*W11*B$12)</f>
        <v>1.9001990249343448E-9</v>
      </c>
      <c r="Y11" s="2">
        <f t="shared" ref="Y11:Y13" si="15">3/5.814E-23-((0.2/5.814E-29/4-V11*1.38E-23*T11/(8*(1.602E-19)^2)))*10^-6+SQRT(0.2/5.814E-29*V11*1.38E-23*T11/(8*(1.602E-19)^2)*5.814E-29+ (-0.2/5.814E-29/4+(V11*1.38E-23*T11/(8*(1.602E-19)^2)^2)))*10^-6</f>
        <v>5.0757648205244225E+22</v>
      </c>
    </row>
    <row r="12" spans="1:37" x14ac:dyDescent="0.35">
      <c r="B12" s="2">
        <f>((3/5.814E-29)-(0.2/5.814E-29/4))*10^-6</f>
        <v>5.0739594083247329E+22</v>
      </c>
      <c r="C12" s="2">
        <v>2</v>
      </c>
      <c r="D12" s="2">
        <f t="shared" si="7"/>
        <v>0.22222222222222221</v>
      </c>
      <c r="E12" s="2">
        <f t="shared" si="1"/>
        <v>98.56</v>
      </c>
      <c r="F12" s="1">
        <f t="shared" si="2"/>
        <v>1.0618280048687516E-3</v>
      </c>
      <c r="G12" s="3">
        <f t="shared" si="3"/>
        <v>2.3596182598556832E-8</v>
      </c>
      <c r="H12" s="2">
        <f t="shared" si="8"/>
        <v>5.0757062329291007E+22</v>
      </c>
      <c r="I12" s="6">
        <f t="shared" si="4"/>
        <v>877.7995625438042</v>
      </c>
      <c r="K12" s="2">
        <v>0.1</v>
      </c>
      <c r="L12" s="6">
        <f t="shared" si="9"/>
        <v>878.30930424448241</v>
      </c>
      <c r="M12" s="8">
        <f t="shared" ref="M12:M15" si="16">T21</f>
        <v>271.60000000000002</v>
      </c>
      <c r="N12" s="8">
        <f t="shared" ref="N12:N15" si="17">(T21^(1-Z21)*W21)^(1/Z21)</f>
        <v>1.1316528594213372E-3</v>
      </c>
      <c r="O12" s="3">
        <f t="shared" si="5"/>
        <v>39.110399999999998</v>
      </c>
      <c r="P12" s="3">
        <f t="shared" si="6"/>
        <v>6.3586310073782256E-4</v>
      </c>
      <c r="Q12" s="6">
        <f t="shared" si="10"/>
        <v>5.075763276875425E+22</v>
      </c>
      <c r="S12" s="5">
        <f t="shared" si="11"/>
        <v>1.2550754385157674</v>
      </c>
      <c r="T12" s="6">
        <f t="shared" si="12"/>
        <v>796.76485517283675</v>
      </c>
      <c r="U12" s="6">
        <f t="shared" si="13"/>
        <v>523.76485517283675</v>
      </c>
      <c r="V12" s="2">
        <f>(T29^(1-Z29)*W29)^(1/Z29)</f>
        <v>1.1578000000000001E-3</v>
      </c>
      <c r="W12" s="14">
        <f>T29</f>
        <v>1575</v>
      </c>
      <c r="X12" s="15">
        <f>1.38E-23*T12/(4*(1.602E-19^2)*W12*B$12)</f>
        <v>1.3402835715177298E-9</v>
      </c>
      <c r="Y12" s="2">
        <f t="shared" si="15"/>
        <v>5.0756972347228816E+22</v>
      </c>
    </row>
    <row r="13" spans="1:37" x14ac:dyDescent="0.35">
      <c r="B13" s="11" t="s">
        <v>129</v>
      </c>
      <c r="C13" s="2">
        <v>3</v>
      </c>
      <c r="D13" s="2">
        <f t="shared" si="7"/>
        <v>0.33333333333333331</v>
      </c>
      <c r="E13" s="2">
        <f t="shared" si="1"/>
        <v>152.80000000000001</v>
      </c>
      <c r="F13" s="1">
        <f t="shared" si="2"/>
        <v>1.1225910762945707E-3</v>
      </c>
      <c r="G13" s="3">
        <f t="shared" si="3"/>
        <v>1.5205315001106964E-8</v>
      </c>
      <c r="H13" s="2">
        <f t="shared" si="8"/>
        <v>5.0757546427677227E+22</v>
      </c>
      <c r="I13" s="6">
        <f t="shared" si="4"/>
        <v>876.94366041927231</v>
      </c>
      <c r="K13" s="2">
        <v>1</v>
      </c>
      <c r="L13" s="6">
        <f t="shared" si="9"/>
        <v>876.54543661618084</v>
      </c>
      <c r="M13" s="2">
        <f t="shared" si="16"/>
        <v>94.14</v>
      </c>
      <c r="N13" s="2">
        <f t="shared" si="17"/>
        <v>7.8059299196811007E-4</v>
      </c>
      <c r="O13" s="3">
        <f t="shared" si="5"/>
        <v>13.556159999999998</v>
      </c>
      <c r="P13" s="3">
        <f t="shared" si="6"/>
        <v>3.1951895640708311E-4</v>
      </c>
      <c r="Q13" s="6">
        <f t="shared" si="10"/>
        <v>5.0754560715002382E+22</v>
      </c>
      <c r="S13" s="5">
        <f t="shared" si="11"/>
        <v>1.3007761568518683</v>
      </c>
      <c r="T13" s="6">
        <f>1/(0.000479779-0.000434801*LOG(0.05/(0.5*0.5*(H30-10)))-0.000100649*(LOG(0.05/(0.5*0.5*(H30-10))))^2-0.0000198446*(LOG(0.05/(0.5*0.5*(H30))))^3-0.00000195494*(LOG(0.05/(0.5*0.5*(H30-10))))^4-0.0000000757244*(LOG(0.05/(0.5*0.5*(H30-10))))^5)</f>
        <v>768.77177885870447</v>
      </c>
      <c r="U13" s="6">
        <f t="shared" si="13"/>
        <v>495.77177885870447</v>
      </c>
      <c r="V13" s="2">
        <f>(K30^(1-Q30)*N30)^(1/Q30)</f>
        <v>9.8741019795261066E-4</v>
      </c>
      <c r="W13" s="14">
        <f>K30</f>
        <v>2985</v>
      </c>
      <c r="X13" s="15">
        <f>1.38E-23*T13/(4*(1.602E-19^2)*W13*B$12)</f>
        <v>6.8233897669022377E-10</v>
      </c>
      <c r="Y13" s="2">
        <f t="shared" si="15"/>
        <v>5.0755358287489965E+22</v>
      </c>
    </row>
    <row r="14" spans="1:37" x14ac:dyDescent="0.35">
      <c r="B14" s="11">
        <f>(0.2/5.814E-29/4)*10^-6</f>
        <v>8.5999312005503949E+20</v>
      </c>
      <c r="C14" s="2">
        <v>4</v>
      </c>
      <c r="D14" s="2">
        <f t="shared" si="7"/>
        <v>0.44444444444444442</v>
      </c>
      <c r="E14" s="2">
        <f t="shared" si="1"/>
        <v>264.8</v>
      </c>
      <c r="F14" s="1">
        <f t="shared" si="2"/>
        <v>1.2491535463787814E-3</v>
      </c>
      <c r="G14" s="3">
        <f t="shared" si="3"/>
        <v>8.7939104269580532E-9</v>
      </c>
      <c r="H14" s="2">
        <f t="shared" si="8"/>
        <v>5.0758552798903841E+22</v>
      </c>
      <c r="I14" s="6">
        <f t="shared" si="4"/>
        <v>878.92726211096635</v>
      </c>
      <c r="K14" s="2">
        <v>10</v>
      </c>
      <c r="L14" s="6">
        <f t="shared" si="9"/>
        <v>870.91038329355979</v>
      </c>
      <c r="M14" s="2">
        <f t="shared" si="16"/>
        <v>61.62</v>
      </c>
      <c r="N14" s="2">
        <f t="shared" si="17"/>
        <v>6.5778844729956118E-4</v>
      </c>
      <c r="O14" s="3">
        <f t="shared" si="5"/>
        <v>8.8732799999999994</v>
      </c>
      <c r="P14" s="3">
        <f t="shared" si="6"/>
        <v>2.4818900348174875E-4</v>
      </c>
      <c r="Q14" s="6">
        <f t="shared" si="10"/>
        <v>5.0753288842052343E+22</v>
      </c>
      <c r="W14" s="16"/>
      <c r="X14" s="16"/>
    </row>
    <row r="15" spans="1:37" x14ac:dyDescent="0.35">
      <c r="C15" s="2">
        <v>5</v>
      </c>
      <c r="D15" s="2">
        <f t="shared" si="7"/>
        <v>0.55555555555555558</v>
      </c>
      <c r="E15" s="2">
        <f t="shared" si="1"/>
        <v>391.9</v>
      </c>
      <c r="F15" s="1">
        <f t="shared" si="2"/>
        <v>1.3264116077216039E-3</v>
      </c>
      <c r="G15" s="3">
        <f t="shared" si="3"/>
        <v>5.9301746233038089E-9</v>
      </c>
      <c r="H15" s="2">
        <f t="shared" si="8"/>
        <v>5.0759111013984199E+22</v>
      </c>
      <c r="I15" s="6">
        <f t="shared" si="4"/>
        <v>877.19402027029355</v>
      </c>
      <c r="K15" s="2">
        <v>100</v>
      </c>
      <c r="L15" s="6">
        <f t="shared" si="9"/>
        <v>868.87635977648767</v>
      </c>
      <c r="M15" s="2">
        <f t="shared" si="16"/>
        <v>39.950000000000003</v>
      </c>
      <c r="N15" s="2">
        <f t="shared" si="17"/>
        <v>5.4549869178065029E-4</v>
      </c>
      <c r="O15" s="3">
        <f t="shared" si="5"/>
        <v>5.7527999999999997</v>
      </c>
      <c r="P15" s="3">
        <f t="shared" si="6"/>
        <v>1.9403056722408946E-4</v>
      </c>
      <c r="Q15" s="6">
        <f t="shared" si="10"/>
        <v>5.0752050707947869E+22</v>
      </c>
    </row>
    <row r="18" spans="1:37" x14ac:dyDescent="0.35">
      <c r="B18" s="2" t="s">
        <v>128</v>
      </c>
      <c r="C18" s="2" t="s">
        <v>0</v>
      </c>
      <c r="D18" s="2" t="s">
        <v>1</v>
      </c>
      <c r="E18" s="2" t="s">
        <v>2</v>
      </c>
      <c r="F18" s="2" t="s">
        <v>3</v>
      </c>
      <c r="G18" s="2" t="s">
        <v>4</v>
      </c>
      <c r="H18" s="2" t="s">
        <v>33</v>
      </c>
      <c r="I18" s="2" t="s">
        <v>34</v>
      </c>
      <c r="J18" s="2" t="s">
        <v>35</v>
      </c>
      <c r="K18" s="2" t="s">
        <v>5</v>
      </c>
      <c r="L18" s="2" t="s">
        <v>6</v>
      </c>
      <c r="M18" s="2" t="s">
        <v>7</v>
      </c>
      <c r="N18" s="2" t="s">
        <v>8</v>
      </c>
      <c r="O18" s="2" t="s">
        <v>9</v>
      </c>
      <c r="P18" s="2" t="s">
        <v>10</v>
      </c>
      <c r="Q18" s="2" t="s">
        <v>11</v>
      </c>
      <c r="R18" s="2" t="s">
        <v>12</v>
      </c>
      <c r="S18" s="2" t="s">
        <v>13</v>
      </c>
      <c r="T18" s="2" t="s">
        <v>14</v>
      </c>
      <c r="U18" s="2" t="s">
        <v>15</v>
      </c>
      <c r="V18" s="2" t="s">
        <v>16</v>
      </c>
      <c r="W18" s="2" t="s">
        <v>17</v>
      </c>
      <c r="X18" s="2" t="s">
        <v>18</v>
      </c>
      <c r="Y18" s="2" t="s">
        <v>19</v>
      </c>
      <c r="Z18" s="2" t="s">
        <v>20</v>
      </c>
      <c r="AA18" s="2" t="s">
        <v>21</v>
      </c>
      <c r="AB18" s="2" t="s">
        <v>22</v>
      </c>
      <c r="AC18" s="2" t="s">
        <v>36</v>
      </c>
      <c r="AD18" s="2" t="s">
        <v>37</v>
      </c>
      <c r="AE18" s="2" t="s">
        <v>38</v>
      </c>
    </row>
    <row r="19" spans="1:37" x14ac:dyDescent="0.35">
      <c r="A19" s="2" t="s">
        <v>117</v>
      </c>
      <c r="B19" s="2">
        <v>0.01</v>
      </c>
      <c r="C19" s="1">
        <v>4.7945999999999998E-5</v>
      </c>
      <c r="D19" s="1">
        <v>3.3562000000000002E-3</v>
      </c>
      <c r="E19" s="1">
        <v>5.7535000000000001E-6</v>
      </c>
      <c r="F19" s="1">
        <v>5.2251999999999997E-8</v>
      </c>
      <c r="G19" s="2">
        <v>0.90817999999999999</v>
      </c>
      <c r="H19" s="2">
        <v>53.56</v>
      </c>
      <c r="I19" s="2">
        <v>8.5555999999999993E-2</v>
      </c>
      <c r="J19" s="2">
        <v>0.15973999999999999</v>
      </c>
      <c r="K19" s="2">
        <v>77.48</v>
      </c>
      <c r="L19" s="2">
        <v>31.738</v>
      </c>
      <c r="M19" s="2">
        <v>40.963000000000001</v>
      </c>
      <c r="N19" s="2">
        <v>6.0762000000000004E-3</v>
      </c>
      <c r="O19" s="2">
        <v>6.0818000000000005E-4</v>
      </c>
      <c r="P19" s="2">
        <v>10.009</v>
      </c>
      <c r="Q19" s="2">
        <v>0.71379999999999999</v>
      </c>
      <c r="R19" s="2">
        <v>1.468E-2</v>
      </c>
      <c r="S19" s="2">
        <v>2.0566</v>
      </c>
      <c r="T19" s="2">
        <v>889.2</v>
      </c>
      <c r="U19" s="2">
        <v>34.344000000000001</v>
      </c>
      <c r="V19" s="2">
        <v>3.8622999999999998</v>
      </c>
      <c r="W19" s="2">
        <v>1.8220000000000001E-3</v>
      </c>
      <c r="X19" s="1">
        <v>9.5626999999999998E-5</v>
      </c>
      <c r="Y19" s="2">
        <v>5.2484999999999999</v>
      </c>
      <c r="Z19" s="2">
        <v>1.004</v>
      </c>
      <c r="AA19" s="2">
        <v>1.2092E-2</v>
      </c>
      <c r="AB19" s="2">
        <v>1.2043999999999999</v>
      </c>
      <c r="AC19" s="2">
        <v>0</v>
      </c>
      <c r="AD19" s="2">
        <v>0</v>
      </c>
      <c r="AE19" s="2">
        <v>1</v>
      </c>
    </row>
    <row r="20" spans="1:37" x14ac:dyDescent="0.35">
      <c r="A20" s="2" t="s">
        <v>116</v>
      </c>
      <c r="B20" s="2">
        <v>0.04</v>
      </c>
      <c r="C20" s="1">
        <v>6.8011999999999999E-5</v>
      </c>
      <c r="D20" s="2">
        <v>4.6248000000000001E-3</v>
      </c>
      <c r="E20" s="1">
        <v>5.8051999999999999E-6</v>
      </c>
      <c r="F20" s="1">
        <v>6.8062000000000004E-8</v>
      </c>
      <c r="G20" s="2">
        <v>1.1724000000000001</v>
      </c>
      <c r="H20" s="2">
        <v>50.36</v>
      </c>
      <c r="I20" s="2">
        <v>1.2966</v>
      </c>
      <c r="J20" s="2">
        <v>2.5747</v>
      </c>
      <c r="K20" s="2">
        <v>10.14</v>
      </c>
      <c r="L20" s="2">
        <v>46.371000000000002</v>
      </c>
      <c r="M20" s="2">
        <v>457.31</v>
      </c>
      <c r="N20" s="2">
        <v>8.8704000000000005E-2</v>
      </c>
      <c r="O20" s="2">
        <v>0.2379</v>
      </c>
      <c r="P20" s="2">
        <v>268.2</v>
      </c>
      <c r="Q20" s="2">
        <v>0.19733000000000001</v>
      </c>
      <c r="R20" s="2">
        <v>0.30598999999999998</v>
      </c>
      <c r="S20" s="2">
        <v>155.07</v>
      </c>
      <c r="T20" s="2">
        <v>391.9</v>
      </c>
      <c r="U20" s="2">
        <v>9.7881</v>
      </c>
      <c r="V20" s="2">
        <v>2.4975999999999998</v>
      </c>
      <c r="W20" s="2">
        <v>1.4084E-3</v>
      </c>
      <c r="X20" s="1">
        <v>1.6804999999999999E-5</v>
      </c>
      <c r="Y20" s="2">
        <v>1.1932</v>
      </c>
      <c r="Z20" s="2">
        <v>0.90832999999999997</v>
      </c>
      <c r="AA20" s="2">
        <v>8.5246000000000002E-3</v>
      </c>
      <c r="AB20" s="2">
        <v>0.93849000000000005</v>
      </c>
      <c r="AC20" s="2">
        <v>0</v>
      </c>
      <c r="AD20" s="2">
        <v>0</v>
      </c>
      <c r="AE20" s="2">
        <v>1</v>
      </c>
    </row>
    <row r="21" spans="1:37" x14ac:dyDescent="0.35">
      <c r="A21" s="2" t="s">
        <v>118</v>
      </c>
      <c r="B21" s="2">
        <v>0.1</v>
      </c>
      <c r="C21" s="1">
        <v>3.9051999999999998E-5</v>
      </c>
      <c r="D21" s="2">
        <v>2.6556000000000001E-3</v>
      </c>
      <c r="E21" s="1">
        <v>5.8452000000000004E-6</v>
      </c>
      <c r="F21" s="1">
        <v>5.7486999999999997E-8</v>
      </c>
      <c r="G21" s="2">
        <v>0.98348999999999998</v>
      </c>
      <c r="H21" s="2">
        <v>49.7</v>
      </c>
      <c r="I21" s="2">
        <v>1.4087000000000001</v>
      </c>
      <c r="J21" s="2">
        <v>2.8344</v>
      </c>
      <c r="K21" s="2">
        <v>4.9560000000000004</v>
      </c>
      <c r="L21" s="2">
        <v>3.9329999999999998</v>
      </c>
      <c r="M21" s="2">
        <v>79.358000000000004</v>
      </c>
      <c r="N21" s="2">
        <v>2.6279E-2</v>
      </c>
      <c r="O21" s="2">
        <v>3.7768999999999997E-2</v>
      </c>
      <c r="P21" s="2">
        <v>143.72</v>
      </c>
      <c r="Q21" s="2">
        <v>0.23507</v>
      </c>
      <c r="R21" s="2">
        <v>0.19461999999999999</v>
      </c>
      <c r="S21" s="2">
        <v>82.792000000000002</v>
      </c>
      <c r="T21" s="2">
        <v>271.60000000000002</v>
      </c>
      <c r="U21" s="2">
        <v>2.1101000000000001</v>
      </c>
      <c r="V21" s="2">
        <v>0.77690999999999999</v>
      </c>
      <c r="W21" s="2">
        <v>1.276E-3</v>
      </c>
      <c r="X21" s="1">
        <v>8.8841000000000002E-6</v>
      </c>
      <c r="Y21" s="2">
        <v>0.69625000000000004</v>
      </c>
      <c r="Z21" s="2">
        <v>0.89824000000000004</v>
      </c>
      <c r="AA21" s="2">
        <v>4.3674999999999999E-3</v>
      </c>
      <c r="AB21" s="2">
        <v>0.48623</v>
      </c>
      <c r="AC21" s="2">
        <v>0</v>
      </c>
      <c r="AD21" s="2">
        <v>0</v>
      </c>
      <c r="AE21" s="2">
        <v>1</v>
      </c>
    </row>
    <row r="22" spans="1:37" x14ac:dyDescent="0.35">
      <c r="A22" s="2" t="s">
        <v>119</v>
      </c>
      <c r="B22" s="4">
        <v>1</v>
      </c>
      <c r="C22" s="1">
        <v>2.5880999999999998E-6</v>
      </c>
      <c r="D22" s="2">
        <v>1.6045999999999999E-4</v>
      </c>
      <c r="E22" s="1">
        <v>5.8118E-6</v>
      </c>
      <c r="F22" s="1">
        <v>1.3151E-8</v>
      </c>
      <c r="G22" s="2">
        <v>0.22628000000000001</v>
      </c>
      <c r="H22" s="2">
        <v>50.75</v>
      </c>
      <c r="I22" s="2">
        <v>9.4869999999999996E-2</v>
      </c>
      <c r="J22" s="2">
        <v>0.18694</v>
      </c>
      <c r="K22" s="2">
        <v>3.2709999999999999</v>
      </c>
      <c r="L22" s="2">
        <v>0.29224</v>
      </c>
      <c r="M22" s="2">
        <v>8.9343000000000004</v>
      </c>
      <c r="N22" s="2">
        <v>8.0555000000000002E-3</v>
      </c>
      <c r="O22" s="2">
        <v>2.8368999999999998E-3</v>
      </c>
      <c r="P22" s="2">
        <v>35.216999999999999</v>
      </c>
      <c r="Q22" s="2">
        <v>0.39974999999999999</v>
      </c>
      <c r="R22" s="2">
        <v>3.9482999999999997E-2</v>
      </c>
      <c r="S22" s="2">
        <v>9.8768999999999991</v>
      </c>
      <c r="T22" s="2">
        <v>94.14</v>
      </c>
      <c r="U22" s="2">
        <v>0.26518000000000003</v>
      </c>
      <c r="V22" s="2">
        <v>0.28169</v>
      </c>
      <c r="W22" s="2">
        <v>9.6245E-4</v>
      </c>
      <c r="X22" s="1">
        <v>3.9466999999999998E-6</v>
      </c>
      <c r="Y22" s="2">
        <v>0.41006999999999999</v>
      </c>
      <c r="Z22" s="2">
        <v>0.91978000000000004</v>
      </c>
      <c r="AA22" s="2">
        <v>1.8131E-3</v>
      </c>
      <c r="AB22" s="2">
        <v>0.19711999999999999</v>
      </c>
      <c r="AC22" s="2">
        <v>0</v>
      </c>
      <c r="AD22" s="2">
        <v>0</v>
      </c>
      <c r="AE22" s="2">
        <v>1</v>
      </c>
    </row>
    <row r="23" spans="1:37" x14ac:dyDescent="0.35">
      <c r="A23" s="2" t="s">
        <v>120</v>
      </c>
      <c r="B23" s="4">
        <v>10</v>
      </c>
      <c r="C23" s="1">
        <v>1.2772E-6</v>
      </c>
      <c r="D23" s="1">
        <v>7.6632999999999996E-5</v>
      </c>
      <c r="E23" s="1">
        <v>5.7691999999999998E-6</v>
      </c>
      <c r="F23" s="1">
        <v>9.5130999999999993E-9</v>
      </c>
      <c r="G23" s="2">
        <v>0.16489000000000001</v>
      </c>
      <c r="H23" s="2">
        <v>54.34</v>
      </c>
      <c r="I23" s="2">
        <v>6.5643999999999994E-2</v>
      </c>
      <c r="J23" s="2">
        <v>0.1208</v>
      </c>
      <c r="K23" s="2">
        <v>5.048</v>
      </c>
      <c r="L23" s="2">
        <v>0.44666</v>
      </c>
      <c r="M23" s="2">
        <v>8.8483000000000001</v>
      </c>
      <c r="N23" s="2">
        <v>1.0429000000000001E-2</v>
      </c>
      <c r="O23" s="2">
        <v>2.5090999999999998E-3</v>
      </c>
      <c r="P23" s="2">
        <v>24.059000000000001</v>
      </c>
      <c r="Q23" s="2">
        <v>0.38213999999999998</v>
      </c>
      <c r="R23" s="2">
        <v>2.6304000000000001E-2</v>
      </c>
      <c r="S23" s="2">
        <v>6.8833000000000002</v>
      </c>
      <c r="T23" s="2">
        <v>61.62</v>
      </c>
      <c r="U23" s="2">
        <v>0.32912999999999998</v>
      </c>
      <c r="V23" s="2">
        <v>0.53412999999999999</v>
      </c>
      <c r="W23" s="2">
        <v>7.4945999999999997E-4</v>
      </c>
      <c r="X23" s="1">
        <v>3.2725999999999998E-6</v>
      </c>
      <c r="Y23" s="2">
        <v>0.43665999999999999</v>
      </c>
      <c r="Z23" s="2">
        <v>0.95930000000000004</v>
      </c>
      <c r="AA23" s="2">
        <v>2.3483000000000002E-3</v>
      </c>
      <c r="AB23" s="2">
        <v>0.24479000000000001</v>
      </c>
      <c r="AC23" s="2">
        <v>0</v>
      </c>
      <c r="AD23" s="2">
        <v>0</v>
      </c>
      <c r="AE23" s="2">
        <v>1</v>
      </c>
    </row>
    <row r="24" spans="1:37" x14ac:dyDescent="0.35">
      <c r="A24" s="2" t="s">
        <v>121</v>
      </c>
      <c r="B24" s="4">
        <v>100</v>
      </c>
      <c r="C24" s="1">
        <v>3.4438E-6</v>
      </c>
      <c r="D24" s="2">
        <v>1.9285E-4</v>
      </c>
      <c r="E24" s="1">
        <v>5.7652999999999997E-6</v>
      </c>
      <c r="F24" s="1">
        <v>1.5416000000000001E-8</v>
      </c>
      <c r="G24" s="2">
        <v>0.26739000000000002</v>
      </c>
      <c r="H24" s="2">
        <v>55.73</v>
      </c>
      <c r="I24" s="2">
        <v>8.0450999999999995E-2</v>
      </c>
      <c r="J24" s="2">
        <v>0.14435999999999999</v>
      </c>
      <c r="K24" s="2">
        <v>7.2169999999999996</v>
      </c>
      <c r="L24" s="2">
        <v>0.89341999999999999</v>
      </c>
      <c r="M24" s="2">
        <v>12.379</v>
      </c>
      <c r="N24" s="2">
        <v>5.6730000000000001E-3</v>
      </c>
      <c r="O24" s="2">
        <v>1.7242E-3</v>
      </c>
      <c r="P24" s="2">
        <v>30.393000000000001</v>
      </c>
      <c r="Q24" s="2">
        <v>0.43421999999999999</v>
      </c>
      <c r="R24" s="2">
        <v>3.2490999999999999E-2</v>
      </c>
      <c r="S24" s="2">
        <v>7.4825999999999997</v>
      </c>
      <c r="T24" s="2">
        <v>39.950000000000003</v>
      </c>
      <c r="U24" s="2">
        <v>0.69177999999999995</v>
      </c>
      <c r="V24" s="2">
        <v>1.7316</v>
      </c>
      <c r="W24" s="2">
        <v>5.6567E-4</v>
      </c>
      <c r="X24" s="1">
        <v>6.8008000000000002E-6</v>
      </c>
      <c r="Y24" s="2">
        <v>1.2022999999999999</v>
      </c>
      <c r="Z24" s="2">
        <v>0.99051</v>
      </c>
      <c r="AA24" s="2">
        <v>6.5205000000000003E-3</v>
      </c>
      <c r="AB24" s="2">
        <v>0.6583</v>
      </c>
      <c r="AC24" s="2">
        <v>0</v>
      </c>
      <c r="AD24" s="2">
        <v>0</v>
      </c>
      <c r="AE24" s="2">
        <v>1</v>
      </c>
    </row>
    <row r="25" spans="1:37" x14ac:dyDescent="0.35">
      <c r="B25" s="4"/>
    </row>
    <row r="26" spans="1:37" x14ac:dyDescent="0.35">
      <c r="B26" s="2" t="s">
        <v>54</v>
      </c>
      <c r="C26" s="2" t="s">
        <v>0</v>
      </c>
      <c r="D26" s="2" t="s">
        <v>1</v>
      </c>
      <c r="E26" s="2" t="s">
        <v>2</v>
      </c>
      <c r="F26" s="2" t="s">
        <v>3</v>
      </c>
      <c r="G26" s="2" t="s">
        <v>4</v>
      </c>
      <c r="H26" s="2" t="s">
        <v>33</v>
      </c>
      <c r="I26" s="2" t="s">
        <v>34</v>
      </c>
      <c r="J26" s="2" t="s">
        <v>35</v>
      </c>
      <c r="K26" s="2" t="s">
        <v>5</v>
      </c>
      <c r="L26" s="2" t="s">
        <v>6</v>
      </c>
      <c r="M26" s="2" t="s">
        <v>7</v>
      </c>
      <c r="N26" s="2" t="s">
        <v>8</v>
      </c>
      <c r="O26" s="2" t="s">
        <v>9</v>
      </c>
      <c r="P26" s="2" t="s">
        <v>10</v>
      </c>
      <c r="Q26" s="2" t="s">
        <v>11</v>
      </c>
      <c r="R26" s="2" t="s">
        <v>12</v>
      </c>
      <c r="S26" s="2" t="s">
        <v>13</v>
      </c>
      <c r="T26" s="2" t="s">
        <v>14</v>
      </c>
      <c r="U26" s="2" t="s">
        <v>15</v>
      </c>
      <c r="V26" s="2" t="s">
        <v>16</v>
      </c>
      <c r="W26" s="2" t="s">
        <v>17</v>
      </c>
      <c r="X26" s="2" t="s">
        <v>18</v>
      </c>
      <c r="Y26" s="2" t="s">
        <v>19</v>
      </c>
      <c r="Z26" s="2" t="s">
        <v>20</v>
      </c>
      <c r="AA26" s="2" t="s">
        <v>21</v>
      </c>
      <c r="AB26" s="2" t="s">
        <v>22</v>
      </c>
      <c r="AC26" s="2" t="s">
        <v>36</v>
      </c>
      <c r="AD26" s="2" t="s">
        <v>37</v>
      </c>
      <c r="AE26" s="2" t="s">
        <v>38</v>
      </c>
      <c r="AF26" s="2" t="s">
        <v>26</v>
      </c>
      <c r="AG26" s="2" t="s">
        <v>27</v>
      </c>
      <c r="AH26" s="2" t="s">
        <v>28</v>
      </c>
      <c r="AI26" s="2" t="s">
        <v>29</v>
      </c>
      <c r="AJ26" s="2" t="s">
        <v>30</v>
      </c>
      <c r="AK26" s="2" t="s">
        <v>31</v>
      </c>
    </row>
    <row r="27" spans="1:37" x14ac:dyDescent="0.35">
      <c r="A27" s="3" t="s">
        <v>122</v>
      </c>
      <c r="B27" s="9">
        <f>1/(0.000479779-0.000434801*LOG(0.05/(0.5*0.5*(H27-10)))-0.000100649*(LOG(0.05/(0.5*0.5*(H27-10))))^2-0.0000198446*(LOG(0.05/(0.5*0.5*(H27-10))))^3-0.00000195494*(LOG(0.05/(0.5*0.5*(H27-10))))^4-0.0000000757244*(LOG(0.05/(0.5*0.5*(H27-10))))^5)</f>
        <v>881.88747124023257</v>
      </c>
      <c r="C27" s="1">
        <v>3.3102999999999999E-6</v>
      </c>
      <c r="D27" s="2">
        <v>2.2179E-4</v>
      </c>
      <c r="E27" s="1">
        <v>5.8061000000000002E-6</v>
      </c>
      <c r="F27" s="1">
        <v>1.7135000000000001E-8</v>
      </c>
      <c r="G27" s="2">
        <v>0.29511999999999999</v>
      </c>
      <c r="H27" s="2">
        <v>47.67</v>
      </c>
      <c r="I27" s="2">
        <v>1.1507000000000001</v>
      </c>
      <c r="J27" s="2">
        <v>2.4138999999999999</v>
      </c>
      <c r="K27" s="2">
        <v>31.41</v>
      </c>
      <c r="L27" s="2">
        <v>2.7702</v>
      </c>
      <c r="M27" s="2">
        <v>8.8194999999999997</v>
      </c>
      <c r="N27" s="2">
        <v>3.7307999999999998E-3</v>
      </c>
      <c r="O27" s="1">
        <v>9.2083999999999995E-5</v>
      </c>
      <c r="P27" s="2">
        <v>2.4681999999999999</v>
      </c>
      <c r="Q27" s="2">
        <v>0.89863000000000004</v>
      </c>
      <c r="R27" s="2">
        <v>1.6584000000000002E-2</v>
      </c>
      <c r="S27" s="2">
        <v>1.8454999999999999</v>
      </c>
      <c r="T27" s="2">
        <v>420.7</v>
      </c>
      <c r="U27" s="2">
        <v>2.7311999999999999</v>
      </c>
      <c r="V27" s="2">
        <v>0.6492</v>
      </c>
      <c r="W27" s="2">
        <v>1.5939999999999999E-3</v>
      </c>
      <c r="X27" s="1">
        <v>1.4667E-5</v>
      </c>
      <c r="Y27" s="2">
        <v>0.92013999999999996</v>
      </c>
      <c r="Z27" s="2">
        <v>0.98484000000000005</v>
      </c>
      <c r="AA27" s="2">
        <v>2.7821999999999999E-3</v>
      </c>
      <c r="AB27" s="2">
        <v>0.28249999999999997</v>
      </c>
      <c r="AC27" s="2">
        <v>6.3659999999999997</v>
      </c>
      <c r="AD27" s="2">
        <v>9.3579000000000008</v>
      </c>
      <c r="AE27" s="2">
        <v>147</v>
      </c>
      <c r="AF27" s="2">
        <v>8.2627000000000006E-2</v>
      </c>
      <c r="AG27" s="2">
        <v>0.10313</v>
      </c>
      <c r="AH27" s="2">
        <v>124.81</v>
      </c>
      <c r="AI27" s="2">
        <v>0.15359</v>
      </c>
      <c r="AJ27" s="2">
        <v>0.14988000000000001</v>
      </c>
      <c r="AK27" s="2">
        <v>97.584000000000003</v>
      </c>
    </row>
    <row r="28" spans="1:37" x14ac:dyDescent="0.35">
      <c r="A28" s="3" t="s">
        <v>123</v>
      </c>
      <c r="B28" s="9">
        <f>1/(0.000479779-0.000434801*LOG(0.05/(0.5*0.5*(H28-10)))-0.000100649*(LOG(0.05/(0.5*0.5*(H28-10))))^2-0.0000198446*(LOG(0.05/(0.5*0.5*(H28-10))))^3-0.00000195494*(LOG(0.05/(0.5*0.5*(H28-10))))^4-0.0000000757244*(LOG(0.05/(0.5*0.5*(H28-10))))^5)</f>
        <v>826.27194740255572</v>
      </c>
      <c r="C28" s="1">
        <v>4.0512999999999996E-6</v>
      </c>
      <c r="D28" s="1">
        <v>2.7144000000000002E-4</v>
      </c>
      <c r="E28" s="1">
        <v>5.6544999999999998E-6</v>
      </c>
      <c r="F28" s="1">
        <v>3.6103999999999997E-8</v>
      </c>
      <c r="G28" s="2">
        <v>0.63849999999999996</v>
      </c>
      <c r="H28" s="2">
        <v>101.8</v>
      </c>
      <c r="I28" s="2">
        <v>2.0714999999999999</v>
      </c>
      <c r="J28" s="2">
        <v>2.0348999999999999</v>
      </c>
      <c r="K28" s="2">
        <v>23.57</v>
      </c>
      <c r="L28" s="2">
        <v>14.3</v>
      </c>
      <c r="M28" s="2">
        <v>60.67</v>
      </c>
      <c r="N28" s="2">
        <v>1.9129E-2</v>
      </c>
      <c r="O28" s="2">
        <v>1.0978999999999999E-2</v>
      </c>
      <c r="P28" s="2">
        <v>57.395000000000003</v>
      </c>
      <c r="Q28" s="2">
        <v>0.16374</v>
      </c>
      <c r="R28" s="2">
        <v>7.1715000000000001E-2</v>
      </c>
      <c r="S28" s="2">
        <v>43.798000000000002</v>
      </c>
      <c r="T28" s="2">
        <v>1134</v>
      </c>
      <c r="U28" s="2">
        <v>12.93</v>
      </c>
      <c r="V28" s="2">
        <v>1.1402000000000001</v>
      </c>
      <c r="W28" s="2">
        <v>1.2225000000000001E-3</v>
      </c>
      <c r="X28" s="1">
        <v>2.2935E-5</v>
      </c>
      <c r="Y28" s="2">
        <v>1.8761000000000001</v>
      </c>
      <c r="Z28" s="2">
        <v>0.99585999999999997</v>
      </c>
      <c r="AA28" s="2">
        <v>4.1143000000000004E-3</v>
      </c>
      <c r="AB28" s="2">
        <v>0.41314000000000001</v>
      </c>
      <c r="AC28" s="2">
        <v>140.4</v>
      </c>
      <c r="AD28" s="2">
        <v>12.859</v>
      </c>
      <c r="AE28" s="2">
        <v>9.1587999999999994</v>
      </c>
      <c r="AF28" s="2">
        <v>1.9938E-3</v>
      </c>
      <c r="AG28" s="1">
        <v>5.4024999999999999E-5</v>
      </c>
      <c r="AH28" s="2">
        <v>2.7096</v>
      </c>
      <c r="AI28" s="2">
        <v>0.90490999999999999</v>
      </c>
      <c r="AJ28" s="2">
        <v>1.2163999999999999E-2</v>
      </c>
      <c r="AK28" s="2">
        <v>1.3442000000000001</v>
      </c>
    </row>
    <row r="29" spans="1:37" x14ac:dyDescent="0.35">
      <c r="A29" s="2" t="s">
        <v>124</v>
      </c>
      <c r="B29" s="9">
        <f>1/(0.000479779-0.000434801*LOG(0.05/(0.5*0.5*(H29-10)))-0.000100649*(LOG(0.05/(0.5*0.5*(H29-10))))^2-0.0000198446*(LOG(0.05/(0.5*0.5*(H29-10))))^3-0.00000195494*(LOG(0.05/(0.5*0.5*(H29-10))))^4-0.0000000757244*(LOG(0.05/(0.5*0.5*(H29-10))))^5)</f>
        <v>806.55943066702935</v>
      </c>
      <c r="C29" s="1">
        <v>3.8797999999999997E-6</v>
      </c>
      <c r="D29" s="1">
        <v>2.5607000000000001E-4</v>
      </c>
      <c r="E29" s="1">
        <v>5.3356999999999996E-6</v>
      </c>
      <c r="F29" s="1">
        <v>3.8840999999999997E-8</v>
      </c>
      <c r="G29" s="2">
        <v>0.72794999999999999</v>
      </c>
      <c r="H29" s="2">
        <v>141.19999999999999</v>
      </c>
      <c r="I29" s="2">
        <v>0.32329000000000002</v>
      </c>
      <c r="J29" s="2">
        <v>0.22896</v>
      </c>
      <c r="K29" s="2">
        <v>13.71</v>
      </c>
      <c r="L29" s="2">
        <v>1.7513000000000001</v>
      </c>
      <c r="M29" s="2">
        <v>12.773999999999999</v>
      </c>
      <c r="N29" s="2">
        <v>5.6448000000000002E-3</v>
      </c>
      <c r="O29" s="2">
        <v>1.8628E-3</v>
      </c>
      <c r="P29" s="2">
        <v>33</v>
      </c>
      <c r="Q29" s="2">
        <v>0.34227999999999997</v>
      </c>
      <c r="R29" s="2">
        <v>3.8268999999999997E-2</v>
      </c>
      <c r="S29" s="2">
        <v>11.180999999999999</v>
      </c>
      <c r="T29" s="2">
        <v>1575</v>
      </c>
      <c r="U29" s="2">
        <v>7.1326000000000001</v>
      </c>
      <c r="V29" s="2">
        <v>0.45285999999999998</v>
      </c>
      <c r="W29" s="2">
        <v>1.1578000000000001E-3</v>
      </c>
      <c r="X29" s="1">
        <v>1.0271999999999999E-5</v>
      </c>
      <c r="Y29" s="2">
        <v>0.88719999999999999</v>
      </c>
      <c r="Z29" s="2">
        <v>1</v>
      </c>
      <c r="AA29" s="2">
        <v>0</v>
      </c>
      <c r="AB29" s="2">
        <v>0</v>
      </c>
      <c r="AC29" s="2">
        <v>226.3</v>
      </c>
      <c r="AD29" s="2">
        <v>8.9963999999999995</v>
      </c>
      <c r="AE29" s="2">
        <v>3.9754</v>
      </c>
      <c r="AF29" s="2">
        <v>1.6798E-3</v>
      </c>
      <c r="AG29" s="1">
        <v>1.2928999999999999E-5</v>
      </c>
      <c r="AH29" s="2">
        <v>0.76966999999999997</v>
      </c>
      <c r="AI29" s="2">
        <v>0.8931</v>
      </c>
      <c r="AJ29" s="2">
        <v>7.6534000000000003E-3</v>
      </c>
      <c r="AK29" s="2">
        <v>0.85694999999999999</v>
      </c>
    </row>
    <row r="30" spans="1:37" x14ac:dyDescent="0.35">
      <c r="A30" s="2" t="s">
        <v>125</v>
      </c>
      <c r="B30" s="9">
        <f>1/(0.000479779-0.000434801*LOG(0.05/(0.5*0.5*(H30-10)))-0.000100649*(LOG(0.05/(0.5*0.5*(H30-10))))^2-0.0000198446*(LOG(0.05/(0.5*0.5*(H30-10))))^3-0.00000195494*(LOG(0.05/(0.5*0.5*(H30-10))))^4-0.0000000757244*(LOG(0.05/(0.5*0.5*(H30-10))))^5)</f>
        <v>774.66240993022893</v>
      </c>
      <c r="C30" s="1">
        <v>4.8583999999999999E-6</v>
      </c>
      <c r="D30" s="1">
        <v>2.6720999999999998E-4</v>
      </c>
      <c r="E30" s="1">
        <v>3.3500000000000001E-6</v>
      </c>
      <c r="F30" s="1">
        <v>1.7903000000000001E-7</v>
      </c>
      <c r="G30" s="2">
        <v>5.3441999999999998</v>
      </c>
      <c r="H30" s="2">
        <v>256</v>
      </c>
      <c r="I30" s="2">
        <v>0.27134999999999998</v>
      </c>
      <c r="J30" s="2">
        <v>0.106</v>
      </c>
      <c r="K30" s="2">
        <v>2985</v>
      </c>
      <c r="L30" s="2">
        <v>39.113999999999997</v>
      </c>
      <c r="M30" s="2">
        <v>1.3104</v>
      </c>
      <c r="N30" s="2">
        <v>9.7419E-4</v>
      </c>
      <c r="O30" s="1">
        <v>2.3743999999999998E-5</v>
      </c>
      <c r="P30" s="2">
        <v>2.4373</v>
      </c>
      <c r="Q30" s="2">
        <v>0.98753000000000002</v>
      </c>
      <c r="R30" s="2">
        <v>4.4946999999999999E-3</v>
      </c>
      <c r="S30" s="2">
        <v>0.45515</v>
      </c>
      <c r="T30" s="2">
        <v>385.3</v>
      </c>
      <c r="U30" s="2">
        <v>35.363999999999997</v>
      </c>
      <c r="V30" s="2">
        <v>9.1783000000000001</v>
      </c>
      <c r="W30" s="2">
        <v>1.4538999999999999E-3</v>
      </c>
      <c r="X30" s="1">
        <v>4.6042999999999999E-5</v>
      </c>
      <c r="Y30" s="2">
        <v>3.1669</v>
      </c>
      <c r="Z30" s="2">
        <v>0.89673999999999998</v>
      </c>
      <c r="AA30" s="2">
        <v>1.0113E-2</v>
      </c>
      <c r="AB30" s="2">
        <v>1.1277999999999999</v>
      </c>
      <c r="AC30" s="2">
        <v>18.55</v>
      </c>
      <c r="AD30" s="2">
        <v>1.5810999999999999</v>
      </c>
      <c r="AE30" s="1">
        <v>8.5235000000000003</v>
      </c>
      <c r="AF30" s="2">
        <v>1.3251999999999999E-3</v>
      </c>
      <c r="AG30" s="2">
        <v>4.3260999999999999E-4</v>
      </c>
      <c r="AH30" s="2">
        <v>32.645000000000003</v>
      </c>
      <c r="AI30" s="2">
        <v>0.55045999999999995</v>
      </c>
      <c r="AJ30" s="2">
        <v>4.3638000000000003E-2</v>
      </c>
      <c r="AK30" s="2">
        <v>7.9276</v>
      </c>
    </row>
    <row r="32" spans="1:37" x14ac:dyDescent="0.35">
      <c r="A32" s="3"/>
      <c r="B32" s="3"/>
    </row>
    <row r="33" spans="1:33" x14ac:dyDescent="0.35">
      <c r="A33" s="3"/>
      <c r="B33" s="3"/>
      <c r="C33" s="1"/>
      <c r="D33" s="1"/>
      <c r="E33" s="1"/>
      <c r="F33" s="1"/>
      <c r="X33" s="1"/>
      <c r="AG33" s="1"/>
    </row>
    <row r="34" spans="1:33" x14ac:dyDescent="0.35">
      <c r="C34" s="1"/>
      <c r="D34" s="1"/>
      <c r="E34" s="1"/>
      <c r="F34" s="1"/>
      <c r="X34" s="1"/>
    </row>
    <row r="35" spans="1:33" x14ac:dyDescent="0.35">
      <c r="C35" s="1"/>
      <c r="E35" s="1"/>
      <c r="F35" s="1"/>
      <c r="X35" s="1"/>
    </row>
    <row r="61" spans="25:25" x14ac:dyDescent="0.35">
      <c r="Y61" s="27" t="s">
        <v>129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68" zoomScaleNormal="70" workbookViewId="0">
      <selection activeCell="A47" sqref="A47"/>
    </sheetView>
  </sheetViews>
  <sheetFormatPr baseColWidth="10" defaultColWidth="8.7265625" defaultRowHeight="14.5" x14ac:dyDescent="0.35"/>
  <cols>
    <col min="1" max="1" width="141.26953125" style="2" customWidth="1"/>
    <col min="2" max="2" width="23.6328125" style="2" customWidth="1"/>
    <col min="3" max="3" width="12" style="2" customWidth="1"/>
    <col min="4" max="4" width="17.36328125" style="2" customWidth="1"/>
    <col min="5" max="5" width="20.54296875" style="2" customWidth="1"/>
    <col min="6" max="6" width="16" style="2" customWidth="1"/>
    <col min="7" max="7" width="14.54296875" style="2" customWidth="1"/>
    <col min="8" max="8" width="12.7265625" style="2" customWidth="1"/>
    <col min="9" max="9" width="13.6328125" style="2" bestFit="1" customWidth="1"/>
    <col min="10" max="10" width="9" style="2" bestFit="1" customWidth="1"/>
    <col min="11" max="11" width="11.81640625" style="2" bestFit="1" customWidth="1"/>
    <col min="12" max="12" width="10" style="2" bestFit="1" customWidth="1"/>
    <col min="13" max="13" width="8.81640625" style="2" bestFit="1" customWidth="1"/>
    <col min="14" max="14" width="13" style="2" customWidth="1"/>
    <col min="15" max="15" width="10.81640625" style="2" bestFit="1" customWidth="1"/>
    <col min="16" max="16" width="10.36328125" style="2" bestFit="1" customWidth="1"/>
    <col min="17" max="19" width="11.81640625" style="2" bestFit="1" customWidth="1"/>
    <col min="20" max="22" width="8.81640625" style="2" bestFit="1" customWidth="1"/>
    <col min="23" max="24" width="11.81640625" style="2" bestFit="1" customWidth="1"/>
    <col min="25" max="25" width="8.81640625" style="2" bestFit="1" customWidth="1"/>
    <col min="26" max="26" width="12.08984375" style="2" bestFit="1" customWidth="1"/>
    <col min="27" max="27" width="13.90625" style="2" bestFit="1" customWidth="1"/>
    <col min="28" max="28" width="11.81640625" style="2" bestFit="1" customWidth="1"/>
    <col min="29" max="29" width="8.81640625" style="2" bestFit="1" customWidth="1"/>
    <col min="30" max="30" width="11.81640625" style="2" bestFit="1" customWidth="1"/>
    <col min="31" max="31" width="8.81640625" style="2" bestFit="1" customWidth="1"/>
    <col min="32" max="33" width="11.81640625" style="2" bestFit="1" customWidth="1"/>
    <col min="34" max="37" width="8.81640625" style="2" bestFit="1" customWidth="1"/>
    <col min="38" max="16384" width="8.7265625" style="2"/>
  </cols>
  <sheetData>
    <row r="1" spans="1:37" x14ac:dyDescent="0.35">
      <c r="B1" s="2" t="s">
        <v>136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33</v>
      </c>
      <c r="I1" s="2" t="s">
        <v>34</v>
      </c>
      <c r="J1" s="2" t="s">
        <v>35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</row>
    <row r="2" spans="1:37" x14ac:dyDescent="0.35">
      <c r="A2" s="2" t="s">
        <v>51</v>
      </c>
      <c r="B2" s="2">
        <f>D13</f>
        <v>0</v>
      </c>
      <c r="C2" s="1">
        <v>8.7313000000000004E-7</v>
      </c>
      <c r="D2" s="1">
        <v>5.3260999999999997E-5</v>
      </c>
      <c r="E2" s="1">
        <v>5.8084000000000002E-6</v>
      </c>
      <c r="F2" s="1">
        <v>8.2671999999999997E-9</v>
      </c>
      <c r="G2" s="2">
        <v>0.14233000000000001</v>
      </c>
      <c r="H2" s="2">
        <v>50.82</v>
      </c>
      <c r="I2" s="2">
        <v>0.1419</v>
      </c>
      <c r="J2" s="2">
        <v>0.27922000000000002</v>
      </c>
      <c r="K2" s="2">
        <v>11.7</v>
      </c>
      <c r="L2" s="2">
        <v>0.40986</v>
      </c>
      <c r="M2" s="2">
        <v>3.5030999999999999</v>
      </c>
      <c r="N2" s="2">
        <v>3.1497999999999998E-2</v>
      </c>
      <c r="O2" s="2">
        <v>1.1031999999999999E-3</v>
      </c>
      <c r="P2" s="2">
        <v>3.5024000000000002</v>
      </c>
      <c r="Q2" s="2">
        <v>0.99668000000000001</v>
      </c>
      <c r="R2" s="2">
        <v>1.422E-2</v>
      </c>
      <c r="S2" s="2">
        <v>1.4267000000000001</v>
      </c>
      <c r="T2" s="2">
        <v>5.4859999999999998</v>
      </c>
      <c r="U2" s="2">
        <v>1.1424000000000001</v>
      </c>
      <c r="V2" s="2">
        <v>20.824000000000002</v>
      </c>
      <c r="W2" s="2">
        <v>3.1724000000000002E-2</v>
      </c>
      <c r="X2" s="2">
        <v>1.0803999999999999E-2</v>
      </c>
      <c r="Y2" s="2">
        <v>34.055999999999997</v>
      </c>
      <c r="Z2" s="2">
        <v>0.26067000000000001</v>
      </c>
      <c r="AA2" s="2">
        <v>3.7046999999999997E-2</v>
      </c>
      <c r="AB2" s="2">
        <v>14.212</v>
      </c>
      <c r="AC2" s="2">
        <v>25.69</v>
      </c>
      <c r="AD2" s="2">
        <v>0.47062999999999999</v>
      </c>
      <c r="AE2" s="2">
        <v>1.8320000000000001</v>
      </c>
      <c r="AF2" s="2">
        <v>1.5047999999999999E-3</v>
      </c>
      <c r="AG2" s="1">
        <v>1.7776000000000001E-5</v>
      </c>
      <c r="AH2" s="2">
        <v>1.1813</v>
      </c>
      <c r="AI2" s="2">
        <v>0.95847000000000004</v>
      </c>
      <c r="AJ2" s="2">
        <v>5.9091999999999999E-3</v>
      </c>
      <c r="AK2" s="2">
        <v>0.61651999999999996</v>
      </c>
    </row>
    <row r="3" spans="1:37" x14ac:dyDescent="0.35">
      <c r="A3" s="2" t="s">
        <v>67</v>
      </c>
      <c r="B3" s="2">
        <f t="shared" ref="B3:B9" si="0">D14</f>
        <v>0.13043478260869565</v>
      </c>
      <c r="C3" s="1">
        <v>9.3373000000000004E-7</v>
      </c>
      <c r="D3" s="1">
        <v>5.6957999999999999E-5</v>
      </c>
      <c r="E3" s="1">
        <v>5.7987000000000001E-6</v>
      </c>
      <c r="F3" s="1">
        <v>8.7403999999999993E-9</v>
      </c>
      <c r="G3" s="2">
        <v>0.15073</v>
      </c>
      <c r="H3" s="2">
        <v>51.75</v>
      </c>
      <c r="I3" s="2">
        <v>0.15267</v>
      </c>
      <c r="J3" s="2">
        <v>0.29500999999999999</v>
      </c>
      <c r="K3" s="2">
        <v>12.34</v>
      </c>
      <c r="L3" s="2">
        <v>0.45417000000000002</v>
      </c>
      <c r="M3" s="2">
        <v>3.6804999999999999</v>
      </c>
      <c r="N3" s="2">
        <v>2.8313999999999999E-2</v>
      </c>
      <c r="O3" s="2">
        <v>7.2090999999999995E-4</v>
      </c>
      <c r="P3" s="2">
        <v>2.5461</v>
      </c>
      <c r="Q3" s="2">
        <v>0.97087000000000001</v>
      </c>
      <c r="R3" s="2">
        <v>1.252E-2</v>
      </c>
      <c r="S3" s="2">
        <v>1.2896000000000001</v>
      </c>
      <c r="T3" s="2">
        <v>5.125</v>
      </c>
      <c r="U3" s="2">
        <v>1.3549</v>
      </c>
      <c r="V3" s="2">
        <v>26.437000000000001</v>
      </c>
      <c r="W3" s="2">
        <v>3.1703000000000002E-2</v>
      </c>
      <c r="X3" s="2">
        <v>1.3709000000000001E-2</v>
      </c>
      <c r="Y3" s="2">
        <v>43.241999999999997</v>
      </c>
      <c r="Z3" s="2">
        <v>0.26628000000000002</v>
      </c>
      <c r="AA3" s="2">
        <v>4.5494E-2</v>
      </c>
      <c r="AB3" s="2">
        <v>17.085000000000001</v>
      </c>
      <c r="AC3" s="2">
        <v>15.38</v>
      </c>
      <c r="AD3" s="2">
        <v>0.41061999999999999</v>
      </c>
      <c r="AE3" s="2">
        <v>2.6698</v>
      </c>
      <c r="AF3" s="2">
        <v>1.4193000000000001E-3</v>
      </c>
      <c r="AG3" s="1">
        <v>2.8425999999999999E-5</v>
      </c>
      <c r="AH3" s="2">
        <v>2.0028000000000001</v>
      </c>
      <c r="AI3" s="2">
        <v>0.96040999999999999</v>
      </c>
      <c r="AJ3" s="2">
        <v>8.6400999999999995E-3</v>
      </c>
      <c r="AK3" s="2">
        <v>0.89963000000000004</v>
      </c>
    </row>
    <row r="4" spans="1:37" x14ac:dyDescent="0.35">
      <c r="A4" s="2" t="s">
        <v>68</v>
      </c>
      <c r="B4" s="2">
        <f t="shared" si="0"/>
        <v>0.2608695652173913</v>
      </c>
      <c r="C4" s="1">
        <v>9.0846000000000002E-7</v>
      </c>
      <c r="D4" s="1">
        <v>5.5415999999999999E-5</v>
      </c>
      <c r="E4" s="1">
        <v>5.8019000000000003E-6</v>
      </c>
      <c r="F4" s="1">
        <v>8.5999999999999993E-9</v>
      </c>
      <c r="G4" s="2">
        <v>0.14823</v>
      </c>
      <c r="H4" s="2">
        <v>51.05</v>
      </c>
      <c r="I4" s="2">
        <v>0.15951000000000001</v>
      </c>
      <c r="J4" s="2">
        <v>0.31246000000000002</v>
      </c>
      <c r="K4" s="2">
        <v>12.02</v>
      </c>
      <c r="L4" s="2">
        <v>0.43804999999999999</v>
      </c>
      <c r="M4" s="2">
        <v>3.6442999999999999</v>
      </c>
      <c r="N4" s="2">
        <v>2.9096E-2</v>
      </c>
      <c r="O4" s="2">
        <v>7.4700000000000005E-4</v>
      </c>
      <c r="P4" s="2">
        <v>2.5674000000000001</v>
      </c>
      <c r="Q4" s="2">
        <v>0.97655000000000003</v>
      </c>
      <c r="R4" s="2">
        <v>1.259E-2</v>
      </c>
      <c r="S4" s="2">
        <v>1.2891999999999999</v>
      </c>
      <c r="T4" s="2">
        <v>5.016</v>
      </c>
      <c r="U4" s="2">
        <v>1.3527</v>
      </c>
      <c r="V4" s="2">
        <v>26.968</v>
      </c>
      <c r="W4" s="2">
        <v>3.2917000000000002E-2</v>
      </c>
      <c r="X4" s="2">
        <v>1.4463E-2</v>
      </c>
      <c r="Y4" s="2">
        <v>43.938000000000002</v>
      </c>
      <c r="Z4" s="2">
        <v>0.26135999999999998</v>
      </c>
      <c r="AA4" s="2">
        <v>4.6306E-2</v>
      </c>
      <c r="AB4" s="2">
        <v>17.716999999999999</v>
      </c>
      <c r="AC4" s="2">
        <v>15.59</v>
      </c>
      <c r="AD4" s="2">
        <v>0.41704999999999998</v>
      </c>
      <c r="AE4" s="2">
        <v>2.6751</v>
      </c>
      <c r="AF4" s="2">
        <v>1.5624E-3</v>
      </c>
      <c r="AG4" s="1">
        <v>3.1164999999999997E-5</v>
      </c>
      <c r="AH4" s="2">
        <v>1.9946999999999999</v>
      </c>
      <c r="AI4" s="2">
        <v>0.94345000000000001</v>
      </c>
      <c r="AJ4" s="2">
        <v>8.5976000000000004E-3</v>
      </c>
      <c r="AK4" s="2">
        <v>0.91129000000000004</v>
      </c>
    </row>
    <row r="5" spans="1:37" x14ac:dyDescent="0.35">
      <c r="A5" s="2" t="s">
        <v>69</v>
      </c>
      <c r="B5" s="2">
        <f t="shared" si="0"/>
        <v>0.39130434782608697</v>
      </c>
      <c r="C5" s="1">
        <v>7.7176999999999998E-7</v>
      </c>
      <c r="D5" s="1">
        <v>4.7077999999999999E-5</v>
      </c>
      <c r="E5" s="1">
        <v>5.8039999999999998E-6</v>
      </c>
      <c r="F5" s="1">
        <v>7.9065000000000004E-9</v>
      </c>
      <c r="G5" s="2">
        <v>0.13622999999999999</v>
      </c>
      <c r="H5" s="2">
        <v>51.77</v>
      </c>
      <c r="I5" s="2">
        <v>0.13944999999999999</v>
      </c>
      <c r="J5" s="2">
        <v>0.26935999999999999</v>
      </c>
      <c r="K5" s="2">
        <v>11.62</v>
      </c>
      <c r="L5" s="2">
        <v>0.41792000000000001</v>
      </c>
      <c r="M5" s="2">
        <v>3.5966</v>
      </c>
      <c r="N5" s="2">
        <v>3.0454999999999999E-2</v>
      </c>
      <c r="O5" s="2">
        <v>8.8046999999999995E-4</v>
      </c>
      <c r="P5" s="2">
        <v>2.8910999999999998</v>
      </c>
      <c r="Q5" s="2">
        <v>0.98075999999999997</v>
      </c>
      <c r="R5" s="2">
        <v>1.3143999999999999E-2</v>
      </c>
      <c r="S5" s="2">
        <v>1.3402000000000001</v>
      </c>
      <c r="T5" s="2">
        <v>5.2060000000000004</v>
      </c>
      <c r="U5" s="2">
        <v>1.2479</v>
      </c>
      <c r="V5" s="2">
        <v>23.97</v>
      </c>
      <c r="W5" s="2">
        <v>3.4014000000000003E-2</v>
      </c>
      <c r="X5" s="2">
        <v>1.2862E-2</v>
      </c>
      <c r="Y5" s="2">
        <v>37.814</v>
      </c>
      <c r="Z5" s="2">
        <v>0.26057000000000002</v>
      </c>
      <c r="AA5" s="2">
        <v>4.0184999999999998E-2</v>
      </c>
      <c r="AB5" s="2">
        <v>15.422000000000001</v>
      </c>
      <c r="AC5" s="2">
        <v>19.37</v>
      </c>
      <c r="AD5" s="2">
        <v>0.42451</v>
      </c>
      <c r="AE5" s="2">
        <v>2.1916000000000002</v>
      </c>
      <c r="AF5" s="2">
        <v>1.6283000000000001E-3</v>
      </c>
      <c r="AG5" s="1">
        <v>2.5177E-5</v>
      </c>
      <c r="AH5" s="2">
        <v>1.5462</v>
      </c>
      <c r="AI5" s="2">
        <v>0.93903999999999999</v>
      </c>
      <c r="AJ5" s="2">
        <v>7.0508000000000003E-3</v>
      </c>
      <c r="AK5" s="2">
        <v>0.75085000000000002</v>
      </c>
    </row>
    <row r="6" spans="1:37" x14ac:dyDescent="0.35">
      <c r="A6" s="2" t="s">
        <v>63</v>
      </c>
      <c r="B6" s="2">
        <f t="shared" si="0"/>
        <v>0.52173913043478259</v>
      </c>
      <c r="C6" s="1">
        <v>1.8677999999999999E-6</v>
      </c>
      <c r="D6" s="2">
        <v>1.1394E-4</v>
      </c>
      <c r="E6" s="1">
        <v>5.8270999999999997E-6</v>
      </c>
      <c r="F6" s="1">
        <v>1.2324E-8</v>
      </c>
      <c r="G6" s="2">
        <v>0.21149000000000001</v>
      </c>
      <c r="H6" s="2">
        <v>50.26</v>
      </c>
      <c r="I6" s="2">
        <v>0.70218000000000003</v>
      </c>
      <c r="J6" s="2">
        <v>1.3971</v>
      </c>
      <c r="K6" s="2">
        <v>10.050000000000001</v>
      </c>
      <c r="L6" s="2">
        <v>0.88898999999999995</v>
      </c>
      <c r="M6" s="2">
        <v>8.8457000000000008</v>
      </c>
      <c r="N6" s="2">
        <v>3.4845000000000001E-2</v>
      </c>
      <c r="O6" s="2">
        <v>2.2301999999999999E-3</v>
      </c>
      <c r="P6" s="2">
        <v>6.4002999999999997</v>
      </c>
      <c r="Q6" s="2">
        <v>1.0189999999999999</v>
      </c>
      <c r="R6" s="2">
        <v>3.1819E-2</v>
      </c>
      <c r="S6" s="2">
        <v>3.1225999999999998</v>
      </c>
      <c r="T6" s="2">
        <v>9.8629999999999995</v>
      </c>
      <c r="U6" s="2">
        <v>8.1736000000000004</v>
      </c>
      <c r="V6" s="2">
        <v>82.870999999999995</v>
      </c>
      <c r="W6" s="2">
        <v>8.2354999999999998E-2</v>
      </c>
      <c r="X6" s="2">
        <v>4.3385E-2</v>
      </c>
      <c r="Y6" s="2">
        <v>52.68</v>
      </c>
      <c r="Z6" s="2">
        <v>0.13816000000000001</v>
      </c>
      <c r="AA6" s="2">
        <v>6.3996999999999998E-2</v>
      </c>
      <c r="AB6" s="2">
        <v>46.320999999999998</v>
      </c>
      <c r="AC6" s="2">
        <v>23.59</v>
      </c>
      <c r="AD6" s="2">
        <v>0.48027999999999998</v>
      </c>
      <c r="AE6" s="2">
        <v>2.0358999999999998</v>
      </c>
      <c r="AF6" s="2">
        <v>1.7367999999999999E-3</v>
      </c>
      <c r="AG6" s="1">
        <v>3.5200999999999997E-5</v>
      </c>
      <c r="AH6" s="2">
        <v>2.0268000000000002</v>
      </c>
      <c r="AI6" s="2">
        <v>0.92674000000000001</v>
      </c>
      <c r="AJ6" s="2">
        <v>7.1608000000000002E-3</v>
      </c>
      <c r="AK6" s="2">
        <v>0.77268999999999999</v>
      </c>
    </row>
    <row r="7" spans="1:37" x14ac:dyDescent="0.35">
      <c r="A7" s="2" t="s">
        <v>64</v>
      </c>
      <c r="B7" s="2">
        <f t="shared" si="0"/>
        <v>0.65217391304347827</v>
      </c>
      <c r="C7" s="1">
        <v>1.8893000000000001E-6</v>
      </c>
      <c r="D7" s="2">
        <v>1.1525E-4</v>
      </c>
      <c r="E7" s="1">
        <v>5.8261E-6</v>
      </c>
      <c r="F7" s="1">
        <v>1.2312E-8</v>
      </c>
      <c r="G7" s="2">
        <v>0.21132000000000001</v>
      </c>
      <c r="H7" s="2">
        <v>50.56</v>
      </c>
      <c r="I7" s="2">
        <v>0.96026</v>
      </c>
      <c r="J7" s="2">
        <v>1.8992</v>
      </c>
      <c r="K7" s="2">
        <v>8.7899999999999991</v>
      </c>
      <c r="L7" s="2">
        <v>0.95508000000000004</v>
      </c>
      <c r="M7" s="2">
        <v>10.866</v>
      </c>
      <c r="N7" s="2">
        <v>3.9453000000000002E-2</v>
      </c>
      <c r="O7" s="2">
        <v>3.4505E-3</v>
      </c>
      <c r="P7" s="2">
        <v>8.7457999999999991</v>
      </c>
      <c r="Q7" s="2">
        <v>1.0449999999999999</v>
      </c>
      <c r="R7" s="2">
        <v>3.9579000000000003E-2</v>
      </c>
      <c r="S7" s="2">
        <v>3.7875000000000001</v>
      </c>
      <c r="T7" s="2">
        <v>19.82</v>
      </c>
      <c r="U7" s="2">
        <v>34.033000000000001</v>
      </c>
      <c r="V7" s="2">
        <v>171.71</v>
      </c>
      <c r="W7" s="2">
        <v>0.10829</v>
      </c>
      <c r="X7" s="2">
        <v>5.3845999999999998E-2</v>
      </c>
      <c r="Y7" s="2">
        <v>49.723999999999997</v>
      </c>
      <c r="Z7" s="2">
        <v>0.10695</v>
      </c>
      <c r="AA7" s="2">
        <v>6.0697000000000001E-2</v>
      </c>
      <c r="AB7" s="2">
        <v>56.753</v>
      </c>
      <c r="AC7" s="2">
        <v>29</v>
      </c>
      <c r="AD7" s="2">
        <v>0.57931999999999995</v>
      </c>
      <c r="AE7" s="2">
        <v>1.9977</v>
      </c>
      <c r="AF7" s="2">
        <v>1.7482999999999999E-3</v>
      </c>
      <c r="AG7" s="1">
        <v>2.9847000000000001E-5</v>
      </c>
      <c r="AH7" s="2">
        <v>1.7072000000000001</v>
      </c>
      <c r="AI7" s="2">
        <v>0.92718999999999996</v>
      </c>
      <c r="AJ7" s="2">
        <v>6.3407999999999997E-3</v>
      </c>
      <c r="AK7" s="2">
        <v>0.68386999999999998</v>
      </c>
    </row>
    <row r="8" spans="1:37" x14ac:dyDescent="0.35">
      <c r="A8" s="2" t="s">
        <v>65</v>
      </c>
      <c r="B8" s="2">
        <f t="shared" si="0"/>
        <v>0.78260869565217395</v>
      </c>
      <c r="C8" s="1">
        <v>7.5822999999999998E-7</v>
      </c>
      <c r="D8" s="1">
        <v>4.6251999999999997E-5</v>
      </c>
      <c r="E8" s="1">
        <v>5.8073999999999997E-6</v>
      </c>
      <c r="F8" s="1">
        <v>7.7163999999999995E-9</v>
      </c>
      <c r="G8" s="2">
        <v>0.13286999999999999</v>
      </c>
      <c r="H8" s="2">
        <v>50.93</v>
      </c>
      <c r="I8" s="2">
        <v>0.14065</v>
      </c>
      <c r="J8" s="2">
        <v>0.27616000000000002</v>
      </c>
      <c r="K8" s="2">
        <v>10.01</v>
      </c>
      <c r="L8" s="2">
        <v>0.49352000000000001</v>
      </c>
      <c r="M8" s="2">
        <v>4.9302999999999999</v>
      </c>
      <c r="N8" s="2">
        <v>3.6782000000000002E-2</v>
      </c>
      <c r="O8" s="2">
        <v>2.0915999999999999E-3</v>
      </c>
      <c r="P8" s="2">
        <v>5.6864999999999997</v>
      </c>
      <c r="Q8" s="2">
        <v>1.002</v>
      </c>
      <c r="R8" s="2">
        <v>1.8266000000000001E-2</v>
      </c>
      <c r="S8" s="2">
        <v>1.823</v>
      </c>
      <c r="T8" s="2">
        <v>5.319</v>
      </c>
      <c r="U8" s="2">
        <v>1.2168000000000001</v>
      </c>
      <c r="V8" s="2">
        <v>22.876000000000001</v>
      </c>
      <c r="W8" s="2">
        <v>3.7586000000000001E-2</v>
      </c>
      <c r="X8" s="2">
        <v>1.3035E-2</v>
      </c>
      <c r="Y8" s="2">
        <v>34.68</v>
      </c>
      <c r="Z8" s="2">
        <v>0.25125999999999998</v>
      </c>
      <c r="AA8" s="2">
        <v>3.7752000000000001E-2</v>
      </c>
      <c r="AB8" s="2">
        <v>15.025</v>
      </c>
      <c r="AC8" s="2">
        <v>31.1</v>
      </c>
      <c r="AD8" s="2">
        <v>0.58609</v>
      </c>
      <c r="AE8" s="2">
        <v>1.8845000000000001</v>
      </c>
      <c r="AF8" s="2">
        <v>1.7443000000000001E-3</v>
      </c>
      <c r="AG8" s="1">
        <v>1.7133999999999999E-5</v>
      </c>
      <c r="AH8" s="2">
        <v>0.98229</v>
      </c>
      <c r="AI8" s="2">
        <v>0.93130999999999997</v>
      </c>
      <c r="AJ8" s="2">
        <v>5.4822999999999998E-3</v>
      </c>
      <c r="AK8" s="2">
        <v>0.58867000000000003</v>
      </c>
    </row>
    <row r="9" spans="1:37" x14ac:dyDescent="0.35">
      <c r="A9" s="2" t="s">
        <v>66</v>
      </c>
      <c r="B9" s="2">
        <f t="shared" si="0"/>
        <v>0.91304347826086951</v>
      </c>
      <c r="C9" s="1">
        <v>2.5017999999999999E-6</v>
      </c>
      <c r="D9" s="2">
        <v>1.5761E-4</v>
      </c>
      <c r="E9" s="1">
        <v>5.8163999999999999E-6</v>
      </c>
      <c r="F9" s="1">
        <v>1.4015E-8</v>
      </c>
      <c r="G9" s="2">
        <v>0.24096000000000001</v>
      </c>
      <c r="H9" s="2">
        <v>50.81</v>
      </c>
      <c r="I9" s="2">
        <v>0.20896000000000001</v>
      </c>
      <c r="J9" s="2">
        <v>0.41126000000000001</v>
      </c>
      <c r="K9" s="2">
        <v>9.3989999999999991</v>
      </c>
      <c r="L9" s="2">
        <v>0.77061999999999997</v>
      </c>
      <c r="M9" s="2">
        <v>8.1989999999999998</v>
      </c>
      <c r="N9" s="2">
        <v>4.2014999999999997E-2</v>
      </c>
      <c r="O9" s="2">
        <v>4.7149999999999996E-3</v>
      </c>
      <c r="P9" s="2">
        <v>11.222</v>
      </c>
      <c r="Q9" s="2">
        <v>1.032</v>
      </c>
      <c r="R9" s="2">
        <v>2.9191999999999999E-2</v>
      </c>
      <c r="S9" s="2">
        <v>2.8287</v>
      </c>
      <c r="T9" s="2">
        <v>4.7779999999999996</v>
      </c>
      <c r="U9" s="2">
        <v>1.1031</v>
      </c>
      <c r="V9" s="2">
        <v>23.087</v>
      </c>
      <c r="W9" s="2">
        <v>2.1361999999999999E-2</v>
      </c>
      <c r="X9" s="2">
        <v>1.0583E-2</v>
      </c>
      <c r="Y9" s="2">
        <v>49.540999999999997</v>
      </c>
      <c r="Z9" s="2">
        <v>0.28778999999999999</v>
      </c>
      <c r="AA9" s="2">
        <v>5.4800000000000001E-2</v>
      </c>
      <c r="AB9" s="2">
        <v>19.042000000000002</v>
      </c>
      <c r="AC9" s="2">
        <v>36.75</v>
      </c>
      <c r="AD9" s="2">
        <v>1.0443</v>
      </c>
      <c r="AE9" s="2">
        <v>2.8416000000000001</v>
      </c>
      <c r="AF9" s="2">
        <v>1.7619000000000001E-3</v>
      </c>
      <c r="AG9" s="1">
        <v>2.8141999999999999E-5</v>
      </c>
      <c r="AH9" s="2">
        <v>1.5972999999999999</v>
      </c>
      <c r="AI9" s="2">
        <v>0.92103999999999997</v>
      </c>
      <c r="AJ9" s="2">
        <v>8.5625000000000007E-3</v>
      </c>
      <c r="AK9" s="2">
        <v>0.92966000000000004</v>
      </c>
    </row>
    <row r="12" spans="1:37" x14ac:dyDescent="0.35">
      <c r="A12" s="11" t="s">
        <v>132</v>
      </c>
      <c r="B12" s="11"/>
      <c r="C12" s="2" t="s">
        <v>39</v>
      </c>
      <c r="D12" s="2" t="s">
        <v>136</v>
      </c>
      <c r="E12" s="2" t="s">
        <v>56</v>
      </c>
      <c r="F12" s="2" t="s">
        <v>40</v>
      </c>
      <c r="G12" s="2" t="s">
        <v>32</v>
      </c>
      <c r="H12" s="2" t="s">
        <v>77</v>
      </c>
      <c r="I12" s="2" t="s">
        <v>52</v>
      </c>
      <c r="J12" s="2" t="s">
        <v>54</v>
      </c>
      <c r="K12" s="2" t="s">
        <v>130</v>
      </c>
      <c r="M12" s="2" t="s">
        <v>41</v>
      </c>
      <c r="N12" s="2" t="s">
        <v>54</v>
      </c>
      <c r="O12" s="2" t="s">
        <v>40</v>
      </c>
      <c r="P12" s="2" t="s">
        <v>32</v>
      </c>
      <c r="Q12" s="2" t="s">
        <v>77</v>
      </c>
      <c r="R12" s="2" t="s">
        <v>52</v>
      </c>
      <c r="S12" s="2" t="s">
        <v>130</v>
      </c>
      <c r="W12" s="2" t="s">
        <v>46</v>
      </c>
      <c r="X12" s="2" t="s">
        <v>47</v>
      </c>
      <c r="Y12" s="2" t="s">
        <v>48</v>
      </c>
      <c r="Z12" s="2" t="s">
        <v>49</v>
      </c>
      <c r="AA12" s="2" t="s">
        <v>40</v>
      </c>
      <c r="AB12" s="2" t="s">
        <v>77</v>
      </c>
      <c r="AC12" s="2" t="s">
        <v>52</v>
      </c>
      <c r="AD12" s="2" t="s">
        <v>130</v>
      </c>
    </row>
    <row r="13" spans="1:37" x14ac:dyDescent="0.35">
      <c r="A13" s="2">
        <v>0.14399999999999999</v>
      </c>
      <c r="C13" s="2">
        <v>0</v>
      </c>
      <c r="D13" s="2">
        <f>C13/23</f>
        <v>0</v>
      </c>
      <c r="E13" s="2">
        <f>(D13-D$13)/0.273</f>
        <v>0</v>
      </c>
      <c r="F13" s="2">
        <f t="shared" ref="F13:F20" si="1">AC2</f>
        <v>25.69</v>
      </c>
      <c r="G13" s="1">
        <f>(AC2^(1-AI2)*AF2)^(1/AI2)</f>
        <v>1.3069674190371958E-3</v>
      </c>
      <c r="H13" s="1">
        <f>F13*A$13</f>
        <v>3.69936</v>
      </c>
      <c r="I13" s="3">
        <f t="shared" ref="I13:I20" si="2">1.38E-23*J13/(4*(1.602E-19^2)*F13*A$15)</f>
        <v>9.0385783870848926E-8</v>
      </c>
      <c r="J13" s="6">
        <f t="shared" ref="J13:J20" si="3">1/(0.000479779-0.000434801*LOG(0.05/(0.5*0.5*(H2-10)))-0.000100649*(LOG(0.05/(0.5*0.5*(H2-10))))^2-0.0000198446*(LOG(0.05/(0.5*0.5*(H2-10))))^3-0.00000195494*(LOG(0.05/(0.5*0.5*(H2-10))))^4-0.0000000757244*(LOG(0.05/(0.5*0.5*(H2-10))))^5)</f>
        <v>876.42982863309487</v>
      </c>
      <c r="K13" s="2">
        <f>3/5.814E-23-((0.2/5.814E-29/4-J13*1.38E-23*G13/(8*(1.602E-19)^2)))*10^-6+SQRT(0.2/5.814E-29*J13*1.38E-23*G13/(8*(1.602E-19)^2)*5.814E-29+ (-0.2/5.814E-29/4+(J13*1.38E-23*G13/(8*(1.602E-19)^2)^2)))*10^-6</f>
        <v>5.0758958993491918E+22</v>
      </c>
      <c r="M13" s="2">
        <v>0.01</v>
      </c>
      <c r="N13" s="12">
        <f>1/(0.000479779-0.000434801*LOG(0.05/(0.5*0.5*(H24-10)))-0.000100649*(LOG(0.05/(0.5*0.5*(H24-10))))^2-0.0000198446*(LOG(0.05/(0.5*0.5*(H24-10))))^3-0.00000195494*(LOG(0.05/(0.5*0.5*(H24-10))))^4-0.0000000757244*(LOG(0.05/(0.5*0.5*(H24-10))))^5)</f>
        <v>872.89984814685749</v>
      </c>
      <c r="O13" s="2">
        <f>AC24</f>
        <v>90.03</v>
      </c>
      <c r="P13" s="1">
        <f>(AC24^(1-AI24)*AF24)^(1/AI24)</f>
        <v>1.7362956931381574E-3</v>
      </c>
      <c r="Q13" s="17">
        <f t="shared" ref="Q13:Q18" si="4">O13*A$13</f>
        <v>12.964319999999999</v>
      </c>
      <c r="R13" s="3">
        <f t="shared" ref="R13:R18" si="5">1.38E-23*N13/(4*(1.602E-19^2)*O13*A$15)</f>
        <v>2.5687642641449187E-8</v>
      </c>
      <c r="S13" s="2">
        <f>3/5.814E-23-((0.2/5.814E-29/4-P13*1.38E-23*N13/(8*(1.602E-19)^2)))*10^-6+SQRT(0.2/5.814E-29*P13*1.38E-23*N13/(8*(1.602E-19)^2)*5.814E-29+ (-0.2/5.814E-29/4+(P13*1.38E-23*N13/(8*(1.602E-19)^2)^2)))*10^-6</f>
        <v>5.0761869128021997E+22</v>
      </c>
      <c r="T13" s="6"/>
      <c r="U13" s="1"/>
      <c r="W13" s="5">
        <f>1000/X13</f>
        <v>1.1566917678554689</v>
      </c>
      <c r="X13" s="6">
        <f>1/(0.000479779-0.000434801*LOG(0.05/(0.5*0.5*(H32-10)))-0.000100649*(LOG(0.05/(0.5*0.5*(H32-10))))^2-0.0000198446*(LOG(0.05/(0.5*0.5*(H32))))^3-0.00000195494*(LOG(0.05/(0.5*0.5*(H32-10))))^4-0.0000000757244*(LOG(0.05/(0.5*0.5*(H32-10))))^5)</f>
        <v>864.53455258354711</v>
      </c>
      <c r="Y13" s="6">
        <f>X13-273</f>
        <v>591.53455258354711</v>
      </c>
      <c r="Z13" s="2">
        <f>(T32^(1-Z32)*W32)^(1/Z32)</f>
        <v>1.4103355180608696E-3</v>
      </c>
      <c r="AA13" s="2">
        <f>T32</f>
        <v>28.23</v>
      </c>
      <c r="AB13" s="2">
        <f>AA13*A$13</f>
        <v>4.0651199999999994</v>
      </c>
      <c r="AC13" s="3">
        <f>1.38E-23*X13/(4*(1.602E-19^2)*AA13*AD$13)</f>
        <v>8.1104992163677955E-8</v>
      </c>
      <c r="AD13" s="2">
        <f>3/5.814E-23-((0.2/5.814E-29/4-Z13*1.38E-23*X13/(8*(1.602E-19)^2)))*10^-6+SQRT(0.2/5.814E-29*Z13*1.38E-23*X13/(8*(1.602E-19)^2)*5.814E-29+ (-0.2/5.814E-29/4+(Z13*1.38E-23*X13/(8*(1.602E-19)^2)^2)))*10^-6</f>
        <v>5.0759573229775364E+22</v>
      </c>
    </row>
    <row r="14" spans="1:37" x14ac:dyDescent="0.35">
      <c r="A14" s="11" t="s">
        <v>58</v>
      </c>
      <c r="C14" s="2">
        <v>3</v>
      </c>
      <c r="D14" s="2">
        <f>C14/23</f>
        <v>0.13043478260869565</v>
      </c>
      <c r="E14" s="2">
        <f>(D14)/0.273</f>
        <v>0.47778308647873863</v>
      </c>
      <c r="F14" s="2">
        <f t="shared" si="1"/>
        <v>15.38</v>
      </c>
      <c r="G14" s="1">
        <f t="shared" ref="G14:G20" si="6">(AC3^(1-AI3)*AF3)^(1/AI3)</f>
        <v>1.2122878596160312E-3</v>
      </c>
      <c r="H14" s="1">
        <f t="shared" ref="H14:H20" si="7">F14*A$13</f>
        <v>2.2147199999999998</v>
      </c>
      <c r="I14" s="3">
        <f t="shared" si="2"/>
        <v>1.5071531140006335E-7</v>
      </c>
      <c r="J14" s="6">
        <f t="shared" si="3"/>
        <v>874.91654167994432</v>
      </c>
      <c r="K14" s="2">
        <f t="shared" ref="K14:K20" si="8">3/5.814E-23-((0.2/5.814E-29/4-J14*1.38E-23*G14/(8*(1.602E-19)^2)))*10^-6+SQRT(0.2/5.814E-29*J14*1.38E-23*G14/(8*(1.602E-19)^2)*5.814E-29+ (-0.2/5.814E-29/4+(J14*1.38E-23*G14/(8*(1.602E-19)^2)^2)))*10^-6</f>
        <v>5.0758228282049099E+22</v>
      </c>
      <c r="M14" s="2">
        <v>0.04</v>
      </c>
      <c r="N14" s="12">
        <f t="shared" ref="N14:N18" si="9">1/(0.000479779-0.000434801*LOG(0.05/(0.5*0.5*(H25-10)))-0.000100649*(LOG(0.05/(0.5*0.5*(H25-10))))^2-0.0000198446*(LOG(0.05/(0.5*0.5*(H25-10))))^3-0.00000195494*(LOG(0.05/(0.5*0.5*(H25-10))))^4-0.0000000757244*(LOG(0.05/(0.5*0.5*(H25-10))))^5)</f>
        <v>876.44632919408468</v>
      </c>
      <c r="O14" s="2">
        <f>AC25</f>
        <v>36.75</v>
      </c>
      <c r="P14" s="1">
        <f>(AC25^(1-AI25)*AF25)^(1/AI25)</f>
        <v>1.3933804747509354E-3</v>
      </c>
      <c r="Q14" s="17">
        <f t="shared" si="4"/>
        <v>5.2919999999999998</v>
      </c>
      <c r="R14" s="3">
        <f t="shared" si="5"/>
        <v>6.3185156576413706E-8</v>
      </c>
      <c r="S14" s="2">
        <f t="shared" ref="S14:S18" si="10">3/5.814E-23-((0.2/5.814E-29/4-P14*1.38E-23*N14/(8*(1.602E-19)^2)))*10^-6+SQRT(0.2/5.814E-29*P14*1.38E-23*N14/(8*(1.602E-19)^2)*5.814E-29+ (-0.2/5.814E-29/4+(P14*1.38E-23*N14/(8*(1.602E-19)^2)^2)))*10^-6</f>
        <v>5.0759589113068563E+22</v>
      </c>
      <c r="T14" s="6"/>
      <c r="U14" s="1"/>
      <c r="W14" s="5">
        <f t="shared" ref="W14:W16" si="11">1000/X14</f>
        <v>1.2037284296875208</v>
      </c>
      <c r="X14" s="6">
        <f t="shared" ref="X14:X16" si="12">1/(0.000479779-0.000434801*LOG(0.05/(0.5*0.5*(H33-10)))-0.000100649*(LOG(0.05/(0.5*0.5*(H33-10))))^2-0.0000198446*(LOG(0.05/(0.5*0.5*(H33))))^3-0.00000195494*(LOG(0.05/(0.5*0.5*(H33-10))))^4-0.0000000757244*(LOG(0.05/(0.5*0.5*(H33-10))))^5)</f>
        <v>830.75216580171059</v>
      </c>
      <c r="Y14" s="6">
        <f t="shared" ref="Y14:Y16" si="13">X14-273</f>
        <v>557.75216580171059</v>
      </c>
      <c r="Z14" s="2">
        <f>(T33^(1-Z33)*W33)^(1/Z33)</f>
        <v>1.1026347753181019E-3</v>
      </c>
      <c r="AA14" s="2">
        <f>T33</f>
        <v>86.15</v>
      </c>
      <c r="AB14" s="2">
        <f>AA14*A$13</f>
        <v>12.4056</v>
      </c>
      <c r="AC14" s="3">
        <f>1.38E-23*X14/(4*(1.602E-19^2)*AA14*AD$13)</f>
        <v>2.5538319146186468E-8</v>
      </c>
      <c r="AD14" s="2">
        <f t="shared" ref="AD14:AD16" si="14">3/5.814E-23-((0.2/5.814E-29/4-Z14*1.38E-23*X14/(8*(1.602E-19)^2)))*10^-6+SQRT(0.2/5.814E-29*Z14*1.38E-23*X14/(8*(1.602E-19)^2)*5.814E-29+ (-0.2/5.814E-29/4+(Z14*1.38E-23*X14/(8*(1.602E-19)^2)^2)))*10^-6</f>
        <v>5.0756911221191714E+22</v>
      </c>
    </row>
    <row r="15" spans="1:37" x14ac:dyDescent="0.35">
      <c r="A15" s="11">
        <f>((3/5.814E-29)-(0.2/5.814E-29/4-G13*1.38E-23*884/(8*(1.602E-19)^2)))*10^-6</f>
        <v>5.0739594083247405E+22</v>
      </c>
      <c r="C15" s="2">
        <v>6</v>
      </c>
      <c r="D15" s="2">
        <f t="shared" ref="D15:D20" si="15">C15/23</f>
        <v>0.2608695652173913</v>
      </c>
      <c r="E15" s="2">
        <f t="shared" ref="E15:E20" si="16">(D15)/0.273</f>
        <v>0.95556617295747726</v>
      </c>
      <c r="F15" s="2">
        <f t="shared" si="1"/>
        <v>15.59</v>
      </c>
      <c r="G15" s="1">
        <f t="shared" si="6"/>
        <v>1.2505124064476926E-3</v>
      </c>
      <c r="H15" s="1">
        <f t="shared" si="7"/>
        <v>2.2449599999999998</v>
      </c>
      <c r="I15" s="3">
        <f t="shared" si="2"/>
        <v>1.4887805711884279E-7</v>
      </c>
      <c r="J15" s="6">
        <f t="shared" si="3"/>
        <v>876.05167577017392</v>
      </c>
      <c r="K15" s="2">
        <f t="shared" si="8"/>
        <v>5.0758532052078964E+22</v>
      </c>
      <c r="M15" s="2">
        <v>0.1</v>
      </c>
      <c r="N15" s="12">
        <f t="shared" si="9"/>
        <v>876.97697608379474</v>
      </c>
      <c r="O15" s="2">
        <f>T26</f>
        <v>31</v>
      </c>
      <c r="P15" s="1">
        <f>(T26^(1-Z26)*W26)^(1/Z26)</f>
        <v>1.266559615311396E-3</v>
      </c>
      <c r="Q15" s="17">
        <f t="shared" si="4"/>
        <v>4.4639999999999995</v>
      </c>
      <c r="R15" s="3">
        <f t="shared" si="5"/>
        <v>7.4950335438692992E-8</v>
      </c>
      <c r="S15" s="2">
        <f t="shared" si="10"/>
        <v>5.0758663238152767E+22</v>
      </c>
      <c r="T15" s="6"/>
      <c r="U15" s="1"/>
      <c r="W15" s="5">
        <f t="shared" si="11"/>
        <v>1.2700834407348034</v>
      </c>
      <c r="X15" s="6">
        <f t="shared" si="12"/>
        <v>787.34984484283382</v>
      </c>
      <c r="Y15" s="6">
        <f t="shared" si="13"/>
        <v>514.34984484283382</v>
      </c>
      <c r="Z15" s="2">
        <f>(T34^(1-Z34)*W34)^(1/Z34)</f>
        <v>8.8315912037050285E-4</v>
      </c>
      <c r="AA15" s="2">
        <f t="shared" ref="AA15:AA16" si="17">T34</f>
        <v>379.5</v>
      </c>
      <c r="AB15" s="2">
        <f>AA15*A$13</f>
        <v>54.647999999999996</v>
      </c>
      <c r="AC15" s="3">
        <f>1.38E-23*X15/(4*(1.602E-19^2)*AA15*AD$13)</f>
        <v>5.4945493139103605E-9</v>
      </c>
      <c r="AD15" s="2">
        <f t="shared" si="14"/>
        <v>5.0754681951562842E+22</v>
      </c>
    </row>
    <row r="16" spans="1:37" x14ac:dyDescent="0.35">
      <c r="A16" s="11" t="s">
        <v>129</v>
      </c>
      <c r="C16" s="2">
        <v>9</v>
      </c>
      <c r="D16" s="2">
        <f t="shared" si="15"/>
        <v>0.39130434782608697</v>
      </c>
      <c r="E16" s="2">
        <f t="shared" si="16"/>
        <v>1.4333492594362158</v>
      </c>
      <c r="F16" s="2">
        <f t="shared" si="1"/>
        <v>19.37</v>
      </c>
      <c r="G16" s="1">
        <f t="shared" si="6"/>
        <v>1.3010219865617258E-3</v>
      </c>
      <c r="H16" s="1">
        <f t="shared" si="7"/>
        <v>2.7892799999999998</v>
      </c>
      <c r="I16" s="3">
        <f t="shared" si="2"/>
        <v>1.1966527986896389E-7</v>
      </c>
      <c r="J16" s="6">
        <f t="shared" si="3"/>
        <v>874.88445201472575</v>
      </c>
      <c r="K16" s="2">
        <f t="shared" si="8"/>
        <v>5.0758897856161232E+22</v>
      </c>
      <c r="M16" s="2">
        <v>1</v>
      </c>
      <c r="N16" s="12">
        <f t="shared" si="9"/>
        <v>875.07727251337428</v>
      </c>
      <c r="O16" s="2">
        <f>K27</f>
        <v>8.3379999999999992</v>
      </c>
      <c r="P16" s="1">
        <f t="shared" ref="P16" si="18">(K27^(1-Q27)*N27)^(1/Q27)</f>
        <v>2.281161167495693E-3</v>
      </c>
      <c r="Q16" s="17">
        <f t="shared" si="4"/>
        <v>1.2006719999999997</v>
      </c>
      <c r="R16" s="3">
        <f t="shared" si="5"/>
        <v>2.7805556838124964E-7</v>
      </c>
      <c r="S16" s="2">
        <f t="shared" si="10"/>
        <v>5.0765157901422287E+22</v>
      </c>
      <c r="T16" s="6"/>
      <c r="U16" s="1"/>
      <c r="W16" s="5">
        <f t="shared" si="11"/>
        <v>1.2969207955985265</v>
      </c>
      <c r="X16" s="6">
        <f t="shared" si="12"/>
        <v>771.0571095735279</v>
      </c>
      <c r="Y16" s="6">
        <f t="shared" si="13"/>
        <v>498.0571095735279</v>
      </c>
      <c r="Z16" s="2">
        <f>(T35^(1-Z35)*W35)^(1/Z35)</f>
        <v>8.4732317028907026E-4</v>
      </c>
      <c r="AA16" s="2">
        <f t="shared" si="17"/>
        <v>704.3</v>
      </c>
      <c r="AB16" s="2">
        <f>AA16*A$13</f>
        <v>101.41919999999999</v>
      </c>
      <c r="AC16" s="3">
        <f>1.38E-23*X16/(4*(1.602E-19^2)*AA16*AD$13)</f>
        <v>2.8993788537408114E-9</v>
      </c>
      <c r="AD16" s="2">
        <f t="shared" si="14"/>
        <v>5.0754218964447174E+22</v>
      </c>
    </row>
    <row r="17" spans="1:37" x14ac:dyDescent="0.35">
      <c r="A17" s="11">
        <f>(0.2/5.814E-29/4)*10^-6</f>
        <v>8.5999312005503949E+20</v>
      </c>
      <c r="C17" s="2">
        <v>12</v>
      </c>
      <c r="D17" s="2">
        <f t="shared" si="15"/>
        <v>0.52173913043478259</v>
      </c>
      <c r="E17" s="2">
        <f t="shared" si="16"/>
        <v>1.9111323459149545</v>
      </c>
      <c r="F17" s="2">
        <f t="shared" si="1"/>
        <v>23.59</v>
      </c>
      <c r="G17" s="1">
        <f t="shared" si="6"/>
        <v>1.3491628544202773E-3</v>
      </c>
      <c r="H17" s="1">
        <f t="shared" si="7"/>
        <v>3.3969599999999995</v>
      </c>
      <c r="I17" s="3">
        <f t="shared" si="2"/>
        <v>9.853663909666367E-8</v>
      </c>
      <c r="J17" s="6">
        <f t="shared" si="3"/>
        <v>877.3615607988628</v>
      </c>
      <c r="K17" s="2">
        <f t="shared" si="8"/>
        <v>5.075927956384396E+22</v>
      </c>
      <c r="M17" s="2">
        <v>10</v>
      </c>
      <c r="N17" s="12">
        <f t="shared" si="9"/>
        <v>877.98592224727315</v>
      </c>
      <c r="O17" s="2">
        <f>T28</f>
        <v>5.27</v>
      </c>
      <c r="P17" s="1">
        <f>(AC28^(1-AI28)*AF28)^(1/AI28)</f>
        <v>7.9757170861418497E-4</v>
      </c>
      <c r="Q17" s="17">
        <f t="shared" si="4"/>
        <v>0.75887999999999989</v>
      </c>
      <c r="R17" s="3">
        <f t="shared" si="5"/>
        <v>4.4139155556010111E-7</v>
      </c>
      <c r="S17" s="2">
        <f t="shared" si="10"/>
        <v>5.075473503512309E+22</v>
      </c>
      <c r="T17" s="6"/>
      <c r="U17" s="1"/>
    </row>
    <row r="18" spans="1:37" x14ac:dyDescent="0.35">
      <c r="C18" s="2">
        <v>15</v>
      </c>
      <c r="D18" s="2">
        <f t="shared" si="15"/>
        <v>0.65217391304347827</v>
      </c>
      <c r="E18" s="2">
        <f t="shared" si="16"/>
        <v>2.3889154323936932</v>
      </c>
      <c r="F18" s="2">
        <f t="shared" si="1"/>
        <v>29</v>
      </c>
      <c r="G18" s="1">
        <f t="shared" si="6"/>
        <v>1.3833237046003842E-3</v>
      </c>
      <c r="H18" s="1">
        <f t="shared" si="7"/>
        <v>4.1759999999999993</v>
      </c>
      <c r="I18" s="3">
        <f t="shared" si="2"/>
        <v>8.0108679288194166E-8</v>
      </c>
      <c r="J18" s="6">
        <f t="shared" si="3"/>
        <v>876.86045930227272</v>
      </c>
      <c r="K18" s="2">
        <f t="shared" si="8"/>
        <v>5.0759521531295554E+22</v>
      </c>
      <c r="M18" s="2">
        <v>100</v>
      </c>
      <c r="N18" s="12">
        <f t="shared" si="9"/>
        <v>886.43642983655309</v>
      </c>
      <c r="O18" s="2">
        <f>T29</f>
        <v>3.1840000000000002</v>
      </c>
      <c r="P18" s="1">
        <f>(AC29^(1-AI29)*AF29)^(1/AI29)</f>
        <v>8.4166384175175194E-4</v>
      </c>
      <c r="Q18" s="17">
        <f t="shared" si="4"/>
        <v>0.45849600000000001</v>
      </c>
      <c r="R18" s="3">
        <f t="shared" si="5"/>
        <v>7.3760120900275961E-7</v>
      </c>
      <c r="S18" s="2">
        <f t="shared" si="10"/>
        <v>5.0755222596513222E+22</v>
      </c>
      <c r="T18" s="6"/>
      <c r="U18" s="1"/>
    </row>
    <row r="19" spans="1:37" x14ac:dyDescent="0.35">
      <c r="C19" s="2">
        <v>18</v>
      </c>
      <c r="D19" s="2">
        <f t="shared" si="15"/>
        <v>0.78260869565217395</v>
      </c>
      <c r="E19" s="2">
        <f t="shared" si="16"/>
        <v>2.8666985188724317</v>
      </c>
      <c r="F19" s="2">
        <f t="shared" si="1"/>
        <v>31.1</v>
      </c>
      <c r="G19" s="1">
        <f t="shared" si="6"/>
        <v>1.4069343100935015E-3</v>
      </c>
      <c r="H19" s="1">
        <f t="shared" si="7"/>
        <v>4.4783999999999997</v>
      </c>
      <c r="I19" s="3">
        <f t="shared" si="2"/>
        <v>7.4647291615855994E-8</v>
      </c>
      <c r="J19" s="6">
        <f t="shared" si="3"/>
        <v>876.24864840919588</v>
      </c>
      <c r="K19" s="2">
        <f t="shared" si="8"/>
        <v>5.0759683860596752E+22</v>
      </c>
    </row>
    <row r="20" spans="1:37" x14ac:dyDescent="0.35">
      <c r="C20" s="2">
        <v>21</v>
      </c>
      <c r="D20" s="2">
        <f t="shared" si="15"/>
        <v>0.91304347826086951</v>
      </c>
      <c r="E20" s="2">
        <f t="shared" si="16"/>
        <v>3.3444816053511701</v>
      </c>
      <c r="F20" s="2">
        <f t="shared" si="1"/>
        <v>36.75</v>
      </c>
      <c r="G20" s="1">
        <f t="shared" si="6"/>
        <v>1.3933804747509354E-3</v>
      </c>
      <c r="H20" s="1">
        <f t="shared" si="7"/>
        <v>5.2919999999999998</v>
      </c>
      <c r="I20" s="3">
        <f t="shared" si="2"/>
        <v>6.3185156576413706E-8</v>
      </c>
      <c r="J20" s="6">
        <f t="shared" si="3"/>
        <v>876.44632919408468</v>
      </c>
      <c r="K20" s="2">
        <f t="shared" si="8"/>
        <v>5.0759589113068563E+22</v>
      </c>
    </row>
    <row r="23" spans="1:37" x14ac:dyDescent="0.35">
      <c r="B23" s="2" t="s">
        <v>128</v>
      </c>
      <c r="C23" s="2" t="s">
        <v>0</v>
      </c>
      <c r="D23" s="2" t="s">
        <v>1</v>
      </c>
      <c r="E23" s="2" t="s">
        <v>2</v>
      </c>
      <c r="F23" s="2" t="s">
        <v>3</v>
      </c>
      <c r="G23" s="2" t="s">
        <v>4</v>
      </c>
      <c r="H23" s="2" t="s">
        <v>33</v>
      </c>
      <c r="I23" s="2" t="s">
        <v>34</v>
      </c>
      <c r="J23" s="2" t="s">
        <v>35</v>
      </c>
      <c r="K23" s="2" t="s">
        <v>5</v>
      </c>
      <c r="L23" s="2" t="s">
        <v>6</v>
      </c>
      <c r="M23" s="2" t="s">
        <v>7</v>
      </c>
      <c r="N23" s="2" t="s">
        <v>8</v>
      </c>
      <c r="O23" s="2" t="s">
        <v>9</v>
      </c>
      <c r="P23" s="2" t="s">
        <v>10</v>
      </c>
      <c r="Q23" s="2" t="s">
        <v>11</v>
      </c>
      <c r="R23" s="2" t="s">
        <v>12</v>
      </c>
      <c r="S23" s="2" t="s">
        <v>13</v>
      </c>
      <c r="T23" s="2" t="s">
        <v>14</v>
      </c>
      <c r="U23" s="2" t="s">
        <v>15</v>
      </c>
      <c r="V23" s="2" t="s">
        <v>16</v>
      </c>
      <c r="W23" s="2" t="s">
        <v>17</v>
      </c>
      <c r="X23" s="2" t="s">
        <v>18</v>
      </c>
      <c r="Y23" s="2" t="s">
        <v>19</v>
      </c>
      <c r="Z23" s="2" t="s">
        <v>20</v>
      </c>
      <c r="AA23" s="2" t="s">
        <v>21</v>
      </c>
      <c r="AB23" s="2" t="s">
        <v>22</v>
      </c>
      <c r="AC23" s="2" t="s">
        <v>23</v>
      </c>
      <c r="AD23" s="2" t="s">
        <v>24</v>
      </c>
      <c r="AE23" s="2" t="s">
        <v>25</v>
      </c>
      <c r="AF23" s="2" t="s">
        <v>26</v>
      </c>
      <c r="AG23" s="2" t="s">
        <v>27</v>
      </c>
      <c r="AH23" s="2" t="s">
        <v>28</v>
      </c>
      <c r="AI23" s="2" t="s">
        <v>29</v>
      </c>
      <c r="AJ23" s="2" t="s">
        <v>30</v>
      </c>
      <c r="AK23" s="2" t="s">
        <v>31</v>
      </c>
    </row>
    <row r="24" spans="1:37" x14ac:dyDescent="0.35">
      <c r="A24" s="2" t="s">
        <v>126</v>
      </c>
      <c r="B24" s="2">
        <v>0.01</v>
      </c>
      <c r="C24" s="1">
        <v>8.5654999999999996E-6</v>
      </c>
      <c r="D24" s="2">
        <v>5.5676E-4</v>
      </c>
      <c r="E24" s="1">
        <v>5.7946999999999998E-6</v>
      </c>
      <c r="F24" s="1">
        <v>2.5653000000000001E-8</v>
      </c>
      <c r="G24" s="2">
        <v>0.44269999999999998</v>
      </c>
      <c r="H24" s="2">
        <v>53.03</v>
      </c>
      <c r="I24" s="2">
        <v>0.24268999999999999</v>
      </c>
      <c r="J24" s="2">
        <v>0.45765</v>
      </c>
      <c r="K24" s="2">
        <v>31.68</v>
      </c>
      <c r="L24" s="2">
        <v>2.1789000000000001</v>
      </c>
      <c r="M24" s="2">
        <v>6.8777999999999997</v>
      </c>
      <c r="N24" s="2">
        <v>4.394E-2</v>
      </c>
      <c r="O24" s="2">
        <v>4.6436999999999997E-3</v>
      </c>
      <c r="P24" s="2">
        <v>10.568</v>
      </c>
      <c r="Q24" s="2">
        <v>1.0649999999999999</v>
      </c>
      <c r="R24" s="2">
        <v>2.9104000000000001E-2</v>
      </c>
      <c r="S24" s="2">
        <v>2.7328000000000001</v>
      </c>
      <c r="T24" s="2">
        <v>3.242</v>
      </c>
      <c r="U24" s="2">
        <v>0.66996</v>
      </c>
      <c r="V24" s="2">
        <v>20.664999999999999</v>
      </c>
      <c r="W24" s="2">
        <v>1.0956E-2</v>
      </c>
      <c r="X24" s="2">
        <v>7.8942000000000005E-3</v>
      </c>
      <c r="Y24" s="2">
        <v>72.054000000000002</v>
      </c>
      <c r="Z24" s="2">
        <v>0.35943999999999998</v>
      </c>
      <c r="AA24" s="2">
        <v>8.3011000000000001E-2</v>
      </c>
      <c r="AB24" s="2">
        <v>23.094999999999999</v>
      </c>
      <c r="AC24" s="2">
        <v>90.03</v>
      </c>
      <c r="AD24" s="2">
        <v>2.0636000000000001</v>
      </c>
      <c r="AE24" s="2">
        <v>2.2921</v>
      </c>
      <c r="AF24" s="2">
        <v>2.0960000000000002E-3</v>
      </c>
      <c r="AG24" s="1">
        <v>2.2129000000000001E-5</v>
      </c>
      <c r="AH24" s="2">
        <v>1.0558000000000001</v>
      </c>
      <c r="AI24" s="2">
        <v>0.89854999999999996</v>
      </c>
      <c r="AJ24" s="2">
        <v>6.4203999999999997E-3</v>
      </c>
      <c r="AK24" s="2">
        <v>0.71453</v>
      </c>
    </row>
    <row r="25" spans="1:37" x14ac:dyDescent="0.35">
      <c r="A25" s="2" t="s">
        <v>66</v>
      </c>
      <c r="B25" s="2">
        <v>0.04</v>
      </c>
      <c r="C25" s="1">
        <v>2.5017999999999999E-6</v>
      </c>
      <c r="D25" s="2">
        <v>1.5761E-4</v>
      </c>
      <c r="E25" s="1">
        <v>5.8163999999999999E-6</v>
      </c>
      <c r="F25" s="1">
        <v>1.4015E-8</v>
      </c>
      <c r="G25" s="2">
        <v>0.24096000000000001</v>
      </c>
      <c r="H25" s="2">
        <v>50.81</v>
      </c>
      <c r="I25" s="2">
        <v>0.20896000000000001</v>
      </c>
      <c r="J25" s="2">
        <v>0.41126000000000001</v>
      </c>
      <c r="K25" s="2">
        <v>9.3989999999999991</v>
      </c>
      <c r="L25" s="2">
        <v>0.77061999999999997</v>
      </c>
      <c r="M25" s="2">
        <v>8.1989999999999998</v>
      </c>
      <c r="N25" s="2">
        <v>4.2014999999999997E-2</v>
      </c>
      <c r="O25" s="2">
        <v>4.7149999999999996E-3</v>
      </c>
      <c r="P25" s="2">
        <v>11.222</v>
      </c>
      <c r="Q25" s="2">
        <v>1.032</v>
      </c>
      <c r="R25" s="2">
        <v>2.9191999999999999E-2</v>
      </c>
      <c r="S25" s="2">
        <v>2.8287</v>
      </c>
      <c r="T25" s="2">
        <v>4.7779999999999996</v>
      </c>
      <c r="U25" s="2">
        <v>1.1031</v>
      </c>
      <c r="V25" s="2">
        <v>23.087</v>
      </c>
      <c r="W25" s="2">
        <v>2.1361999999999999E-2</v>
      </c>
      <c r="X25" s="2">
        <v>1.0583E-2</v>
      </c>
      <c r="Y25" s="2">
        <v>49.540999999999997</v>
      </c>
      <c r="Z25" s="2">
        <v>0.28778999999999999</v>
      </c>
      <c r="AA25" s="2">
        <v>5.4800000000000001E-2</v>
      </c>
      <c r="AB25" s="2">
        <v>19.042000000000002</v>
      </c>
      <c r="AC25" s="2">
        <v>36.75</v>
      </c>
      <c r="AD25" s="2">
        <v>1.0443</v>
      </c>
      <c r="AE25" s="2">
        <v>2.8416000000000001</v>
      </c>
      <c r="AF25" s="2">
        <v>1.7619000000000001E-3</v>
      </c>
      <c r="AG25" s="1">
        <v>2.8141999999999999E-5</v>
      </c>
      <c r="AH25" s="2">
        <v>1.5972999999999999</v>
      </c>
      <c r="AI25" s="2">
        <v>0.92103999999999997</v>
      </c>
      <c r="AJ25" s="2">
        <v>8.5625000000000007E-3</v>
      </c>
      <c r="AK25" s="2">
        <v>0.92966000000000004</v>
      </c>
    </row>
    <row r="26" spans="1:37" x14ac:dyDescent="0.35">
      <c r="A26" s="2" t="s">
        <v>70</v>
      </c>
      <c r="B26" s="2">
        <v>0.1</v>
      </c>
      <c r="C26" s="1">
        <v>2.1171999999999998E-6</v>
      </c>
      <c r="D26" s="2">
        <v>1.2491999999999999E-4</v>
      </c>
      <c r="E26" s="1">
        <v>5.8182999999999998E-6</v>
      </c>
      <c r="F26" s="1">
        <v>1.2451E-8</v>
      </c>
      <c r="G26" s="2">
        <v>0.214</v>
      </c>
      <c r="H26" s="2">
        <v>50.49</v>
      </c>
      <c r="I26" s="2">
        <v>0.25688</v>
      </c>
      <c r="J26" s="2">
        <v>0.50876999999999994</v>
      </c>
      <c r="K26" s="2">
        <v>0.99268000000000001</v>
      </c>
      <c r="L26" s="2">
        <v>0.55023</v>
      </c>
      <c r="M26" s="2">
        <v>55.429000000000002</v>
      </c>
      <c r="N26" s="2">
        <v>0.13486000000000001</v>
      </c>
      <c r="O26" s="2">
        <v>6.3030000000000003E-2</v>
      </c>
      <c r="P26" s="2">
        <v>46.737000000000002</v>
      </c>
      <c r="Q26" s="2">
        <v>1.2789999999999999</v>
      </c>
      <c r="R26" s="2">
        <v>0.17579</v>
      </c>
      <c r="S26" s="2">
        <v>13.744</v>
      </c>
      <c r="T26" s="2">
        <v>31</v>
      </c>
      <c r="U26" s="2">
        <v>0.77295000000000003</v>
      </c>
      <c r="V26" s="2">
        <v>2.4933999999999998</v>
      </c>
      <c r="W26" s="2">
        <v>1.6428E-3</v>
      </c>
      <c r="X26" s="1">
        <v>3.6044999999999998E-5</v>
      </c>
      <c r="Y26" s="2">
        <v>2.1941000000000002</v>
      </c>
      <c r="Z26" s="2">
        <v>0.91966000000000003</v>
      </c>
      <c r="AA26" s="2">
        <v>8.3260999999999995E-3</v>
      </c>
      <c r="AB26" s="2">
        <v>0.90534999999999999</v>
      </c>
      <c r="AC26" s="2">
        <v>5.4509999999999996</v>
      </c>
      <c r="AD26" s="2">
        <v>1.7907</v>
      </c>
      <c r="AE26" s="2">
        <v>32.850999999999999</v>
      </c>
      <c r="AF26" s="2">
        <v>4.7156999999999998E-2</v>
      </c>
      <c r="AG26" s="2">
        <v>2.0663000000000001E-2</v>
      </c>
      <c r="AH26" s="2">
        <v>43.817</v>
      </c>
      <c r="AI26" s="2">
        <v>0.21793000000000001</v>
      </c>
      <c r="AJ26" s="2">
        <v>4.9493000000000002E-2</v>
      </c>
      <c r="AK26" s="2">
        <v>22.710999999999999</v>
      </c>
    </row>
    <row r="27" spans="1:37" x14ac:dyDescent="0.35">
      <c r="A27" s="2" t="s">
        <v>71</v>
      </c>
      <c r="B27" s="4">
        <v>1</v>
      </c>
      <c r="C27" s="1">
        <v>8.2765000000000003E-7</v>
      </c>
      <c r="D27" s="1">
        <v>4.3865000000000001E-5</v>
      </c>
      <c r="E27" s="1">
        <v>5.7872000000000003E-6</v>
      </c>
      <c r="F27" s="1">
        <v>7.4382999999999998E-9</v>
      </c>
      <c r="G27" s="2">
        <v>0.12853000000000001</v>
      </c>
      <c r="H27" s="2">
        <v>51.65</v>
      </c>
      <c r="I27" s="2">
        <v>5.7576000000000002E-2</v>
      </c>
      <c r="J27" s="2">
        <v>0.11147</v>
      </c>
      <c r="K27" s="2">
        <v>8.3379999999999992</v>
      </c>
      <c r="L27" s="2">
        <v>15.35</v>
      </c>
      <c r="M27" s="2">
        <v>184.1</v>
      </c>
      <c r="N27" s="2">
        <v>1.82E-3</v>
      </c>
      <c r="O27" s="2">
        <v>2.8809E-3</v>
      </c>
      <c r="P27" s="2">
        <v>158.29</v>
      </c>
      <c r="Q27" s="2">
        <v>1.0569999999999999</v>
      </c>
      <c r="R27" s="2">
        <v>0.14682999999999999</v>
      </c>
      <c r="S27" s="2">
        <v>13.891</v>
      </c>
      <c r="T27" s="2">
        <v>6.9930000000000003</v>
      </c>
      <c r="U27" s="2">
        <v>16.587</v>
      </c>
      <c r="V27" s="2">
        <v>237.19</v>
      </c>
      <c r="W27" s="2">
        <v>1.8426E-3</v>
      </c>
      <c r="X27" s="2">
        <v>1.774E-3</v>
      </c>
      <c r="Y27" s="2">
        <v>96.277000000000001</v>
      </c>
      <c r="Z27" s="2">
        <v>0.93715999999999999</v>
      </c>
      <c r="AA27" s="2">
        <v>9.0663999999999995E-2</v>
      </c>
      <c r="AB27" s="2">
        <v>9.6743000000000006</v>
      </c>
      <c r="AC27" s="2">
        <v>4.7140000000000004</v>
      </c>
      <c r="AD27" s="2">
        <v>1.7408999999999999</v>
      </c>
      <c r="AE27" s="2">
        <v>36.93</v>
      </c>
      <c r="AF27" s="2">
        <v>1.1691E-2</v>
      </c>
      <c r="AG27" s="2">
        <v>5.4320000000000002E-3</v>
      </c>
      <c r="AH27" s="2">
        <v>46.463000000000001</v>
      </c>
      <c r="AI27" s="2">
        <v>0.38662000000000002</v>
      </c>
      <c r="AJ27" s="2">
        <v>4.1697999999999999E-2</v>
      </c>
      <c r="AK27" s="2">
        <v>10.785</v>
      </c>
    </row>
    <row r="28" spans="1:37" x14ac:dyDescent="0.35">
      <c r="A28" s="2" t="s">
        <v>72</v>
      </c>
      <c r="B28" s="4">
        <v>10</v>
      </c>
      <c r="C28" s="1">
        <v>3.2828999999999999E-6</v>
      </c>
      <c r="D28" s="2">
        <v>1.8055999999999999E-4</v>
      </c>
      <c r="E28" s="1">
        <v>5.9726999999999996E-6</v>
      </c>
      <c r="F28" s="1">
        <v>3.8038999999999998E-7</v>
      </c>
      <c r="G28" s="2">
        <v>6.3688000000000002</v>
      </c>
      <c r="H28" s="2">
        <v>49.89</v>
      </c>
      <c r="I28" s="2">
        <v>29.076000000000001</v>
      </c>
      <c r="J28" s="2">
        <v>58.28</v>
      </c>
      <c r="K28" s="2">
        <v>4.3109999999999999</v>
      </c>
      <c r="L28" s="2">
        <v>29.268000000000001</v>
      </c>
      <c r="M28" s="2">
        <v>678.91</v>
      </c>
      <c r="N28" s="1">
        <v>3.9196000000000002E-7</v>
      </c>
      <c r="O28" s="1">
        <v>5.5586999999999998E-6</v>
      </c>
      <c r="P28" s="2">
        <v>1418.2</v>
      </c>
      <c r="Q28" s="2">
        <v>0.77424999999999999</v>
      </c>
      <c r="R28" s="2">
        <v>0.25107000000000002</v>
      </c>
      <c r="S28" s="2">
        <v>32.427999999999997</v>
      </c>
      <c r="T28" s="2">
        <v>5.27</v>
      </c>
      <c r="U28" s="2">
        <v>1.2665999999999999</v>
      </c>
      <c r="V28" s="2">
        <v>24.033999999999999</v>
      </c>
      <c r="W28" s="2">
        <v>4.3962000000000003E-3</v>
      </c>
      <c r="X28" s="2">
        <v>2.6567000000000001E-3</v>
      </c>
      <c r="Y28" s="2">
        <v>60.432000000000002</v>
      </c>
      <c r="Z28" s="2">
        <v>0.48676000000000003</v>
      </c>
      <c r="AA28" s="2">
        <v>7.8201999999999994E-2</v>
      </c>
      <c r="AB28" s="2">
        <v>16.065999999999999</v>
      </c>
      <c r="AC28" s="2">
        <v>17.07</v>
      </c>
      <c r="AD28" s="2">
        <v>0.89668999999999999</v>
      </c>
      <c r="AE28" s="2">
        <v>5.2530000000000001</v>
      </c>
      <c r="AF28" s="2">
        <v>9.4052000000000003E-4</v>
      </c>
      <c r="AG28" s="1">
        <v>2.2779999999999999E-5</v>
      </c>
      <c r="AH28" s="2">
        <v>2.4220999999999999</v>
      </c>
      <c r="AI28" s="2">
        <v>0.96162999999999998</v>
      </c>
      <c r="AJ28" s="2">
        <v>1.6560999999999999E-2</v>
      </c>
      <c r="AK28" s="2">
        <v>1.7222</v>
      </c>
    </row>
    <row r="29" spans="1:37" s="4" customFormat="1" x14ac:dyDescent="0.35">
      <c r="A29" s="2" t="s">
        <v>135</v>
      </c>
      <c r="B29" s="4">
        <v>100</v>
      </c>
      <c r="C29" s="3">
        <v>6.7833999999999997E-7</v>
      </c>
      <c r="D29" s="3">
        <v>3.3238999999999998E-5</v>
      </c>
      <c r="E29" s="3">
        <v>5.9754000000000004E-6</v>
      </c>
      <c r="F29" s="3">
        <v>2.3382000000000001E-7</v>
      </c>
      <c r="G29" s="4">
        <v>3.9129999999999998</v>
      </c>
      <c r="H29" s="4">
        <v>45.27</v>
      </c>
      <c r="I29" s="4">
        <v>8.8978000000000002</v>
      </c>
      <c r="J29" s="4">
        <v>19.655000000000001</v>
      </c>
      <c r="K29" s="4">
        <v>3.9359999999999999</v>
      </c>
      <c r="L29" s="4">
        <v>0.55671000000000004</v>
      </c>
      <c r="M29" s="4">
        <v>14.144</v>
      </c>
      <c r="N29" s="4">
        <v>7.1157E-3</v>
      </c>
      <c r="O29" s="4">
        <v>2.3208E-3</v>
      </c>
      <c r="P29" s="4">
        <v>32.615000000000002</v>
      </c>
      <c r="Q29" s="4">
        <v>0.47600999999999999</v>
      </c>
      <c r="R29" s="4">
        <v>3.6805999999999998E-2</v>
      </c>
      <c r="S29" s="4">
        <v>7.7321999999999997</v>
      </c>
      <c r="T29" s="4">
        <v>3.1840000000000002</v>
      </c>
      <c r="U29" s="4">
        <v>8.9298999999999999</v>
      </c>
      <c r="V29" s="4">
        <v>280.45999999999998</v>
      </c>
      <c r="W29" s="3">
        <v>8.9294000000000002E-9</v>
      </c>
      <c r="X29" s="3">
        <v>2.2942000000000001E-8</v>
      </c>
      <c r="Y29" s="4">
        <v>256.93</v>
      </c>
      <c r="Z29" s="4">
        <v>1.0449999999999999</v>
      </c>
      <c r="AA29" s="4">
        <v>0.13639999999999999</v>
      </c>
      <c r="AB29" s="4">
        <v>13.053000000000001</v>
      </c>
      <c r="AC29" s="4">
        <v>13.33</v>
      </c>
      <c r="AD29" s="4">
        <v>0.41919000000000001</v>
      </c>
      <c r="AE29" s="4">
        <v>3.1446999999999998</v>
      </c>
      <c r="AF29" s="4">
        <v>9.2829999999999996E-4</v>
      </c>
      <c r="AG29" s="3">
        <v>1.3467E-5</v>
      </c>
      <c r="AH29" s="4">
        <v>1.4507000000000001</v>
      </c>
      <c r="AI29" s="4">
        <v>0.97818000000000005</v>
      </c>
      <c r="AJ29" s="4">
        <v>9.3916999999999994E-3</v>
      </c>
      <c r="AK29" s="4">
        <v>0.96011999999999997</v>
      </c>
    </row>
    <row r="30" spans="1:37" x14ac:dyDescent="0.35">
      <c r="B30" s="4"/>
    </row>
    <row r="31" spans="1:37" x14ac:dyDescent="0.35">
      <c r="B31" s="2" t="s">
        <v>54</v>
      </c>
      <c r="C31" s="2" t="s">
        <v>0</v>
      </c>
      <c r="D31" s="2" t="s">
        <v>1</v>
      </c>
      <c r="E31" s="2" t="s">
        <v>2</v>
      </c>
      <c r="F31" s="2" t="s">
        <v>3</v>
      </c>
      <c r="G31" s="2" t="s">
        <v>4</v>
      </c>
      <c r="H31" s="2" t="s">
        <v>33</v>
      </c>
      <c r="I31" s="2" t="s">
        <v>34</v>
      </c>
      <c r="J31" s="2" t="s">
        <v>35</v>
      </c>
      <c r="K31" s="2" t="s">
        <v>5</v>
      </c>
      <c r="L31" s="2" t="s">
        <v>6</v>
      </c>
      <c r="M31" s="2" t="s">
        <v>7</v>
      </c>
      <c r="N31" s="2" t="s">
        <v>8</v>
      </c>
      <c r="O31" s="2" t="s">
        <v>9</v>
      </c>
      <c r="P31" s="2" t="s">
        <v>10</v>
      </c>
      <c r="Q31" s="2" t="s">
        <v>11</v>
      </c>
      <c r="R31" s="2" t="s">
        <v>12</v>
      </c>
      <c r="S31" s="2" t="s">
        <v>13</v>
      </c>
      <c r="T31" s="2" t="s">
        <v>14</v>
      </c>
      <c r="U31" s="2" t="s">
        <v>15</v>
      </c>
      <c r="V31" s="2" t="s">
        <v>16</v>
      </c>
      <c r="W31" s="2" t="s">
        <v>17</v>
      </c>
      <c r="X31" s="2" t="s">
        <v>18</v>
      </c>
      <c r="Y31" s="2" t="s">
        <v>19</v>
      </c>
      <c r="Z31" s="2" t="s">
        <v>20</v>
      </c>
      <c r="AA31" s="2" t="s">
        <v>21</v>
      </c>
      <c r="AB31" s="2" t="s">
        <v>22</v>
      </c>
      <c r="AC31" s="2" t="s">
        <v>36</v>
      </c>
      <c r="AD31" s="2" t="s">
        <v>37</v>
      </c>
      <c r="AE31" s="2" t="s">
        <v>38</v>
      </c>
      <c r="AF31" s="2" t="s">
        <v>26</v>
      </c>
      <c r="AG31" s="2" t="s">
        <v>27</v>
      </c>
      <c r="AH31" s="2" t="s">
        <v>28</v>
      </c>
      <c r="AI31" s="2" t="s">
        <v>29</v>
      </c>
      <c r="AJ31" s="2" t="s">
        <v>30</v>
      </c>
      <c r="AK31" s="2" t="s">
        <v>31</v>
      </c>
    </row>
    <row r="32" spans="1:37" x14ac:dyDescent="0.35">
      <c r="A32" s="2" t="s">
        <v>73</v>
      </c>
      <c r="B32" s="9">
        <f>1/(0.000479779-0.000434801*LOG(0.05/(0.5*0.5*(H32-10)))-0.000100649*(LOG(0.05/(0.5*0.5*(H32-10))))^2-0.0000198446*(LOG(0.05/(0.5*0.5*(H32-10))))^3-0.00000195494*(LOG(0.05/(0.5*0.5*(H32-10))))^4-0.0000000757244*(LOG(0.05/(0.5*0.5*(H32-10))))^5)</f>
        <v>892.05508628855841</v>
      </c>
      <c r="C32" s="1">
        <v>7.3756999999999995E-7</v>
      </c>
      <c r="D32" s="1">
        <v>4.4991999999999999E-5</v>
      </c>
      <c r="E32" s="1">
        <v>5.8352999999999998E-6</v>
      </c>
      <c r="F32" s="1">
        <v>6.2482E-9</v>
      </c>
      <c r="G32" s="2">
        <v>0.10707999999999999</v>
      </c>
      <c r="H32" s="2">
        <v>42.56</v>
      </c>
      <c r="I32" s="2">
        <v>5.2026999999999997E-2</v>
      </c>
      <c r="J32" s="2">
        <v>0.12224</v>
      </c>
      <c r="K32" s="2">
        <v>2.6520000000000001</v>
      </c>
      <c r="L32" s="2">
        <v>0.29642000000000002</v>
      </c>
      <c r="M32" s="2">
        <v>11.177</v>
      </c>
      <c r="N32" s="1">
        <v>2.0285999999999998E-2</v>
      </c>
      <c r="O32" s="1">
        <v>6.1618000000000003E-3</v>
      </c>
      <c r="P32" s="2">
        <v>30.375</v>
      </c>
      <c r="Q32" s="2">
        <v>0.35972999999999999</v>
      </c>
      <c r="R32" s="2">
        <v>3.2884999999999998E-2</v>
      </c>
      <c r="S32" s="2">
        <v>9.1416000000000004</v>
      </c>
      <c r="T32" s="2">
        <v>28.23</v>
      </c>
      <c r="U32" s="2">
        <v>0.44169999999999998</v>
      </c>
      <c r="V32" s="2">
        <v>1.5646</v>
      </c>
      <c r="W32" s="2">
        <v>1.6752E-3</v>
      </c>
      <c r="X32" s="1">
        <v>1.5316999999999999E-5</v>
      </c>
      <c r="Y32" s="2">
        <v>0.91434000000000004</v>
      </c>
      <c r="Z32" s="2">
        <v>0.94660999999999995</v>
      </c>
      <c r="AA32" s="2">
        <v>4.7127000000000002E-3</v>
      </c>
      <c r="AB32" s="2">
        <v>0.49785000000000001</v>
      </c>
      <c r="AC32" s="2">
        <v>12.35</v>
      </c>
      <c r="AD32" s="2">
        <v>0.37069000000000002</v>
      </c>
      <c r="AE32" s="2">
        <v>3.0015000000000001</v>
      </c>
      <c r="AF32" s="2">
        <v>3.1215E-2</v>
      </c>
      <c r="AG32" s="1">
        <v>1.2289E-3</v>
      </c>
      <c r="AH32" s="2">
        <v>3.9369000000000001</v>
      </c>
      <c r="AI32" s="2">
        <v>0.97707999999999995</v>
      </c>
      <c r="AJ32" s="2">
        <v>1.2338999999999999E-2</v>
      </c>
      <c r="AK32" s="2">
        <v>1.2627999999999999</v>
      </c>
    </row>
    <row r="33" spans="1:37" x14ac:dyDescent="0.35">
      <c r="A33" s="2" t="s">
        <v>74</v>
      </c>
      <c r="B33" s="9">
        <f>1/(0.000479779-0.000434801*LOG(0.05/(0.5*0.5*(H33-10)))-0.000100649*(LOG(0.05/(0.5*0.5*(H33-10))))^2-0.0000198446*(LOG(0.05/(0.5*0.5*(H33-10))))^3-0.00000195494*(LOG(0.05/(0.5*0.5*(H33-10))))^4-0.0000000757244*(LOG(0.05/(0.5*0.5*(H33-10))))^5)</f>
        <v>847.80426325751341</v>
      </c>
      <c r="C33" s="1">
        <v>5.4684E-6</v>
      </c>
      <c r="D33" s="2">
        <v>3.4998000000000001E-4</v>
      </c>
      <c r="E33" s="1">
        <v>5.7747E-6</v>
      </c>
      <c r="F33" s="1">
        <v>2.7999999999999999E-8</v>
      </c>
      <c r="G33" s="2">
        <v>0.48487000000000002</v>
      </c>
      <c r="H33" s="2">
        <v>73.760000000000005</v>
      </c>
      <c r="I33" s="2">
        <v>0.503</v>
      </c>
      <c r="J33" s="2">
        <v>0.68193999999999999</v>
      </c>
      <c r="K33" s="2">
        <v>9.7159999999999993</v>
      </c>
      <c r="L33" s="2">
        <v>3.3950999999999998</v>
      </c>
      <c r="M33" s="2">
        <v>34.942999999999998</v>
      </c>
      <c r="N33" s="2">
        <v>1.7395999999999998E-2</v>
      </c>
      <c r="O33" s="2">
        <v>1.0377000000000001E-2</v>
      </c>
      <c r="P33" s="2">
        <v>59.652000000000001</v>
      </c>
      <c r="Q33" s="2">
        <v>0.25681999999999999</v>
      </c>
      <c r="R33" s="2">
        <v>6.6738000000000006E-2</v>
      </c>
      <c r="S33" s="2">
        <v>25.986000000000001</v>
      </c>
      <c r="T33" s="2">
        <v>86.15</v>
      </c>
      <c r="U33" s="2">
        <v>4.8124000000000002</v>
      </c>
      <c r="V33" s="2">
        <v>5.5861000000000001</v>
      </c>
      <c r="W33" s="2">
        <v>1.2681999999999999E-3</v>
      </c>
      <c r="X33" s="1">
        <v>1.5009E-5</v>
      </c>
      <c r="Y33" s="2">
        <v>1.1835</v>
      </c>
      <c r="Z33" s="2">
        <v>0.94057000000000002</v>
      </c>
      <c r="AA33" s="2">
        <v>1.1252E-2</v>
      </c>
      <c r="AB33" s="2">
        <v>1.1962999999999999</v>
      </c>
      <c r="AC33" s="2">
        <v>10.68</v>
      </c>
      <c r="AD33" s="2">
        <v>3.3906999999999998</v>
      </c>
      <c r="AE33" s="2">
        <v>31.748000000000001</v>
      </c>
      <c r="AF33" s="2">
        <v>3.4243999999999997E-2</v>
      </c>
      <c r="AG33" s="2">
        <v>1.6750999999999999E-2</v>
      </c>
      <c r="AH33" s="2">
        <v>48.917000000000002</v>
      </c>
      <c r="AI33" s="2">
        <v>1</v>
      </c>
    </row>
    <row r="34" spans="1:37" x14ac:dyDescent="0.35">
      <c r="A34" s="2" t="s">
        <v>75</v>
      </c>
      <c r="B34" s="9">
        <f>1/(0.000479779-0.000434801*LOG(0.05/(0.5*0.5*(H34-10)))-0.000100649*(LOG(0.05/(0.5*0.5*(H34-10))))^2-0.0000198446*(LOG(0.05/(0.5*0.5*(H34-10))))^3-0.00000195494*(LOG(0.05/(0.5*0.5*(H34-10))))^4-0.0000000757244*(LOG(0.05/(0.5*0.5*(H34-10))))^5)</f>
        <v>795.64792392472259</v>
      </c>
      <c r="C34" s="1">
        <v>4.9237E-6</v>
      </c>
      <c r="D34" s="2">
        <v>3.3481E-4</v>
      </c>
      <c r="E34" s="1">
        <v>5.0227999999999996E-6</v>
      </c>
      <c r="F34" s="1">
        <v>5.0183E-8</v>
      </c>
      <c r="G34" s="2">
        <v>0.99909999999999999</v>
      </c>
      <c r="H34" s="2">
        <v>171.5</v>
      </c>
      <c r="I34" s="2">
        <v>0.32273000000000002</v>
      </c>
      <c r="J34" s="2">
        <v>0.18817999999999999</v>
      </c>
      <c r="K34" s="2">
        <v>29.48</v>
      </c>
      <c r="L34" s="2">
        <v>5.7960000000000003</v>
      </c>
      <c r="M34" s="2">
        <v>19.661000000000001</v>
      </c>
      <c r="N34" s="2">
        <v>8.1905999999999993E-3</v>
      </c>
      <c r="O34" s="2">
        <v>2.1450000000000002E-3</v>
      </c>
      <c r="P34" s="2">
        <v>26.189</v>
      </c>
      <c r="Q34" s="2">
        <v>0.32307000000000002</v>
      </c>
      <c r="R34" s="2">
        <v>3.2120000000000003E-2</v>
      </c>
      <c r="S34" s="2">
        <v>9.9420999999999999</v>
      </c>
      <c r="T34" s="2">
        <v>379.5</v>
      </c>
      <c r="U34" s="2">
        <v>3.6333000000000002</v>
      </c>
      <c r="V34" s="2">
        <v>0.95738999999999996</v>
      </c>
      <c r="W34" s="2">
        <v>9.2971999999999998E-4</v>
      </c>
      <c r="X34" s="1">
        <v>5.3912000000000002E-6</v>
      </c>
      <c r="Y34" s="2">
        <v>0.57987</v>
      </c>
      <c r="Z34" s="2">
        <v>0.95299999999999996</v>
      </c>
      <c r="AA34" s="2">
        <v>3.7098000000000001E-3</v>
      </c>
      <c r="AB34" s="2">
        <v>0.38928000000000001</v>
      </c>
      <c r="AC34" s="2">
        <v>0</v>
      </c>
      <c r="AD34" s="2">
        <v>0</v>
      </c>
      <c r="AE34" s="2">
        <v>1</v>
      </c>
      <c r="AF34" s="2">
        <v>2.2271999999999999E-3</v>
      </c>
      <c r="AG34" s="2">
        <v>3.5316999999999998E-4</v>
      </c>
      <c r="AH34" s="2">
        <v>15.856999999999999</v>
      </c>
      <c r="AI34" s="2">
        <v>0.45391999999999999</v>
      </c>
      <c r="AJ34" s="2">
        <v>1.5389E-2</v>
      </c>
      <c r="AK34" s="2">
        <v>3.3902000000000001</v>
      </c>
    </row>
    <row r="35" spans="1:37" x14ac:dyDescent="0.35">
      <c r="A35" s="2" t="s">
        <v>76</v>
      </c>
      <c r="B35" s="9">
        <f>1/(0.000479779-0.000434801*LOG(0.05/(0.5*0.5*(H35-10)))-0.000100649*(LOG(0.05/(0.5*0.5*(H35-10))))^2-0.0000198446*(LOG(0.05/(0.5*0.5*(H35-10))))^3-0.00000195494*(LOG(0.05/(0.5*0.5*(H35-10))))^4-0.0000000757244*(LOG(0.05/(0.5*0.5*(H35-10))))^5)</f>
        <v>777.20823031772068</v>
      </c>
      <c r="C35" s="1">
        <v>1.4939999999999999E-5</v>
      </c>
      <c r="D35" s="2">
        <v>1.0158999999999999E-3</v>
      </c>
      <c r="E35" s="1">
        <v>4.1065999999999998E-6</v>
      </c>
      <c r="F35" s="1">
        <v>1.2412999999999999E-7</v>
      </c>
      <c r="G35" s="2">
        <v>3.0226999999999999</v>
      </c>
      <c r="H35" s="2">
        <v>243.4</v>
      </c>
      <c r="I35" s="2">
        <v>1.0932999999999999</v>
      </c>
      <c r="J35" s="2">
        <v>0.44918000000000002</v>
      </c>
      <c r="K35" s="2">
        <v>74.930000000000007</v>
      </c>
      <c r="L35" s="2">
        <v>50.524999999999999</v>
      </c>
      <c r="M35" s="2">
        <v>67.430000000000007</v>
      </c>
      <c r="N35" s="2">
        <v>9.9445999999999996E-3</v>
      </c>
      <c r="O35" s="2">
        <v>4.1938000000000001E-3</v>
      </c>
      <c r="P35" s="2">
        <v>42.171999999999997</v>
      </c>
      <c r="Q35" s="2">
        <v>0.24990999999999999</v>
      </c>
      <c r="R35" s="2">
        <v>5.0632999999999997E-2</v>
      </c>
      <c r="S35" s="2">
        <v>20.260000000000002</v>
      </c>
      <c r="T35" s="2">
        <v>704.3</v>
      </c>
      <c r="U35" s="2">
        <v>15.762</v>
      </c>
      <c r="V35" s="2">
        <v>2.238</v>
      </c>
      <c r="W35" s="2">
        <v>8.7208999999999995E-4</v>
      </c>
      <c r="X35" s="1">
        <v>1.0903999999999999E-5</v>
      </c>
      <c r="Y35" s="2">
        <v>1.2503</v>
      </c>
      <c r="Z35" s="2">
        <v>0.94418999999999997</v>
      </c>
      <c r="AA35" s="2">
        <v>7.1622999999999999E-3</v>
      </c>
      <c r="AB35" s="2">
        <v>0.75856999999999997</v>
      </c>
      <c r="AC35" s="2">
        <v>0</v>
      </c>
      <c r="AD35" s="2">
        <v>0</v>
      </c>
      <c r="AE35" s="2">
        <v>1</v>
      </c>
      <c r="AF35" s="2">
        <v>4.8442000000000001E-5</v>
      </c>
      <c r="AG35" s="2">
        <v>1.1883999999999999E-4</v>
      </c>
      <c r="AH35" s="2">
        <v>245.32</v>
      </c>
      <c r="AI35" s="2">
        <v>0.76339000000000001</v>
      </c>
      <c r="AJ35" s="2">
        <v>0.23111999999999999</v>
      </c>
      <c r="AK35" s="2">
        <v>30.274999999999999</v>
      </c>
    </row>
    <row r="37" spans="1:37" x14ac:dyDescent="0.35">
      <c r="C37" s="1"/>
      <c r="D37" s="1"/>
      <c r="E37" s="1"/>
      <c r="F37" s="1"/>
      <c r="X37" s="1"/>
    </row>
    <row r="38" spans="1:37" x14ac:dyDescent="0.35">
      <c r="C38" s="1"/>
      <c r="E38" s="1"/>
      <c r="F38" s="1"/>
      <c r="X38" s="1"/>
    </row>
    <row r="40" spans="1:37" x14ac:dyDescent="0.35">
      <c r="C40" s="1"/>
      <c r="E40" s="1"/>
      <c r="F40" s="1"/>
      <c r="N40" s="1"/>
      <c r="O40" s="1"/>
      <c r="AG40" s="1"/>
    </row>
    <row r="41" spans="1:37" x14ac:dyDescent="0.35">
      <c r="C41" s="1"/>
      <c r="E41" s="1"/>
      <c r="F41" s="1"/>
      <c r="AG41" s="1"/>
    </row>
    <row r="43" spans="1:37" x14ac:dyDescent="0.35">
      <c r="C43" s="1"/>
      <c r="D43" s="1"/>
      <c r="E43" s="1"/>
      <c r="F43" s="1"/>
      <c r="W43" s="1"/>
      <c r="X43" s="1"/>
      <c r="AG43" s="1"/>
    </row>
    <row r="44" spans="1:37" x14ac:dyDescent="0.35">
      <c r="C44" s="1"/>
      <c r="D44" s="1"/>
      <c r="E44" s="1"/>
      <c r="F44" s="1"/>
      <c r="W44" s="1"/>
      <c r="X44" s="1"/>
      <c r="AG44" s="1"/>
    </row>
    <row r="48" spans="1:37" x14ac:dyDescent="0.35">
      <c r="C48" s="1"/>
      <c r="E48" s="1"/>
      <c r="F48" s="1"/>
      <c r="M48" s="1"/>
      <c r="AD48" s="1"/>
    </row>
    <row r="49" spans="3:31" x14ac:dyDescent="0.35">
      <c r="C49" s="1"/>
      <c r="E49" s="1"/>
      <c r="F49" s="1"/>
      <c r="U49" s="1"/>
      <c r="V49" s="1"/>
      <c r="AE49" s="1"/>
    </row>
    <row r="61" spans="3:31" x14ac:dyDescent="0.35">
      <c r="Y6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Y61" sqref="Y61"/>
    </sheetView>
  </sheetViews>
  <sheetFormatPr baseColWidth="10" defaultRowHeight="14.5" x14ac:dyDescent="0.35"/>
  <cols>
    <col min="1" max="1" width="18.36328125" customWidth="1"/>
  </cols>
  <sheetData>
    <row r="1" spans="1:5" x14ac:dyDescent="0.35">
      <c r="B1" t="s">
        <v>59</v>
      </c>
      <c r="C1" t="s">
        <v>60</v>
      </c>
      <c r="D1" t="s">
        <v>61</v>
      </c>
    </row>
    <row r="2" spans="1:5" x14ac:dyDescent="0.35">
      <c r="B2">
        <v>20</v>
      </c>
      <c r="C2">
        <v>9</v>
      </c>
      <c r="D2">
        <v>156</v>
      </c>
      <c r="E2" t="s">
        <v>62</v>
      </c>
    </row>
    <row r="3" spans="1:5" x14ac:dyDescent="0.35">
      <c r="B3">
        <v>26</v>
      </c>
      <c r="C3">
        <v>9</v>
      </c>
      <c r="D3">
        <v>164</v>
      </c>
      <c r="E3" t="s">
        <v>62</v>
      </c>
    </row>
    <row r="4" spans="1:5" x14ac:dyDescent="0.35">
      <c r="B4">
        <v>28</v>
      </c>
      <c r="C4">
        <v>9</v>
      </c>
      <c r="D4">
        <v>149</v>
      </c>
      <c r="E4" t="s">
        <v>62</v>
      </c>
    </row>
    <row r="5" spans="1:5" x14ac:dyDescent="0.35">
      <c r="B5">
        <v>23</v>
      </c>
      <c r="C5">
        <v>9</v>
      </c>
      <c r="D5">
        <v>157</v>
      </c>
      <c r="E5" t="s">
        <v>62</v>
      </c>
    </row>
    <row r="6" spans="1:5" x14ac:dyDescent="0.35">
      <c r="B6">
        <v>29</v>
      </c>
    </row>
    <row r="7" spans="1:5" x14ac:dyDescent="0.35">
      <c r="A7" t="s">
        <v>133</v>
      </c>
      <c r="B7">
        <f>AVERAGE(B2:B6)</f>
        <v>25.2</v>
      </c>
      <c r="C7">
        <f t="shared" ref="C7:D7" si="0">AVERAGE(C2:C6)</f>
        <v>9</v>
      </c>
      <c r="D7">
        <f t="shared" si="0"/>
        <v>156.5</v>
      </c>
      <c r="E7" t="s">
        <v>62</v>
      </c>
    </row>
    <row r="8" spans="1:5" x14ac:dyDescent="0.35">
      <c r="A8" t="s">
        <v>134</v>
      </c>
      <c r="B8">
        <f>_xlfn.STDEV.S(B2:B5)</f>
        <v>3.5</v>
      </c>
      <c r="C8">
        <f t="shared" ref="C8" si="1">2*_xlfn.STDEV.S(C2:C5)</f>
        <v>0</v>
      </c>
      <c r="D8" s="9">
        <f>_xlfn.STDEV.S(D2:D5)</f>
        <v>6.1373175465073224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zoomScale="70" zoomScaleNormal="70" workbookViewId="0">
      <selection activeCell="A16" sqref="A16"/>
    </sheetView>
  </sheetViews>
  <sheetFormatPr baseColWidth="10" defaultColWidth="8.7265625" defaultRowHeight="14.5" x14ac:dyDescent="0.35"/>
  <cols>
    <col min="1" max="1" width="113.54296875" customWidth="1"/>
    <col min="2" max="2" width="12" customWidth="1"/>
    <col min="3" max="3" width="17.36328125" customWidth="1"/>
    <col min="4" max="4" width="20.54296875" customWidth="1"/>
    <col min="5" max="5" width="16" customWidth="1"/>
    <col min="6" max="6" width="14.54296875" customWidth="1"/>
    <col min="7" max="7" width="12.7265625" customWidth="1"/>
    <col min="8" max="8" width="13.54296875" bestFit="1" customWidth="1"/>
    <col min="11" max="11" width="10.26953125" bestFit="1" customWidth="1"/>
    <col min="12" max="12" width="9.90625" bestFit="1" customWidth="1"/>
    <col min="13" max="13" width="13" customWidth="1"/>
    <col min="14" max="15" width="10.26953125" bestFit="1" customWidth="1"/>
    <col min="16" max="16" width="11.81640625" bestFit="1" customWidth="1"/>
    <col min="17" max="17" width="12.36328125" bestFit="1" customWidth="1"/>
    <col min="18" max="18" width="11.54296875" customWidth="1"/>
    <col min="22" max="22" width="9.26953125" bestFit="1" customWidth="1"/>
    <col min="23" max="23" width="8.90625" bestFit="1" customWidth="1"/>
    <col min="24" max="24" width="11.81640625" bestFit="1" customWidth="1"/>
    <col min="25" max="25" width="12" bestFit="1" customWidth="1"/>
    <col min="26" max="26" width="13.81640625" bestFit="1" customWidth="1"/>
    <col min="27" max="29" width="11.81640625" bestFit="1" customWidth="1"/>
    <col min="32" max="32" width="11.36328125" bestFit="1" customWidth="1"/>
    <col min="33" max="33" width="10.36328125" bestFit="1" customWidth="1"/>
  </cols>
  <sheetData>
    <row r="1" spans="1:37" x14ac:dyDescent="0.35">
      <c r="A1" t="s">
        <v>150</v>
      </c>
      <c r="B1" t="s">
        <v>166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33</v>
      </c>
      <c r="I1" t="s">
        <v>34</v>
      </c>
      <c r="J1" t="s">
        <v>35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36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</row>
    <row r="2" spans="1:37" x14ac:dyDescent="0.35">
      <c r="A2" t="s">
        <v>165</v>
      </c>
      <c r="B2">
        <v>0</v>
      </c>
      <c r="C2" s="1">
        <v>2.7847999999999998E-5</v>
      </c>
      <c r="D2">
        <v>1.6708999999999999E-3</v>
      </c>
      <c r="E2" s="1">
        <v>6.3542000000000001E-6</v>
      </c>
      <c r="F2" s="1">
        <v>3.9301000000000002E-8</v>
      </c>
      <c r="G2">
        <v>0.61850000000000005</v>
      </c>
      <c r="H2">
        <v>51</v>
      </c>
      <c r="I2">
        <v>7.9861000000000001E-2</v>
      </c>
      <c r="J2">
        <v>0.15659000000000001</v>
      </c>
      <c r="K2" s="2">
        <v>323.3</v>
      </c>
      <c r="L2">
        <v>137.21</v>
      </c>
      <c r="M2">
        <v>42.44</v>
      </c>
      <c r="N2" s="1">
        <v>4.9014000000000002E-5</v>
      </c>
      <c r="O2" s="1">
        <v>1.0239E-5</v>
      </c>
      <c r="P2">
        <v>20.89</v>
      </c>
      <c r="Q2">
        <v>1.028</v>
      </c>
      <c r="R2">
        <v>6.7856E-2</v>
      </c>
      <c r="S2">
        <v>6.6007999999999996</v>
      </c>
      <c r="T2">
        <v>583.5</v>
      </c>
      <c r="U2">
        <v>139.62</v>
      </c>
      <c r="V2">
        <v>23.928000000000001</v>
      </c>
      <c r="W2" s="1">
        <v>4.1006E-5</v>
      </c>
      <c r="X2" s="1">
        <v>5.9812999999999998E-6</v>
      </c>
      <c r="Y2">
        <v>14.586</v>
      </c>
      <c r="Z2">
        <v>0.77610999999999997</v>
      </c>
      <c r="AA2">
        <v>8.9674999999999998E-3</v>
      </c>
      <c r="AB2">
        <v>1.1554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1</v>
      </c>
      <c r="AJ2" s="1">
        <v>0</v>
      </c>
      <c r="AK2" s="1">
        <v>0</v>
      </c>
    </row>
    <row r="3" spans="1:37" x14ac:dyDescent="0.35">
      <c r="A3" t="s">
        <v>164</v>
      </c>
      <c r="B3">
        <v>1</v>
      </c>
      <c r="C3" s="1">
        <v>2.1534E-6</v>
      </c>
      <c r="D3">
        <v>1.3350999999999999E-4</v>
      </c>
      <c r="E3" s="1">
        <v>6.4305999999999999E-6</v>
      </c>
      <c r="F3" s="1">
        <v>1.1567E-8</v>
      </c>
      <c r="G3">
        <v>0.17987</v>
      </c>
      <c r="H3">
        <v>48.25</v>
      </c>
      <c r="I3" s="1">
        <v>7.9402E-2</v>
      </c>
      <c r="J3">
        <v>0.16456000000000001</v>
      </c>
      <c r="K3" s="2">
        <v>1131</v>
      </c>
      <c r="L3" s="1">
        <v>3.4843000000000002</v>
      </c>
      <c r="M3">
        <v>0.30807000000000001</v>
      </c>
      <c r="N3" s="1">
        <v>1.7323E-5</v>
      </c>
      <c r="O3" s="1">
        <v>6.4165000000000006E-8</v>
      </c>
      <c r="P3">
        <v>0.37040000000000001</v>
      </c>
      <c r="Q3">
        <v>0.86424999999999996</v>
      </c>
      <c r="R3">
        <v>1.052E-3</v>
      </c>
      <c r="S3">
        <v>0.12171999999999999</v>
      </c>
      <c r="T3">
        <v>38.6</v>
      </c>
      <c r="U3">
        <v>5.3304</v>
      </c>
      <c r="V3">
        <v>13.808999999999999</v>
      </c>
      <c r="W3">
        <v>7.8344E-3</v>
      </c>
      <c r="X3">
        <v>1.1543E-3</v>
      </c>
      <c r="Y3">
        <v>14.734</v>
      </c>
      <c r="Z3">
        <v>0.35450999999999999</v>
      </c>
      <c r="AA3">
        <v>1.5671000000000001E-2</v>
      </c>
      <c r="AB3">
        <v>4.4204999999999997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1</v>
      </c>
      <c r="AJ3" s="1">
        <v>0</v>
      </c>
      <c r="AK3" s="1">
        <v>0</v>
      </c>
    </row>
    <row r="4" spans="1:37" x14ac:dyDescent="0.35">
      <c r="A4" t="s">
        <v>163</v>
      </c>
      <c r="B4">
        <v>3</v>
      </c>
      <c r="C4" s="1">
        <v>1.5381000000000001E-5</v>
      </c>
      <c r="D4">
        <v>9.0746999999999996E-4</v>
      </c>
      <c r="E4" s="1">
        <v>6.4255999999999999E-6</v>
      </c>
      <c r="F4" s="1">
        <v>3.1217000000000001E-8</v>
      </c>
      <c r="G4">
        <v>0.48581999999999997</v>
      </c>
      <c r="H4">
        <v>48.42</v>
      </c>
      <c r="I4">
        <v>0.18881000000000001</v>
      </c>
      <c r="J4">
        <v>0.38994000000000001</v>
      </c>
      <c r="K4">
        <v>52.18</v>
      </c>
      <c r="L4">
        <v>12.268000000000001</v>
      </c>
      <c r="M4">
        <v>23.510999999999999</v>
      </c>
      <c r="N4" s="1">
        <v>4.8467999999999997E-5</v>
      </c>
      <c r="O4" s="1">
        <v>7.8535000000000003E-6</v>
      </c>
      <c r="P4">
        <v>16.202999999999999</v>
      </c>
      <c r="Q4">
        <v>0.79844000000000004</v>
      </c>
      <c r="R4">
        <v>2.6884999999999999E-2</v>
      </c>
      <c r="S4">
        <v>3.3672</v>
      </c>
      <c r="T4">
        <v>48.73</v>
      </c>
      <c r="U4">
        <v>3.2063000000000001</v>
      </c>
      <c r="V4">
        <v>6.5796999999999999</v>
      </c>
      <c r="W4">
        <v>7.1157E-3</v>
      </c>
      <c r="X4">
        <v>1.7240999999999999E-3</v>
      </c>
      <c r="Y4">
        <v>24.23</v>
      </c>
      <c r="Z4">
        <v>0.37134</v>
      </c>
      <c r="AA4">
        <v>2.3303999999999998E-2</v>
      </c>
      <c r="AB4">
        <v>6.2756999999999996</v>
      </c>
      <c r="AC4">
        <v>80.53</v>
      </c>
      <c r="AD4">
        <v>11.35</v>
      </c>
      <c r="AE4">
        <v>14.093999999999999</v>
      </c>
      <c r="AF4" s="1">
        <v>2.7664000000000001E-5</v>
      </c>
      <c r="AG4" s="1">
        <v>1.8537999999999999E-6</v>
      </c>
      <c r="AH4">
        <v>6.7011000000000003</v>
      </c>
      <c r="AI4">
        <v>1.0089999999999999</v>
      </c>
      <c r="AJ4">
        <v>2.8157000000000001E-2</v>
      </c>
      <c r="AK4">
        <v>2.7906</v>
      </c>
    </row>
    <row r="5" spans="1:37" x14ac:dyDescent="0.35">
      <c r="A5" t="s">
        <v>162</v>
      </c>
      <c r="B5">
        <v>5</v>
      </c>
      <c r="C5" s="1">
        <v>6.2321E-6</v>
      </c>
      <c r="D5">
        <v>3.8015999999999999E-4</v>
      </c>
      <c r="E5" s="1">
        <v>6.4048000000000001E-6</v>
      </c>
      <c r="F5" s="1">
        <v>1.8332999999999999E-8</v>
      </c>
      <c r="G5">
        <v>0.28623999999999999</v>
      </c>
      <c r="H5">
        <v>48.04</v>
      </c>
      <c r="I5" s="1">
        <v>5.8513000000000003E-2</v>
      </c>
      <c r="J5" s="1">
        <v>0.12180000000000001</v>
      </c>
      <c r="K5" s="2">
        <v>58.06</v>
      </c>
      <c r="L5" s="1">
        <v>1.7885</v>
      </c>
      <c r="M5">
        <v>3.0804</v>
      </c>
      <c r="N5" s="1">
        <v>5.3332999999999999E-5</v>
      </c>
      <c r="O5" s="1">
        <v>1.4868000000000001E-6</v>
      </c>
      <c r="P5">
        <v>2.7877999999999998</v>
      </c>
      <c r="Q5">
        <v>0.97602</v>
      </c>
      <c r="R5">
        <v>9.6810000000000004E-3</v>
      </c>
      <c r="S5">
        <v>0.99189000000000005</v>
      </c>
      <c r="T5">
        <v>19.309999999999999</v>
      </c>
      <c r="U5">
        <v>1.7526999999999999</v>
      </c>
      <c r="V5">
        <v>9.0765999999999991</v>
      </c>
      <c r="W5">
        <v>2.3483E-4</v>
      </c>
      <c r="X5" s="1">
        <v>3.5544999999999999E-5</v>
      </c>
      <c r="Y5">
        <v>15.135999999999999</v>
      </c>
      <c r="Z5">
        <v>0.65573000000000004</v>
      </c>
      <c r="AA5">
        <v>1.5744999999999999E-2</v>
      </c>
      <c r="AB5">
        <v>2.4011</v>
      </c>
      <c r="AC5">
        <v>13.24</v>
      </c>
      <c r="AD5" s="1">
        <v>0.51078000000000001</v>
      </c>
      <c r="AE5">
        <v>3.8578999999999999</v>
      </c>
      <c r="AF5">
        <v>1.7927999999999999E-2</v>
      </c>
      <c r="AG5">
        <v>8.3029999999999996E-4</v>
      </c>
      <c r="AH5">
        <v>4.6313000000000004</v>
      </c>
      <c r="AI5">
        <v>0.89937999999999996</v>
      </c>
      <c r="AJ5">
        <v>2.9989999999999999E-2</v>
      </c>
      <c r="AK5">
        <v>3.3344999999999998</v>
      </c>
    </row>
    <row r="6" spans="1:37" x14ac:dyDescent="0.35">
      <c r="A6" t="s">
        <v>161</v>
      </c>
      <c r="B6">
        <v>10</v>
      </c>
      <c r="C6" s="1">
        <v>1.5959E-6</v>
      </c>
      <c r="D6" s="1">
        <v>9.4160999999999995E-5</v>
      </c>
      <c r="E6" s="1">
        <v>6.4142999999999997E-6</v>
      </c>
      <c r="F6" s="1">
        <v>9.4326000000000007E-9</v>
      </c>
      <c r="G6">
        <v>0.14706</v>
      </c>
      <c r="H6">
        <v>47.39</v>
      </c>
      <c r="I6" s="1">
        <v>3.6792999999999999E-2</v>
      </c>
      <c r="J6">
        <v>7.7639E-2</v>
      </c>
      <c r="K6" s="2">
        <v>47.78</v>
      </c>
      <c r="L6" s="1">
        <v>0.42799999999999999</v>
      </c>
      <c r="M6">
        <v>0.89576999999999996</v>
      </c>
      <c r="N6" s="1">
        <v>9.5630000000000004E-5</v>
      </c>
      <c r="O6" s="1">
        <v>1.3157E-6</v>
      </c>
      <c r="P6">
        <v>1.3757999999999999</v>
      </c>
      <c r="Q6">
        <v>0.96258999999999995</v>
      </c>
      <c r="R6">
        <v>3.8015000000000002E-3</v>
      </c>
      <c r="S6">
        <v>0.39491999999999999</v>
      </c>
      <c r="T6">
        <v>5.7770000000000001</v>
      </c>
      <c r="U6">
        <v>0.38535999999999998</v>
      </c>
      <c r="V6">
        <v>6.6706000000000003</v>
      </c>
      <c r="W6">
        <v>8.6695999999999995E-4</v>
      </c>
      <c r="X6">
        <v>1.8497000000000001E-4</v>
      </c>
      <c r="Y6">
        <v>21.335000000000001</v>
      </c>
      <c r="Z6">
        <v>0.59092</v>
      </c>
      <c r="AA6">
        <v>2.1156999999999999E-2</v>
      </c>
      <c r="AB6">
        <v>3.5802999999999998</v>
      </c>
      <c r="AC6">
        <v>9.923</v>
      </c>
      <c r="AD6" s="1">
        <v>0.24898999999999999</v>
      </c>
      <c r="AE6">
        <v>2.5091999999999999</v>
      </c>
      <c r="AF6">
        <v>2.3577000000000001E-2</v>
      </c>
      <c r="AG6">
        <v>6.1370000000000001E-4</v>
      </c>
      <c r="AH6">
        <v>2.6030000000000002</v>
      </c>
      <c r="AI6">
        <v>0.92469999999999997</v>
      </c>
      <c r="AJ6">
        <v>1.8251E-2</v>
      </c>
      <c r="AK6">
        <v>1.9737</v>
      </c>
    </row>
    <row r="7" spans="1:37" x14ac:dyDescent="0.35">
      <c r="A7" t="s">
        <v>160</v>
      </c>
      <c r="B7">
        <v>15</v>
      </c>
      <c r="C7" s="1">
        <v>1.1752E-6</v>
      </c>
      <c r="D7" s="1">
        <v>6.9338000000000006E-5</v>
      </c>
      <c r="E7" s="1">
        <v>6.4148E-6</v>
      </c>
      <c r="F7" s="1">
        <v>8.1501999999999994E-9</v>
      </c>
      <c r="G7">
        <v>0.12705</v>
      </c>
      <c r="H7">
        <v>47.64</v>
      </c>
      <c r="I7" s="1">
        <v>3.2766999999999998E-2</v>
      </c>
      <c r="J7">
        <v>6.8779999999999994E-2</v>
      </c>
      <c r="K7" s="2">
        <v>46.45</v>
      </c>
      <c r="L7" s="1">
        <v>0.33484999999999998</v>
      </c>
      <c r="M7">
        <v>0.72087999999999997</v>
      </c>
      <c r="N7">
        <v>1.2684999999999999E-4</v>
      </c>
      <c r="O7" s="1">
        <v>1.4782000000000001E-6</v>
      </c>
      <c r="P7">
        <v>1.1653</v>
      </c>
      <c r="Q7">
        <v>0.96091000000000004</v>
      </c>
      <c r="R7">
        <v>3.2152999999999999E-3</v>
      </c>
      <c r="S7">
        <v>0.33461000000000002</v>
      </c>
      <c r="T7">
        <v>4.6470000000000002</v>
      </c>
      <c r="U7">
        <v>0.28354000000000001</v>
      </c>
      <c r="V7">
        <v>6.1016000000000004</v>
      </c>
      <c r="W7">
        <v>1.2076999999999999E-3</v>
      </c>
      <c r="X7">
        <v>2.5879000000000001E-4</v>
      </c>
      <c r="Y7">
        <v>21.428000000000001</v>
      </c>
      <c r="Z7">
        <v>0.57547999999999999</v>
      </c>
      <c r="AA7">
        <v>2.138E-2</v>
      </c>
      <c r="AB7">
        <v>3.7151999999999998</v>
      </c>
      <c r="AC7">
        <v>9.3279999999999994</v>
      </c>
      <c r="AD7" s="1">
        <v>0.22045000000000001</v>
      </c>
      <c r="AE7">
        <v>2.3633000000000002</v>
      </c>
      <c r="AF7">
        <v>2.4539999999999999E-2</v>
      </c>
      <c r="AG7">
        <v>5.8514999999999999E-4</v>
      </c>
      <c r="AH7">
        <v>2.3845000000000001</v>
      </c>
      <c r="AI7">
        <v>0.94020000000000004</v>
      </c>
      <c r="AJ7">
        <v>1.6636999999999999E-2</v>
      </c>
      <c r="AK7">
        <v>1.7695000000000001</v>
      </c>
    </row>
    <row r="8" spans="1:37" x14ac:dyDescent="0.35">
      <c r="A8" t="s">
        <v>159</v>
      </c>
      <c r="B8">
        <v>20</v>
      </c>
      <c r="C8" s="1">
        <v>1.0640000000000001E-6</v>
      </c>
      <c r="D8" s="1">
        <v>6.2774000000000006E-5</v>
      </c>
      <c r="E8" s="1">
        <v>6.4196999999999997E-6</v>
      </c>
      <c r="F8" s="1">
        <v>7.7602999999999994E-9</v>
      </c>
      <c r="G8">
        <v>0.12088</v>
      </c>
      <c r="H8">
        <v>47.03</v>
      </c>
      <c r="I8" s="1">
        <v>3.3466999999999997E-2</v>
      </c>
      <c r="J8" s="1">
        <v>7.1161000000000002E-2</v>
      </c>
      <c r="K8" s="2">
        <v>37.380000000000003</v>
      </c>
      <c r="L8" s="1">
        <v>0.31944</v>
      </c>
      <c r="M8">
        <v>0.85457000000000005</v>
      </c>
      <c r="N8">
        <v>1.5353E-4</v>
      </c>
      <c r="O8" s="1">
        <v>1.9421E-6</v>
      </c>
      <c r="P8">
        <v>1.2649999999999999</v>
      </c>
      <c r="Q8">
        <v>0.96296999999999999</v>
      </c>
      <c r="R8">
        <v>3.6208E-3</v>
      </c>
      <c r="S8">
        <v>0.376</v>
      </c>
      <c r="T8">
        <v>4.2640000000000002</v>
      </c>
      <c r="U8">
        <v>0.29309000000000002</v>
      </c>
      <c r="V8">
        <v>6.8735999999999997</v>
      </c>
      <c r="W8">
        <v>1.6396E-3</v>
      </c>
      <c r="X8">
        <v>3.8346000000000002E-4</v>
      </c>
      <c r="Y8">
        <v>23.387</v>
      </c>
      <c r="Z8">
        <v>0.55286000000000002</v>
      </c>
      <c r="AA8">
        <v>2.3213000000000001E-2</v>
      </c>
      <c r="AB8">
        <v>4.1986999999999997</v>
      </c>
      <c r="AC8">
        <v>9.3989999999999991</v>
      </c>
      <c r="AD8" s="1">
        <v>0.18855</v>
      </c>
      <c r="AE8">
        <v>2.0061</v>
      </c>
      <c r="AF8">
        <v>2.4414999999999999E-2</v>
      </c>
      <c r="AG8">
        <v>4.9485000000000002E-4</v>
      </c>
      <c r="AH8">
        <v>2.0268000000000002</v>
      </c>
      <c r="AI8">
        <v>0.93784999999999996</v>
      </c>
      <c r="AJ8">
        <v>1.4208E-2</v>
      </c>
      <c r="AK8">
        <v>1.5149999999999999</v>
      </c>
    </row>
    <row r="9" spans="1:37" x14ac:dyDescent="0.35">
      <c r="A9" t="s">
        <v>158</v>
      </c>
      <c r="B9">
        <v>30</v>
      </c>
      <c r="C9" s="1">
        <v>1.6534999999999999E-6</v>
      </c>
      <c r="D9">
        <v>1.0086000000000001E-4</v>
      </c>
      <c r="E9" s="1">
        <v>6.4231000000000004E-6</v>
      </c>
      <c r="F9" s="1">
        <v>9.7562000000000007E-9</v>
      </c>
      <c r="G9">
        <v>0.15189</v>
      </c>
      <c r="H9">
        <v>46.79</v>
      </c>
      <c r="I9" s="1">
        <v>4.4475000000000001E-2</v>
      </c>
      <c r="J9">
        <v>9.5051999999999998E-2</v>
      </c>
      <c r="K9" s="2">
        <v>30.86</v>
      </c>
      <c r="L9" s="1">
        <v>0.30824000000000001</v>
      </c>
      <c r="M9">
        <v>0.99883</v>
      </c>
      <c r="N9">
        <v>2.0973000000000001E-4</v>
      </c>
      <c r="O9" s="1">
        <v>3.6484999999999999E-6</v>
      </c>
      <c r="P9">
        <v>1.7396</v>
      </c>
      <c r="Q9">
        <v>0.95760999999999996</v>
      </c>
      <c r="R9">
        <v>4.6830999999999999E-3</v>
      </c>
      <c r="S9">
        <v>0.48903999999999997</v>
      </c>
      <c r="T9">
        <v>3.516</v>
      </c>
      <c r="U9">
        <v>0.26667000000000002</v>
      </c>
      <c r="V9">
        <v>7.5845000000000002</v>
      </c>
      <c r="W9">
        <v>1.6046999999999999E-3</v>
      </c>
      <c r="X9">
        <v>5.0794000000000002E-4</v>
      </c>
      <c r="Y9">
        <v>31.652999999999999</v>
      </c>
      <c r="Z9">
        <v>0.55032000000000003</v>
      </c>
      <c r="AA9">
        <v>3.1322999999999997E-2</v>
      </c>
      <c r="AB9">
        <v>5.6917999999999997</v>
      </c>
      <c r="AC9">
        <v>9.1379999999999999</v>
      </c>
      <c r="AD9" s="1">
        <v>0.19502</v>
      </c>
      <c r="AE9">
        <v>2.1341999999999999</v>
      </c>
      <c r="AF9">
        <v>2.4986000000000001E-2</v>
      </c>
      <c r="AG9">
        <v>5.9933000000000002E-4</v>
      </c>
      <c r="AH9">
        <v>2.3986999999999998</v>
      </c>
      <c r="AI9">
        <v>0.94423999999999997</v>
      </c>
      <c r="AJ9">
        <v>1.5181E-2</v>
      </c>
      <c r="AK9">
        <v>1.6076999999999999</v>
      </c>
    </row>
    <row r="10" spans="1:37" x14ac:dyDescent="0.35">
      <c r="A10" t="s">
        <v>157</v>
      </c>
      <c r="B10">
        <v>40</v>
      </c>
      <c r="C10" s="1">
        <v>4.2984999999999996E-6</v>
      </c>
      <c r="D10">
        <v>2.6221000000000003E-4</v>
      </c>
      <c r="E10" s="1">
        <v>6.4269999999999996E-6</v>
      </c>
      <c r="F10" s="1">
        <v>1.6886E-8</v>
      </c>
      <c r="G10">
        <v>0.26273999999999997</v>
      </c>
      <c r="H10">
        <v>50.51</v>
      </c>
      <c r="I10" s="1">
        <v>9.1664999999999996E-2</v>
      </c>
      <c r="J10">
        <v>0.18148</v>
      </c>
      <c r="K10" s="2">
        <v>30.27</v>
      </c>
      <c r="L10" s="1">
        <v>0.75231999999999999</v>
      </c>
      <c r="M10">
        <v>2.4853999999999998</v>
      </c>
      <c r="N10">
        <v>2.4347999999999999E-4</v>
      </c>
      <c r="O10" s="1">
        <v>7.3521999999999997E-6</v>
      </c>
      <c r="P10">
        <v>3.0196000000000001</v>
      </c>
      <c r="Q10">
        <v>0.96326999999999996</v>
      </c>
      <c r="R10">
        <v>9.6471000000000005E-3</v>
      </c>
      <c r="S10">
        <v>1.0015000000000001</v>
      </c>
      <c r="T10">
        <v>4.9400000000000004</v>
      </c>
      <c r="U10">
        <v>0.79539000000000004</v>
      </c>
      <c r="V10">
        <v>16.100999999999999</v>
      </c>
      <c r="W10">
        <v>2.8506999999999998E-3</v>
      </c>
      <c r="X10">
        <v>1.4289000000000001E-3</v>
      </c>
      <c r="Y10">
        <v>50.125</v>
      </c>
      <c r="Z10">
        <v>0.48623</v>
      </c>
      <c r="AA10">
        <v>4.9680000000000002E-2</v>
      </c>
      <c r="AB10">
        <v>10.217000000000001</v>
      </c>
      <c r="AC10">
        <v>10.16</v>
      </c>
      <c r="AD10" s="1">
        <v>0.35505999999999999</v>
      </c>
      <c r="AE10">
        <v>3.4946999999999999</v>
      </c>
      <c r="AF10">
        <v>2.3376000000000001E-2</v>
      </c>
      <c r="AG10">
        <v>9.0021999999999997E-4</v>
      </c>
      <c r="AH10">
        <v>3.851</v>
      </c>
      <c r="AI10">
        <v>0.94008999999999998</v>
      </c>
      <c r="AJ10">
        <v>2.4254999999999999E-2</v>
      </c>
      <c r="AK10">
        <v>2.5800999999999998</v>
      </c>
    </row>
    <row r="11" spans="1:37" x14ac:dyDescent="0.35">
      <c r="A11" t="s">
        <v>155</v>
      </c>
      <c r="B11">
        <v>50</v>
      </c>
      <c r="C11" s="1">
        <v>1.0293E-6</v>
      </c>
      <c r="D11" s="1">
        <v>6.2786999999999994E-5</v>
      </c>
      <c r="E11" s="1">
        <v>6.4176000000000002E-6</v>
      </c>
      <c r="F11" s="1">
        <v>8.2894999999999996E-9</v>
      </c>
      <c r="G11">
        <v>0.12917000000000001</v>
      </c>
      <c r="H11">
        <v>51.35</v>
      </c>
      <c r="I11" s="1">
        <v>4.1852E-2</v>
      </c>
      <c r="J11">
        <v>8.1503000000000006E-2</v>
      </c>
      <c r="K11" s="2">
        <v>4.3289999999999997</v>
      </c>
      <c r="L11" s="1">
        <v>0.3669</v>
      </c>
      <c r="M11">
        <v>8.4754000000000005</v>
      </c>
      <c r="N11">
        <v>2.3931E-3</v>
      </c>
      <c r="O11" s="1">
        <v>6.5587999999999996E-4</v>
      </c>
      <c r="P11">
        <v>27.407</v>
      </c>
      <c r="Q11">
        <v>0.51253000000000004</v>
      </c>
      <c r="R11">
        <v>2.7011E-2</v>
      </c>
      <c r="S11">
        <v>5.2701000000000002</v>
      </c>
      <c r="T11">
        <v>9.44</v>
      </c>
      <c r="U11">
        <v>0.14896999999999999</v>
      </c>
      <c r="V11">
        <v>1.5781000000000001</v>
      </c>
      <c r="W11">
        <v>2.3342000000000002E-2</v>
      </c>
      <c r="X11">
        <v>4.1389999999999998E-4</v>
      </c>
      <c r="Y11">
        <v>1.7732000000000001</v>
      </c>
      <c r="Z11">
        <v>0.93198999999999999</v>
      </c>
      <c r="AA11">
        <v>1.1133000000000001E-2</v>
      </c>
      <c r="AB11">
        <v>1.1944999999999999</v>
      </c>
      <c r="AC11">
        <v>20.43</v>
      </c>
      <c r="AD11" s="1">
        <v>0.35032999999999997</v>
      </c>
      <c r="AE11">
        <v>1.7148000000000001</v>
      </c>
      <c r="AF11">
        <v>2.9537999999999998E-4</v>
      </c>
      <c r="AG11" s="1">
        <v>6.2225000000000001E-6</v>
      </c>
      <c r="AH11">
        <v>2.1065999999999998</v>
      </c>
      <c r="AI11">
        <v>0.95969000000000004</v>
      </c>
      <c r="AJ11">
        <v>6.5842000000000001E-3</v>
      </c>
      <c r="AK11">
        <v>0.68608000000000002</v>
      </c>
    </row>
    <row r="12" spans="1:37" x14ac:dyDescent="0.35">
      <c r="H12" s="1"/>
      <c r="J12" s="1"/>
      <c r="K12" s="1"/>
      <c r="AC12" s="1"/>
    </row>
    <row r="13" spans="1:37" x14ac:dyDescent="0.35">
      <c r="A13" s="27" t="s">
        <v>132</v>
      </c>
      <c r="B13" t="s">
        <v>39</v>
      </c>
      <c r="C13" t="s">
        <v>136</v>
      </c>
      <c r="D13" t="s">
        <v>50</v>
      </c>
      <c r="E13" t="s">
        <v>77</v>
      </c>
      <c r="F13" t="s">
        <v>32</v>
      </c>
      <c r="G13" s="2" t="s">
        <v>52</v>
      </c>
      <c r="H13" s="2" t="s">
        <v>54</v>
      </c>
      <c r="J13" s="4"/>
      <c r="L13" t="s">
        <v>41</v>
      </c>
      <c r="M13" s="2" t="s">
        <v>54</v>
      </c>
      <c r="N13" t="s">
        <v>40</v>
      </c>
      <c r="O13" t="s">
        <v>32</v>
      </c>
      <c r="P13" s="2" t="s">
        <v>77</v>
      </c>
      <c r="Q13" s="2" t="s">
        <v>52</v>
      </c>
      <c r="R13" s="2" t="s">
        <v>130</v>
      </c>
      <c r="U13" t="s">
        <v>46</v>
      </c>
      <c r="V13" t="s">
        <v>47</v>
      </c>
      <c r="W13" t="s">
        <v>48</v>
      </c>
      <c r="X13" s="1" t="s">
        <v>32</v>
      </c>
      <c r="Y13" t="s">
        <v>40</v>
      </c>
      <c r="Z13" t="s">
        <v>77</v>
      </c>
      <c r="AA13" t="s">
        <v>52</v>
      </c>
      <c r="AB13" s="2" t="s">
        <v>130</v>
      </c>
      <c r="AK13" s="1"/>
    </row>
    <row r="14" spans="1:37" x14ac:dyDescent="0.35">
      <c r="A14" s="13">
        <f>0.14917587972415</f>
        <v>0.14917587972415</v>
      </c>
      <c r="B14" s="2">
        <v>0</v>
      </c>
      <c r="C14" s="2">
        <f>B14/39</f>
        <v>0</v>
      </c>
      <c r="D14">
        <f>K2</f>
        <v>323.3</v>
      </c>
      <c r="E14">
        <f>D14*A$14</f>
        <v>48.228561914817696</v>
      </c>
      <c r="F14" s="1">
        <f>(K2^(1-Q2)*N2)^(1/Q2)</f>
        <v>5.4871824828132963E-5</v>
      </c>
      <c r="G14" s="29">
        <f>1.38E-23*H14/(4*(1.602E-19^2)*D14*A$16)</f>
        <v>7.1194556837105452E-9</v>
      </c>
      <c r="H14" s="28">
        <f>1/(0.000479779-0.000434801*LOG(0.05/(0.5*0.5*(H2-10)))-0.000100649*(LOG(0.05/(0.5*0.5*(H2-10))))^2-0.0000198446*(LOG(0.05/(0.5*0.5*(H2-10))))^3-0.00000195494*(LOG(0.05/(0.5*0.5*(H2-10))))^4-0.0000000757244*(LOG(0.05/(0.5*0.5*(H2-10))))^5)</f>
        <v>876.13366194491562</v>
      </c>
      <c r="L14" s="31">
        <v>0.01</v>
      </c>
      <c r="M14" s="28">
        <f>1/(0.000479779-0.000434801*LOG(0.05/(0.5*0.5*(H26-10)))-0.000100649*(LOG(0.05/(0.5*0.5*(H26-10))))^2-0.0000198446*(LOG(0.05/(0.5*0.5*(H26-10))))^3-0.00000195494*(LOG(0.05/(0.5*0.5*(H26-10))))^4-0.0000000757244*(LOG(0.05/(0.5*0.5*(H26-10))))^5)</f>
        <v>880.82356226066599</v>
      </c>
      <c r="N14" s="31">
        <f>AC26</f>
        <v>47.93</v>
      </c>
      <c r="O14" s="3">
        <f>(AC26^(1-AI26)*AF26)^(1/AI26)</f>
        <v>2.830377049051646E-4</v>
      </c>
      <c r="P14" s="29">
        <f>N14*A$14</f>
        <v>7.1499999151785092</v>
      </c>
      <c r="Q14" s="29">
        <f>1.38E-23*M14/(4*(1.602E-19^2)*N14*A$16)</f>
        <v>4.8279595585092832E-8</v>
      </c>
      <c r="R14" s="30">
        <f>3/5.814E-23-((0.1/5.814E-29/4-O14*1.38E-23*M14/(8*(1.602E-19)^2)))*10^-6+SQRT(0.1/5.814E-29*O14*1.38E-23*M14/(8*(1.602E-19)^2)*5.814E-29+ (-0.1/5.814E-29/4+(O14*1.38E-23*M14/(8*(1.602E-19)^2)^2)))*10^-6</f>
        <v>5.1178624873244786E+22</v>
      </c>
      <c r="S14" s="1"/>
      <c r="T14" s="1"/>
      <c r="U14" s="32">
        <f>1000/V14</f>
        <v>1.28720628102805</v>
      </c>
      <c r="V14" s="28">
        <f>1/(0.000479779-0.000434801*LOG(0.05/(0.5*0.5*(H34-10)))-0.000100649*(LOG(0.05/(0.5*0.5*(H34-10))))^2-0.0000198446*(LOG(0.05/(0.5*0.5*(H34-10))))^3-0.00000195494*(LOG(0.05/(0.5*0.5*(H34-10))))^4-0.0000000757244*(LOG(0.05/(0.5*0.5*(H34-10))))^5)</f>
        <v>776.87625887074785</v>
      </c>
      <c r="W14" s="28">
        <f>V14-273</f>
        <v>503.87625887074785</v>
      </c>
      <c r="X14" s="1">
        <f>(AC34^(1-AI34)*AF34)^(1/AI34)</f>
        <v>1.571530371460605E-4</v>
      </c>
      <c r="Y14">
        <f>AC34</f>
        <v>253.8</v>
      </c>
      <c r="Z14" s="22">
        <f>Y14*A$14</f>
        <v>37.860838273989273</v>
      </c>
      <c r="AA14" s="23">
        <f>1.38E-23*V14/(4*(1.602E-19^2)*Y14*A$16)</f>
        <v>8.0415980373289333E-9</v>
      </c>
      <c r="AB14" s="2">
        <f>3/5.814E-23-((0.1/5.814E-29/4-X14*1.38E-23*V14/(8*(1.602E-19)^2)))*10^-6+SQRT(0.1/5.814E-29*X14*1.38E-23*V14/(8*(1.602E-19)^2)*5.814E-29+ (-0.1/5.814E-29/4+(X14*1.38E-23*V14/(8*(1.602E-19)^2)^2)))*10^-6</f>
        <v>5.1175912750347708E+22</v>
      </c>
      <c r="AD14" s="24"/>
      <c r="AE14" s="2"/>
      <c r="AI14" s="1"/>
    </row>
    <row r="15" spans="1:37" x14ac:dyDescent="0.35">
      <c r="A15" s="11" t="s">
        <v>131</v>
      </c>
      <c r="B15" s="2">
        <v>39</v>
      </c>
      <c r="C15" s="2">
        <f>B15/39</f>
        <v>1</v>
      </c>
      <c r="D15">
        <f>K3</f>
        <v>1131</v>
      </c>
      <c r="E15">
        <f>D15*A$14</f>
        <v>168.71791996801366</v>
      </c>
      <c r="F15" s="1">
        <f>(K3^(1-Q3)*N3)^(1/Q3)</f>
        <v>9.34020818880581E-6</v>
      </c>
      <c r="G15" s="29">
        <f>1.38E-23*H15/(4*(1.602E-19^2)*D15*A$16)</f>
        <v>2.0460547727480709E-9</v>
      </c>
      <c r="H15" s="28">
        <f>1/(0.000479779-0.000434801*LOG(0.05/(0.5*0.5*(H3-10)))-0.000100649*(LOG(0.05/(0.5*0.5*(H3-10))))^2-0.0000198446*(LOG(0.05/(0.5*0.5*(H3-10))))^3-0.00000195494*(LOG(0.05/(0.5*0.5*(H3-10))))^4-0.0000000757244*(LOG(0.05/(0.5*0.5*(H3-10))))^5)</f>
        <v>880.84142644077747</v>
      </c>
      <c r="L15" s="31">
        <v>0.04</v>
      </c>
      <c r="M15" s="28">
        <f>1/(0.000479779-0.000434801*LOG(0.05/(0.5*0.5*(H27-10)))-0.000100649*(LOG(0.05/(0.5*0.5*(H27-10))))^2-0.0000198446*(LOG(0.05/(0.5*0.5*(H27-10))))^3-0.00000195494*(LOG(0.05/(0.5*0.5*(H27-10))))^4-0.0000000757244*(LOG(0.05/(0.5*0.5*(H27-10))))^5)</f>
        <v>875.56231170721867</v>
      </c>
      <c r="N15" s="31">
        <f>AC27</f>
        <v>20.43</v>
      </c>
      <c r="O15" s="3">
        <f>(AC27^(1-AI27)*AF27)^(1/AI27)</f>
        <v>2.383204878434989E-4</v>
      </c>
      <c r="P15" s="29">
        <f>N15*A$14</f>
        <v>3.0476632227643843</v>
      </c>
      <c r="Q15" s="29">
        <f>1.38E-23*M15/(4*(1.602E-19^2)*N15*A$16)</f>
        <v>1.1259025987471284E-7</v>
      </c>
      <c r="R15" s="30">
        <f>3/5.814E-23-((0.1/5.814E-29/4-O15*1.38E-23*M15/(8*(1.602E-19)^2)))*10^-6+SQRT(0.1/5.814E-29*O15*1.38E-23*M15/(8*(1.602E-19)^2)*5.814E-29+ (-0.1/5.814E-29/4+(O15*1.38E-23*M15/(8*(1.602E-19)^2)^2)))*10^-6</f>
        <v>5.1177855755444071E+22</v>
      </c>
      <c r="S15" s="1"/>
      <c r="T15" s="1"/>
      <c r="U15" s="32">
        <f>1000/V15</f>
        <v>1.2349245253417702</v>
      </c>
      <c r="V15" s="28">
        <f>1/(0.000479779-0.000434801*LOG(0.05/(0.5*0.5*(H35-10)))-0.000100649*(LOG(0.05/(0.5*0.5*(H35-10))))^2-0.0000198446*(LOG(0.05/(0.5*0.5*(H35-10))))^3-0.00000195494*(LOG(0.05/(0.5*0.5*(H35-10))))^4-0.0000000757244*(LOG(0.05/(0.5*0.5*(H35-10))))^5)</f>
        <v>809.76608649281309</v>
      </c>
      <c r="W15" s="28">
        <f>V15-273</f>
        <v>536.76608649281309</v>
      </c>
      <c r="X15" s="1">
        <f>(AC35^(1-AI35)*AF35)^(1/AI35)</f>
        <v>1.8732819983266694E-4</v>
      </c>
      <c r="Y15">
        <f>AC35</f>
        <v>116.9</v>
      </c>
      <c r="Z15" s="22">
        <f>Y15*A$14</f>
        <v>17.438660339753135</v>
      </c>
      <c r="AA15" s="23">
        <f>1.38E-23*V15/(4*(1.602E-19^2)*Y15*A$16)</f>
        <v>1.8198148393116318E-8</v>
      </c>
      <c r="AB15" s="2">
        <f>3/5.814E-23-((0.1/5.814E-29/4-X15*1.38E-23*V15/(8*(1.602E-19)^2)))*10^-6+SQRT(0.1/5.814E-29*X15*1.38E-23*V15/(8*(1.602E-19)^2)*5.814E-29+ (-0.1/5.814E-29/4+(X15*1.38E-23*V15/(8*(1.602E-19)^2)^2)))*10^-6</f>
        <v>5.1176637669775914E+22</v>
      </c>
      <c r="AE15" s="2"/>
      <c r="AI15" s="1"/>
    </row>
    <row r="16" spans="1:37" x14ac:dyDescent="0.35">
      <c r="A16" s="11">
        <f>((3/5.814E-29)-(0.1/5.814E-29/4))*10^-6</f>
        <v>5.1169590643274845E+22</v>
      </c>
      <c r="B16" s="2">
        <f>3*39</f>
        <v>117</v>
      </c>
      <c r="C16" s="2">
        <f>B16/39</f>
        <v>3</v>
      </c>
      <c r="D16">
        <f>K4</f>
        <v>52.18</v>
      </c>
      <c r="E16">
        <f>D16*A$14</f>
        <v>7.783997404006147</v>
      </c>
      <c r="F16" s="1">
        <f>(K4^(1-Q4)*N4)^(1/Q4)</f>
        <v>1.0711547981518065E-5</v>
      </c>
      <c r="G16" s="29">
        <f>1.38E-23*H16/(4*(1.602E-19^2)*D16*A$16)</f>
        <v>4.4332927412263771E-8</v>
      </c>
      <c r="H16" s="28">
        <f>1/(0.000479779-0.000434801*LOG(0.05/(0.5*0.5*(H4-10)))-0.000100649*(LOG(0.05/(0.5*0.5*(H4-10))))^2-0.0000198446*(LOG(0.05/(0.5*0.5*(H4-10))))^3-0.00000195494*(LOG(0.05/(0.5*0.5*(H4-10))))^4-0.0000000757244*(LOG(0.05/(0.5*0.5*(H4-10))))^5)</f>
        <v>880.53851239747848</v>
      </c>
      <c r="L16" s="31">
        <v>0.1</v>
      </c>
      <c r="M16" s="28">
        <f>1/(0.000479779-0.000434801*LOG(0.05/(0.5*0.5*(H28-10)))-0.000100649*(LOG(0.05/(0.5*0.5*(H28-10))))^2-0.0000198446*(LOG(0.05/(0.5*0.5*(H28-10))))^3-0.00000195494*(LOG(0.05/(0.5*0.5*(H28-10))))^4-0.0000000757244*(LOG(0.05/(0.5*0.5*(H28-10))))^5)</f>
        <v>880.37881131849281</v>
      </c>
      <c r="N16" s="31">
        <f>AC28</f>
        <v>12.58</v>
      </c>
      <c r="O16" s="3">
        <f>(AC28^(1-AI28)*AF28)^(1/AI28)</f>
        <v>2.2316848665102215E-4</v>
      </c>
      <c r="P16" s="29">
        <f>N16*A$14</f>
        <v>1.876632566929807</v>
      </c>
      <c r="Q16" s="29">
        <f>1.38E-23*M16/(4*(1.602E-19^2)*N16*A$16)</f>
        <v>1.8385314756202847E-7</v>
      </c>
      <c r="R16" s="30">
        <f>3/5.814E-23-((0.1/5.814E-29/4-O16*1.38E-23*M16/(8*(1.602E-19)^2)))*10^-6+SQRT(0.1/5.814E-29*O16*1.38E-23*M16/(8*(1.602E-19)^2)*5.814E-29+ (-0.1/5.814E-29/4+(O16*1.38E-23*M16/(8*(1.602E-19)^2)^2)))*10^-6</f>
        <v>5.11776106689326E+22</v>
      </c>
      <c r="S16" s="1"/>
      <c r="T16" s="1"/>
      <c r="U16" s="32">
        <f>1000/V16</f>
        <v>1.1729940920871038</v>
      </c>
      <c r="V16" s="28">
        <f>1/(0.000479779-0.000434801*LOG(0.05/(0.5*0.5*(H36-10)))-0.000100649*(LOG(0.05/(0.5*0.5*(H36-10))))^2-0.0000198446*(LOG(0.05/(0.5*0.5*(H36-10))))^3-0.00000195494*(LOG(0.05/(0.5*0.5*(H36-10))))^4-0.0000000757244*(LOG(0.05/(0.5*0.5*(H36-10))))^5)</f>
        <v>852.51921279561088</v>
      </c>
      <c r="W16" s="28">
        <f>V16-273</f>
        <v>579.51921279561088</v>
      </c>
      <c r="X16" s="1">
        <f>(AC36^(1-AI36)*AF36)^(1/AI36)</f>
        <v>2.0679264645600816E-4</v>
      </c>
      <c r="Y16">
        <f>AC36</f>
        <v>52.34</v>
      </c>
      <c r="Z16" s="22">
        <f>Y16*A$14</f>
        <v>7.807865544762012</v>
      </c>
      <c r="AA16" s="23">
        <f>1.38E-23*V16/(4*(1.602E-19^2)*Y16*A$16)</f>
        <v>4.2791014788293575E-8</v>
      </c>
      <c r="AB16" s="2">
        <f>3/5.814E-23-((0.1/5.814E-29/4-X16*1.38E-23*V16/(8*(1.602E-19)^2)))*10^-6+SQRT(0.1/5.814E-29*X16*1.38E-23*V16/(8*(1.602E-19)^2)*5.814E-29+ (-0.1/5.814E-29/4+(X16*1.38E-23*V16/(8*(1.602E-19)^2)^2)))*10^-6</f>
        <v>5.1177187678951878E+22</v>
      </c>
      <c r="AE16" s="2"/>
    </row>
    <row r="17" spans="1:37" x14ac:dyDescent="0.35">
      <c r="A17" s="27" t="s">
        <v>129</v>
      </c>
      <c r="B17" s="2">
        <f>5*39</f>
        <v>195</v>
      </c>
      <c r="C17" s="2">
        <f>B17/39</f>
        <v>5</v>
      </c>
      <c r="D17">
        <f>K5</f>
        <v>58.06</v>
      </c>
      <c r="E17">
        <f>D17*A$14</f>
        <v>8.6611515767841496</v>
      </c>
      <c r="F17" s="1">
        <f>(K5^(1-Q5)*N5)^(1/Q5)</f>
        <v>4.6275258155862464E-5</v>
      </c>
      <c r="G17" s="29">
        <f>1.38E-23*H17/(4*(1.602E-19^2)*D17*A$16)</f>
        <v>3.9873871937316984E-8</v>
      </c>
      <c r="H17" s="28">
        <f>1/(0.000479779-0.000434801*LOG(0.05/(0.5*0.5*(H5-10)))-0.000100649*(LOG(0.05/(0.5*0.5*(H5-10))))^2-0.0000198446*(LOG(0.05/(0.5*0.5*(H5-10))))^3-0.00000195494*(LOG(0.05/(0.5*0.5*(H5-10))))^4-0.0000000757244*(LOG(0.05/(0.5*0.5*(H5-10))))^5)</f>
        <v>881.21790397157804</v>
      </c>
      <c r="L17" s="31">
        <v>1</v>
      </c>
      <c r="M17" s="28">
        <f>1/(0.000479779-0.000434801*LOG(0.05/(0.5*0.5*(H29-10)))-0.000100649*(LOG(0.05/(0.5*0.5*(H29-10))))^2-0.0000198446*(LOG(0.05/(0.5*0.5*(H29-10))))^3-0.00000195494*(LOG(0.05/(0.5*0.5*(H29-10))))^4-0.0000000757244*(LOG(0.05/(0.5*0.5*(H29-10))))^5)</f>
        <v>877.93503448342778</v>
      </c>
      <c r="N17" s="31">
        <f>K29</f>
        <v>2.9510000000000001</v>
      </c>
      <c r="O17" s="3">
        <f>(K29^(1-Q29)*N29)^(1/Q29)</f>
        <v>2.2436353692755173E-4</v>
      </c>
      <c r="P17" s="29">
        <f>N17*A$14</f>
        <v>0.44021802106596664</v>
      </c>
      <c r="Q17" s="29">
        <f>1.38E-23*M17/(4*(1.602E-19^2)*N17*A$16)</f>
        <v>7.8158335091124145E-7</v>
      </c>
      <c r="R17" s="30">
        <f>3/5.814E-23-((0.1/5.814E-29/4-O17*1.38E-23*M17/(8*(1.602E-19)^2)))*10^-6+SQRT(0.1/5.814E-29*O17*1.38E-23*M17/(8*(1.602E-19)^2)*5.814E-29+ (-0.1/5.814E-29/4+(O17*1.38E-23*M17/(8*(1.602E-19)^2)^2)))*10^-6</f>
        <v>5.1177620944966142E+22</v>
      </c>
      <c r="S17" s="1"/>
      <c r="T17" s="1"/>
      <c r="U17" s="32">
        <f>1000/V17</f>
        <v>1.1386395355817285</v>
      </c>
      <c r="V17" s="28">
        <f>1/(0.000479779-0.000434801*LOG(0.05/(0.5*0.5*(H37-10)))-0.000100649*(LOG(0.05/(0.5*0.5*(H37-10))))^2-0.0000198446*(LOG(0.05/(0.5*0.5*(H37-10))))^3-0.00000195494*(LOG(0.05/(0.5*0.5*(H37-10))))^4-0.0000000757244*(LOG(0.05/(0.5*0.5*(H37-10))))^5)</f>
        <v>878.2410664223969</v>
      </c>
      <c r="W17" s="28">
        <f>V17-273</f>
        <v>605.2410664223969</v>
      </c>
      <c r="X17" s="1">
        <f>(AC37^(1-AI37)*AF37)^(1/AI37)</f>
        <v>2.3032324250793284E-4</v>
      </c>
      <c r="Y17">
        <f>AC37</f>
        <v>32.39</v>
      </c>
      <c r="Z17" s="22">
        <f>Y17*A$14</f>
        <v>4.8318067442652186</v>
      </c>
      <c r="AA17" s="23">
        <f>1.38E-23*V17/(4*(1.602E-19^2)*Y17*A$16)</f>
        <v>7.1233604670365188E-8</v>
      </c>
      <c r="AB17" s="2">
        <f>3/5.814E-23-((0.1/5.814E-29/4-X17*1.38E-23*V17/(8*(1.602E-19)^2)))*10^-6+SQRT(0.1/5.814E-29*X17*1.38E-23*V17/(8*(1.602E-19)^2)*5.814E-29+ (-0.1/5.814E-29/4+(X17*1.38E-23*V17/(8*(1.602E-19)^2)^2)))*10^-6</f>
        <v>5.1177728317243095E+22</v>
      </c>
      <c r="AE17" s="2"/>
    </row>
    <row r="18" spans="1:37" x14ac:dyDescent="0.35">
      <c r="A18" s="27">
        <f>0.1/5.814E-29/4*10^-6</f>
        <v>4.2999656002751975E+20</v>
      </c>
      <c r="B18" s="2">
        <v>390</v>
      </c>
      <c r="C18" s="2">
        <f>B18/39</f>
        <v>10</v>
      </c>
      <c r="D18">
        <f>K6</f>
        <v>47.78</v>
      </c>
      <c r="E18">
        <f>D18*A$14</f>
        <v>7.1276235332198876</v>
      </c>
      <c r="F18" s="1">
        <f>(K6^(1-Q6)*N6)^(1/Q6)</f>
        <v>7.7561540609006032E-5</v>
      </c>
      <c r="G18" s="29">
        <f>1.38E-23*H18/(4*(1.602E-19^2)*D18*A$16)</f>
        <v>4.8517818769956006E-8</v>
      </c>
      <c r="H18" s="28">
        <f>1/(0.000479779-0.000434801*LOG(0.05/(0.5*0.5*(H6-10)))-0.000100649*(LOG(0.05/(0.5*0.5*(H6-10))))^2-0.0000198446*(LOG(0.05/(0.5*0.5*(H6-10))))^3-0.00000195494*(LOG(0.05/(0.5*0.5*(H6-10))))^4-0.0000000757244*(LOG(0.05/(0.5*0.5*(H6-10))))^5)</f>
        <v>882.39956308556793</v>
      </c>
      <c r="L18" s="31">
        <v>10</v>
      </c>
      <c r="M18" s="28">
        <f>1/(0.000479779-0.000434801*LOG(0.05/(0.5*0.5*(H30-10)))-0.000100649*(LOG(0.05/(0.5*0.5*(H30-10))))^2-0.0000198446*(LOG(0.05/(0.5*0.5*(H30-10))))^3-0.00000195494*(LOG(0.05/(0.5*0.5*(H30-10))))^4-0.0000000757244*(LOG(0.05/(0.5*0.5*(H30-10))))^5)</f>
        <v>880.68085482582399</v>
      </c>
      <c r="N18" s="31">
        <f>AC30</f>
        <v>3.0470000000000002</v>
      </c>
      <c r="O18" s="3">
        <f>(T30^(1-Z30)*W30)^(1/Z30)</f>
        <v>9.6764543957753973E-5</v>
      </c>
      <c r="P18" s="29">
        <f>N18*A$14</f>
        <v>0.45453890551948506</v>
      </c>
      <c r="Q18" s="29">
        <f>1.38E-23*M18/(4*(1.602E-19^2)*N18*A$16)</f>
        <v>7.5932592875691797E-7</v>
      </c>
      <c r="R18" s="30">
        <f>3/5.814E-23-((0.1/5.814E-29/4-O18*1.38E-23*M18/(8*(1.602E-19)^2)))*10^-6+SQRT(0.1/5.814E-29*O18*1.38E-23*M18/(8*(1.602E-19)^2)*5.814E-29+ (-0.1/5.814E-29/4+(O18*1.38E-23*M18/(8*(1.602E-19)^2)^2)))*10^-6</f>
        <v>5.1174872564714204E+22</v>
      </c>
      <c r="S18" s="1"/>
      <c r="T18" s="1"/>
      <c r="AB18" s="2"/>
      <c r="AG18" s="2"/>
      <c r="AH18" s="1"/>
    </row>
    <row r="19" spans="1:37" x14ac:dyDescent="0.35">
      <c r="A19" s="1"/>
      <c r="B19" s="2">
        <v>585</v>
      </c>
      <c r="C19" s="2">
        <f>B19/39</f>
        <v>15</v>
      </c>
      <c r="D19">
        <f>K7</f>
        <v>46.45</v>
      </c>
      <c r="E19">
        <f>D19*A$14</f>
        <v>6.9292196131867678</v>
      </c>
      <c r="F19" s="1">
        <f>(K7^(1-Q7)*N7)^(1/Q7)</f>
        <v>1.0294017127343368E-4</v>
      </c>
      <c r="G19" s="29">
        <f>1.38E-23*H19/(4*(1.602E-19^2)*D19*A$16)</f>
        <v>4.9881153964394597E-8</v>
      </c>
      <c r="H19" s="28">
        <f>1/(0.000479779-0.000434801*LOG(0.05/(0.5*0.5*(H7-10)))-0.000100649*(LOG(0.05/(0.5*0.5*(H7-10))))^2-0.0000198446*(LOG(0.05/(0.5*0.5*(H7-10))))^3-0.00000195494*(LOG(0.05/(0.5*0.5*(H7-10))))^4-0.0000000757244*(LOG(0.05/(0.5*0.5*(H7-10))))^5)</f>
        <v>881.94211422750266</v>
      </c>
      <c r="L19" s="31">
        <v>100</v>
      </c>
      <c r="M19" s="28">
        <f>1/(0.000479779-0.000434801*LOG(0.05/(0.5*0.5*(H31-10)))-0.000100649*(LOG(0.05/(0.5*0.5*(H31-10))))^2-0.0000198446*(LOG(0.05/(0.5*0.5*(H31-10))))^3-0.00000195494*(LOG(0.05/(0.5*0.5*(H31-10))))^4-0.0000000757244*(LOG(0.05/(0.5*0.5*(H31-10))))^5)</f>
        <v>878.25811798389361</v>
      </c>
      <c r="N19" s="31">
        <f>T31</f>
        <v>3.081</v>
      </c>
      <c r="O19" s="3">
        <f>(T31^(1-Z31)*W31)^(1/Z31)</f>
        <v>8.7335054485108567E-5</v>
      </c>
      <c r="P19" s="29">
        <f>N19*A$14</f>
        <v>0.45961088543010614</v>
      </c>
      <c r="Q19" s="29">
        <f>1.38E-23*M19/(4*(1.602E-19^2)*N19*A$16)</f>
        <v>7.4888064005198888E-7</v>
      </c>
      <c r="R19" s="30">
        <f>3/5.814E-23-((0.1/5.814E-29/4-O19*1.38E-23*M19/(8*(1.602E-19)^2)))*10^-6+SQRT(0.1/5.814E-29*O19*1.38E-23*M19/(8*(1.602E-19)^2)*5.814E-29+ (-0.1/5.814E-29/4+(O19*1.38E-23*M19/(8*(1.602E-19)^2)^2)))*10^-6</f>
        <v>5.1174601706898637E+22</v>
      </c>
      <c r="S19" s="1"/>
      <c r="T19" s="1"/>
      <c r="AB19" s="2"/>
      <c r="AH19" s="1"/>
    </row>
    <row r="20" spans="1:37" x14ac:dyDescent="0.35">
      <c r="B20" s="2">
        <v>780</v>
      </c>
      <c r="C20" s="2">
        <f>B20/39</f>
        <v>20</v>
      </c>
      <c r="D20">
        <f>K8</f>
        <v>37.380000000000003</v>
      </c>
      <c r="E20">
        <f>D20*A$14</f>
        <v>5.5761943840887271</v>
      </c>
      <c r="F20" s="1">
        <f>(K8^(1-Q8)*N8)^(1/Q8)</f>
        <v>1.2589587751355853E-4</v>
      </c>
      <c r="G20" s="29">
        <f>1.38E-23*H20/(4*(1.602E-19^2)*D20*A$16)</f>
        <v>6.2063386783818364E-8</v>
      </c>
      <c r="H20" s="28">
        <f>1/(0.000479779-0.000434801*LOG(0.05/(0.5*0.5*(H8-10)))-0.000100649*(LOG(0.05/(0.5*0.5*(H8-10))))^2-0.0000198446*(LOG(0.05/(0.5*0.5*(H8-10))))^3-0.00000195494*(LOG(0.05/(0.5*0.5*(H8-10))))^4-0.0000000757244*(LOG(0.05/(0.5*0.5*(H8-10))))^5)</f>
        <v>883.06493361383627</v>
      </c>
      <c r="AD20" s="1"/>
    </row>
    <row r="21" spans="1:37" x14ac:dyDescent="0.35">
      <c r="B21" s="2">
        <v>1170</v>
      </c>
      <c r="C21" s="2">
        <f>B21/39</f>
        <v>30</v>
      </c>
      <c r="D21">
        <f>K9</f>
        <v>30.86</v>
      </c>
      <c r="E21">
        <f>D21*A$14</f>
        <v>4.6035676482872692</v>
      </c>
      <c r="F21" s="1">
        <f>(K9^(1-Q9)*N9)^(1/Q9)</f>
        <v>1.6778911635995032E-4</v>
      </c>
      <c r="G21" s="29">
        <f>1.38E-23*H21/(4*(1.602E-19^2)*D21*A$16)</f>
        <v>7.5214076097009226E-8</v>
      </c>
      <c r="H21" s="28">
        <f>1/(0.000479779-0.000434801*LOG(0.05/(0.5*0.5*(H9-10)))-0.000100649*(LOG(0.05/(0.5*0.5*(H9-10))))^2-0.0000198446*(LOG(0.05/(0.5*0.5*(H9-10))))^3-0.00000195494*(LOG(0.05/(0.5*0.5*(H9-10))))^4-0.0000000757244*(LOG(0.05/(0.5*0.5*(H9-10))))^5)</f>
        <v>883.51294678522549</v>
      </c>
      <c r="R21" s="1"/>
      <c r="AD21" s="1"/>
    </row>
    <row r="22" spans="1:37" x14ac:dyDescent="0.35">
      <c r="B22" s="2">
        <v>1560</v>
      </c>
      <c r="C22" s="2">
        <f>B22/39</f>
        <v>40</v>
      </c>
      <c r="D22">
        <f>K10</f>
        <v>30.27</v>
      </c>
      <c r="E22">
        <f>D22*A$14</f>
        <v>4.5155538792500201</v>
      </c>
      <c r="F22" s="1">
        <f>(K10^(1-Q10)*N10)^(1/Q10)</f>
        <v>2.0190589640719524E-4</v>
      </c>
      <c r="G22" s="29">
        <f>1.38E-23*H22/(4*(1.602E-19^2)*D22*A$16)</f>
        <v>7.6109943726617039E-8</v>
      </c>
      <c r="H22" s="28">
        <f>1/(0.000479779-0.000434801*LOG(0.05/(0.5*0.5*(H10-10)))-0.000100649*(LOG(0.05/(0.5*0.5*(H10-10))))^2-0.0000198446*(LOG(0.05/(0.5*0.5*(H10-10))))^3-0.00000195494*(LOG(0.05/(0.5*0.5*(H10-10))))^4-0.0000000757244*(LOG(0.05/(0.5*0.5*(H10-10))))^5)</f>
        <v>876.94366041927231</v>
      </c>
      <c r="AD22" s="1"/>
    </row>
    <row r="23" spans="1:37" x14ac:dyDescent="0.35">
      <c r="B23" s="2">
        <v>1950</v>
      </c>
      <c r="C23" s="2">
        <f>B23/39</f>
        <v>50</v>
      </c>
      <c r="D23">
        <f>AC11</f>
        <v>20.43</v>
      </c>
      <c r="E23">
        <f>D23*A$14</f>
        <v>3.0476632227643843</v>
      </c>
      <c r="F23" s="1">
        <f>(AC11^(1-AI11)*AF11)^(1/AI11)</f>
        <v>2.383204878434989E-4</v>
      </c>
      <c r="G23" s="29">
        <f>1.38E-23*H23/(4*(1.602E-19^2)*D23*A$16)</f>
        <v>1.1259025987471284E-7</v>
      </c>
      <c r="H23" s="28">
        <f>1/(0.000479779-0.000434801*LOG(0.05/(0.5*0.5*(H11-10)))-0.000100649*(LOG(0.05/(0.5*0.5*(H11-10))))^2-0.0000198446*(LOG(0.05/(0.5*0.5*(H11-10))))^3-0.00000195494*(LOG(0.05/(0.5*0.5*(H11-10))))^4-0.0000000757244*(LOG(0.05/(0.5*0.5*(H11-10))))^5)</f>
        <v>875.56231170721867</v>
      </c>
      <c r="AD23" s="1"/>
    </row>
    <row r="24" spans="1:37" x14ac:dyDescent="0.35">
      <c r="B24" s="2"/>
      <c r="C24" s="2"/>
      <c r="E24" s="1"/>
      <c r="Z24" s="1"/>
    </row>
    <row r="25" spans="1:37" x14ac:dyDescent="0.35">
      <c r="A25" t="s">
        <v>150</v>
      </c>
      <c r="B25" t="s">
        <v>128</v>
      </c>
      <c r="C25" t="s">
        <v>0</v>
      </c>
      <c r="D25" t="s">
        <v>1</v>
      </c>
      <c r="E25" t="s">
        <v>2</v>
      </c>
      <c r="F25" t="s">
        <v>3</v>
      </c>
      <c r="G25" t="s">
        <v>4</v>
      </c>
      <c r="H25" t="s">
        <v>33</v>
      </c>
      <c r="I25" t="s">
        <v>34</v>
      </c>
      <c r="J25" t="s">
        <v>35</v>
      </c>
      <c r="K25" t="s">
        <v>5</v>
      </c>
      <c r="L25" t="s">
        <v>6</v>
      </c>
      <c r="M25" t="s">
        <v>7</v>
      </c>
      <c r="N25" t="s">
        <v>8</v>
      </c>
      <c r="O25" t="s">
        <v>9</v>
      </c>
      <c r="P25" t="s">
        <v>10</v>
      </c>
      <c r="Q25" t="s">
        <v>11</v>
      </c>
      <c r="R25" t="s">
        <v>12</v>
      </c>
      <c r="S25" t="s">
        <v>13</v>
      </c>
      <c r="T25" t="s">
        <v>14</v>
      </c>
      <c r="U25" t="s">
        <v>15</v>
      </c>
      <c r="V25" t="s">
        <v>16</v>
      </c>
      <c r="W25" t="s">
        <v>17</v>
      </c>
      <c r="X25" t="s">
        <v>18</v>
      </c>
      <c r="Y25" t="s">
        <v>19</v>
      </c>
      <c r="Z25" t="s">
        <v>20</v>
      </c>
      <c r="AA25" s="1" t="s">
        <v>21</v>
      </c>
      <c r="AB25" t="s">
        <v>22</v>
      </c>
      <c r="AC25" t="s">
        <v>23</v>
      </c>
      <c r="AD25" t="s">
        <v>24</v>
      </c>
      <c r="AE25" t="s">
        <v>25</v>
      </c>
      <c r="AF25" t="s">
        <v>26</v>
      </c>
      <c r="AG25" t="s">
        <v>27</v>
      </c>
      <c r="AH25" t="s">
        <v>28</v>
      </c>
      <c r="AI25" t="s">
        <v>29</v>
      </c>
      <c r="AJ25" t="s">
        <v>30</v>
      </c>
      <c r="AK25" t="s">
        <v>31</v>
      </c>
    </row>
    <row r="26" spans="1:37" x14ac:dyDescent="0.35">
      <c r="A26" t="s">
        <v>156</v>
      </c>
      <c r="B26">
        <v>0.01</v>
      </c>
      <c r="C26" s="1">
        <v>1.1134E-6</v>
      </c>
      <c r="D26" s="1">
        <v>6.7917999999999996E-5</v>
      </c>
      <c r="E26" s="1">
        <v>6.4258000000000004E-6</v>
      </c>
      <c r="F26" s="1">
        <v>8.1517999999999999E-9</v>
      </c>
      <c r="G26">
        <v>0.12686</v>
      </c>
      <c r="H26">
        <v>48.26</v>
      </c>
      <c r="I26">
        <v>3.9578000000000002E-2</v>
      </c>
      <c r="J26">
        <v>8.201E-2</v>
      </c>
      <c r="K26">
        <v>4.12</v>
      </c>
      <c r="L26">
        <v>0.24632999999999999</v>
      </c>
      <c r="M26">
        <v>5.9789000000000003</v>
      </c>
      <c r="N26">
        <v>3.4653000000000002E-3</v>
      </c>
      <c r="O26">
        <v>7.6082000000000005E-4</v>
      </c>
      <c r="P26">
        <v>21.954999999999998</v>
      </c>
      <c r="Q26">
        <v>0.48852000000000001</v>
      </c>
      <c r="R26">
        <v>2.2775E-2</v>
      </c>
      <c r="S26">
        <v>4.6619999999999999</v>
      </c>
      <c r="T26">
        <v>28.83</v>
      </c>
      <c r="U26">
        <v>0.30295</v>
      </c>
      <c r="V26">
        <v>1.0508</v>
      </c>
      <c r="W26">
        <v>2.3377999999999999E-2</v>
      </c>
      <c r="X26">
        <v>2.0163000000000001E-4</v>
      </c>
      <c r="Y26">
        <v>0.86248000000000002</v>
      </c>
      <c r="Z26">
        <v>0.94210000000000005</v>
      </c>
      <c r="AA26" s="1">
        <v>6.9858000000000003E-3</v>
      </c>
      <c r="AB26">
        <v>0.74151</v>
      </c>
      <c r="AC26">
        <v>47.93</v>
      </c>
      <c r="AD26">
        <v>0.28188000000000002</v>
      </c>
      <c r="AE26">
        <v>0.58811000000000002</v>
      </c>
      <c r="AF26">
        <v>3.3178E-4</v>
      </c>
      <c r="AG26" s="1">
        <v>2.7201999999999998E-6</v>
      </c>
      <c r="AH26">
        <v>0.81988000000000005</v>
      </c>
      <c r="AI26">
        <v>0.96304999999999996</v>
      </c>
      <c r="AJ26">
        <v>2.7374000000000001E-3</v>
      </c>
      <c r="AK26">
        <v>0.28423999999999999</v>
      </c>
    </row>
    <row r="27" spans="1:37" x14ac:dyDescent="0.35">
      <c r="A27" t="s">
        <v>155</v>
      </c>
      <c r="B27">
        <v>0.04</v>
      </c>
      <c r="C27" s="1">
        <v>1.0293E-6</v>
      </c>
      <c r="D27" s="1">
        <v>6.2786999999999994E-5</v>
      </c>
      <c r="E27" s="1">
        <v>6.4176000000000002E-6</v>
      </c>
      <c r="F27" s="1">
        <v>8.2894999999999996E-9</v>
      </c>
      <c r="G27">
        <v>0.12917000000000001</v>
      </c>
      <c r="H27">
        <v>51.35</v>
      </c>
      <c r="I27">
        <v>4.1852E-2</v>
      </c>
      <c r="J27">
        <v>8.1503000000000006E-2</v>
      </c>
      <c r="K27">
        <v>4.3289999999999997</v>
      </c>
      <c r="L27">
        <v>0.3669</v>
      </c>
      <c r="M27">
        <v>8.4754000000000005</v>
      </c>
      <c r="N27">
        <v>2.3931E-3</v>
      </c>
      <c r="O27">
        <v>6.5587999999999996E-4</v>
      </c>
      <c r="P27">
        <v>27.407</v>
      </c>
      <c r="Q27">
        <v>0.51253000000000004</v>
      </c>
      <c r="R27">
        <v>2.7011E-2</v>
      </c>
      <c r="S27">
        <v>5.2701000000000002</v>
      </c>
      <c r="T27">
        <v>9.44</v>
      </c>
      <c r="U27">
        <v>0.14896999999999999</v>
      </c>
      <c r="V27">
        <v>1.5781000000000001</v>
      </c>
      <c r="W27">
        <v>2.3342000000000002E-2</v>
      </c>
      <c r="X27">
        <v>4.1389999999999998E-4</v>
      </c>
      <c r="Y27">
        <v>1.7732000000000001</v>
      </c>
      <c r="Z27">
        <v>0.93198999999999999</v>
      </c>
      <c r="AA27">
        <v>1.1133000000000001E-2</v>
      </c>
      <c r="AB27">
        <v>1.1944999999999999</v>
      </c>
      <c r="AC27">
        <v>20.43</v>
      </c>
      <c r="AD27">
        <v>0.35032999999999997</v>
      </c>
      <c r="AE27">
        <v>1.7148000000000001</v>
      </c>
      <c r="AF27">
        <v>2.9537999999999998E-4</v>
      </c>
      <c r="AG27" s="1">
        <v>6.2225000000000001E-6</v>
      </c>
      <c r="AH27">
        <v>2.1065999999999998</v>
      </c>
      <c r="AI27">
        <v>0.95969000000000004</v>
      </c>
      <c r="AJ27">
        <v>6.5842000000000001E-3</v>
      </c>
      <c r="AK27">
        <v>0.68608000000000002</v>
      </c>
    </row>
    <row r="28" spans="1:37" x14ac:dyDescent="0.35">
      <c r="A28" t="s">
        <v>154</v>
      </c>
      <c r="B28">
        <v>0.1</v>
      </c>
      <c r="C28" s="1">
        <v>2.8760000000000001E-6</v>
      </c>
      <c r="D28">
        <v>1.5818000000000001E-4</v>
      </c>
      <c r="E28" s="1">
        <v>6.4384000000000001E-6</v>
      </c>
      <c r="F28" s="1">
        <v>1.4301E-8</v>
      </c>
      <c r="G28">
        <v>0.22212000000000001</v>
      </c>
      <c r="H28">
        <v>48.51</v>
      </c>
      <c r="I28">
        <v>0.11026</v>
      </c>
      <c r="J28">
        <v>0.22728999999999999</v>
      </c>
      <c r="K28">
        <v>5.0250000000000004</v>
      </c>
      <c r="L28">
        <v>1.7186999999999999</v>
      </c>
      <c r="M28">
        <v>34.203000000000003</v>
      </c>
      <c r="N28">
        <v>4.9943000000000001E-3</v>
      </c>
      <c r="O28">
        <v>3.6461000000000002E-3</v>
      </c>
      <c r="P28">
        <v>73.004999999999995</v>
      </c>
      <c r="Q28">
        <v>0.43604999999999999</v>
      </c>
      <c r="R28">
        <v>6.7934999999999995E-2</v>
      </c>
      <c r="S28">
        <v>15.58</v>
      </c>
      <c r="T28">
        <v>4.1529999999999996</v>
      </c>
      <c r="U28">
        <v>0.49425999999999998</v>
      </c>
      <c r="V28">
        <v>11.901</v>
      </c>
      <c r="W28">
        <v>2.3567000000000001E-2</v>
      </c>
      <c r="X28">
        <v>2.0920999999999999E-3</v>
      </c>
      <c r="Y28">
        <v>8.8772000000000002</v>
      </c>
      <c r="Z28">
        <v>0.95521</v>
      </c>
      <c r="AA28">
        <v>4.4947000000000001E-2</v>
      </c>
      <c r="AB28">
        <v>4.7054999999999998</v>
      </c>
      <c r="AC28">
        <v>12.58</v>
      </c>
      <c r="AD28">
        <v>1.1176999999999999</v>
      </c>
      <c r="AE28">
        <v>8.8847000000000005</v>
      </c>
      <c r="AF28">
        <v>2.6488999999999999E-4</v>
      </c>
      <c r="AG28" s="1">
        <v>1.7099999999999999E-5</v>
      </c>
      <c r="AH28">
        <v>6.4554999999999998</v>
      </c>
      <c r="AI28">
        <v>0.97082999999999997</v>
      </c>
      <c r="AJ28">
        <v>2.3841000000000001E-2</v>
      </c>
      <c r="AK28">
        <v>2.4557000000000002</v>
      </c>
    </row>
    <row r="29" spans="1:37" x14ac:dyDescent="0.35">
      <c r="A29" t="s">
        <v>153</v>
      </c>
      <c r="B29">
        <v>1</v>
      </c>
      <c r="C29" s="1">
        <v>1.1877000000000001E-6</v>
      </c>
      <c r="D29" s="1">
        <v>5.8195000000000001E-5</v>
      </c>
      <c r="E29" s="1">
        <v>6.4010000000000002E-6</v>
      </c>
      <c r="F29" s="1">
        <v>8.4552999999999999E-9</v>
      </c>
      <c r="G29">
        <v>0.13209000000000001</v>
      </c>
      <c r="H29">
        <v>49.92</v>
      </c>
      <c r="I29">
        <v>3.4556999999999997E-2</v>
      </c>
      <c r="J29">
        <v>6.9224999999999995E-2</v>
      </c>
      <c r="K29">
        <v>2.9510000000000001</v>
      </c>
      <c r="L29">
        <v>1.2927</v>
      </c>
      <c r="M29">
        <v>43.805</v>
      </c>
      <c r="N29">
        <v>2.4481999999999998E-4</v>
      </c>
      <c r="O29" s="1">
        <v>5.6509999999999999E-5</v>
      </c>
      <c r="P29">
        <v>23.082000000000001</v>
      </c>
      <c r="Q29">
        <v>0.98807999999999996</v>
      </c>
      <c r="R29">
        <v>8.5285E-2</v>
      </c>
      <c r="S29">
        <v>8.6313999999999993</v>
      </c>
      <c r="T29">
        <v>0.17283000000000001</v>
      </c>
      <c r="U29">
        <v>0.30497000000000002</v>
      </c>
      <c r="V29">
        <v>176.46</v>
      </c>
      <c r="W29">
        <v>2.2567E-2</v>
      </c>
      <c r="X29">
        <v>2.2422000000000001E-2</v>
      </c>
      <c r="Y29">
        <v>99.356999999999999</v>
      </c>
      <c r="Z29">
        <v>1.2490000000000001</v>
      </c>
      <c r="AA29">
        <v>0.56191999999999998</v>
      </c>
      <c r="AB29">
        <v>44.99</v>
      </c>
      <c r="AC29">
        <v>4.4809999999999999</v>
      </c>
      <c r="AD29">
        <v>1.6619999999999999</v>
      </c>
      <c r="AE29">
        <v>37.090000000000003</v>
      </c>
      <c r="AF29">
        <v>1.7331E-3</v>
      </c>
      <c r="AG29">
        <v>5.9829000000000002E-4</v>
      </c>
      <c r="AH29">
        <v>34.521000000000001</v>
      </c>
      <c r="AI29">
        <v>0.56476000000000004</v>
      </c>
      <c r="AJ29">
        <v>3.2501000000000002E-2</v>
      </c>
      <c r="AK29">
        <v>5.7548000000000004</v>
      </c>
    </row>
    <row r="30" spans="1:37" x14ac:dyDescent="0.35">
      <c r="A30" t="s">
        <v>152</v>
      </c>
      <c r="B30">
        <v>10</v>
      </c>
      <c r="C30" s="1">
        <v>1.6381E-6</v>
      </c>
      <c r="D30" s="1">
        <v>6.7163999999999996E-5</v>
      </c>
      <c r="E30" s="1">
        <v>6.5517999999999997E-6</v>
      </c>
      <c r="F30" s="1">
        <v>2.1299999999999999E-7</v>
      </c>
      <c r="G30">
        <v>3.2509999999999999</v>
      </c>
      <c r="H30">
        <v>48.34</v>
      </c>
      <c r="I30" s="1">
        <v>35.072000000000003</v>
      </c>
      <c r="J30">
        <v>72.552999999999997</v>
      </c>
      <c r="K30" s="2">
        <v>1.994</v>
      </c>
      <c r="L30" s="1">
        <v>2.8395000000000001</v>
      </c>
      <c r="M30">
        <v>142.4</v>
      </c>
      <c r="N30">
        <v>3.5358999999999998E-4</v>
      </c>
      <c r="O30">
        <v>1.0257E-3</v>
      </c>
      <c r="P30">
        <v>290.08</v>
      </c>
      <c r="Q30">
        <v>0.72307999999999995</v>
      </c>
      <c r="R30">
        <v>0.35247000000000001</v>
      </c>
      <c r="S30">
        <v>48.746000000000002</v>
      </c>
      <c r="T30">
        <v>4.3959999999999999</v>
      </c>
      <c r="U30">
        <v>1.8871</v>
      </c>
      <c r="V30">
        <v>42.927999999999997</v>
      </c>
      <c r="W30">
        <v>2.5771000000000002E-4</v>
      </c>
      <c r="X30" s="1">
        <v>3.7734000000000002E-5</v>
      </c>
      <c r="Y30">
        <v>14.641999999999999</v>
      </c>
      <c r="Z30">
        <v>0.87380999999999998</v>
      </c>
      <c r="AA30">
        <v>6.8374000000000004E-2</v>
      </c>
      <c r="AB30">
        <v>7.8247999999999998</v>
      </c>
      <c r="AC30">
        <v>3.0470000000000002</v>
      </c>
      <c r="AD30" s="1">
        <v>36.042000000000002</v>
      </c>
      <c r="AE30">
        <v>1182.9000000000001</v>
      </c>
      <c r="AF30" s="1">
        <v>1.7838000000000001E-5</v>
      </c>
      <c r="AG30">
        <v>1.7751E-4</v>
      </c>
      <c r="AH30">
        <v>995.12</v>
      </c>
      <c r="AI30">
        <v>0.55955999999999995</v>
      </c>
      <c r="AJ30">
        <v>1.2664</v>
      </c>
      <c r="AK30">
        <v>226.32</v>
      </c>
    </row>
    <row r="31" spans="1:37" x14ac:dyDescent="0.35">
      <c r="A31" t="s">
        <v>151</v>
      </c>
      <c r="B31">
        <v>100</v>
      </c>
      <c r="C31" s="1">
        <v>1.747E-6</v>
      </c>
      <c r="D31" s="1">
        <v>6.4641000000000007E-5</v>
      </c>
      <c r="E31" s="1">
        <v>6.4732000000000001E-6</v>
      </c>
      <c r="F31" s="1">
        <v>1.1908999999999999E-8</v>
      </c>
      <c r="G31">
        <v>0.18396999999999999</v>
      </c>
      <c r="H31">
        <v>49.73</v>
      </c>
      <c r="I31" s="1">
        <v>9.8984000000000003E-2</v>
      </c>
      <c r="J31" s="1">
        <v>0.19903999999999999</v>
      </c>
      <c r="K31" s="2">
        <v>0.19500999999999999</v>
      </c>
      <c r="L31" s="1">
        <v>2.2999999999999998</v>
      </c>
      <c r="M31">
        <v>1179.4000000000001</v>
      </c>
      <c r="N31" s="1">
        <v>2.932E-6</v>
      </c>
      <c r="O31" s="1">
        <v>5.8491E-5</v>
      </c>
      <c r="P31">
        <v>1994.9</v>
      </c>
      <c r="Q31">
        <v>2.9929999999999999</v>
      </c>
      <c r="R31">
        <v>3.8757999999999999</v>
      </c>
      <c r="S31">
        <v>129.5</v>
      </c>
      <c r="T31">
        <v>3.081</v>
      </c>
      <c r="U31">
        <v>1.5259</v>
      </c>
      <c r="V31">
        <v>49.526000000000003</v>
      </c>
      <c r="W31">
        <v>2.0557999999999999E-4</v>
      </c>
      <c r="X31" s="1">
        <v>8.3220999999999995E-5</v>
      </c>
      <c r="Y31">
        <v>40.481000000000002</v>
      </c>
      <c r="Z31">
        <v>0.89585999999999999</v>
      </c>
      <c r="AA31">
        <v>0.11093</v>
      </c>
      <c r="AB31">
        <v>12.382999999999999</v>
      </c>
      <c r="AC31">
        <v>2.2469999999999999</v>
      </c>
      <c r="AD31" s="1">
        <v>1.8191999999999999</v>
      </c>
      <c r="AE31">
        <v>80.960999999999999</v>
      </c>
      <c r="AF31">
        <v>2.1448000000000001E-3</v>
      </c>
      <c r="AG31">
        <v>3.1196000000000002E-3</v>
      </c>
      <c r="AH31">
        <v>145.44999999999999</v>
      </c>
      <c r="AI31">
        <v>0.50982000000000005</v>
      </c>
      <c r="AJ31">
        <v>0.12103999999999999</v>
      </c>
      <c r="AK31">
        <v>23.742000000000001</v>
      </c>
    </row>
    <row r="33" spans="1:37" x14ac:dyDescent="0.35">
      <c r="A33" t="s">
        <v>150</v>
      </c>
      <c r="B33" t="s">
        <v>54</v>
      </c>
      <c r="C33" t="s">
        <v>0</v>
      </c>
      <c r="D33" t="s">
        <v>1</v>
      </c>
      <c r="E33" t="s">
        <v>2</v>
      </c>
      <c r="F33" t="s">
        <v>3</v>
      </c>
      <c r="G33" t="s">
        <v>4</v>
      </c>
      <c r="H33" t="s">
        <v>33</v>
      </c>
      <c r="I33" t="s">
        <v>34</v>
      </c>
      <c r="J33" t="s">
        <v>35</v>
      </c>
      <c r="K33" t="s">
        <v>5</v>
      </c>
      <c r="L33" t="s">
        <v>6</v>
      </c>
      <c r="M33" t="s">
        <v>7</v>
      </c>
      <c r="N33" t="s">
        <v>8</v>
      </c>
      <c r="O33" t="s">
        <v>9</v>
      </c>
      <c r="P33" t="s">
        <v>10</v>
      </c>
      <c r="Q33" t="s">
        <v>11</v>
      </c>
      <c r="R33" t="s">
        <v>12</v>
      </c>
      <c r="S33" t="s">
        <v>13</v>
      </c>
      <c r="T33" t="s">
        <v>14</v>
      </c>
      <c r="U33" t="s">
        <v>15</v>
      </c>
      <c r="V33" t="s">
        <v>16</v>
      </c>
      <c r="W33" t="s">
        <v>17</v>
      </c>
      <c r="X33" t="s">
        <v>18</v>
      </c>
      <c r="Y33" t="s">
        <v>19</v>
      </c>
      <c r="Z33" s="1" t="s">
        <v>20</v>
      </c>
      <c r="AA33" t="s">
        <v>21</v>
      </c>
      <c r="AB33" t="s">
        <v>22</v>
      </c>
      <c r="AC33" t="s">
        <v>23</v>
      </c>
      <c r="AD33" t="s">
        <v>24</v>
      </c>
      <c r="AE33" t="s">
        <v>25</v>
      </c>
      <c r="AF33" t="s">
        <v>26</v>
      </c>
      <c r="AG33" t="s">
        <v>27</v>
      </c>
      <c r="AH33" t="s">
        <v>28</v>
      </c>
      <c r="AI33" t="s">
        <v>29</v>
      </c>
      <c r="AJ33" t="s">
        <v>30</v>
      </c>
      <c r="AK33" t="s">
        <v>31</v>
      </c>
    </row>
    <row r="34" spans="1:37" x14ac:dyDescent="0.35">
      <c r="A34" t="s">
        <v>149</v>
      </c>
      <c r="B34">
        <f>1/(0.000479779-0.000434801*LOG(0.05/(0.5*0.5*(H34-10)))-0.000100649*(LOG(0.05/(0.5*0.5*(H34-10))))^2-0.0000198446*(LOG(0.05/(0.5*0.5*(H34-10))))^3-0.00000195494*(LOG(0.05/(0.5*0.5*(H34-10))))^4-0.0000000757244*(LOG(0.05/(0.5*0.5*(H34-10))))^5)</f>
        <v>776.87625887074785</v>
      </c>
      <c r="C34" s="1">
        <v>1.307E-5</v>
      </c>
      <c r="D34">
        <v>8.3648000000000001E-4</v>
      </c>
      <c r="E34" s="1">
        <v>4.7831E-6</v>
      </c>
      <c r="F34" s="1">
        <v>1.1319999999999999E-7</v>
      </c>
      <c r="G34">
        <v>2.3666999999999998</v>
      </c>
      <c r="H34">
        <v>245</v>
      </c>
      <c r="I34">
        <v>0.51561000000000001</v>
      </c>
      <c r="J34">
        <v>0.21045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0</v>
      </c>
      <c r="S34" s="1">
        <v>0</v>
      </c>
      <c r="T34">
        <v>57.36</v>
      </c>
      <c r="U34">
        <v>10.459</v>
      </c>
      <c r="V34">
        <v>18.234000000000002</v>
      </c>
      <c r="W34">
        <v>2.6524999999999999E-3</v>
      </c>
      <c r="X34">
        <v>4.9649999999999998E-4</v>
      </c>
      <c r="Y34">
        <v>18.718</v>
      </c>
      <c r="Z34">
        <v>0.36345</v>
      </c>
      <c r="AA34">
        <v>2.2055000000000002E-2</v>
      </c>
      <c r="AB34">
        <v>6.0682</v>
      </c>
      <c r="AC34">
        <v>253.8</v>
      </c>
      <c r="AD34">
        <v>7.1597999999999997</v>
      </c>
      <c r="AE34">
        <v>2.8210000000000002</v>
      </c>
      <c r="AF34">
        <v>1.7862999999999999E-4</v>
      </c>
      <c r="AG34" s="1">
        <v>2.8412999999999998E-6</v>
      </c>
      <c r="AH34">
        <v>1.5906</v>
      </c>
      <c r="AI34">
        <v>0.96023999999999998</v>
      </c>
      <c r="AJ34">
        <v>1.0274E-2</v>
      </c>
      <c r="AK34">
        <v>1.0699000000000001</v>
      </c>
    </row>
    <row r="35" spans="1:37" x14ac:dyDescent="0.35">
      <c r="A35" t="s">
        <v>148</v>
      </c>
      <c r="B35">
        <f>1/(0.000479779-0.000434801*LOG(0.05/(0.5*0.5*(H35-10)))-0.000100649*(LOG(0.05/(0.5*0.5*(H35-10))))^2-0.0000198446*(LOG(0.05/(0.5*0.5*(H35-10))))^3-0.00000195494*(LOG(0.05/(0.5*0.5*(H35-10))))^4-0.0000000757244*(LOG(0.05/(0.5*0.5*(H35-10))))^5)</f>
        <v>809.76608649281309</v>
      </c>
      <c r="C35" s="1">
        <v>8.8493000000000001E-6</v>
      </c>
      <c r="D35">
        <v>5.4865999999999997E-4</v>
      </c>
      <c r="E35" s="1">
        <v>6.0936999999999998E-6</v>
      </c>
      <c r="F35" s="1">
        <v>5.3848E-8</v>
      </c>
      <c r="G35">
        <v>0.88366999999999996</v>
      </c>
      <c r="H35">
        <v>133.6</v>
      </c>
      <c r="I35">
        <v>0.38464999999999999</v>
      </c>
      <c r="J35">
        <v>0.28791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>
        <v>57.51</v>
      </c>
      <c r="U35">
        <v>3.8121</v>
      </c>
      <c r="V35">
        <v>6.6285999999999996</v>
      </c>
      <c r="W35">
        <v>7.5808999999999998E-3</v>
      </c>
      <c r="X35">
        <v>7.9699000000000002E-4</v>
      </c>
      <c r="Y35">
        <v>10.513</v>
      </c>
      <c r="Z35">
        <v>0.28416999999999998</v>
      </c>
      <c r="AA35">
        <v>1.6702999999999999E-2</v>
      </c>
      <c r="AB35">
        <v>5.8777999999999997</v>
      </c>
      <c r="AC35">
        <v>116.9</v>
      </c>
      <c r="AD35">
        <v>2.1198999999999999</v>
      </c>
      <c r="AE35">
        <v>1.8133999999999999</v>
      </c>
      <c r="AF35">
        <v>2.1214000000000001E-4</v>
      </c>
      <c r="AG35" s="1">
        <v>4.1301999999999999E-6</v>
      </c>
      <c r="AH35">
        <v>1.9469000000000001</v>
      </c>
      <c r="AI35">
        <v>0.96745000000000003</v>
      </c>
      <c r="AJ35">
        <v>7.7701999999999997E-3</v>
      </c>
      <c r="AK35">
        <v>0.80315999999999999</v>
      </c>
    </row>
    <row r="36" spans="1:37" x14ac:dyDescent="0.35">
      <c r="A36" t="s">
        <v>147</v>
      </c>
      <c r="B36">
        <f>1/(0.000479779-0.000434801*LOG(0.05/(0.5*0.5*(H36-10)))-0.000100649*(LOG(0.05/(0.5*0.5*(H36-10))))^2-0.0000198446*(LOG(0.05/(0.5*0.5*(H36-10))))^3-0.00000195494*(LOG(0.05/(0.5*0.5*(H36-10))))^4-0.0000000757244*(LOG(0.05/(0.5*0.5*(H36-10))))^5)</f>
        <v>852.51921279561088</v>
      </c>
      <c r="C36" s="1">
        <v>2.3249E-6</v>
      </c>
      <c r="D36">
        <v>1.3716999999999999E-4</v>
      </c>
      <c r="E36" s="1">
        <v>6.4388000000000001E-6</v>
      </c>
      <c r="F36" s="1">
        <v>1.6260999999999999E-8</v>
      </c>
      <c r="G36">
        <v>0.25255</v>
      </c>
      <c r="H36">
        <v>69.069999999999993</v>
      </c>
      <c r="I36">
        <v>0.11987</v>
      </c>
      <c r="J36">
        <v>0.17355000000000001</v>
      </c>
      <c r="K36">
        <v>9.2959999999999994</v>
      </c>
      <c r="L36">
        <v>1.3386</v>
      </c>
      <c r="M36">
        <v>14.4</v>
      </c>
      <c r="N36">
        <v>4.3097999999999999E-3</v>
      </c>
      <c r="O36">
        <v>1.4537E-3</v>
      </c>
      <c r="P36">
        <v>33.729999999999997</v>
      </c>
      <c r="Q36">
        <v>0.40627000000000002</v>
      </c>
      <c r="R36">
        <v>3.3767999999999999E-2</v>
      </c>
      <c r="S36">
        <v>8.3117000000000001</v>
      </c>
      <c r="T36">
        <v>11.63</v>
      </c>
      <c r="U36">
        <v>0.56357000000000002</v>
      </c>
      <c r="V36">
        <v>4.8457999999999997</v>
      </c>
      <c r="W36">
        <v>1.9873999999999999E-2</v>
      </c>
      <c r="X36">
        <v>9.1430999999999999E-4</v>
      </c>
      <c r="Y36">
        <v>4.6005000000000003</v>
      </c>
      <c r="Z36" s="1">
        <v>0.97246999999999995</v>
      </c>
      <c r="AA36">
        <v>2.8153000000000001E-2</v>
      </c>
      <c r="AB36">
        <v>2.895</v>
      </c>
      <c r="AC36">
        <v>52.34</v>
      </c>
      <c r="AD36">
        <v>1.0717000000000001</v>
      </c>
      <c r="AE36">
        <v>2.0476000000000001</v>
      </c>
      <c r="AF36">
        <v>2.4309000000000001E-4</v>
      </c>
      <c r="AG36" s="1">
        <v>4.4483999999999996E-6</v>
      </c>
      <c r="AH36">
        <v>1.8299000000000001</v>
      </c>
      <c r="AI36">
        <v>0.96426999999999996</v>
      </c>
      <c r="AJ36">
        <v>7.0473999999999997E-3</v>
      </c>
      <c r="AK36">
        <v>0.73085</v>
      </c>
    </row>
    <row r="37" spans="1:37" x14ac:dyDescent="0.35">
      <c r="A37" t="s">
        <v>146</v>
      </c>
      <c r="B37">
        <f>1/(0.000479779-0.000434801*LOG(0.05/(0.5*0.5*(H37-10)))-0.000100649*(LOG(0.05/(0.5*0.5*(H37-10))))^2-0.0000198446*(LOG(0.05/(0.5*0.5*(H37-10))))^3-0.00000195494*(LOG(0.05/(0.5*0.5*(H37-10))))^4-0.0000000757244*(LOG(0.05/(0.5*0.5*(H37-10))))^5)</f>
        <v>878.2410664223969</v>
      </c>
      <c r="C37" s="1">
        <v>2.9258999999999998E-6</v>
      </c>
      <c r="D37">
        <v>1.7848000000000001E-4</v>
      </c>
      <c r="E37" s="1">
        <v>6.4729999999999997E-6</v>
      </c>
      <c r="F37" s="1">
        <v>1.3725E-8</v>
      </c>
      <c r="G37">
        <v>0.21203</v>
      </c>
      <c r="H37">
        <v>49.74</v>
      </c>
      <c r="I37">
        <v>7.1620000000000003E-2</v>
      </c>
      <c r="J37">
        <v>0.14399000000000001</v>
      </c>
      <c r="K37">
        <v>4.6319999999999997</v>
      </c>
      <c r="L37">
        <v>0.54822000000000004</v>
      </c>
      <c r="M37">
        <v>11.835000000000001</v>
      </c>
      <c r="N37">
        <v>2.8205000000000001E-3</v>
      </c>
      <c r="O37">
        <v>1.1130999999999999E-3</v>
      </c>
      <c r="P37">
        <v>39.465000000000003</v>
      </c>
      <c r="Q37">
        <v>0.49130000000000001</v>
      </c>
      <c r="R37">
        <v>3.9539999999999999E-2</v>
      </c>
      <c r="S37">
        <v>8.048</v>
      </c>
      <c r="T37">
        <v>11.87</v>
      </c>
      <c r="U37">
        <v>0.31169999999999998</v>
      </c>
      <c r="V37">
        <v>2.6259000000000001</v>
      </c>
      <c r="W37">
        <v>2.1246999999999999E-2</v>
      </c>
      <c r="X37">
        <v>6.0941000000000001E-4</v>
      </c>
      <c r="Y37">
        <v>2.8681999999999999</v>
      </c>
      <c r="Z37" s="1">
        <v>0.95543</v>
      </c>
      <c r="AA37">
        <v>1.7812999999999999E-2</v>
      </c>
      <c r="AB37">
        <v>1.8644000000000001</v>
      </c>
      <c r="AC37">
        <v>32.39</v>
      </c>
      <c r="AD37">
        <v>0.56828999999999996</v>
      </c>
      <c r="AE37">
        <v>1.7544999999999999</v>
      </c>
      <c r="AF37">
        <v>2.8527000000000001E-4</v>
      </c>
      <c r="AG37" s="1">
        <v>6.5347999999999997E-6</v>
      </c>
      <c r="AH37">
        <v>2.2907000000000002</v>
      </c>
      <c r="AI37">
        <v>0.95631999999999995</v>
      </c>
      <c r="AJ37">
        <v>7.2392999999999997E-3</v>
      </c>
      <c r="AK37">
        <v>0.75700000000000001</v>
      </c>
    </row>
    <row r="41" spans="1:37" x14ac:dyDescent="0.35">
      <c r="B41" s="1"/>
      <c r="D41" s="1"/>
      <c r="E41" s="1"/>
      <c r="M41" s="1"/>
      <c r="N41" s="1"/>
      <c r="AE41" s="1"/>
      <c r="AF41" s="1"/>
    </row>
    <row r="42" spans="1:37" x14ac:dyDescent="0.35">
      <c r="H42" s="1"/>
      <c r="J42" s="1"/>
      <c r="K42" s="1"/>
      <c r="AB42" s="1"/>
      <c r="AC42" s="1"/>
    </row>
    <row r="43" spans="1:37" x14ac:dyDescent="0.35">
      <c r="J43" s="1"/>
      <c r="K43" s="1"/>
      <c r="N43" s="1"/>
      <c r="O43" s="1"/>
      <c r="Q43" s="1"/>
      <c r="R43" s="1"/>
      <c r="S43" s="1"/>
      <c r="T43" s="1"/>
      <c r="U43" s="1"/>
      <c r="X43" s="1"/>
      <c r="AC43" s="1"/>
    </row>
    <row r="44" spans="1:37" x14ac:dyDescent="0.35">
      <c r="J44" s="1"/>
      <c r="K44" s="1"/>
      <c r="M44" s="1"/>
      <c r="N44" s="1"/>
      <c r="Q44" s="1"/>
      <c r="R44" s="1"/>
      <c r="T44" s="1"/>
      <c r="U44" s="1"/>
      <c r="V44" s="1"/>
      <c r="W44" s="1"/>
      <c r="X44" s="1"/>
      <c r="AA44" s="1"/>
      <c r="AC44" s="1"/>
      <c r="AF44" s="1"/>
    </row>
    <row r="45" spans="1:37" x14ac:dyDescent="0.35">
      <c r="H45" s="1"/>
      <c r="I45" s="1"/>
      <c r="J45" s="1"/>
      <c r="K45" s="1"/>
      <c r="AC45" s="1"/>
    </row>
    <row r="46" spans="1:37" x14ac:dyDescent="0.35">
      <c r="H46" s="1"/>
      <c r="J46" s="1"/>
      <c r="K46" s="1"/>
      <c r="AC46" s="1"/>
    </row>
    <row r="47" spans="1:37" x14ac:dyDescent="0.35">
      <c r="H47" s="1"/>
      <c r="J47" s="1"/>
      <c r="K47" s="1"/>
      <c r="AC47" s="1"/>
    </row>
    <row r="48" spans="1:37" x14ac:dyDescent="0.35">
      <c r="H48" s="1"/>
      <c r="I48" s="1"/>
      <c r="J48" s="1"/>
      <c r="K48" s="1"/>
      <c r="AC48" s="1"/>
    </row>
    <row r="49" spans="5:29" x14ac:dyDescent="0.35">
      <c r="H49" s="1"/>
      <c r="I49" s="1"/>
      <c r="J49" s="1"/>
      <c r="K49" s="1"/>
      <c r="AC49" s="1"/>
    </row>
    <row r="50" spans="5:29" x14ac:dyDescent="0.35">
      <c r="H50" s="1"/>
      <c r="J50" s="1"/>
      <c r="K50" s="1"/>
      <c r="AC50" s="1"/>
    </row>
    <row r="51" spans="5:29" x14ac:dyDescent="0.35">
      <c r="H51" s="1"/>
      <c r="J51" s="1"/>
      <c r="K51" s="1"/>
      <c r="AC51" s="1"/>
    </row>
    <row r="52" spans="5:29" x14ac:dyDescent="0.35">
      <c r="H52" s="1"/>
      <c r="I52" s="1"/>
      <c r="J52" s="1"/>
      <c r="K52" s="1"/>
      <c r="AC52" s="1"/>
    </row>
    <row r="53" spans="5:29" x14ac:dyDescent="0.35">
      <c r="H53" s="1"/>
      <c r="I53" s="1"/>
      <c r="J53" s="1"/>
      <c r="K53" s="1"/>
      <c r="AC53" s="1"/>
    </row>
    <row r="54" spans="5:29" x14ac:dyDescent="0.35">
      <c r="H54" s="1"/>
      <c r="I54" s="1"/>
      <c r="J54" s="1"/>
      <c r="K54" s="1"/>
      <c r="AC54" s="1"/>
    </row>
    <row r="55" spans="5:29" x14ac:dyDescent="0.35">
      <c r="H55" s="1"/>
      <c r="I55" s="1"/>
      <c r="J55" s="1"/>
      <c r="K55" s="1"/>
      <c r="AC55" s="1"/>
    </row>
    <row r="56" spans="5:29" x14ac:dyDescent="0.35">
      <c r="H56" s="1"/>
      <c r="I56" s="1"/>
      <c r="J56" s="1"/>
      <c r="K56" s="1"/>
      <c r="AC56" s="1"/>
    </row>
    <row r="57" spans="5:29" x14ac:dyDescent="0.35">
      <c r="H57" s="1"/>
      <c r="I57" s="1"/>
      <c r="J57" s="1"/>
      <c r="K57" s="1"/>
      <c r="AC57" s="1"/>
    </row>
    <row r="58" spans="5:29" x14ac:dyDescent="0.35">
      <c r="H58" s="1"/>
      <c r="I58" s="1"/>
      <c r="J58" s="1"/>
      <c r="K58" s="1"/>
      <c r="AC58" s="1"/>
    </row>
    <row r="59" spans="5:29" x14ac:dyDescent="0.35">
      <c r="H59" s="1"/>
      <c r="J59" s="1"/>
      <c r="K59" s="1"/>
      <c r="AC59" s="1"/>
    </row>
    <row r="60" spans="5:29" x14ac:dyDescent="0.35">
      <c r="H60" s="1"/>
      <c r="I60" s="1"/>
      <c r="J60" s="1"/>
      <c r="K60" s="1"/>
      <c r="AC60" s="1"/>
    </row>
    <row r="61" spans="5:29" x14ac:dyDescent="0.35">
      <c r="F61" s="1"/>
      <c r="H61" s="1"/>
      <c r="I61" s="1"/>
      <c r="J61" s="1"/>
      <c r="K61" s="1"/>
      <c r="AC61" s="1"/>
    </row>
    <row r="62" spans="5:29" x14ac:dyDescent="0.35">
      <c r="F62" s="1"/>
      <c r="H62" s="1"/>
      <c r="I62" s="1"/>
      <c r="J62" s="1"/>
      <c r="K62" s="1"/>
      <c r="AC62" s="1"/>
    </row>
    <row r="63" spans="5:29" x14ac:dyDescent="0.35">
      <c r="E63" s="1"/>
      <c r="F63" s="1"/>
      <c r="H63" s="1"/>
      <c r="I63" s="1"/>
      <c r="J63" s="1"/>
      <c r="K63" s="1"/>
      <c r="AC63" s="1"/>
    </row>
    <row r="64" spans="5:29" x14ac:dyDescent="0.35">
      <c r="E64" s="1"/>
      <c r="F64" s="1"/>
      <c r="H64" s="1"/>
      <c r="I64" s="1"/>
      <c r="J64" s="1"/>
      <c r="K64" s="1"/>
      <c r="AC64" s="1"/>
    </row>
    <row r="65" spans="5:26" x14ac:dyDescent="0.35">
      <c r="E65" s="1"/>
      <c r="F65" s="1"/>
      <c r="G65" s="1"/>
      <c r="H65" s="1"/>
      <c r="Z65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zoomScale="68" zoomScaleNormal="70" workbookViewId="0">
      <selection activeCell="A16" sqref="A16"/>
    </sheetView>
  </sheetViews>
  <sheetFormatPr baseColWidth="10" defaultColWidth="8.7265625" defaultRowHeight="14.5" x14ac:dyDescent="0.35"/>
  <cols>
    <col min="1" max="1" width="56.08984375" customWidth="1"/>
    <col min="2" max="3" width="12" customWidth="1"/>
    <col min="4" max="4" width="17.36328125" customWidth="1"/>
    <col min="5" max="5" width="20.54296875" customWidth="1"/>
    <col min="6" max="6" width="16" customWidth="1"/>
    <col min="7" max="7" width="14.54296875" customWidth="1"/>
    <col min="8" max="8" width="12.7265625" customWidth="1"/>
    <col min="9" max="9" width="13.54296875" bestFit="1" customWidth="1"/>
    <col min="12" max="12" width="9.26953125" bestFit="1" customWidth="1"/>
    <col min="13" max="13" width="10.36328125" bestFit="1" customWidth="1"/>
    <col min="14" max="14" width="13" customWidth="1"/>
    <col min="15" max="16" width="10.453125" bestFit="1" customWidth="1"/>
    <col min="17" max="17" width="11.81640625" bestFit="1" customWidth="1"/>
    <col min="18" max="18" width="9" bestFit="1" customWidth="1"/>
    <col min="19" max="19" width="11.81640625" bestFit="1" customWidth="1"/>
    <col min="23" max="23" width="9.26953125" bestFit="1" customWidth="1"/>
    <col min="24" max="24" width="8.90625" bestFit="1" customWidth="1"/>
    <col min="25" max="25" width="11.81640625" bestFit="1" customWidth="1"/>
    <col min="26" max="26" width="12" bestFit="1" customWidth="1"/>
    <col min="27" max="27" width="13.81640625" bestFit="1" customWidth="1"/>
    <col min="28" max="29" width="11.81640625" bestFit="1" customWidth="1"/>
  </cols>
  <sheetData>
    <row r="1" spans="1:38" x14ac:dyDescent="0.35">
      <c r="A1" t="s">
        <v>150</v>
      </c>
      <c r="B1" t="s">
        <v>166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33</v>
      </c>
      <c r="I1" t="s">
        <v>34</v>
      </c>
      <c r="J1" t="s">
        <v>35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</row>
    <row r="2" spans="1:38" x14ac:dyDescent="0.35">
      <c r="A2" t="s">
        <v>182</v>
      </c>
      <c r="B2">
        <f>D13</f>
        <v>0</v>
      </c>
      <c r="C2" s="1">
        <v>2.8592999999999999E-6</v>
      </c>
      <c r="D2">
        <v>1.7442E-4</v>
      </c>
      <c r="E2" s="1">
        <v>6.4953000000000003E-6</v>
      </c>
      <c r="F2" s="1">
        <v>1.393E-8</v>
      </c>
      <c r="G2">
        <v>0.21446000000000001</v>
      </c>
      <c r="H2">
        <v>49.75</v>
      </c>
      <c r="I2">
        <v>8.9228000000000002E-2</v>
      </c>
      <c r="J2">
        <v>0.17935000000000001</v>
      </c>
      <c r="K2">
        <v>5.0419999999999998</v>
      </c>
      <c r="L2">
        <v>0.70753999999999995</v>
      </c>
      <c r="M2">
        <v>14.032999999999999</v>
      </c>
      <c r="N2">
        <v>4.6768000000000001E-3</v>
      </c>
      <c r="O2">
        <v>1.9354999999999999E-3</v>
      </c>
      <c r="P2">
        <v>41.384999999999998</v>
      </c>
      <c r="Q2">
        <v>0.43780999999999998</v>
      </c>
      <c r="R2">
        <v>4.1612000000000003E-2</v>
      </c>
      <c r="S2">
        <v>9.5045999999999999</v>
      </c>
      <c r="T2">
        <v>11.13</v>
      </c>
      <c r="U2">
        <v>0.35936000000000001</v>
      </c>
      <c r="V2">
        <v>3.2288000000000001</v>
      </c>
      <c r="W2">
        <v>2.2256000000000001E-2</v>
      </c>
      <c r="X2">
        <v>7.8762000000000005E-4</v>
      </c>
      <c r="Y2">
        <v>3.5388999999999999</v>
      </c>
      <c r="Z2">
        <v>0.97026000000000001</v>
      </c>
      <c r="AA2">
        <v>2.0875999999999999E-2</v>
      </c>
      <c r="AB2">
        <v>2.1516000000000002</v>
      </c>
      <c r="AC2">
        <v>41.27</v>
      </c>
      <c r="AD2">
        <v>0.66207000000000005</v>
      </c>
      <c r="AE2">
        <v>1.6042000000000001</v>
      </c>
      <c r="AF2">
        <v>2.7704999999999999E-4</v>
      </c>
      <c r="AG2" s="1">
        <v>5.1113999999999999E-6</v>
      </c>
      <c r="AH2">
        <v>1.8449</v>
      </c>
      <c r="AI2">
        <v>0.96147000000000005</v>
      </c>
      <c r="AJ2">
        <v>6.2471000000000002E-3</v>
      </c>
      <c r="AK2">
        <v>0.64973999999999998</v>
      </c>
    </row>
    <row r="3" spans="1:38" x14ac:dyDescent="0.35">
      <c r="A3" t="s">
        <v>181</v>
      </c>
      <c r="B3">
        <f>D14</f>
        <v>0.58974358974358976</v>
      </c>
      <c r="C3" s="1">
        <v>1.2264E-6</v>
      </c>
      <c r="D3" s="1">
        <v>7.2354999999999994E-5</v>
      </c>
      <c r="E3" s="1">
        <v>6.4888999999999998E-6</v>
      </c>
      <c r="F3" s="1">
        <v>8.7727000000000005E-9</v>
      </c>
      <c r="G3">
        <v>0.13519999999999999</v>
      </c>
      <c r="H3">
        <v>49.41</v>
      </c>
      <c r="I3">
        <v>4.4616000000000003E-2</v>
      </c>
      <c r="J3">
        <v>9.0298000000000003E-2</v>
      </c>
      <c r="K3">
        <v>4.8250000000000002</v>
      </c>
      <c r="L3">
        <v>0.30740000000000001</v>
      </c>
      <c r="M3">
        <v>6.3710000000000004</v>
      </c>
      <c r="N3">
        <v>3.3833000000000001E-3</v>
      </c>
      <c r="O3">
        <v>7.3401E-4</v>
      </c>
      <c r="P3">
        <v>21.695</v>
      </c>
      <c r="Q3">
        <v>0.47769</v>
      </c>
      <c r="R3">
        <v>2.2359E-2</v>
      </c>
      <c r="S3">
        <v>4.6806999999999999</v>
      </c>
      <c r="T3">
        <v>10.050000000000001</v>
      </c>
      <c r="U3">
        <v>0.37641000000000002</v>
      </c>
      <c r="V3">
        <v>3.7454000000000001</v>
      </c>
      <c r="W3">
        <v>2.5517999999999999E-2</v>
      </c>
      <c r="X3">
        <v>9.4974000000000002E-4</v>
      </c>
      <c r="Y3">
        <v>3.7218</v>
      </c>
      <c r="Z3">
        <v>0.99356</v>
      </c>
      <c r="AA3">
        <v>2.1637E-2</v>
      </c>
      <c r="AB3">
        <v>2.1777000000000002</v>
      </c>
      <c r="AC3">
        <v>60.47</v>
      </c>
      <c r="AD3">
        <v>0.45333000000000001</v>
      </c>
      <c r="AE3">
        <v>0.74968000000000001</v>
      </c>
      <c r="AF3">
        <v>2.7993000000000001E-4</v>
      </c>
      <c r="AG3" s="1">
        <v>2.5851E-6</v>
      </c>
      <c r="AH3">
        <v>0.92347999999999997</v>
      </c>
      <c r="AI3">
        <v>0.96065</v>
      </c>
      <c r="AJ3">
        <v>3.0511000000000002E-3</v>
      </c>
      <c r="AK3">
        <v>0.31761</v>
      </c>
    </row>
    <row r="4" spans="1:38" x14ac:dyDescent="0.35">
      <c r="A4" t="s">
        <v>180</v>
      </c>
      <c r="B4">
        <f>D15</f>
        <v>1.1794871794871795</v>
      </c>
      <c r="C4" s="1">
        <v>2.7501000000000001E-6</v>
      </c>
      <c r="D4">
        <v>1.6776000000000001E-4</v>
      </c>
      <c r="E4" s="1">
        <v>6.5004999999999998E-6</v>
      </c>
      <c r="F4" s="1">
        <v>1.3712000000000001E-8</v>
      </c>
      <c r="G4">
        <v>0.21093999999999999</v>
      </c>
      <c r="H4">
        <v>50.11</v>
      </c>
      <c r="I4">
        <v>9.1837000000000002E-2</v>
      </c>
      <c r="J4">
        <v>0.18326999999999999</v>
      </c>
      <c r="K4">
        <v>5.5170000000000003</v>
      </c>
      <c r="L4">
        <v>0.74805999999999995</v>
      </c>
      <c r="M4">
        <v>13.558999999999999</v>
      </c>
      <c r="N4">
        <v>6.1168999999999998E-3</v>
      </c>
      <c r="O4">
        <v>2.2653E-3</v>
      </c>
      <c r="P4">
        <v>37.033000000000001</v>
      </c>
      <c r="Q4">
        <v>0.41311999999999999</v>
      </c>
      <c r="R4">
        <v>3.7983000000000003E-2</v>
      </c>
      <c r="S4">
        <v>9.1942000000000004</v>
      </c>
      <c r="T4">
        <v>9.8450000000000006</v>
      </c>
      <c r="U4">
        <v>0.52864</v>
      </c>
      <c r="V4">
        <v>5.3696000000000002</v>
      </c>
      <c r="W4">
        <v>2.5929000000000001E-2</v>
      </c>
      <c r="X4">
        <v>1.6021E-3</v>
      </c>
      <c r="Y4">
        <v>6.1787999999999998</v>
      </c>
      <c r="Z4">
        <v>1.0009999999999999</v>
      </c>
      <c r="AA4">
        <v>3.0668999999999998E-2</v>
      </c>
      <c r="AB4">
        <v>3.0638000000000001</v>
      </c>
      <c r="AC4">
        <v>66.64</v>
      </c>
      <c r="AD4">
        <v>0.81083000000000005</v>
      </c>
      <c r="AE4">
        <v>1.2166999999999999</v>
      </c>
      <c r="AF4">
        <v>2.7827E-4</v>
      </c>
      <c r="AG4" s="1">
        <v>3.5329999999999999E-6</v>
      </c>
      <c r="AH4">
        <v>1.2696000000000001</v>
      </c>
      <c r="AI4">
        <v>0.96142000000000005</v>
      </c>
      <c r="AJ4">
        <v>4.6157000000000004E-3</v>
      </c>
      <c r="AK4">
        <v>0.48009000000000002</v>
      </c>
    </row>
    <row r="5" spans="1:38" x14ac:dyDescent="0.35">
      <c r="A5" t="s">
        <v>179</v>
      </c>
      <c r="B5">
        <f>D16</f>
        <v>1.7692307692307692</v>
      </c>
      <c r="C5" s="1">
        <v>1.2732999999999999E-6</v>
      </c>
      <c r="D5" s="1">
        <v>7.7669000000000005E-5</v>
      </c>
      <c r="E5" s="1">
        <v>6.4740000000000002E-6</v>
      </c>
      <c r="F5" s="1">
        <v>8.9347000000000006E-9</v>
      </c>
      <c r="G5">
        <v>0.13800999999999999</v>
      </c>
      <c r="H5">
        <v>49.47</v>
      </c>
      <c r="I5">
        <v>4.5031000000000002E-2</v>
      </c>
      <c r="J5">
        <v>9.1026999999999997E-2</v>
      </c>
      <c r="K5">
        <v>4.8179999999999996</v>
      </c>
      <c r="L5">
        <v>0.28878999999999999</v>
      </c>
      <c r="M5">
        <v>5.9939999999999998</v>
      </c>
      <c r="N5">
        <v>3.1708000000000001E-3</v>
      </c>
      <c r="O5">
        <v>6.7469000000000003E-4</v>
      </c>
      <c r="P5">
        <v>21.277999999999999</v>
      </c>
      <c r="Q5">
        <v>0.48098000000000002</v>
      </c>
      <c r="R5">
        <v>2.1985999999999999E-2</v>
      </c>
      <c r="S5">
        <v>4.5711000000000004</v>
      </c>
      <c r="T5">
        <v>9.8480000000000008</v>
      </c>
      <c r="U5">
        <v>0.37357000000000001</v>
      </c>
      <c r="V5">
        <v>3.7934000000000001</v>
      </c>
      <c r="W5">
        <v>2.6547000000000001E-2</v>
      </c>
      <c r="X5">
        <v>1.1469E-3</v>
      </c>
      <c r="Y5">
        <v>4.3202999999999996</v>
      </c>
      <c r="Z5">
        <v>0.99377000000000004</v>
      </c>
      <c r="AA5">
        <v>2.1155E-2</v>
      </c>
      <c r="AB5">
        <v>2.1288</v>
      </c>
      <c r="AC5">
        <v>66.11</v>
      </c>
      <c r="AD5">
        <v>0.46248</v>
      </c>
      <c r="AE5">
        <v>0.69955999999999996</v>
      </c>
      <c r="AF5">
        <v>2.8280999999999998E-4</v>
      </c>
      <c r="AG5" s="1">
        <v>2.4785000000000001E-6</v>
      </c>
      <c r="AH5">
        <v>0.87638000000000005</v>
      </c>
      <c r="AI5">
        <v>0.95698000000000005</v>
      </c>
      <c r="AJ5">
        <v>2.8693999999999998E-3</v>
      </c>
      <c r="AK5">
        <v>0.29984</v>
      </c>
    </row>
    <row r="6" spans="1:38" x14ac:dyDescent="0.35">
      <c r="A6" t="s">
        <v>178</v>
      </c>
      <c r="B6">
        <f>D17</f>
        <v>2.358974358974359</v>
      </c>
      <c r="C6" s="1">
        <v>1.277E-6</v>
      </c>
      <c r="D6" s="1">
        <v>7.5343E-5</v>
      </c>
      <c r="E6" s="1">
        <v>6.4710999999999998E-6</v>
      </c>
      <c r="F6" s="1">
        <v>9.0062000000000006E-9</v>
      </c>
      <c r="G6">
        <v>0.13918</v>
      </c>
      <c r="H6">
        <v>50.18</v>
      </c>
      <c r="I6">
        <v>4.4574000000000003E-2</v>
      </c>
      <c r="J6">
        <v>8.8828000000000004E-2</v>
      </c>
      <c r="K6">
        <v>4.891</v>
      </c>
      <c r="L6">
        <v>0.28345999999999999</v>
      </c>
      <c r="M6">
        <v>5.7954999999999997</v>
      </c>
      <c r="N6">
        <v>3.1483000000000001E-3</v>
      </c>
      <c r="O6">
        <v>6.5092000000000004E-4</v>
      </c>
      <c r="P6">
        <v>20.675000000000001</v>
      </c>
      <c r="Q6">
        <v>0.48238999999999999</v>
      </c>
      <c r="R6">
        <v>2.1479000000000002E-2</v>
      </c>
      <c r="S6">
        <v>4.4526000000000003</v>
      </c>
      <c r="T6">
        <v>8.5489999999999995</v>
      </c>
      <c r="U6">
        <v>0.44630999999999998</v>
      </c>
      <c r="V6">
        <v>5.2206000000000001</v>
      </c>
      <c r="W6">
        <v>3.0488999999999999E-2</v>
      </c>
      <c r="X6">
        <v>1.6067E-3</v>
      </c>
      <c r="Y6">
        <v>5.2698</v>
      </c>
      <c r="Z6">
        <v>1.028</v>
      </c>
      <c r="AA6">
        <v>2.8587999999999999E-2</v>
      </c>
      <c r="AB6">
        <v>2.7808999999999999</v>
      </c>
      <c r="AC6">
        <v>75.739999999999995</v>
      </c>
      <c r="AD6">
        <v>0.50044999999999995</v>
      </c>
      <c r="AE6">
        <v>0.66074999999999995</v>
      </c>
      <c r="AF6">
        <v>2.8683000000000002E-4</v>
      </c>
      <c r="AG6" s="1">
        <v>2.3211000000000001E-6</v>
      </c>
      <c r="AH6">
        <v>0.80922000000000005</v>
      </c>
      <c r="AI6">
        <v>0.95386000000000004</v>
      </c>
      <c r="AJ6">
        <v>2.6771E-3</v>
      </c>
      <c r="AK6">
        <v>0.28066000000000002</v>
      </c>
    </row>
    <row r="7" spans="1:38" x14ac:dyDescent="0.35">
      <c r="A7" t="s">
        <v>175</v>
      </c>
      <c r="B7">
        <f>D18</f>
        <v>2.9487179487179489</v>
      </c>
      <c r="C7" s="1">
        <v>3.4489000000000001E-6</v>
      </c>
      <c r="D7">
        <v>2.0348999999999999E-4</v>
      </c>
      <c r="E7" s="1">
        <v>6.4872999999999997E-6</v>
      </c>
      <c r="F7" s="1">
        <v>1.5201000000000002E-8</v>
      </c>
      <c r="G7">
        <v>0.23432</v>
      </c>
      <c r="H7">
        <v>49.24</v>
      </c>
      <c r="I7">
        <v>0.10538</v>
      </c>
      <c r="J7">
        <v>0.21401000000000001</v>
      </c>
      <c r="K7">
        <v>5.33</v>
      </c>
      <c r="L7">
        <v>0.82374999999999998</v>
      </c>
      <c r="M7">
        <v>15.455</v>
      </c>
      <c r="N7">
        <v>7.0356999999999998E-3</v>
      </c>
      <c r="O7">
        <v>2.9393000000000002E-3</v>
      </c>
      <c r="P7">
        <v>41.777000000000001</v>
      </c>
      <c r="Q7">
        <v>0.40282000000000001</v>
      </c>
      <c r="R7">
        <v>4.3186000000000002E-2</v>
      </c>
      <c r="S7">
        <v>10.721</v>
      </c>
      <c r="T7">
        <v>7.9489999999999998</v>
      </c>
      <c r="U7">
        <v>0.78420000000000001</v>
      </c>
      <c r="V7">
        <v>9.8653999999999993</v>
      </c>
      <c r="W7">
        <v>3.3180000000000001E-2</v>
      </c>
      <c r="X7">
        <v>3.3896E-3</v>
      </c>
      <c r="Y7">
        <v>10.215999999999999</v>
      </c>
      <c r="Z7">
        <v>1.0349999999999999</v>
      </c>
      <c r="AA7">
        <v>5.3444999999999999E-2</v>
      </c>
      <c r="AB7">
        <v>5.1638000000000002</v>
      </c>
      <c r="AC7">
        <v>83.09</v>
      </c>
      <c r="AD7">
        <v>1.0268999999999999</v>
      </c>
      <c r="AE7">
        <v>1.2359</v>
      </c>
      <c r="AF7">
        <v>2.9063E-4</v>
      </c>
      <c r="AG7" s="1">
        <v>3.5375E-6</v>
      </c>
      <c r="AH7">
        <v>1.2172000000000001</v>
      </c>
      <c r="AI7">
        <v>0.95557999999999998</v>
      </c>
      <c r="AJ7">
        <v>4.5519000000000002E-3</v>
      </c>
      <c r="AK7">
        <v>0.47635</v>
      </c>
    </row>
    <row r="8" spans="1:38" x14ac:dyDescent="0.35">
      <c r="C8" s="1"/>
      <c r="D8" s="1"/>
      <c r="E8" s="1"/>
      <c r="F8" s="1"/>
      <c r="I8" s="1"/>
      <c r="J8" s="1"/>
      <c r="K8" s="2"/>
      <c r="L8" s="1"/>
      <c r="O8" s="1"/>
      <c r="AD8" s="1"/>
    </row>
    <row r="9" spans="1:38" x14ac:dyDescent="0.35">
      <c r="C9" s="1"/>
      <c r="E9" s="1"/>
      <c r="F9" s="1"/>
      <c r="I9" s="1"/>
      <c r="K9" s="2"/>
      <c r="L9" s="1"/>
      <c r="O9" s="1"/>
      <c r="AD9" s="1"/>
    </row>
    <row r="10" spans="1:38" x14ac:dyDescent="0.35">
      <c r="C10" s="1"/>
      <c r="E10" s="1"/>
      <c r="F10" s="1"/>
      <c r="I10" s="1"/>
      <c r="K10" s="2"/>
      <c r="L10" s="1"/>
      <c r="O10" s="1"/>
      <c r="AD10" s="1"/>
    </row>
    <row r="11" spans="1:38" x14ac:dyDescent="0.35">
      <c r="I11" s="1"/>
      <c r="K11" s="1"/>
      <c r="L11" s="1"/>
      <c r="AD11" s="1"/>
    </row>
    <row r="12" spans="1:38" x14ac:dyDescent="0.35">
      <c r="B12" t="s">
        <v>132</v>
      </c>
      <c r="C12" t="s">
        <v>39</v>
      </c>
      <c r="D12" t="s">
        <v>136</v>
      </c>
      <c r="E12" t="s">
        <v>40</v>
      </c>
      <c r="F12" t="s">
        <v>77</v>
      </c>
      <c r="G12" t="s">
        <v>32</v>
      </c>
      <c r="H12" s="2" t="s">
        <v>52</v>
      </c>
      <c r="I12" t="s">
        <v>130</v>
      </c>
      <c r="J12" s="2" t="s">
        <v>54</v>
      </c>
      <c r="M12" t="s">
        <v>41</v>
      </c>
      <c r="N12" t="s">
        <v>40</v>
      </c>
      <c r="O12" t="s">
        <v>77</v>
      </c>
      <c r="P12" t="s">
        <v>32</v>
      </c>
      <c r="Q12" s="2" t="s">
        <v>55</v>
      </c>
      <c r="R12" s="2" t="s">
        <v>52</v>
      </c>
      <c r="S12" t="s">
        <v>130</v>
      </c>
      <c r="T12" s="2" t="s">
        <v>54</v>
      </c>
      <c r="V12" t="s">
        <v>46</v>
      </c>
      <c r="W12" t="s">
        <v>47</v>
      </c>
      <c r="X12" t="s">
        <v>48</v>
      </c>
      <c r="Y12" s="1" t="s">
        <v>49</v>
      </c>
      <c r="Z12" t="s">
        <v>40</v>
      </c>
      <c r="AA12" t="s">
        <v>77</v>
      </c>
      <c r="AB12" t="s">
        <v>52</v>
      </c>
      <c r="AC12" t="s">
        <v>130</v>
      </c>
      <c r="AL12" s="1"/>
    </row>
    <row r="13" spans="1:38" x14ac:dyDescent="0.35">
      <c r="B13">
        <v>0.1492</v>
      </c>
      <c r="C13" s="2">
        <v>0</v>
      </c>
      <c r="D13" s="2">
        <v>0</v>
      </c>
      <c r="E13">
        <f>AC2</f>
        <v>41.27</v>
      </c>
      <c r="F13">
        <f>E13*B$13</f>
        <v>6.1574840000000002</v>
      </c>
      <c r="G13" s="1">
        <f>(AC2^(1-AI2)*AF2)^(1/AI2)</f>
        <v>2.3160187031435477E-4</v>
      </c>
      <c r="H13" s="29">
        <f>1.38E-23*J13/(4*(1.602E-19^2)*E13*B$15)</f>
        <v>5.5905298579081822E-8</v>
      </c>
      <c r="I13" s="2">
        <f>3/5.814E-23-((0.1/5.814E-29/4-G13*1.38E-23*J13/(8*(1.602E-19)^2)))*10^-6+SQRT(0.1/5.814E-29*G13*1.38E-23*J13/(8*(1.602E-19)^2)*5.814E-29+ (-0.1/5.814E-29/4+(G13*1.38E-23*J13/(8*(1.602E-19)^2)^2)))*10^-6</f>
        <v>5.1177750794729364E+22</v>
      </c>
      <c r="J13" s="6">
        <f>1/(0.000479779-0.000434801*LOG(0.05/(0.5*0.5*(H2-10)))-0.000100649*(LOG(0.05/(0.5*0.5*(H2-10))))^2-0.0000198446*(LOG(0.05/(0.5*0.5*(H2-10))))^3-0.00000195494*(LOG(0.05/(0.5*0.5*(H2-10))))^4-0.0000000757244*(LOG(0.05/(0.5*0.5*(H2-10))))^5)</f>
        <v>878.22402011858026</v>
      </c>
      <c r="M13">
        <v>0.01</v>
      </c>
      <c r="N13">
        <f>T22</f>
        <v>199.9</v>
      </c>
      <c r="O13">
        <f>N13*B$13</f>
        <v>29.82508</v>
      </c>
      <c r="P13" s="1">
        <f>(T22^(1-Z22)*W22)^(1/Z22)</f>
        <v>3.0216991875240524E-4</v>
      </c>
      <c r="Q13" s="23">
        <f>N13*B$13</f>
        <v>29.82508</v>
      </c>
      <c r="R13" s="23">
        <f>1.38E-23*T13/(4*(1.602E-19^2)*N13*B$15)</f>
        <v>1.1474709374169893E-8</v>
      </c>
      <c r="S13" s="2">
        <f>3/5.814E-23-((0.1/5.814E-29/4-P13*1.38E-23*T13/(8*(1.602E-19)^2)))*10^-6+SQRT(0.1/5.814E-29*P13*1.38E-23*T13/(8*(1.602E-19)^2)*5.814E-29+ (-0.1/5.814E-29/4+(P13*1.38E-23*T13/(8*(1.602E-19)^2)^2)))*10^-6</f>
        <v>5.1178884293568223E+22</v>
      </c>
      <c r="T13" s="6">
        <f>1/(0.000479779-0.000434801*LOG(0.05/(0.5*0.5*(H22-10)))-0.000100649*(LOG(0.05/(0.5*0.5*(H22-10))))^2-0.0000198446*(LOG(0.05/(0.5*0.5*(H22-10))))^3-0.00000195494*(LOG(0.05/(0.5*0.5*(H22-10))))^4-0.0000000757244*(LOG(0.05/(0.5*0.5*(H22-10))))^5)</f>
        <v>873.11683052301578</v>
      </c>
      <c r="V13" s="32">
        <f>1000/W13</f>
        <v>1.2941062470569964</v>
      </c>
      <c r="W13" s="28">
        <f>1/(0.000479779-0.000434801*LOG(0.05/(0.5*0.5*(H30-10)))-0.000100649*(LOG(0.05/(0.5*0.5*(H30-10))))^2-0.0000198446*(LOG(0.05/(0.5*0.5*(H30))))^3-0.00000195494*(LOG(0.05/(0.5*0.5*(H30-10))))^4-0.0000000757244*(LOG(0.05/(0.5*0.5*(H30-10))))^5)</f>
        <v>772.7340798131213</v>
      </c>
      <c r="X13" s="28">
        <f>W13-273</f>
        <v>499.7340798131213</v>
      </c>
      <c r="Y13" s="1">
        <f>(T30^(1-Z30)*W30)^(1/Z30)</f>
        <v>1.6120577348364601E-4</v>
      </c>
      <c r="Z13">
        <f>T30</f>
        <v>1025</v>
      </c>
      <c r="AA13" s="22">
        <f>Z13*B$13</f>
        <v>152.93</v>
      </c>
      <c r="AB13" s="23">
        <f>1.38E-23*W13/(4*(1.602E-19^2)*Z13*B$15)</f>
        <v>1.9805614876541979E-9</v>
      </c>
      <c r="AC13" s="2">
        <f>3/5.814E-23-((0.1/5.814E-29/4-Y13*1.38E-23*W13/(8*(1.602E-19)^2)))*10^-6+SQRT(0.1/5.814E-29*Y13*1.38E-23*W13/(8*(1.602E-19)^2)*5.814E-29+ (-0.1/5.814E-29/4+(Y13*1.38E-23*W13/(8*(1.602E-19)^2)^2)))*10^-6</f>
        <v>5.1175976657207675E+22</v>
      </c>
      <c r="AL13" s="1"/>
    </row>
    <row r="14" spans="1:38" x14ac:dyDescent="0.35">
      <c r="B14" s="11" t="s">
        <v>131</v>
      </c>
      <c r="C14" s="2">
        <v>23</v>
      </c>
      <c r="D14" s="2">
        <f>C14/39</f>
        <v>0.58974358974358976</v>
      </c>
      <c r="E14">
        <f>AC3</f>
        <v>60.47</v>
      </c>
      <c r="F14">
        <f>E14*B$13</f>
        <v>9.0221239999999998</v>
      </c>
      <c r="G14" s="1">
        <f>(AC3^(1-AI3)*AF3)^(1/AI3)</f>
        <v>2.3685861834394194E-4</v>
      </c>
      <c r="H14" s="29">
        <f>1.38E-23*J14/(4*(1.602E-19^2)*E14*B$15)</f>
        <v>3.817995845554072E-8</v>
      </c>
      <c r="I14" s="2">
        <f>3/5.814E-23-((0.1/5.814E-29/4-G14*1.38E-23*J14/(8*(1.602E-19)^2)))*10^-6+SQRT(0.1/5.814E-29*G14*1.38E-23*J14/(8*(1.602E-19)^2)*5.814E-29+ (-0.1/5.814E-29/4+(G14*1.38E-23*J14/(8*(1.602E-19)^2)^2)))*10^-6</f>
        <v>5.1177845618497995E+22</v>
      </c>
      <c r="J14" s="6">
        <f>1/(0.000479779-0.000434801*LOG(0.05/(0.5*0.5*(H3-10)))-0.000100649*(LOG(0.05/(0.5*0.5*(H3-10))))^2-0.0000198446*(LOG(0.05/(0.5*0.5*(H3-10))))^3-0.00000195494*(LOG(0.05/(0.5*0.5*(H3-10))))^4-0.0000000757244*(LOG(0.05/(0.5*0.5*(H3-10))))^5)</f>
        <v>878.80656207741151</v>
      </c>
      <c r="M14">
        <v>0.04</v>
      </c>
      <c r="N14" s="1">
        <f>K23</f>
        <v>78.819999999999993</v>
      </c>
      <c r="O14">
        <f>N14*B$13</f>
        <v>11.759943999999999</v>
      </c>
      <c r="P14" s="1">
        <f>(K23^(1-Q23)*N23)^(1/Q23)</f>
        <v>2.6387838214856127E-4</v>
      </c>
      <c r="Q14" s="23">
        <f>N14*B$13</f>
        <v>11.759943999999999</v>
      </c>
      <c r="R14" s="23">
        <f>1.38E-23*T14/(4*(1.602E-19^2)*N14*B$15)</f>
        <v>2.9309206303598893E-8</v>
      </c>
      <c r="S14" s="2">
        <f>3/5.814E-23-((0.1/5.814E-29/4-P14*1.38E-23*T14/(8*(1.602E-19)^2)))*10^-6+SQRT(0.1/5.814E-29*P14*1.38E-23*T14/(8*(1.602E-19)^2)*5.814E-29+ (-0.1/5.814E-29/4+(P14*1.38E-23*T14/(8*(1.602E-19)^2)^2)))*10^-6</f>
        <v>5.1178306410418054E+22</v>
      </c>
      <c r="T14" s="6">
        <f>1/(0.000479779-0.000434801*LOG(0.05/(0.5*0.5*(H23-10)))-0.000100649*(LOG(0.05/(0.5*0.5*(H23-10))))^2-0.0000198446*(LOG(0.05/(0.5*0.5*(H23-10))))^3-0.00000195494*(LOG(0.05/(0.5*0.5*(H23-10))))^4-0.0000000757244*(LOG(0.05/(0.5*0.5*(H23-10))))^5)</f>
        <v>879.3430986054326</v>
      </c>
      <c r="V14" s="32">
        <f>1000/W14</f>
        <v>1.2494940538578361</v>
      </c>
      <c r="W14" s="28">
        <f>1/(0.000479779-0.000434801*LOG(0.05/(0.5*0.5*(H31-10)))-0.000100649*(LOG(0.05/(0.5*0.5*(H31-10))))^2-0.0000198446*(LOG(0.05/(0.5*0.5*(H31))))^3-0.00000195494*(LOG(0.05/(0.5*0.5*(H31-10))))^4-0.0000000757244*(LOG(0.05/(0.5*0.5*(H31-10))))^5)</f>
        <v>800.3239366465823</v>
      </c>
      <c r="X14" s="28">
        <f>W14-273</f>
        <v>527.3239366465823</v>
      </c>
      <c r="Y14" s="1">
        <f>(T31^(1-Z31)*W31)^(1/Z31)</f>
        <v>1.7681240571991642E-4</v>
      </c>
      <c r="Z14">
        <f>T31</f>
        <v>451.4</v>
      </c>
      <c r="AA14" s="22">
        <f>Z14*B$13</f>
        <v>67.348879999999994</v>
      </c>
      <c r="AB14" s="23">
        <f>1.38E-23*W14/(4*(1.602E-19^2)*Z14*B$15)</f>
        <v>4.6578594589053844E-9</v>
      </c>
      <c r="AC14" s="2">
        <f>3/5.814E-23-((0.1/5.814E-29/4-Y14*1.38E-23*W14/(8*(1.602E-19)^2)))*10^-6+SQRT(0.1/5.814E-29*Y14*1.38E-23*W14/(8*(1.602E-19)^2)*5.814E-29+ (-0.1/5.814E-29/4+(Y14*1.38E-23*W14/(8*(1.602E-19)^2)^2)))*10^-6</f>
        <v>5.1176396985824126E+22</v>
      </c>
      <c r="AL14" s="1"/>
    </row>
    <row r="15" spans="1:38" x14ac:dyDescent="0.35">
      <c r="B15" s="11">
        <f>((3/5.814E-29)-(0.1/5.814E-29/4))*10^-6</f>
        <v>5.1169590643274845E+22</v>
      </c>
      <c r="C15" s="2">
        <v>46</v>
      </c>
      <c r="D15" s="2">
        <f>C15/39</f>
        <v>1.1794871794871795</v>
      </c>
      <c r="E15">
        <f>AC4</f>
        <v>66.64</v>
      </c>
      <c r="F15">
        <f>E15*B$13</f>
        <v>9.9426880000000004</v>
      </c>
      <c r="G15" s="1">
        <f>(AC4^(1-AI4)*AF4)^(1/AI4)</f>
        <v>2.3712236826261556E-4</v>
      </c>
      <c r="H15" s="29">
        <f>1.38E-23*J15/(4*(1.602E-19^2)*E15*B$15)</f>
        <v>3.4597968497700942E-8</v>
      </c>
      <c r="I15" s="2">
        <f>3/5.814E-23-((0.1/5.814E-29/4-G15*1.38E-23*J15/(8*(1.602E-19)^2)))*10^-6+SQRT(0.1/5.814E-29*G15*1.38E-23*J15/(8*(1.602E-19)^2)*5.814E-29+ (-0.1/5.814E-29/4+(G15*1.38E-23*J15/(8*(1.602E-19)^2)^2)))*10^-6</f>
        <v>5.1177844606390336E+22</v>
      </c>
      <c r="J15" s="6">
        <f>1/(0.000479779-0.000434801*LOG(0.05/(0.5*0.5*(H4-10)))-0.000100649*(LOG(0.05/(0.5*0.5*(H4-10))))^2-0.0000198446*(LOG(0.05/(0.5*0.5*(H4-10))))^3-0.00000195494*(LOG(0.05/(0.5*0.5*(H4-10))))^4-0.0000000757244*(LOG(0.05/(0.5*0.5*(H4-10))))^5)</f>
        <v>877.61382968801217</v>
      </c>
      <c r="M15">
        <v>0.1</v>
      </c>
      <c r="N15" s="1">
        <f>K24</f>
        <v>54.94</v>
      </c>
      <c r="O15">
        <f>N15*B$13</f>
        <v>8.1970479999999988</v>
      </c>
      <c r="P15" s="1">
        <f>(K24^(1-Q24)*N24)^(1/Q24)</f>
        <v>2.3823097029883878E-4</v>
      </c>
      <c r="Q15" s="23">
        <f>N15*B$13</f>
        <v>8.1970479999999988</v>
      </c>
      <c r="R15" s="23">
        <f>1.38E-23*T15/(4*(1.602E-19^2)*N15*B$15)</f>
        <v>4.2084631990498604E-8</v>
      </c>
      <c r="S15" s="2">
        <f>3/5.814E-23-((0.1/5.814E-29/4-P15*1.38E-23*T15/(8*(1.602E-19)^2)))*10^-6+SQRT(0.1/5.814E-29*P15*1.38E-23*T15/(8*(1.602E-19)^2)*5.814E-29+ (-0.1/5.814E-29/4+(P15*1.38E-23*T15/(8*(1.602E-19)^2)^2)))*10^-6</f>
        <v>5.1177875570014906E+22</v>
      </c>
      <c r="T15" s="6">
        <f>1/(0.000479779-0.000434801*LOG(0.05/(0.5*0.5*(H24-10)))-0.000100649*(LOG(0.05/(0.5*0.5*(H24-10))))^2-0.0000198446*(LOG(0.05/(0.5*0.5*(H24-10))))^3-0.00000195494*(LOG(0.05/(0.5*0.5*(H24-10))))^4-0.0000000757244*(LOG(0.05/(0.5*0.5*(H24-10))))^5)</f>
        <v>880.09602599551056</v>
      </c>
      <c r="V15" s="32">
        <f>1000/W15</f>
        <v>1.2132621857728008</v>
      </c>
      <c r="W15" s="28">
        <f>1/(0.000479779-0.000434801*LOG(0.05/(0.5*0.5*(H32-10)))-0.000100649*(LOG(0.05/(0.5*0.5*(H32-10))))^2-0.0000198446*(LOG(0.05/(0.5*0.5*(H32))))^3-0.00000195494*(LOG(0.05/(0.5*0.5*(H32-10))))^4-0.0000000757244*(LOG(0.05/(0.5*0.5*(H32-10))))^5)</f>
        <v>824.22415511371014</v>
      </c>
      <c r="X15" s="28">
        <f>W15-273</f>
        <v>551.22415511371014</v>
      </c>
      <c r="Y15" s="1">
        <f>(T32^(1-Z32)*W32)^(1/Z32)</f>
        <v>1.9737657348981491E-4</v>
      </c>
      <c r="Z15">
        <f>T32</f>
        <v>226.8</v>
      </c>
      <c r="AA15" s="22">
        <f>Z15*B$13</f>
        <v>33.838560000000001</v>
      </c>
      <c r="AB15" s="23">
        <f>1.38E-23*W15/(4*(1.602E-19^2)*Z15*B$15)</f>
        <v>9.5473845784793491E-9</v>
      </c>
      <c r="AC15" s="2">
        <f>3/5.814E-23-((0.1/5.814E-29/4-Y15*1.38E-23*W15/(8*(1.602E-19)^2)))*10^-6+SQRT(0.1/5.814E-29*Y15*1.38E-23*W15/(8*(1.602E-19)^2)*5.814E-29+ (-0.1/5.814E-29/4+(Y15*1.38E-23*W15/(8*(1.602E-19)^2)^2)))*10^-6</f>
        <v>5.1176888494479825E+22</v>
      </c>
    </row>
    <row r="16" spans="1:38" x14ac:dyDescent="0.35">
      <c r="B16" s="27" t="s">
        <v>129</v>
      </c>
      <c r="C16" s="2">
        <v>69</v>
      </c>
      <c r="D16" s="2">
        <f>C16/39</f>
        <v>1.7692307692307692</v>
      </c>
      <c r="E16">
        <f>AC5</f>
        <v>66.11</v>
      </c>
      <c r="F16">
        <f>E16*B$13</f>
        <v>9.8636119999999998</v>
      </c>
      <c r="G16" s="1">
        <f>(AC5^(1-AI5)*AF5)^(1/AI5)</f>
        <v>2.364850492983745E-4</v>
      </c>
      <c r="H16" s="29">
        <f>1.38E-23*J16/(4*(1.602E-19^2)*E16*B$15)</f>
        <v>3.4918633203646019E-8</v>
      </c>
      <c r="I16" s="2">
        <f>3/5.814E-23-((0.1/5.814E-29/4-G16*1.38E-23*J16/(8*(1.602E-19)^2)))*10^-6+SQRT(0.1/5.814E-29*G16*1.38E-23*J16/(8*(1.602E-19)^2)*5.814E-29+ (-0.1/5.814E-29/4+(G16*1.38E-23*J16/(8*(1.602E-19)^2)^2)))*10^-6</f>
        <v>5.1177838621574851E+22</v>
      </c>
      <c r="J16" s="6">
        <f>1/(0.000479779-0.000434801*LOG(0.05/(0.5*0.5*(H5-10)))-0.000100649*(LOG(0.05/(0.5*0.5*(H5-10))))^2-0.0000198446*(LOG(0.05/(0.5*0.5*(H5-10))))^3-0.00000195494*(LOG(0.05/(0.5*0.5*(H5-10))))^4-0.0000000757244*(LOG(0.05/(0.5*0.5*(H5-10))))^5)</f>
        <v>878.70331390905483</v>
      </c>
      <c r="M16">
        <v>1</v>
      </c>
      <c r="N16" s="1">
        <f>K25</f>
        <v>17.41</v>
      </c>
      <c r="O16">
        <f>N16*B$13</f>
        <v>2.597572</v>
      </c>
      <c r="P16" s="1">
        <f>(K25^(1-Q25)*N25)^(1/Q25)</f>
        <v>1.8142604113663747E-4</v>
      </c>
      <c r="Q16" s="23">
        <f>N16*B$13</f>
        <v>2.597572</v>
      </c>
      <c r="R16" s="23">
        <f>1.38E-23*T16/(4*(1.602E-19^2)*N16*B$15)</f>
        <v>1.3296041976024204E-7</v>
      </c>
      <c r="S16" s="2">
        <f>3/5.814E-23-((0.1/5.814E-29/4-P16*1.38E-23*T16/(8*(1.602E-19)^2)))*10^-6+SQRT(0.1/5.814E-29*P16*1.38E-23*T16/(8*(1.602E-19)^2)*5.814E-29+ (-0.1/5.814E-29/4+(P16*1.38E-23*T16/(8*(1.602E-19)^2)^2)))*10^-6</f>
        <v>5.1176824898965159E+22</v>
      </c>
      <c r="T16" s="6">
        <f>1/(0.000479779-0.000434801*LOG(0.05/(0.5*0.5*(H25-10)))-0.000100649*(LOG(0.05/(0.5*0.5*(H25-10))))^2-0.0000198446*(LOG(0.05/(0.5*0.5*(H25-10))))^3-0.00000195494*(LOG(0.05/(0.5*0.5*(H25-10))))^4-0.0000000757244*(LOG(0.05/(0.5*0.5*(H25-10))))^5)</f>
        <v>881.12803542773884</v>
      </c>
      <c r="V16" s="32">
        <f>1000/W16</f>
        <v>1.1655069054828644</v>
      </c>
      <c r="W16" s="28">
        <f>1/(0.000479779-0.000434801*LOG(0.05/(0.5*0.5*(H33-10)))-0.000100649*(LOG(0.05/(0.5*0.5*(H33-10))))^2-0.0000198446*(LOG(0.05/(0.5*0.5*(H33))))^3-0.00000195494*(LOG(0.05/(0.5*0.5*(H33-10))))^4-0.0000000757244*(LOG(0.05/(0.5*0.5*(H33-10))))^5)</f>
        <v>857.995774452923</v>
      </c>
      <c r="X16" s="28">
        <f>W16-273</f>
        <v>584.995774452923</v>
      </c>
      <c r="Y16" s="1">
        <f>(T33^(1-Z33)*W33)^(1/Z33)</f>
        <v>2.5736742161672183E-4</v>
      </c>
      <c r="Z16">
        <f>T33</f>
        <v>79.040000000000006</v>
      </c>
      <c r="AA16" s="22">
        <f>Z16*B$13</f>
        <v>11.792768000000001</v>
      </c>
      <c r="AB16" s="23">
        <f>1.38E-23*W16/(4*(1.602E-19^2)*Z16*B$15)</f>
        <v>2.8518084162054434E-8</v>
      </c>
      <c r="AC16" s="2">
        <f>3/5.814E-23-((0.1/5.814E-29/4-Y16*1.38E-23*W16/(8*(1.602E-19)^2)))*10^-6+SQRT(0.1/5.814E-29*Y16*1.38E-23*W16/(8*(1.602E-19)^2)*5.814E-29+ (-0.1/5.814E-29/4+(Y16*1.38E-23*W16/(8*(1.602E-19)^2)^2)))*10^-6</f>
        <v>5.1178093089484108E+22</v>
      </c>
      <c r="AH16" s="1"/>
      <c r="AI16" s="1"/>
    </row>
    <row r="17" spans="1:38" x14ac:dyDescent="0.35">
      <c r="B17" s="27">
        <f>0.1/5.814E-29/4*10^-6</f>
        <v>4.2999656002751975E+20</v>
      </c>
      <c r="C17" s="2">
        <v>92</v>
      </c>
      <c r="D17" s="2">
        <f>C17/39</f>
        <v>2.358974358974359</v>
      </c>
      <c r="E17">
        <f>AC6</f>
        <v>75.739999999999995</v>
      </c>
      <c r="F17">
        <f>E17*B$13</f>
        <v>11.300407999999999</v>
      </c>
      <c r="G17" s="1">
        <f>(AC6^(1-AI6)*AF6)^(1/AI6)</f>
        <v>2.3833054949971857E-4</v>
      </c>
      <c r="H17" s="29">
        <f>1.38E-23*J17/(4*(1.602E-19^2)*E17*B$15)</f>
        <v>3.0437007697243749E-8</v>
      </c>
      <c r="I17" s="2">
        <f>3/5.814E-23-((0.1/5.814E-29/4-G17*1.38E-23*J17/(8*(1.602E-19)^2)))*10^-6+SQRT(0.1/5.814E-29*G17*1.38E-23*J17/(8*(1.602E-19)^2)*5.814E-29+ (-0.1/5.814E-29/4+(G17*1.38E-23*J17/(8*(1.602E-19)^2)^2)))*10^-6</f>
        <v>5.1177865051680339E+22</v>
      </c>
      <c r="J17" s="6">
        <f>1/(0.000479779-0.000434801*LOG(0.05/(0.5*0.5*(H6-10)))-0.000100649*(LOG(0.05/(0.5*0.5*(H6-10))))^2-0.0000198446*(LOG(0.05/(0.5*0.5*(H6-10))))^3-0.00000195494*(LOG(0.05/(0.5*0.5*(H6-10))))^4-0.0000000757244*(LOG(0.05/(0.5*0.5*(H6-10))))^5)</f>
        <v>877.49596064666673</v>
      </c>
      <c r="M17">
        <v>10</v>
      </c>
      <c r="N17" s="1">
        <f>K26</f>
        <v>12.91</v>
      </c>
      <c r="O17">
        <f>N17*B$13</f>
        <v>1.926172</v>
      </c>
      <c r="P17" s="1">
        <f>(K26^(1-Q26)*N26)^(1/Q26)</f>
        <v>1.79160144607058E-4</v>
      </c>
      <c r="Q17" s="23">
        <f>N17*B$13</f>
        <v>1.926172</v>
      </c>
      <c r="R17" s="23">
        <f>1.38E-23*T17/(4*(1.602E-19^2)*N17*B$15)</f>
        <v>1.7856692199761748E-7</v>
      </c>
      <c r="S17" s="2">
        <f>3/5.814E-23-((0.1/5.814E-29/4-P17*1.38E-23*T17/(8*(1.602E-19)^2)))*10^-6+SQRT(0.1/5.814E-29*P17*1.38E-23*T17/(8*(1.602E-19)^2)*5.814E-29+ (-0.1/5.814E-29/4+(P17*1.38E-23*T17/(8*(1.602E-19)^2)^2)))*10^-6</f>
        <v>5.1176764749417007E+22</v>
      </c>
      <c r="T17" s="6">
        <f>1/(0.000479779-0.000434801*LOG(0.05/(0.5*0.5*(H26-10)))-0.000100649*(LOG(0.05/(0.5*0.5*(H26-10))))^2-0.0000198446*(LOG(0.05/(0.5*0.5*(H26-10))))^3-0.00000195494*(LOG(0.05/(0.5*0.5*(H26-10))))^4-0.0000000757244*(LOG(0.05/(0.5*0.5*(H26-10))))^5)</f>
        <v>877.49596064666673</v>
      </c>
      <c r="AI17" s="1"/>
    </row>
    <row r="18" spans="1:38" x14ac:dyDescent="0.35">
      <c r="B18" s="1"/>
      <c r="C18" s="2">
        <v>115</v>
      </c>
      <c r="D18" s="2">
        <f>C18/39</f>
        <v>2.9487179487179489</v>
      </c>
      <c r="E18">
        <f>AC7</f>
        <v>83.09</v>
      </c>
      <c r="F18">
        <f>E18*B$13</f>
        <v>12.397028000000001</v>
      </c>
      <c r="G18" s="1">
        <f>(AC7^(1-AI7)*AF7)^(1/AI7)</f>
        <v>2.4443831260855778E-4</v>
      </c>
      <c r="H18" s="29">
        <f>1.38E-23*J18/(4*(1.602E-19^2)*E18*B$15)</f>
        <v>2.7795322877550941E-8</v>
      </c>
      <c r="I18" s="2">
        <f>3/5.814E-23-((0.1/5.814E-29/4-G18*1.38E-23*J18/(8*(1.602E-19)^2)))*10^-6+SQRT(0.1/5.814E-29*G18*1.38E-23*J18/(8*(1.602E-19)^2)*5.814E-29+ (-0.1/5.814E-29/4+(G18*1.38E-23*J18/(8*(1.602E-19)^2)^2)))*10^-6</f>
        <v>5.1177978062445178E+22</v>
      </c>
      <c r="J18" s="6">
        <f>1/(0.000479779-0.000434801*LOG(0.05/(0.5*0.5*(H7-10)))-0.000100649*(LOG(0.05/(0.5*0.5*(H7-10))))^2-0.0000198446*(LOG(0.05/(0.5*0.5*(H7-10))))^3-0.00000195494*(LOG(0.05/(0.5*0.5*(H7-10))))^4-0.0000000757244*(LOG(0.05/(0.5*0.5*(H7-10))))^5)</f>
        <v>879.10014826670454</v>
      </c>
      <c r="M18">
        <v>100</v>
      </c>
      <c r="N18" s="1">
        <f>K27</f>
        <v>7.0549999999999997</v>
      </c>
      <c r="O18">
        <f>N18*B$13</f>
        <v>1.0526059999999999</v>
      </c>
      <c r="P18" s="1">
        <f>(K27^(1-Q27)*N27)^(1/Q27)</f>
        <v>1.6416434292977221E-4</v>
      </c>
      <c r="Q18" s="23">
        <f>N18*B$13</f>
        <v>1.0526059999999999</v>
      </c>
      <c r="R18" s="23">
        <f>1.38E-23*T18/(4*(1.602E-19^2)*N18*B$15)</f>
        <v>3.2660501961365977E-7</v>
      </c>
      <c r="S18" s="2">
        <f>3/5.814E-23-((0.1/5.814E-29/4-P18*1.38E-23*T18/(8*(1.602E-19)^2)))*10^-6+SQRT(0.1/5.814E-29*P18*1.38E-23*T18/(8*(1.602E-19)^2)*5.814E-29+ (-0.1/5.814E-29/4+(P18*1.38E-23*T18/(8*(1.602E-19)^2)^2)))*10^-6</f>
        <v>5.1176456311632397E+22</v>
      </c>
      <c r="T18" s="6">
        <f>1/(0.000479779-0.000434801*LOG(0.05/(0.5*0.5*(H27-10)))-0.000100649*(LOG(0.05/(0.5*0.5*(H27-10))))^2-0.0000198446*(LOG(0.05/(0.5*0.5*(H27-10))))^3-0.00000195494*(LOG(0.05/(0.5*0.5*(H27-10))))^4-0.0000000757244*(LOG(0.05/(0.5*0.5*(H27-10))))^5)</f>
        <v>877.07704411694726</v>
      </c>
      <c r="AI18" s="1"/>
    </row>
    <row r="19" spans="1:38" x14ac:dyDescent="0.35">
      <c r="C19" s="2"/>
      <c r="D19" s="2"/>
      <c r="E19" s="2"/>
      <c r="G19" s="1"/>
      <c r="H19" s="29"/>
      <c r="J19" s="6"/>
      <c r="AE19" s="1"/>
    </row>
    <row r="20" spans="1:38" x14ac:dyDescent="0.35">
      <c r="B20" s="2"/>
      <c r="AA20" s="1"/>
    </row>
    <row r="21" spans="1:38" x14ac:dyDescent="0.35">
      <c r="A21" t="s">
        <v>177</v>
      </c>
      <c r="B21" t="s">
        <v>128</v>
      </c>
      <c r="C21" s="1" t="s">
        <v>0</v>
      </c>
      <c r="D21" t="s">
        <v>1</v>
      </c>
      <c r="E21" s="1" t="s">
        <v>2</v>
      </c>
      <c r="F21" s="1" t="s">
        <v>3</v>
      </c>
      <c r="G21" t="s">
        <v>4</v>
      </c>
      <c r="H21" t="s">
        <v>33</v>
      </c>
      <c r="I21" s="1" t="s">
        <v>34</v>
      </c>
      <c r="J21" t="s">
        <v>35</v>
      </c>
      <c r="K21" s="1" t="s">
        <v>5</v>
      </c>
      <c r="L21" s="1" t="s">
        <v>6</v>
      </c>
      <c r="M21" t="s">
        <v>7</v>
      </c>
      <c r="N21" s="1" t="s">
        <v>8</v>
      </c>
      <c r="O21" s="1" t="s">
        <v>9</v>
      </c>
      <c r="P21" t="s">
        <v>10</v>
      </c>
      <c r="Q21" t="s">
        <v>11</v>
      </c>
      <c r="R21" s="1" t="s">
        <v>12</v>
      </c>
      <c r="S21" s="1" t="s">
        <v>13</v>
      </c>
      <c r="T21" t="s">
        <v>14</v>
      </c>
      <c r="U21" s="1" t="s">
        <v>15</v>
      </c>
      <c r="V21" s="1" t="s">
        <v>16</v>
      </c>
      <c r="W21" s="1" t="s">
        <v>17</v>
      </c>
      <c r="X21" s="1" t="s">
        <v>18</v>
      </c>
      <c r="Y21" s="1" t="s">
        <v>19</v>
      </c>
      <c r="Z21" t="s">
        <v>20</v>
      </c>
      <c r="AA21" t="s">
        <v>21</v>
      </c>
      <c r="AB21" s="1" t="s">
        <v>22</v>
      </c>
      <c r="AC21" t="s">
        <v>36</v>
      </c>
      <c r="AD21" s="1" t="s">
        <v>37</v>
      </c>
      <c r="AE21" t="s">
        <v>38</v>
      </c>
      <c r="AG21" s="1"/>
    </row>
    <row r="22" spans="1:38" x14ac:dyDescent="0.35">
      <c r="A22" t="s">
        <v>176</v>
      </c>
      <c r="B22">
        <v>0.01</v>
      </c>
      <c r="C22" s="1">
        <v>3.8890999999999997E-5</v>
      </c>
      <c r="D22">
        <v>2.5279E-3</v>
      </c>
      <c r="E22" s="1">
        <v>6.4536000000000003E-6</v>
      </c>
      <c r="F22" s="1">
        <v>4.8138999999999998E-8</v>
      </c>
      <c r="G22">
        <v>0.74592000000000003</v>
      </c>
      <c r="H22">
        <v>52.89</v>
      </c>
      <c r="I22" s="1">
        <v>0.11556</v>
      </c>
      <c r="J22">
        <v>0.21848999999999999</v>
      </c>
      <c r="K22" s="1">
        <v>213.1</v>
      </c>
      <c r="L22" s="1">
        <v>0</v>
      </c>
      <c r="M22" s="1">
        <v>0</v>
      </c>
      <c r="N22" s="1">
        <v>2.2211999999999999E-2</v>
      </c>
      <c r="O22">
        <v>1.6383999999999999E-3</v>
      </c>
      <c r="P22">
        <v>7.3761999999999999</v>
      </c>
      <c r="Q22">
        <v>0.34670000000000001</v>
      </c>
      <c r="R22">
        <v>9.3799999999999994E-3</v>
      </c>
      <c r="S22">
        <v>2.7054999999999998</v>
      </c>
      <c r="T22">
        <v>199.9</v>
      </c>
      <c r="U22">
        <v>2.3026</v>
      </c>
      <c r="V22">
        <v>1.1518999999999999</v>
      </c>
      <c r="W22">
        <v>3.2488999999999999E-4</v>
      </c>
      <c r="X22" s="1">
        <v>4.3796999999999998E-6</v>
      </c>
      <c r="Y22" s="1">
        <v>1.3481000000000001</v>
      </c>
      <c r="Z22" s="1">
        <v>0.97416999999999998</v>
      </c>
      <c r="AA22" s="1">
        <v>5.1697999999999996E-3</v>
      </c>
      <c r="AB22" s="1">
        <v>0.53069</v>
      </c>
      <c r="AC22" s="1">
        <v>0</v>
      </c>
      <c r="AD22" s="1">
        <v>0</v>
      </c>
      <c r="AE22" s="1">
        <v>1</v>
      </c>
      <c r="AF22" s="1"/>
    </row>
    <row r="23" spans="1:38" x14ac:dyDescent="0.35">
      <c r="A23" t="s">
        <v>175</v>
      </c>
      <c r="B23">
        <v>0.04</v>
      </c>
      <c r="C23" s="1">
        <v>1.5376999999999999E-5</v>
      </c>
      <c r="D23">
        <v>9.5339999999999997E-4</v>
      </c>
      <c r="E23" s="1">
        <v>6.4903000000000004E-6</v>
      </c>
      <c r="F23" s="1">
        <v>3.0355000000000003E-8</v>
      </c>
      <c r="G23">
        <v>0.4677</v>
      </c>
      <c r="H23">
        <v>49.1</v>
      </c>
      <c r="I23">
        <v>0.21282999999999999</v>
      </c>
      <c r="J23">
        <v>0.43346000000000001</v>
      </c>
      <c r="K23" s="1">
        <v>78.819999999999993</v>
      </c>
      <c r="L23" s="1">
        <v>1.4495</v>
      </c>
      <c r="M23">
        <v>1.839</v>
      </c>
      <c r="N23">
        <v>3.0228999999999998E-4</v>
      </c>
      <c r="O23" s="1">
        <v>5.4833999999999999E-6</v>
      </c>
      <c r="P23" s="1">
        <v>1.8140000000000001</v>
      </c>
      <c r="Q23">
        <v>0.96491000000000005</v>
      </c>
      <c r="R23" s="1">
        <v>7.2145000000000004E-3</v>
      </c>
      <c r="S23" s="1">
        <v>0.74768999999999997</v>
      </c>
      <c r="T23" s="1">
        <v>42.18</v>
      </c>
      <c r="U23" s="1">
        <v>12.688000000000001</v>
      </c>
      <c r="V23" s="1">
        <v>30.081</v>
      </c>
      <c r="W23">
        <v>3.6534999999999998E-2</v>
      </c>
      <c r="X23" s="1">
        <v>1.0187999999999999E-2</v>
      </c>
      <c r="Y23" s="1">
        <v>27.885999999999999</v>
      </c>
      <c r="Z23" s="1">
        <v>0.26695999999999998</v>
      </c>
      <c r="AA23" s="1">
        <v>3.8595999999999998E-2</v>
      </c>
      <c r="AB23" s="1">
        <v>14.458</v>
      </c>
      <c r="AC23" s="1">
        <v>0</v>
      </c>
      <c r="AD23" s="1">
        <v>0</v>
      </c>
      <c r="AE23" s="1">
        <v>1</v>
      </c>
      <c r="AF23" s="1"/>
    </row>
    <row r="24" spans="1:38" x14ac:dyDescent="0.35">
      <c r="A24" t="s">
        <v>174</v>
      </c>
      <c r="B24">
        <v>0.1</v>
      </c>
      <c r="C24" s="1">
        <v>4.5577999999999998E-6</v>
      </c>
      <c r="D24">
        <v>2.6435E-4</v>
      </c>
      <c r="E24" s="1">
        <v>6.3917000000000001E-6</v>
      </c>
      <c r="F24" s="1">
        <v>1.6484000000000001E-8</v>
      </c>
      <c r="G24">
        <v>0.25790000000000002</v>
      </c>
      <c r="H24">
        <v>48.67</v>
      </c>
      <c r="I24">
        <v>0.11264</v>
      </c>
      <c r="J24">
        <v>0.23144000000000001</v>
      </c>
      <c r="K24" s="1">
        <v>54.94</v>
      </c>
      <c r="L24" s="1">
        <v>0.63943000000000005</v>
      </c>
      <c r="M24">
        <v>1.1638999999999999</v>
      </c>
      <c r="N24">
        <v>2.6903000000000002E-4</v>
      </c>
      <c r="O24" s="1">
        <v>3.7175E-6</v>
      </c>
      <c r="P24" s="1">
        <v>1.3817999999999999</v>
      </c>
      <c r="Q24">
        <v>0.97196000000000005</v>
      </c>
      <c r="R24" s="1">
        <v>4.7606000000000002E-3</v>
      </c>
      <c r="S24" s="1">
        <v>0.48979</v>
      </c>
      <c r="T24" s="1">
        <v>16.75</v>
      </c>
      <c r="U24" s="1">
        <v>1.2836000000000001</v>
      </c>
      <c r="V24" s="1">
        <v>7.6632999999999996</v>
      </c>
      <c r="W24">
        <v>2.5381999999999998E-2</v>
      </c>
      <c r="X24" s="1">
        <v>3.3260999999999998E-3</v>
      </c>
      <c r="Y24" s="1">
        <v>13.103999999999999</v>
      </c>
      <c r="Z24" s="1">
        <v>0.28989999999999999</v>
      </c>
      <c r="AA24" s="1">
        <v>1.9230000000000001E-2</v>
      </c>
      <c r="AB24" s="1">
        <v>6.6333000000000002</v>
      </c>
      <c r="AC24" s="1">
        <v>0</v>
      </c>
      <c r="AD24" s="1">
        <v>0</v>
      </c>
      <c r="AE24" s="1">
        <v>1</v>
      </c>
      <c r="AF24" s="1"/>
    </row>
    <row r="25" spans="1:38" x14ac:dyDescent="0.35">
      <c r="A25" t="s">
        <v>173</v>
      </c>
      <c r="B25">
        <v>1</v>
      </c>
      <c r="C25" s="1">
        <v>1.2208E-6</v>
      </c>
      <c r="D25" s="1">
        <v>6.1037999999999994E-5</v>
      </c>
      <c r="E25" s="1">
        <v>6.3960000000000003E-6</v>
      </c>
      <c r="F25" s="1">
        <v>8.2704999999999995E-9</v>
      </c>
      <c r="G25">
        <v>0.12931000000000001</v>
      </c>
      <c r="H25">
        <v>48.09</v>
      </c>
      <c r="I25">
        <v>3.014E-2</v>
      </c>
      <c r="J25">
        <v>6.2673999999999994E-2</v>
      </c>
      <c r="K25" s="1">
        <v>17.41</v>
      </c>
      <c r="L25" s="1">
        <v>0.22347</v>
      </c>
      <c r="M25">
        <v>1.2836000000000001</v>
      </c>
      <c r="N25">
        <v>2.4625E-4</v>
      </c>
      <c r="O25" s="1">
        <v>4.6269999999999999E-6</v>
      </c>
      <c r="P25" s="1">
        <v>1.879</v>
      </c>
      <c r="Q25">
        <v>0.94694</v>
      </c>
      <c r="R25" s="1">
        <v>5.4644000000000003E-3</v>
      </c>
      <c r="S25" s="1">
        <v>0.57706000000000002</v>
      </c>
      <c r="T25" s="1">
        <v>3.2320000000000002</v>
      </c>
      <c r="U25" s="1">
        <v>0.23116</v>
      </c>
      <c r="V25" s="1">
        <v>7.1521999999999997</v>
      </c>
      <c r="W25">
        <v>8.9119999999999998E-4</v>
      </c>
      <c r="X25" s="1">
        <v>2.5516999999999998E-4</v>
      </c>
      <c r="Y25" s="1">
        <v>28.632000000000001</v>
      </c>
      <c r="Z25" s="1">
        <v>0.62917999999999996</v>
      </c>
      <c r="AA25" s="1">
        <v>2.8479999999999998E-2</v>
      </c>
      <c r="AB25" s="1">
        <v>4.5265000000000004</v>
      </c>
      <c r="AC25" s="1">
        <v>0</v>
      </c>
      <c r="AD25" s="1">
        <v>0</v>
      </c>
      <c r="AE25" s="1">
        <v>1</v>
      </c>
      <c r="AF25" s="1"/>
    </row>
    <row r="26" spans="1:38" x14ac:dyDescent="0.35">
      <c r="A26" t="s">
        <v>172</v>
      </c>
      <c r="B26">
        <v>10</v>
      </c>
      <c r="C26" s="1">
        <v>3.3057E-6</v>
      </c>
      <c r="D26">
        <v>1.6529000000000001E-4</v>
      </c>
      <c r="E26" s="1">
        <v>6.4362000000000003E-6</v>
      </c>
      <c r="F26" s="1">
        <v>1.4346E-8</v>
      </c>
      <c r="G26">
        <v>0.22289999999999999</v>
      </c>
      <c r="H26">
        <v>50.18</v>
      </c>
      <c r="I26">
        <v>6.1387999999999998E-2</v>
      </c>
      <c r="J26">
        <v>0.12234</v>
      </c>
      <c r="K26" s="1">
        <v>12.91</v>
      </c>
      <c r="L26" s="1">
        <v>0.66466000000000003</v>
      </c>
      <c r="M26">
        <v>5.1483999999999996</v>
      </c>
      <c r="N26">
        <v>2.1178000000000001E-4</v>
      </c>
      <c r="O26" s="1">
        <v>9.6850999999999998E-6</v>
      </c>
      <c r="P26" s="1">
        <v>4.5731999999999999</v>
      </c>
      <c r="Q26">
        <v>0.97243999999999997</v>
      </c>
      <c r="R26" s="1">
        <v>1.6341000000000001E-2</v>
      </c>
      <c r="S26" s="1">
        <v>1.6803999999999999</v>
      </c>
      <c r="T26" s="1">
        <v>3.431</v>
      </c>
      <c r="U26" s="1">
        <v>0.73914000000000002</v>
      </c>
      <c r="V26" s="1">
        <v>21.542999999999999</v>
      </c>
      <c r="W26">
        <v>1.5666E-3</v>
      </c>
      <c r="X26" s="1">
        <v>9.937399999999999E-4</v>
      </c>
      <c r="Y26" s="1">
        <v>63.433</v>
      </c>
      <c r="Z26" s="1">
        <v>0.57735000000000003</v>
      </c>
      <c r="AA26" s="1">
        <v>6.1352999999999998E-2</v>
      </c>
      <c r="AB26" s="1">
        <v>10.627000000000001</v>
      </c>
      <c r="AC26" s="1">
        <v>0</v>
      </c>
      <c r="AD26" s="1">
        <v>0</v>
      </c>
      <c r="AE26" s="1">
        <v>1</v>
      </c>
      <c r="AF26" s="1"/>
    </row>
    <row r="27" spans="1:38" x14ac:dyDescent="0.35">
      <c r="A27" t="s">
        <v>171</v>
      </c>
      <c r="B27">
        <v>100</v>
      </c>
      <c r="C27" s="1">
        <v>7.8075999999999996E-6</v>
      </c>
      <c r="D27">
        <v>3.4352999999999999E-4</v>
      </c>
      <c r="E27" s="1">
        <v>6.4126000000000002E-6</v>
      </c>
      <c r="F27" s="1">
        <v>2.3458999999999999E-8</v>
      </c>
      <c r="G27">
        <v>0.36582999999999999</v>
      </c>
      <c r="H27">
        <v>50.43</v>
      </c>
      <c r="I27" s="1">
        <v>0.14710999999999999</v>
      </c>
      <c r="J27">
        <v>0.29171000000000002</v>
      </c>
      <c r="K27" s="1">
        <v>7.0549999999999997</v>
      </c>
      <c r="L27" s="1">
        <v>1.8858999999999999</v>
      </c>
      <c r="M27">
        <v>26.731000000000002</v>
      </c>
      <c r="N27" s="1">
        <v>2.3201999999999999E-4</v>
      </c>
      <c r="O27" s="1">
        <v>5.1072999999999997E-5</v>
      </c>
      <c r="P27">
        <v>22.012</v>
      </c>
      <c r="Q27">
        <v>0.94882999999999995</v>
      </c>
      <c r="R27" s="1">
        <v>7.2507000000000002E-2</v>
      </c>
      <c r="S27" s="1">
        <v>7.6417000000000002</v>
      </c>
      <c r="T27">
        <v>4.2990000000000004</v>
      </c>
      <c r="U27" s="1">
        <v>2.2949000000000002</v>
      </c>
      <c r="V27" s="1">
        <v>53.381999999999998</v>
      </c>
      <c r="W27" s="1">
        <v>2.1475000000000001E-3</v>
      </c>
      <c r="X27" s="1">
        <v>2.5246999999999999E-3</v>
      </c>
      <c r="Y27" s="1">
        <v>117.56</v>
      </c>
      <c r="Z27" s="1">
        <v>0.49965999999999999</v>
      </c>
      <c r="AA27" s="1">
        <v>0.1051</v>
      </c>
      <c r="AB27" s="1">
        <v>21.033999999999999</v>
      </c>
      <c r="AC27" s="1">
        <v>0</v>
      </c>
      <c r="AD27" s="1">
        <v>0</v>
      </c>
      <c r="AE27" s="1">
        <v>1</v>
      </c>
      <c r="AF27" s="1"/>
      <c r="AG27" s="1"/>
    </row>
    <row r="29" spans="1:38" x14ac:dyDescent="0.35">
      <c r="A29" t="s">
        <v>150</v>
      </c>
      <c r="B29" t="s">
        <v>54</v>
      </c>
      <c r="C29" t="s">
        <v>0</v>
      </c>
      <c r="D29" t="s">
        <v>1</v>
      </c>
      <c r="E29" t="s">
        <v>2</v>
      </c>
      <c r="F29" t="s">
        <v>3</v>
      </c>
      <c r="G29" t="s">
        <v>4</v>
      </c>
      <c r="H29" t="s">
        <v>33</v>
      </c>
      <c r="I29" t="s">
        <v>34</v>
      </c>
      <c r="J29" t="s">
        <v>35</v>
      </c>
      <c r="K29" t="s">
        <v>43</v>
      </c>
      <c r="L29" t="s">
        <v>6</v>
      </c>
      <c r="M29" t="s">
        <v>7</v>
      </c>
      <c r="N29" t="s">
        <v>44</v>
      </c>
      <c r="O29" t="s">
        <v>9</v>
      </c>
      <c r="P29" t="s">
        <v>10</v>
      </c>
      <c r="Q29" t="s">
        <v>45</v>
      </c>
      <c r="R29" t="s">
        <v>12</v>
      </c>
      <c r="S29" t="s">
        <v>13</v>
      </c>
      <c r="T29" t="s">
        <v>14</v>
      </c>
      <c r="U29" t="s">
        <v>15</v>
      </c>
      <c r="V29" t="s">
        <v>16</v>
      </c>
      <c r="W29" t="s">
        <v>17</v>
      </c>
      <c r="X29" t="s">
        <v>18</v>
      </c>
      <c r="Y29" t="s">
        <v>19</v>
      </c>
      <c r="Z29" t="s">
        <v>20</v>
      </c>
      <c r="AA29" t="s">
        <v>21</v>
      </c>
      <c r="AB29" t="s">
        <v>22</v>
      </c>
      <c r="AC29" t="s">
        <v>23</v>
      </c>
      <c r="AD29" t="s">
        <v>24</v>
      </c>
      <c r="AE29" t="s">
        <v>25</v>
      </c>
      <c r="AF29" t="s">
        <v>26</v>
      </c>
      <c r="AG29" s="1" t="s">
        <v>27</v>
      </c>
      <c r="AH29" t="s">
        <v>28</v>
      </c>
      <c r="AI29" t="s">
        <v>29</v>
      </c>
      <c r="AJ29" t="s">
        <v>30</v>
      </c>
      <c r="AK29" t="s">
        <v>31</v>
      </c>
      <c r="AL29" s="1"/>
    </row>
    <row r="30" spans="1:38" x14ac:dyDescent="0.35">
      <c r="A30" t="s">
        <v>170</v>
      </c>
      <c r="B30">
        <f>1/(0.000479779-0.000434801*LOG(0.05/(0.5*0.5*(H30-10)))-0.000100649*(LOG(0.05/(0.5*0.5*(H30-10))))^2-0.0000198446*(LOG(0.05/(0.5*0.5*(H30))))^3-0.00000195494*(LOG(0.05/(0.5*0.5*(H30-10))))^4-0.0000000757244*(LOG(0.05/(0.5*0.5*(H30-10))))^5)</f>
        <v>772.7340798131213</v>
      </c>
      <c r="C30" s="1">
        <v>1.4362000000000001E-5</v>
      </c>
      <c r="D30">
        <v>9.1918000000000002E-4</v>
      </c>
      <c r="E30" s="1">
        <v>4.6677000000000002E-6</v>
      </c>
      <c r="F30" s="1">
        <v>1.158E-7</v>
      </c>
      <c r="G30">
        <v>2.4809000000000001</v>
      </c>
      <c r="H30">
        <v>234.6</v>
      </c>
      <c r="I30" s="1">
        <v>0.65920000000000001</v>
      </c>
      <c r="J30" s="1">
        <v>0.28099000000000002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1025</v>
      </c>
      <c r="U30" s="1">
        <v>13.78</v>
      </c>
      <c r="V30">
        <v>1.3444</v>
      </c>
      <c r="W30">
        <v>1.6755000000000001E-4</v>
      </c>
      <c r="X30" s="1">
        <v>1.0435E-6</v>
      </c>
      <c r="Y30">
        <v>0.62280000000000002</v>
      </c>
      <c r="Z30">
        <v>0.97855999999999999</v>
      </c>
      <c r="AA30">
        <v>5.0134999999999997E-3</v>
      </c>
      <c r="AB30">
        <v>0.51232999999999995</v>
      </c>
      <c r="AC30">
        <v>66.790000000000006</v>
      </c>
      <c r="AD30">
        <v>21.15</v>
      </c>
      <c r="AE30">
        <v>31.666</v>
      </c>
      <c r="AF30">
        <v>3.2339000000000001E-3</v>
      </c>
      <c r="AG30">
        <v>1.1508E-3</v>
      </c>
      <c r="AH30">
        <v>35.585999999999999</v>
      </c>
      <c r="AI30">
        <v>0.35639999999999999</v>
      </c>
      <c r="AJ30">
        <v>4.1453999999999998E-2</v>
      </c>
      <c r="AK30">
        <v>11.631</v>
      </c>
    </row>
    <row r="31" spans="1:38" x14ac:dyDescent="0.35">
      <c r="A31" t="s">
        <v>169</v>
      </c>
      <c r="B31">
        <f>1/(0.000479779-0.000434801*LOG(0.05/(0.5*0.5*(H31-10)))-0.000100649*(LOG(0.05/(0.5*0.5*(H31-10))))^2-0.0000198446*(LOG(0.05/(0.5*0.5*(H31))))^3-0.00000195494*(LOG(0.05/(0.5*0.5*(H31-10))))^4-0.0000000757244*(LOG(0.05/(0.5*0.5*(H31-10))))^5)</f>
        <v>800.3239366465823</v>
      </c>
      <c r="C31" s="1">
        <v>3.7937000000000002E-6</v>
      </c>
      <c r="D31">
        <v>2.3520999999999999E-4</v>
      </c>
      <c r="E31" s="1">
        <v>5.8167999999999999E-6</v>
      </c>
      <c r="F31" s="1">
        <v>3.4598000000000003E-8</v>
      </c>
      <c r="G31">
        <v>0.59479000000000004</v>
      </c>
      <c r="H31">
        <v>131.4</v>
      </c>
      <c r="I31" s="1">
        <v>0.19853000000000001</v>
      </c>
      <c r="J31" s="1">
        <v>0.15109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451.4</v>
      </c>
      <c r="U31" s="1">
        <v>1.5653999999999999</v>
      </c>
      <c r="V31">
        <v>0.34678999999999999</v>
      </c>
      <c r="W31">
        <v>1.9385999999999999E-4</v>
      </c>
      <c r="X31" s="1">
        <v>7.1902000000000004E-7</v>
      </c>
      <c r="Y31">
        <v>0.37090000000000001</v>
      </c>
      <c r="Z31">
        <v>0.96358999999999995</v>
      </c>
      <c r="AA31">
        <v>1.8998000000000001E-3</v>
      </c>
      <c r="AB31">
        <v>0.19716</v>
      </c>
      <c r="AC31">
        <v>22.92</v>
      </c>
      <c r="AD31">
        <v>1.6745000000000001</v>
      </c>
      <c r="AE31">
        <v>7.3057999999999996</v>
      </c>
      <c r="AF31">
        <v>2.4685000000000002E-3</v>
      </c>
      <c r="AG31">
        <v>4.6944E-4</v>
      </c>
      <c r="AH31">
        <v>19.016999999999999</v>
      </c>
      <c r="AI31">
        <v>0.40472000000000002</v>
      </c>
      <c r="AJ31">
        <v>2.1451000000000001E-2</v>
      </c>
      <c r="AK31">
        <v>5.3002000000000002</v>
      </c>
    </row>
    <row r="32" spans="1:38" x14ac:dyDescent="0.35">
      <c r="A32" t="s">
        <v>168</v>
      </c>
      <c r="B32">
        <f>1/(0.000479779-0.000434801*LOG(0.05/(0.5*0.5*(H32-10)))-0.000100649*(LOG(0.05/(0.5*0.5*(H32-10))))^2-0.0000198446*(LOG(0.05/(0.5*0.5*(H32))))^3-0.00000195494*(LOG(0.05/(0.5*0.5*(H32-10))))^4-0.0000000757244*(LOG(0.05/(0.5*0.5*(H32-10))))^5)</f>
        <v>824.22415511371014</v>
      </c>
      <c r="C32" s="1">
        <v>6.297E-6</v>
      </c>
      <c r="D32">
        <v>3.9041E-4</v>
      </c>
      <c r="E32" s="1">
        <v>6.1191999999999998E-6</v>
      </c>
      <c r="F32" s="1">
        <v>2.9309999999999999E-8</v>
      </c>
      <c r="G32">
        <v>0.47898000000000002</v>
      </c>
      <c r="H32">
        <v>82.99</v>
      </c>
      <c r="I32" s="1">
        <v>0.14405000000000001</v>
      </c>
      <c r="J32" s="1">
        <v>0.17358000000000001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226.8</v>
      </c>
      <c r="U32" s="1">
        <v>0.71225000000000005</v>
      </c>
      <c r="V32">
        <v>0.31403999999999999</v>
      </c>
      <c r="W32">
        <v>2.3390999999999999E-4</v>
      </c>
      <c r="X32" s="1">
        <v>1.4160000000000001E-6</v>
      </c>
      <c r="Y32">
        <v>0.60536000000000001</v>
      </c>
      <c r="Z32">
        <v>0.94533</v>
      </c>
      <c r="AA32">
        <v>2.2196E-3</v>
      </c>
      <c r="AB32">
        <v>0.23480000000000001</v>
      </c>
      <c r="AC32">
        <v>9.0619999999999994</v>
      </c>
      <c r="AD32">
        <v>0.63085000000000002</v>
      </c>
      <c r="AE32">
        <v>6.9615</v>
      </c>
      <c r="AF32">
        <v>1.7041000000000001E-3</v>
      </c>
      <c r="AG32">
        <v>5.1650999999999997E-4</v>
      </c>
      <c r="AH32">
        <v>30.31</v>
      </c>
      <c r="AI32">
        <v>0.48207</v>
      </c>
      <c r="AJ32">
        <v>3.2937000000000001E-2</v>
      </c>
      <c r="AK32">
        <v>6.8323999999999998</v>
      </c>
    </row>
    <row r="33" spans="1:37" x14ac:dyDescent="0.35">
      <c r="A33" t="s">
        <v>167</v>
      </c>
      <c r="B33">
        <f>1/(0.000479779-0.000434801*LOG(0.05/(0.5*0.5*(H33-10)))-0.000100649*(LOG(0.05/(0.5*0.5*(H33-10))))^2-0.0000198446*(LOG(0.05/(0.5*0.5*(H33))))^3-0.00000195494*(LOG(0.05/(0.5*0.5*(H33-10))))^4-0.0000000757244*(LOG(0.05/(0.5*0.5*(H33-10))))^5)</f>
        <v>857.995774452923</v>
      </c>
      <c r="C33" s="1">
        <v>1.1274000000000001E-5</v>
      </c>
      <c r="D33">
        <v>6.6514000000000005E-4</v>
      </c>
      <c r="E33" s="1">
        <v>6.2481999999999997E-6</v>
      </c>
      <c r="F33" s="1">
        <v>2.5249E-8</v>
      </c>
      <c r="G33">
        <v>0.40410000000000001</v>
      </c>
      <c r="H33">
        <v>46.94</v>
      </c>
      <c r="I33" s="1">
        <v>0.21293999999999999</v>
      </c>
      <c r="J33" s="1">
        <v>0.45363999999999999</v>
      </c>
      <c r="K33" s="1">
        <v>3.3119999999999998</v>
      </c>
      <c r="L33" s="1">
        <v>0.44730999999999999</v>
      </c>
      <c r="M33" s="1">
        <v>13.506</v>
      </c>
      <c r="N33" s="1">
        <v>2.5993000000000001E-4</v>
      </c>
      <c r="O33" s="1">
        <v>8.7047999999999997E-5</v>
      </c>
      <c r="P33" s="1">
        <v>33.488999999999997</v>
      </c>
      <c r="Q33" s="1">
        <v>5.0949999999999998</v>
      </c>
      <c r="R33" s="1">
        <v>0.17199</v>
      </c>
      <c r="S33" s="1">
        <v>3.3757000000000001</v>
      </c>
      <c r="T33" s="1">
        <v>79.040000000000006</v>
      </c>
      <c r="U33" s="1">
        <v>1.1507000000000001</v>
      </c>
      <c r="V33">
        <v>1.4558</v>
      </c>
      <c r="W33">
        <v>2.8708E-4</v>
      </c>
      <c r="X33" s="1">
        <v>4.4653000000000003E-6</v>
      </c>
      <c r="Y33">
        <v>1.5553999999999999</v>
      </c>
      <c r="Z33">
        <v>0.97194999999999998</v>
      </c>
      <c r="AA33">
        <v>5.8409000000000004E-3</v>
      </c>
      <c r="AB33">
        <v>0.60094999999999998</v>
      </c>
      <c r="AC33" s="1">
        <v>63.5</v>
      </c>
      <c r="AD33" s="1">
        <v>31.079000000000001</v>
      </c>
      <c r="AE33">
        <v>48.942999999999998</v>
      </c>
      <c r="AF33">
        <v>4.1827999999999997E-2</v>
      </c>
      <c r="AG33">
        <v>9.9682999999999994E-3</v>
      </c>
      <c r="AH33">
        <v>23.832000000000001</v>
      </c>
      <c r="AI33">
        <v>0.24424000000000001</v>
      </c>
      <c r="AJ33">
        <v>3.3112999999999997E-2</v>
      </c>
      <c r="AK33">
        <v>13.558</v>
      </c>
    </row>
    <row r="34" spans="1:37" x14ac:dyDescent="0.35">
      <c r="K34" s="1"/>
      <c r="L34" s="1"/>
      <c r="O34" s="1"/>
      <c r="P34" s="1"/>
      <c r="R34" s="1"/>
      <c r="S34" s="1"/>
      <c r="T34" s="1"/>
      <c r="U34" s="1"/>
      <c r="V34" s="1"/>
      <c r="Y34" s="1"/>
      <c r="AD34" s="1"/>
    </row>
    <row r="35" spans="1:37" x14ac:dyDescent="0.35">
      <c r="K35" s="1"/>
      <c r="L35" s="1"/>
      <c r="N35" s="1"/>
      <c r="O35" s="1"/>
      <c r="R35" s="1"/>
      <c r="S35" s="1"/>
      <c r="U35" s="1"/>
      <c r="V35" s="1"/>
      <c r="W35" s="1"/>
      <c r="X35" s="1"/>
      <c r="Y35" s="1"/>
      <c r="AB35" s="1"/>
      <c r="AD35" s="1"/>
      <c r="AG35" s="1"/>
    </row>
    <row r="36" spans="1:37" x14ac:dyDescent="0.35">
      <c r="C36" s="1"/>
      <c r="E36" s="1"/>
      <c r="F36" s="1"/>
      <c r="I36" s="1"/>
      <c r="K36" s="1"/>
      <c r="L36" s="1"/>
      <c r="N36" s="1"/>
      <c r="O36" s="1"/>
      <c r="R36" s="1"/>
      <c r="S36" s="1"/>
      <c r="U36" s="1"/>
      <c r="V36" s="1"/>
      <c r="W36" s="1"/>
      <c r="X36" s="1"/>
      <c r="Y36" s="1"/>
      <c r="AB36" s="1"/>
      <c r="AD36" s="1"/>
      <c r="AG36" s="1"/>
    </row>
    <row r="37" spans="1:37" x14ac:dyDescent="0.35">
      <c r="C37" s="1"/>
      <c r="E37" s="1"/>
      <c r="F37" s="1"/>
      <c r="K37" s="1"/>
      <c r="L37" s="1"/>
      <c r="O37" s="1"/>
      <c r="P37" s="1"/>
      <c r="R37" s="1"/>
      <c r="S37" s="1"/>
      <c r="T37" s="1"/>
      <c r="U37" s="1"/>
      <c r="V37" s="1"/>
      <c r="Y37" s="1"/>
      <c r="AD37" s="1"/>
    </row>
    <row r="38" spans="1:37" x14ac:dyDescent="0.35">
      <c r="C38" s="1"/>
      <c r="D38" s="1"/>
      <c r="E38" s="1"/>
      <c r="F38" s="1"/>
      <c r="K38" s="1"/>
      <c r="L38" s="1"/>
      <c r="O38" s="1"/>
      <c r="P38" s="1"/>
      <c r="R38" s="1"/>
      <c r="S38" s="1"/>
      <c r="T38" s="1"/>
      <c r="U38" s="1"/>
      <c r="V38" s="1"/>
      <c r="Y38" s="1"/>
      <c r="AD38" s="1"/>
    </row>
    <row r="39" spans="1:37" x14ac:dyDescent="0.35">
      <c r="C39" s="1"/>
      <c r="D39" s="1"/>
      <c r="E39" s="1"/>
      <c r="F39" s="1"/>
      <c r="K39" s="1"/>
      <c r="L39" s="1"/>
      <c r="O39" s="1"/>
      <c r="P39" s="1"/>
      <c r="R39" s="1"/>
      <c r="S39" s="1"/>
      <c r="T39" s="1"/>
      <c r="U39" s="1"/>
      <c r="V39" s="1"/>
      <c r="Y39" s="1"/>
      <c r="AD39" s="1"/>
    </row>
    <row r="40" spans="1:37" x14ac:dyDescent="0.35">
      <c r="C40" s="1"/>
      <c r="E40" s="1"/>
      <c r="F40" s="1"/>
      <c r="K40" s="1"/>
      <c r="L40" s="1"/>
      <c r="O40" s="1"/>
      <c r="P40" s="1"/>
      <c r="R40" s="1"/>
      <c r="S40" s="1"/>
      <c r="T40" s="1"/>
      <c r="U40" s="1"/>
      <c r="V40" s="1"/>
      <c r="Y40" s="1"/>
      <c r="AD40" s="1"/>
    </row>
    <row r="41" spans="1:37" x14ac:dyDescent="0.35">
      <c r="B41" s="1"/>
      <c r="C41" s="1"/>
      <c r="E41" s="1"/>
      <c r="F41" s="1"/>
      <c r="K41" s="1"/>
      <c r="L41" s="1"/>
      <c r="O41" s="1"/>
      <c r="P41" s="1"/>
      <c r="R41" s="1"/>
      <c r="S41" s="1"/>
      <c r="T41" s="1"/>
      <c r="U41" s="1"/>
      <c r="V41" s="1"/>
      <c r="Y41" s="1"/>
      <c r="AD41" s="1"/>
    </row>
    <row r="42" spans="1:37" x14ac:dyDescent="0.35">
      <c r="C42" s="1"/>
      <c r="E42" s="1"/>
      <c r="F42" s="1"/>
      <c r="K42" s="1"/>
      <c r="L42" s="1"/>
      <c r="O42" s="1"/>
      <c r="P42" s="1"/>
      <c r="R42" s="1"/>
      <c r="S42" s="1"/>
      <c r="T42" s="1"/>
      <c r="U42" s="1"/>
      <c r="V42" s="1"/>
      <c r="Y42" s="1"/>
      <c r="AD42" s="1"/>
    </row>
    <row r="43" spans="1:37" x14ac:dyDescent="0.35">
      <c r="C43" s="1"/>
      <c r="E43" s="1"/>
      <c r="F43" s="1"/>
      <c r="V43" s="1"/>
    </row>
    <row r="46" spans="1:37" x14ac:dyDescent="0.35">
      <c r="I46" s="1"/>
      <c r="K46" s="1"/>
      <c r="L46" s="1"/>
      <c r="AD46" s="1"/>
    </row>
    <row r="47" spans="1:37" x14ac:dyDescent="0.35">
      <c r="C47" s="1"/>
      <c r="E47" s="1"/>
      <c r="F47" s="1"/>
      <c r="I47" s="1"/>
      <c r="J47" s="1"/>
      <c r="K47" s="1"/>
      <c r="L47" s="1"/>
      <c r="O47" s="1"/>
      <c r="AD47" s="1"/>
    </row>
    <row r="48" spans="1:37" x14ac:dyDescent="0.35">
      <c r="C48" s="1"/>
      <c r="E48" s="1"/>
      <c r="F48" s="1"/>
      <c r="I48" s="1"/>
      <c r="J48" s="1"/>
      <c r="K48" s="1"/>
      <c r="L48" s="1"/>
      <c r="O48" s="1"/>
      <c r="AD48" s="1"/>
    </row>
    <row r="49" spans="3:30" x14ac:dyDescent="0.35">
      <c r="C49" s="1"/>
      <c r="D49" s="1"/>
      <c r="E49" s="1"/>
      <c r="F49" s="1"/>
      <c r="I49" s="1"/>
      <c r="K49" s="1"/>
      <c r="L49" s="1"/>
      <c r="O49" s="1"/>
      <c r="AD49" s="1"/>
    </row>
    <row r="50" spans="3:30" x14ac:dyDescent="0.35">
      <c r="C50" s="1"/>
      <c r="E50" s="1"/>
      <c r="F50" s="1"/>
      <c r="I50" s="1"/>
      <c r="K50" s="1"/>
      <c r="L50" s="1"/>
      <c r="O50" s="1"/>
      <c r="AD50" s="1"/>
    </row>
    <row r="51" spans="3:30" x14ac:dyDescent="0.35">
      <c r="C51" s="1"/>
      <c r="E51" s="1"/>
      <c r="F51" s="1"/>
      <c r="I51" s="1"/>
      <c r="J51" s="1"/>
      <c r="K51" s="1"/>
      <c r="L51" s="1"/>
      <c r="O51" s="1"/>
      <c r="AD51" s="1"/>
    </row>
    <row r="52" spans="3:30" x14ac:dyDescent="0.35">
      <c r="C52" s="1"/>
      <c r="E52" s="1"/>
      <c r="F52" s="1"/>
      <c r="I52" s="1"/>
      <c r="J52" s="1"/>
      <c r="K52" s="1"/>
      <c r="L52" s="1"/>
      <c r="O52" s="1"/>
      <c r="AD52" s="1"/>
    </row>
    <row r="53" spans="3:30" x14ac:dyDescent="0.35">
      <c r="C53" s="1"/>
      <c r="E53" s="1"/>
      <c r="F53" s="1"/>
      <c r="I53" s="1"/>
      <c r="K53" s="1"/>
      <c r="L53" s="1"/>
      <c r="V53" s="1"/>
      <c r="AD53" s="1"/>
    </row>
    <row r="54" spans="3:30" x14ac:dyDescent="0.35">
      <c r="C54" s="1"/>
      <c r="E54" s="1"/>
      <c r="F54" s="1"/>
      <c r="I54" s="1"/>
      <c r="K54" s="1"/>
      <c r="L54" s="1"/>
      <c r="V54" s="1"/>
      <c r="AD54" s="1"/>
    </row>
    <row r="55" spans="3:30" x14ac:dyDescent="0.35">
      <c r="I55" s="1"/>
      <c r="J55" s="1"/>
      <c r="K55" s="1"/>
      <c r="L55" s="1"/>
      <c r="AD55" s="1"/>
    </row>
    <row r="56" spans="3:30" x14ac:dyDescent="0.35">
      <c r="I56" s="1"/>
      <c r="J56" s="1"/>
      <c r="K56" s="1"/>
      <c r="L56" s="1"/>
      <c r="AD56" s="1"/>
    </row>
    <row r="57" spans="3:30" x14ac:dyDescent="0.35">
      <c r="I57" s="1"/>
      <c r="J57" s="1"/>
      <c r="K57" s="1"/>
      <c r="L57" s="1"/>
      <c r="AD57" s="1"/>
    </row>
    <row r="58" spans="3:30" x14ac:dyDescent="0.35">
      <c r="I58" s="1"/>
      <c r="J58" s="1"/>
      <c r="K58" s="1"/>
      <c r="L58" s="1"/>
      <c r="AD58" s="1"/>
    </row>
    <row r="59" spans="3:30" x14ac:dyDescent="0.35">
      <c r="I59" s="1"/>
      <c r="J59" s="1"/>
      <c r="K59" s="1"/>
      <c r="L59" s="1"/>
      <c r="AD59" s="1"/>
    </row>
    <row r="60" spans="3:30" x14ac:dyDescent="0.35">
      <c r="I60" s="1"/>
      <c r="J60" s="1"/>
      <c r="K60" s="1"/>
      <c r="L60" s="1"/>
      <c r="AD60" s="1"/>
    </row>
    <row r="61" spans="3:30" x14ac:dyDescent="0.35">
      <c r="I61" s="1"/>
      <c r="J61" s="1"/>
      <c r="K61" s="1"/>
      <c r="L61" s="1"/>
      <c r="AD61" s="1"/>
    </row>
    <row r="62" spans="3:30" x14ac:dyDescent="0.35">
      <c r="I62" s="1"/>
      <c r="K62" s="1"/>
      <c r="L62" s="1"/>
      <c r="AD62" s="1"/>
    </row>
    <row r="63" spans="3:30" x14ac:dyDescent="0.35">
      <c r="I63" s="1"/>
      <c r="J63" s="1"/>
      <c r="K63" s="1"/>
      <c r="L63" s="1"/>
      <c r="AD63" s="1"/>
    </row>
    <row r="64" spans="3:30" x14ac:dyDescent="0.35">
      <c r="G64" s="1"/>
      <c r="I64" s="1"/>
      <c r="J64" s="1"/>
      <c r="K64" s="1"/>
      <c r="L64" s="1"/>
      <c r="AD64" s="1"/>
    </row>
    <row r="65" spans="6:30" x14ac:dyDescent="0.35">
      <c r="G65" s="1"/>
      <c r="I65" s="1"/>
      <c r="J65" s="1"/>
      <c r="K65" s="1"/>
      <c r="L65" s="1"/>
      <c r="AD65" s="1"/>
    </row>
    <row r="66" spans="6:30" x14ac:dyDescent="0.35">
      <c r="F66" s="1"/>
      <c r="G66" s="1"/>
      <c r="I66" s="1"/>
      <c r="J66" s="1"/>
      <c r="K66" s="1"/>
      <c r="L66" s="1"/>
      <c r="AD66" s="1"/>
    </row>
    <row r="67" spans="6:30" x14ac:dyDescent="0.35">
      <c r="F67" s="1"/>
      <c r="G67" s="1"/>
      <c r="I67" s="1"/>
      <c r="J67" s="1"/>
      <c r="K67" s="1"/>
      <c r="L67" s="1"/>
      <c r="AD67" s="1"/>
    </row>
    <row r="68" spans="6:30" x14ac:dyDescent="0.35">
      <c r="F68" s="1"/>
      <c r="G68" s="1"/>
      <c r="H68" s="1"/>
      <c r="I68" s="1"/>
      <c r="AA68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="70" zoomScaleNormal="70" workbookViewId="0">
      <selection activeCell="A16" sqref="A16"/>
    </sheetView>
  </sheetViews>
  <sheetFormatPr baseColWidth="10" defaultColWidth="8.7265625" defaultRowHeight="14.5" x14ac:dyDescent="0.35"/>
  <cols>
    <col min="1" max="1" width="71.26953125" customWidth="1"/>
    <col min="2" max="2" width="12" customWidth="1"/>
    <col min="3" max="3" width="20.36328125" customWidth="1"/>
    <col min="4" max="4" width="20.54296875" customWidth="1"/>
    <col min="5" max="5" width="16" customWidth="1"/>
    <col min="6" max="6" width="14.54296875" customWidth="1"/>
    <col min="7" max="7" width="12.7265625" customWidth="1"/>
    <col min="8" max="8" width="13.54296875" bestFit="1" customWidth="1"/>
    <col min="9" max="9" width="11.81640625" bestFit="1" customWidth="1"/>
    <col min="13" max="13" width="13" customWidth="1"/>
    <col min="14" max="15" width="10.26953125" bestFit="1" customWidth="1"/>
    <col min="17" max="18" width="11.81640625" bestFit="1" customWidth="1"/>
    <col min="22" max="22" width="9.26953125" bestFit="1" customWidth="1"/>
    <col min="23" max="23" width="8.90625" bestFit="1" customWidth="1"/>
    <col min="24" max="24" width="11.81640625" bestFit="1" customWidth="1"/>
    <col min="25" max="25" width="12" bestFit="1" customWidth="1"/>
    <col min="26" max="26" width="13.81640625" bestFit="1" customWidth="1"/>
    <col min="27" max="27" width="9" bestFit="1" customWidth="1"/>
    <col min="28" max="28" width="11.81640625" bestFit="1" customWidth="1"/>
  </cols>
  <sheetData>
    <row r="1" spans="1:37" x14ac:dyDescent="0.35">
      <c r="A1" t="s">
        <v>150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33</v>
      </c>
      <c r="H1" t="s">
        <v>34</v>
      </c>
      <c r="I1" t="s">
        <v>35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7" x14ac:dyDescent="0.35">
      <c r="A2" t="s">
        <v>198</v>
      </c>
      <c r="B2" s="1">
        <v>1.3766000000000001E-6</v>
      </c>
      <c r="C2" s="1">
        <v>8.1222000000000003E-5</v>
      </c>
      <c r="D2" s="1">
        <v>6.3280999999999996E-6</v>
      </c>
      <c r="E2" s="1">
        <v>8.5757999999999993E-9</v>
      </c>
      <c r="F2">
        <v>0.13552</v>
      </c>
      <c r="G2">
        <v>46.06</v>
      </c>
      <c r="H2">
        <v>3.4646000000000003E-2</v>
      </c>
      <c r="I2">
        <v>7.5218999999999994E-2</v>
      </c>
      <c r="J2">
        <v>3.222</v>
      </c>
      <c r="K2">
        <v>0.16467999999999999</v>
      </c>
      <c r="L2">
        <v>5.1111000000000004</v>
      </c>
      <c r="M2">
        <v>1.8927E-3</v>
      </c>
      <c r="N2">
        <v>4.572E-4</v>
      </c>
      <c r="O2">
        <v>24.155999999999999</v>
      </c>
      <c r="P2">
        <v>0.55574000000000001</v>
      </c>
      <c r="Q2">
        <v>2.4982000000000001E-2</v>
      </c>
      <c r="R2">
        <v>4.4953000000000003</v>
      </c>
      <c r="S2">
        <v>11.76</v>
      </c>
      <c r="T2">
        <v>0.31352000000000002</v>
      </c>
      <c r="U2">
        <v>2.6659999999999999</v>
      </c>
      <c r="V2">
        <v>2.5080000000000002E-2</v>
      </c>
      <c r="W2">
        <v>6.3226999999999999E-4</v>
      </c>
      <c r="X2">
        <v>2.5209999999999999</v>
      </c>
      <c r="Y2">
        <v>0.97072999999999998</v>
      </c>
      <c r="Z2">
        <v>1.5803000000000001E-2</v>
      </c>
      <c r="AA2">
        <v>1.6279999999999999</v>
      </c>
      <c r="AB2">
        <v>36.18</v>
      </c>
      <c r="AC2">
        <v>0.30942999999999998</v>
      </c>
      <c r="AD2">
        <v>0.85524999999999995</v>
      </c>
      <c r="AE2">
        <v>4.4857000000000002E-4</v>
      </c>
      <c r="AF2" s="1">
        <v>5.8011000000000002E-6</v>
      </c>
      <c r="AG2">
        <v>1.2931999999999999</v>
      </c>
      <c r="AH2">
        <v>0.95294999999999996</v>
      </c>
      <c r="AI2">
        <v>3.8638000000000001E-3</v>
      </c>
      <c r="AJ2">
        <v>0.40545999999999999</v>
      </c>
    </row>
    <row r="3" spans="1:37" x14ac:dyDescent="0.35">
      <c r="A3" t="s">
        <v>197</v>
      </c>
      <c r="B3" s="1">
        <v>2.5436999999999999E-6</v>
      </c>
      <c r="C3">
        <v>1.5516999999999999E-4</v>
      </c>
      <c r="D3" s="1">
        <v>6.3318000000000001E-6</v>
      </c>
      <c r="E3" s="1">
        <v>1.1853E-8</v>
      </c>
      <c r="F3">
        <v>0.18720000000000001</v>
      </c>
      <c r="G3">
        <v>46.1</v>
      </c>
      <c r="H3">
        <v>5.6936E-2</v>
      </c>
      <c r="I3">
        <v>0.12350999999999999</v>
      </c>
      <c r="J3" s="1">
        <v>7.6520000000000001</v>
      </c>
      <c r="K3" s="1">
        <v>0.79432999999999998</v>
      </c>
      <c r="L3">
        <v>10.381</v>
      </c>
      <c r="M3">
        <v>4.3428000000000001E-2</v>
      </c>
      <c r="N3" s="1">
        <v>5.3765999999999996E-3</v>
      </c>
      <c r="O3" s="1">
        <v>12.38</v>
      </c>
      <c r="P3">
        <v>1.054</v>
      </c>
      <c r="Q3" s="1">
        <v>4.7837999999999999E-2</v>
      </c>
      <c r="R3" s="1">
        <v>4.5387000000000004</v>
      </c>
      <c r="S3" s="1">
        <v>90.18</v>
      </c>
      <c r="T3" s="1">
        <v>0.80454000000000003</v>
      </c>
      <c r="U3" s="1">
        <v>0.89215</v>
      </c>
      <c r="V3">
        <v>4.5507000000000002E-4</v>
      </c>
      <c r="W3" s="1">
        <v>3.8508999999999998E-6</v>
      </c>
      <c r="X3" s="1">
        <v>0.84621999999999997</v>
      </c>
      <c r="Y3">
        <v>0.95420000000000005</v>
      </c>
      <c r="Z3">
        <v>3.0712000000000001E-3</v>
      </c>
      <c r="AA3">
        <v>0.32185999999999998</v>
      </c>
      <c r="AB3">
        <v>3.879</v>
      </c>
      <c r="AC3" s="1">
        <v>0.26640000000000003</v>
      </c>
      <c r="AD3">
        <v>6.8677000000000001</v>
      </c>
      <c r="AE3">
        <v>3.7835999999999998E-3</v>
      </c>
      <c r="AF3">
        <v>1.0682000000000001E-3</v>
      </c>
      <c r="AG3">
        <v>28.231999999999999</v>
      </c>
      <c r="AH3">
        <v>0.48026000000000002</v>
      </c>
      <c r="AI3">
        <v>3.0117000000000001E-2</v>
      </c>
      <c r="AJ3">
        <v>6.2709999999999999</v>
      </c>
    </row>
    <row r="4" spans="1:37" x14ac:dyDescent="0.35">
      <c r="A4" t="s">
        <v>196</v>
      </c>
      <c r="B4" s="1">
        <v>9.0142999999999994E-6</v>
      </c>
      <c r="C4">
        <v>5.7691999999999997E-4</v>
      </c>
      <c r="D4" s="1">
        <v>6.3675999999999998E-6</v>
      </c>
      <c r="E4" s="1">
        <v>2.2268000000000001E-8</v>
      </c>
      <c r="F4">
        <v>0.34971000000000002</v>
      </c>
      <c r="G4">
        <v>44.63</v>
      </c>
      <c r="H4">
        <v>0.27812999999999999</v>
      </c>
      <c r="I4">
        <v>0.62319000000000002</v>
      </c>
      <c r="J4" s="1">
        <v>39.11</v>
      </c>
      <c r="K4" s="1">
        <v>24.513999999999999</v>
      </c>
      <c r="L4">
        <v>62.68</v>
      </c>
      <c r="M4">
        <v>7.3377999999999999E-2</v>
      </c>
      <c r="N4" s="1">
        <v>1.3853000000000001E-2</v>
      </c>
      <c r="O4" s="1">
        <v>18.879000000000001</v>
      </c>
      <c r="P4">
        <v>0.18514</v>
      </c>
      <c r="Q4" s="1">
        <v>3.0303E-2</v>
      </c>
      <c r="R4" s="1">
        <v>16.367999999999999</v>
      </c>
      <c r="S4" s="1">
        <v>135</v>
      </c>
      <c r="T4" s="1">
        <v>0.87329999999999997</v>
      </c>
      <c r="U4" s="1">
        <v>0.64688999999999997</v>
      </c>
      <c r="V4">
        <v>4.7319000000000001E-4</v>
      </c>
      <c r="W4" s="1">
        <v>3.3440999999999999E-6</v>
      </c>
      <c r="X4" s="1">
        <v>0.70670999999999995</v>
      </c>
      <c r="Y4">
        <v>0.95637000000000005</v>
      </c>
      <c r="Z4">
        <v>3.0222999999999999E-3</v>
      </c>
      <c r="AA4">
        <v>0.31602000000000002</v>
      </c>
      <c r="AB4">
        <v>0</v>
      </c>
      <c r="AE4" s="1">
        <v>0</v>
      </c>
      <c r="AF4" s="1"/>
      <c r="AG4" s="1"/>
      <c r="AH4">
        <v>1</v>
      </c>
    </row>
    <row r="5" spans="1:37" x14ac:dyDescent="0.35">
      <c r="A5" t="s">
        <v>195</v>
      </c>
      <c r="B5" s="1">
        <v>1.782E-6</v>
      </c>
      <c r="C5">
        <v>1.1760999999999999E-4</v>
      </c>
      <c r="D5" s="1">
        <v>6.3353000000000001E-6</v>
      </c>
      <c r="E5" s="1">
        <v>9.7125000000000001E-9</v>
      </c>
      <c r="F5">
        <v>0.15331</v>
      </c>
      <c r="G5">
        <v>45.28</v>
      </c>
      <c r="H5">
        <v>4.5116000000000003E-2</v>
      </c>
      <c r="I5">
        <v>9.9638000000000004E-2</v>
      </c>
      <c r="J5" s="1">
        <v>3.8690000000000002</v>
      </c>
      <c r="K5" s="1">
        <v>0.16904</v>
      </c>
      <c r="L5" s="1">
        <v>4.3691000000000004</v>
      </c>
      <c r="M5">
        <v>4.8881000000000003E-3</v>
      </c>
      <c r="N5" s="1">
        <v>9.3106999999999999E-4</v>
      </c>
      <c r="O5" s="1">
        <v>19.047999999999998</v>
      </c>
      <c r="P5">
        <v>0.46306999999999998</v>
      </c>
      <c r="Q5" s="1">
        <v>2.1382999999999999E-2</v>
      </c>
      <c r="R5" s="1">
        <v>4.6177000000000001</v>
      </c>
      <c r="S5" s="1">
        <v>219.2</v>
      </c>
      <c r="T5" s="1">
        <v>0.23068</v>
      </c>
      <c r="U5" s="1">
        <v>0.10524</v>
      </c>
      <c r="V5">
        <v>4.7193000000000002E-4</v>
      </c>
      <c r="W5" s="1">
        <v>9.8639999999999999E-7</v>
      </c>
      <c r="X5" s="1">
        <v>0.20901</v>
      </c>
      <c r="Y5">
        <v>0.94643999999999995</v>
      </c>
      <c r="Z5">
        <v>8.1537999999999999E-4</v>
      </c>
      <c r="AA5">
        <v>8.6152000000000006E-2</v>
      </c>
      <c r="AB5">
        <v>0</v>
      </c>
      <c r="AE5" s="1">
        <v>0</v>
      </c>
      <c r="AF5" s="1"/>
      <c r="AG5" s="1"/>
      <c r="AH5">
        <v>1</v>
      </c>
    </row>
    <row r="6" spans="1:37" x14ac:dyDescent="0.35">
      <c r="A6" t="s">
        <v>194</v>
      </c>
      <c r="B6" s="1">
        <v>6.1156000000000004E-6</v>
      </c>
      <c r="C6">
        <v>3.9140000000000003E-4</v>
      </c>
      <c r="D6" s="1">
        <v>6.3426000000000001E-6</v>
      </c>
      <c r="E6" s="1">
        <v>1.8104000000000001E-8</v>
      </c>
      <c r="F6">
        <v>0.28543000000000002</v>
      </c>
      <c r="G6">
        <v>45.25</v>
      </c>
      <c r="H6">
        <v>8.8570999999999997E-2</v>
      </c>
      <c r="I6">
        <v>0.19574</v>
      </c>
      <c r="J6" s="1">
        <v>4.1029999999999998</v>
      </c>
      <c r="K6" s="1">
        <v>0.30463000000000001</v>
      </c>
      <c r="L6">
        <v>7.4245999999999999</v>
      </c>
      <c r="M6">
        <v>4.8859999999999997E-3</v>
      </c>
      <c r="N6" s="1">
        <v>1.5912000000000001E-3</v>
      </c>
      <c r="O6" s="1">
        <v>32.567</v>
      </c>
      <c r="P6">
        <v>0.45156000000000002</v>
      </c>
      <c r="Q6" s="1">
        <v>3.6790000000000003E-2</v>
      </c>
      <c r="R6" s="1">
        <v>8.1472999999999995</v>
      </c>
      <c r="S6" s="1">
        <v>325.39999999999998</v>
      </c>
      <c r="T6" s="1">
        <v>0.60377999999999998</v>
      </c>
      <c r="U6" s="1">
        <v>0.18554999999999999</v>
      </c>
      <c r="V6">
        <v>4.8098999999999999E-4</v>
      </c>
      <c r="W6" s="1">
        <v>1.5494999999999999E-6</v>
      </c>
      <c r="X6" s="1">
        <v>0.32214999999999999</v>
      </c>
      <c r="Y6">
        <v>0.94081000000000004</v>
      </c>
      <c r="Z6">
        <v>1.2895000000000001E-3</v>
      </c>
      <c r="AA6">
        <v>0.13705999999999999</v>
      </c>
      <c r="AB6">
        <v>0</v>
      </c>
      <c r="AE6" s="1">
        <v>0</v>
      </c>
      <c r="AF6" s="1"/>
      <c r="AG6" s="1"/>
      <c r="AH6">
        <v>1</v>
      </c>
    </row>
    <row r="7" spans="1:37" x14ac:dyDescent="0.35">
      <c r="A7" t="s">
        <v>191</v>
      </c>
      <c r="B7" s="1">
        <v>1.1374E-5</v>
      </c>
      <c r="C7">
        <v>7.2794999999999999E-4</v>
      </c>
      <c r="D7" s="1">
        <v>6.3335999999999998E-6</v>
      </c>
      <c r="E7" s="1">
        <v>2.4200999999999999E-8</v>
      </c>
      <c r="F7">
        <v>0.3821</v>
      </c>
      <c r="G7">
        <v>44.92</v>
      </c>
      <c r="H7">
        <v>0.10077</v>
      </c>
      <c r="I7">
        <v>0.22433</v>
      </c>
      <c r="J7" s="1">
        <v>3.2250000000000001</v>
      </c>
      <c r="K7" s="1">
        <v>0.27700999999999998</v>
      </c>
      <c r="L7">
        <v>8.5894999999999992</v>
      </c>
      <c r="M7">
        <v>3.1102999999999999E-3</v>
      </c>
      <c r="N7" s="1">
        <v>1.4881E-3</v>
      </c>
      <c r="O7" s="1">
        <v>47.844000000000001</v>
      </c>
      <c r="P7">
        <v>0.50753999999999999</v>
      </c>
      <c r="Q7" s="1">
        <v>5.3419000000000001E-2</v>
      </c>
      <c r="R7" s="1">
        <v>10.525</v>
      </c>
      <c r="S7" s="1">
        <v>421.1</v>
      </c>
      <c r="T7" s="1">
        <v>0.97626999999999997</v>
      </c>
      <c r="U7" s="1">
        <v>0.23183999999999999</v>
      </c>
      <c r="V7">
        <v>4.9757000000000002E-4</v>
      </c>
      <c r="W7" s="1">
        <v>1.9147000000000001E-6</v>
      </c>
      <c r="X7" s="1">
        <v>0.38480999999999999</v>
      </c>
      <c r="Y7">
        <v>0.93210000000000004</v>
      </c>
      <c r="Z7">
        <v>1.4603999999999999E-3</v>
      </c>
      <c r="AA7">
        <v>0.15668000000000001</v>
      </c>
      <c r="AB7">
        <v>0</v>
      </c>
      <c r="AE7" s="1">
        <v>0</v>
      </c>
      <c r="AF7" s="1"/>
      <c r="AG7" s="1"/>
      <c r="AH7">
        <v>1</v>
      </c>
    </row>
    <row r="8" spans="1:37" x14ac:dyDescent="0.35">
      <c r="B8" s="1"/>
      <c r="C8" s="1"/>
      <c r="D8" s="1"/>
      <c r="E8" s="1"/>
      <c r="H8" s="1"/>
      <c r="I8" s="1"/>
      <c r="J8" s="2"/>
      <c r="K8" s="1"/>
      <c r="N8" s="1"/>
      <c r="AC8" s="1"/>
    </row>
    <row r="9" spans="1:37" x14ac:dyDescent="0.35">
      <c r="B9" s="1"/>
      <c r="D9" s="1"/>
      <c r="E9" s="1"/>
      <c r="H9" s="1"/>
      <c r="J9" s="2"/>
      <c r="K9" s="1"/>
      <c r="N9" s="1"/>
      <c r="AC9" s="1"/>
    </row>
    <row r="10" spans="1:37" x14ac:dyDescent="0.35">
      <c r="B10" s="1"/>
      <c r="D10" s="1"/>
      <c r="E10" s="1"/>
      <c r="H10" s="1"/>
      <c r="J10" s="2"/>
      <c r="K10" s="1"/>
      <c r="N10" s="1"/>
      <c r="AC10" s="1"/>
    </row>
    <row r="11" spans="1:37" x14ac:dyDescent="0.35">
      <c r="H11" s="1"/>
      <c r="J11" s="1"/>
      <c r="K11" s="1"/>
      <c r="AC11" s="1"/>
    </row>
    <row r="12" spans="1:37" x14ac:dyDescent="0.35">
      <c r="A12" t="s">
        <v>132</v>
      </c>
      <c r="B12" t="s">
        <v>39</v>
      </c>
      <c r="C12" t="s">
        <v>136</v>
      </c>
      <c r="D12" t="s">
        <v>56</v>
      </c>
      <c r="E12" t="s">
        <v>40</v>
      </c>
      <c r="F12" t="s">
        <v>32</v>
      </c>
      <c r="G12" t="s">
        <v>77</v>
      </c>
      <c r="H12" s="2" t="s">
        <v>52</v>
      </c>
      <c r="I12" s="2" t="s">
        <v>193</v>
      </c>
      <c r="J12" s="2" t="s">
        <v>54</v>
      </c>
      <c r="K12" s="2"/>
      <c r="M12" t="s">
        <v>41</v>
      </c>
      <c r="N12" t="s">
        <v>40</v>
      </c>
      <c r="O12" t="s">
        <v>32</v>
      </c>
      <c r="P12" s="2" t="s">
        <v>77</v>
      </c>
      <c r="Q12" s="2" t="s">
        <v>52</v>
      </c>
      <c r="R12" s="2" t="s">
        <v>193</v>
      </c>
      <c r="S12" s="2" t="s">
        <v>54</v>
      </c>
      <c r="U12" t="s">
        <v>46</v>
      </c>
      <c r="V12" t="s">
        <v>47</v>
      </c>
      <c r="W12" t="s">
        <v>48</v>
      </c>
      <c r="X12" s="1" t="s">
        <v>49</v>
      </c>
      <c r="Y12" t="s">
        <v>40</v>
      </c>
      <c r="Z12" t="s">
        <v>77</v>
      </c>
      <c r="AA12" t="s">
        <v>52</v>
      </c>
      <c r="AB12" s="2" t="s">
        <v>193</v>
      </c>
      <c r="AK12" s="1"/>
    </row>
    <row r="13" spans="1:37" x14ac:dyDescent="0.35">
      <c r="A13" s="9">
        <v>0.1492</v>
      </c>
      <c r="B13" s="2">
        <v>0</v>
      </c>
      <c r="C13" s="2">
        <v>0</v>
      </c>
      <c r="D13" s="2">
        <f>(C13-C$13)/0.237</f>
        <v>0</v>
      </c>
      <c r="E13">
        <f>AB2</f>
        <v>36.18</v>
      </c>
      <c r="F13" s="1">
        <f>(AB2^(1-AH2)*AE2)^(1/AH2)</f>
        <v>3.6598838903876787E-4</v>
      </c>
      <c r="G13">
        <f>E13*A$13</f>
        <v>5.3980559999999995</v>
      </c>
      <c r="H13" s="29">
        <f>1.38E-23*J13/(4*(1.602E-19^2)*E13*A$15)</f>
        <v>6.4254982243786554E-8</v>
      </c>
      <c r="I13" s="2">
        <f>3/5.814E-23-((0.1/5.814E-29/4-F13*1.38E-23*J13/(8*(1.602E-19)^2)))*10^-6+SQRT(0.1/5.814E-29*F13*1.38E-23*J13/(8*(1.602E-19)^2)*5.814E-29+ (-0.1/5.814E-29/4+(F13*1.38E-23*J13/(8*(1.602E-19)^2)^2)))*10^-6</f>
        <v>5.1179887503258958E+22</v>
      </c>
      <c r="J13" s="6">
        <f>1/(0.000479779-0.000434801*LOG(0.05/(0.5*0.5*(G2-10)))-0.000100649*(LOG(0.05/(0.5*0.5*(G2-10))))^2-0.0000198446*(LOG(0.05/(0.5*0.5*(G2-10))))^3-0.00000195494*(LOG(0.05/(0.5*0.5*(G2-10))))^4-0.0000000757244*(LOG(0.05/(0.5*0.5*(G2-10))))^5)</f>
        <v>884.89805695914777</v>
      </c>
      <c r="K13" s="1"/>
      <c r="M13">
        <v>0.01</v>
      </c>
      <c r="N13" s="1">
        <f>S22</f>
        <v>975.5</v>
      </c>
      <c r="O13" s="1">
        <f>(S22^(1-Y22)*V22)^(1/Y22)</f>
        <v>5.2135449571947949E-4</v>
      </c>
      <c r="P13" s="3">
        <f>N13*A$13</f>
        <v>145.5446</v>
      </c>
      <c r="Q13" s="3">
        <f>1.38E-23*S13/(4*(1.602E-19^2)*N13*A$15)</f>
        <v>2.3797554652402108E-9</v>
      </c>
      <c r="R13" s="2">
        <f>3/5.814E-23-((0.1/5.814E-29/4-O13*1.38E-23*S13/(8*(1.602E-19)^2)))*10^-6+SQRT(0.1/5.814E-29*O13*1.38E-23*S13/(8*(1.602E-19)^2)*5.814E-29+ (-0.1/5.814E-29/4+(O13*1.38E-23*S13/(8*(1.602E-19)^2)^2)))*10^-6</f>
        <v>5.1181871533036698E+22</v>
      </c>
      <c r="S13" s="6">
        <f>1/(0.000479779-0.000434801*LOG(0.05/(0.5*0.5*(G22-10)))-0.000100649*(LOG(0.05/(0.5*0.5*(G22-10))))^2-0.0000198446*(LOG(0.05/(0.5*0.5*(G22-10))))^3-0.00000195494*(LOG(0.05/(0.5*0.5*(G22-10))))^4-0.0000000757244*(LOG(0.05/(0.5*0.5*(G22-10))))^5)</f>
        <v>883.64429450653449</v>
      </c>
      <c r="U13" s="32">
        <f>1000/V13</f>
        <v>1.1694036654091842</v>
      </c>
      <c r="V13" s="28">
        <f>1/(0.000479779-0.000434801*LOG(0.05/(0.5*0.5*(G30-10)))-0.000100649*(LOG(0.05/(0.5*0.5*(G30-10))))^2-0.0000198446*(LOG(0.05/(0.5*0.5*(G30))))^3-0.00000195494*(LOG(0.05/(0.5*0.5*(G30-10))))^4-0.0000000757244*(LOG(0.05/(0.5*0.5*(G30-10))))^5)</f>
        <v>855.13670734911852</v>
      </c>
      <c r="W13" s="28">
        <f>V13-273</f>
        <v>582.13670734911852</v>
      </c>
      <c r="X13" s="1">
        <f>(S30^(1-Y30)*V30)^(1/Y30)</f>
        <v>4.2559443788977523E-4</v>
      </c>
      <c r="Y13" s="1">
        <f>S30</f>
        <v>565.70000000000005</v>
      </c>
      <c r="Z13" s="22">
        <f>Y13*A$13</f>
        <v>84.402440000000013</v>
      </c>
      <c r="AA13" s="23">
        <f>1.38E-23*V13/(4*(1.602E-19^2)*Y13*A$15)</f>
        <v>3.9712890603395276E-9</v>
      </c>
      <c r="AB13" s="2">
        <f>3/5.814E-23-((0.1/5.814E-29/4-X13*1.38E-23*V13/(8*(1.602E-19)^2)))*10^-6+SQRT(0.1/5.814E-29*X13*1.38E-23*V13/(8*(1.602E-19)^2)*5.814E-29+ (-0.1/5.814E-29/4+(X13*1.38E-23*V13/(8*(1.602E-19)^2)^2)))*10^-6</f>
        <v>5.1180506058953777E+22</v>
      </c>
      <c r="AK13" s="1"/>
    </row>
    <row r="14" spans="1:37" x14ac:dyDescent="0.35">
      <c r="A14" s="11" t="s">
        <v>131</v>
      </c>
      <c r="B14" s="2">
        <v>1</v>
      </c>
      <c r="C14" s="19">
        <f>B14/9+C$13</f>
        <v>0.1111111111111111</v>
      </c>
      <c r="D14" s="2">
        <f>(C14-C$13)/0.237</f>
        <v>0.46882325363338023</v>
      </c>
      <c r="E14" s="1">
        <f>S3</f>
        <v>90.18</v>
      </c>
      <c r="F14" s="1">
        <f>(S3^(1-Y3)*V3)^(1/Y3)</f>
        <v>3.9040338667493458E-4</v>
      </c>
      <c r="G14">
        <f>E14*A$13</f>
        <v>13.454856000000001</v>
      </c>
      <c r="H14" s="29">
        <f>1.38E-23*J14/(4*(1.602E-19^2)*E14*A$15)</f>
        <v>2.5776708014509697E-8</v>
      </c>
      <c r="I14" s="2">
        <f>3/5.814E-23-((0.1/5.814E-29/4-F14*1.38E-23*J14/(8*(1.602E-19)^2)))*10^-6+SQRT(0.1/5.814E-29*F14*1.38E-23*J14/(8*(1.602E-19)^2)*5.814E-29+ (-0.1/5.814E-29/4+(F14*1.38E-23*J14/(8*(1.602E-19)^2)^2)))*10^-6</f>
        <v>5.1180224947930507E+22</v>
      </c>
      <c r="J14" s="6">
        <f>1/(0.000479779-0.000434801*LOG(0.05/(0.5*0.5*(G3-10)))-0.000100649*(LOG(0.05/(0.5*0.5*(G3-10))))^2-0.0000198446*(LOG(0.05/(0.5*0.5*(G3-10))))^3-0.00000195494*(LOG(0.05/(0.5*0.5*(G3-10))))^4-0.0000000757244*(LOG(0.05/(0.5*0.5*(G3-10))))^5)</f>
        <v>884.82127028730349</v>
      </c>
      <c r="K14" s="1"/>
      <c r="M14">
        <v>0.04</v>
      </c>
      <c r="N14" s="1">
        <f>S23</f>
        <v>421.1</v>
      </c>
      <c r="O14" s="1">
        <f>(S23^(1-Y23)*V23)^(1/Y23)</f>
        <v>4.4402663053218862E-4</v>
      </c>
      <c r="P14" s="3">
        <f>N14*A$13</f>
        <v>62.828120000000006</v>
      </c>
      <c r="Q14" s="3">
        <f>1.38E-23*S14/(4*(1.602E-19^2)*N14*A$15)</f>
        <v>5.5345834933186174E-9</v>
      </c>
      <c r="R14" s="2">
        <f>3/5.814E-23-((0.1/5.814E-29/4-O14*1.38E-23*S14/(8*(1.602E-19)^2)))*10^-6+SQRT(0.1/5.814E-29*O14*1.38E-23*S14/(8*(1.602E-19)^2)*5.814E-29+ (-0.1/5.814E-29/4+(O14*1.38E-23*S14/(8*(1.602E-19)^2)^2)))*10^-6</f>
        <v>5.1180946582760621E+22</v>
      </c>
      <c r="S14" s="6">
        <f>1/(0.000479779-0.000434801*LOG(0.05/(0.5*0.5*(G23-10)))-0.000100649*(LOG(0.05/(0.5*0.5*(G23-10))))^2-0.0000198446*(LOG(0.05/(0.5*0.5*(G23-10))))^3-0.00000195494*(LOG(0.05/(0.5*0.5*(G23-10))))^4-0.0000000757244*(LOG(0.05/(0.5*0.5*(G23-10))))^5)</f>
        <v>887.1316136618658</v>
      </c>
      <c r="U14" s="32">
        <f>1000/V14</f>
        <v>1.1968533479845263</v>
      </c>
      <c r="V14" s="28">
        <f>1/(0.000479779-0.000434801*LOG(0.05/(0.5*0.5*(G31-10)))-0.000100649*(LOG(0.05/(0.5*0.5*(G31-10))))^2-0.0000198446*(LOG(0.05/(0.5*0.5*(G31))))^3-0.00000195494*(LOG(0.05/(0.5*0.5*(G31-10))))^4-0.0000000757244*(LOG(0.05/(0.5*0.5*(G31-10))))^5)</f>
        <v>835.52425339660635</v>
      </c>
      <c r="W14" s="28">
        <f>V14-273</f>
        <v>562.52425339660635</v>
      </c>
      <c r="X14" s="1">
        <f>(S31^(1-Y31)*V31)^(1/Y31)</f>
        <v>3.6741810065513949E-4</v>
      </c>
      <c r="Y14" s="1">
        <f>S31</f>
        <v>925.7</v>
      </c>
      <c r="Z14" s="22">
        <f>Y14*A$13</f>
        <v>138.11444</v>
      </c>
      <c r="AA14" s="23">
        <f>1.38E-23*V14/(4*(1.602E-19^2)*Y14*A$15)</f>
        <v>2.3712149597415022E-9</v>
      </c>
      <c r="AB14" s="2">
        <f>3/5.814E-23-((0.1/5.814E-29/4-X14*1.38E-23*V14/(8*(1.602E-19)^2)))*10^-6+SQRT(0.1/5.814E-29*X14*1.38E-23*V14/(8*(1.602E-19)^2)*5.814E-29+ (-0.1/5.814E-29/4+(X14*1.38E-23*V14/(8*(1.602E-19)^2)^2)))*10^-6</f>
        <v>5.117961564225492E+22</v>
      </c>
      <c r="AK14" s="1"/>
    </row>
    <row r="15" spans="1:37" x14ac:dyDescent="0.35">
      <c r="A15" s="11">
        <f>((3/5.814E-29)-(0.1/5.814E-29/4))*10^-6</f>
        <v>5.1169590643274845E+22</v>
      </c>
      <c r="B15" s="2">
        <v>2</v>
      </c>
      <c r="C15" s="19">
        <f>B15/9+C$13</f>
        <v>0.22222222222222221</v>
      </c>
      <c r="D15" s="2">
        <f>(C15-C$13)/0.237</f>
        <v>0.93764650726676046</v>
      </c>
      <c r="E15" s="1">
        <f>S4</f>
        <v>135</v>
      </c>
      <c r="F15" s="1">
        <f>(S4^(1-Y4)*V4)^(1/Y4)</f>
        <v>4.1738420135306104E-4</v>
      </c>
      <c r="G15">
        <f>E15*A$13</f>
        <v>20.141999999999999</v>
      </c>
      <c r="H15" s="29">
        <f>1.38E-23*J15/(4*(1.602E-19^2)*E15*A$15)</f>
        <v>1.7275137286914916E-8</v>
      </c>
      <c r="I15" s="2">
        <f>3/5.814E-23-((0.1/5.814E-29/4-F15*1.38E-23*J15/(8*(1.602E-19)^2)))*10^-6+SQRT(0.1/5.814E-29*F15*1.38E-23*J15/(8*(1.602E-19)^2)*5.814E-29+ (-0.1/5.814E-29/4+(F15*1.38E-23*J15/(8*(1.602E-19)^2)^2)))*10^-6</f>
        <v>5.1180604238455334E+22</v>
      </c>
      <c r="J15" s="6">
        <f>1/(0.000479779-0.000434801*LOG(0.05/(0.5*0.5*(G4-10)))-0.000100649*(LOG(0.05/(0.5*0.5*(G4-10))))^2-0.0000198446*(LOG(0.05/(0.5*0.5*(G4-10))))^3-0.00000195494*(LOG(0.05/(0.5*0.5*(G4-10))))^4-0.0000000757244*(LOG(0.05/(0.5*0.5*(G4-10))))^5)</f>
        <v>887.71415914134184</v>
      </c>
      <c r="K15" s="1"/>
      <c r="M15">
        <v>0.1</v>
      </c>
      <c r="N15" s="1">
        <f>S24</f>
        <v>312.3</v>
      </c>
      <c r="O15" s="1">
        <f>(S24^(1-Y24)*V24)^(1/Y24)</f>
        <v>3.8053398929677298E-4</v>
      </c>
      <c r="P15" s="3">
        <f>N15*A$13</f>
        <v>46.59516</v>
      </c>
      <c r="Q15" s="3">
        <f>1.38E-23*S15/(4*(1.602E-19^2)*N15*A$15)</f>
        <v>7.3992722146006747E-9</v>
      </c>
      <c r="R15" s="2">
        <f>3/5.814E-23-((0.1/5.814E-29/4-O15*1.38E-23*S15/(8*(1.602E-19)^2)))*10^-6+SQRT(0.1/5.814E-29*O15*1.38E-23*S15/(8*(1.602E-19)^2)*5.814E-29+ (-0.1/5.814E-29/4+(O15*1.38E-23*S15/(8*(1.602E-19)^2)^2)))*10^-6</f>
        <v>5.1180058570384254E+22</v>
      </c>
      <c r="S15" s="6">
        <f>1/(0.000479779-0.000434801*LOG(0.05/(0.5*0.5*(G24-10)))-0.000100649*(LOG(0.05/(0.5*0.5*(G24-10))))^2-0.0000198446*(LOG(0.05/(0.5*0.5*(G24-10))))^3-0.00000195494*(LOG(0.05/(0.5*0.5*(G24-10))))^4-0.0000000757244*(LOG(0.05/(0.5*0.5*(G24-10))))^5)</f>
        <v>879.58711810043144</v>
      </c>
      <c r="U15" s="32">
        <f>1000/V15</f>
        <v>1.24978919905867</v>
      </c>
      <c r="V15" s="28">
        <f>1/(0.000479779-0.000434801*LOG(0.05/(0.5*0.5*(G32-10)))-0.000100649*(LOG(0.05/(0.5*0.5*(G32-10))))^2-0.0000198446*(LOG(0.05/(0.5*0.5*(G32))))^3-0.00000195494*(LOG(0.05/(0.5*0.5*(G32-10))))^4-0.0000000757244*(LOG(0.05/(0.5*0.5*(G32-10))))^5)</f>
        <v>800.13493535805162</v>
      </c>
      <c r="W15" s="28">
        <f>V15-273</f>
        <v>527.13493535805162</v>
      </c>
      <c r="X15" s="1">
        <f>(S32^(1-Y32)*V32)^(1/Y32)</f>
        <v>3.0388729725268929E-4</v>
      </c>
      <c r="Y15" s="1">
        <f>S32</f>
        <v>2307</v>
      </c>
      <c r="Z15" s="22">
        <f>Y15*A$13</f>
        <v>344.20440000000002</v>
      </c>
      <c r="AA15" s="23">
        <f>1.38E-23*V15/(4*(1.602E-19^2)*Y15*A$15)</f>
        <v>9.111665488290482E-10</v>
      </c>
      <c r="AB15" s="2">
        <f>3/5.814E-23-((0.1/5.814E-29/4-X15*1.38E-23*V15/(8*(1.602E-19)^2)))*10^-6+SQRT(0.1/5.814E-29*X15*1.38E-23*V15/(8*(1.602E-19)^2)*5.814E-29+ (-0.1/5.814E-29/4+(X15*1.38E-23*V15/(8*(1.602E-19)^2)^2)))*10^-6</f>
        <v>5.1178512647456641E+22</v>
      </c>
    </row>
    <row r="16" spans="1:37" x14ac:dyDescent="0.35">
      <c r="A16" s="27" t="s">
        <v>129</v>
      </c>
      <c r="B16" s="2">
        <v>3</v>
      </c>
      <c r="C16" s="19">
        <f>B16/9+C$13</f>
        <v>0.33333333333333331</v>
      </c>
      <c r="D16" s="2">
        <f>(C16-C$13)/0.237</f>
        <v>1.4064697609001406</v>
      </c>
      <c r="E16" s="1">
        <f>S5</f>
        <v>219.2</v>
      </c>
      <c r="F16" s="1">
        <f>(S5^(1-Y5)*V5)^(1/Y5)</f>
        <v>4.150682225586649E-4</v>
      </c>
      <c r="G16">
        <f>E16*A$13</f>
        <v>32.704639999999998</v>
      </c>
      <c r="H16" s="29">
        <f>1.38E-23*J16/(4*(1.602E-19^2)*E16*A$15)</f>
        <v>1.0623790673415974E-8</v>
      </c>
      <c r="I16" s="2">
        <f>3/5.814E-23-((0.1/5.814E-29/4-F16*1.38E-23*J16/(8*(1.602E-19)^2)))*10^-6+SQRT(0.1/5.814E-29*F16*1.38E-23*J16/(8*(1.602E-19)^2)*5.814E-29+ (-0.1/5.814E-29/4+(F16*1.38E-23*J16/(8*(1.602E-19)^2)^2)))*10^-6</f>
        <v>5.1180565610658756E+22</v>
      </c>
      <c r="J16" s="6">
        <f>1/(0.000479779-0.000434801*LOG(0.05/(0.5*0.5*(G5-10)))-0.000100649*(LOG(0.05/(0.5*0.5*(G5-10))))^2-0.0000198446*(LOG(0.05/(0.5*0.5*(G5-10))))^3-0.00000195494*(LOG(0.05/(0.5*0.5*(G5-10))))^4-0.0000000757244*(LOG(0.05/(0.5*0.5*(G5-10))))^5)</f>
        <v>886.41669244381148</v>
      </c>
      <c r="K16" s="1"/>
      <c r="M16">
        <v>1</v>
      </c>
      <c r="N16" s="1">
        <f>S25</f>
        <v>108.2</v>
      </c>
      <c r="O16" s="1">
        <f>(S25^(1-Y25)*V25)^(1/Y25)</f>
        <v>3.3465382361349145E-4</v>
      </c>
      <c r="P16" s="3">
        <f>N16*A$13</f>
        <v>16.143440000000002</v>
      </c>
      <c r="Q16" s="3">
        <f>1.38E-23*S16/(4*(1.602E-19^2)*N16*A$15)</f>
        <v>2.1366897355107792E-8</v>
      </c>
      <c r="R16" s="2">
        <f>3/5.814E-23-((0.1/5.814E-29/4-O16*1.38E-23*S16/(8*(1.602E-19)^2)))*10^-6+SQRT(0.1/5.814E-29*O16*1.38E-23*S16/(8*(1.602E-19)^2)*5.814E-29+ (-0.1/5.814E-29/4+(O16*1.38E-23*S16/(8*(1.602E-19)^2)^2)))*10^-6</f>
        <v>5.1179409608596288E+22</v>
      </c>
      <c r="S16" s="6">
        <f>1/(0.000479779-0.000434801*LOG(0.05/(0.5*0.5*(G25-10)))-0.000100649*(LOG(0.05/(0.5*0.5*(G25-10))))^2-0.0000198446*(LOG(0.05/(0.5*0.5*(G25-10))))^3-0.00000195494*(LOG(0.05/(0.5*0.5*(G25-10))))^4-0.0000000757244*(LOG(0.05/(0.5*0.5*(G25-10))))^5)</f>
        <v>880.00794986900587</v>
      </c>
      <c r="U16" s="32">
        <f>1000/V16</f>
        <v>1.2961001076219028</v>
      </c>
      <c r="V16" s="28">
        <f>1/(0.000479779-0.000434801*LOG(0.05/(0.5*0.5*(G33-10)))-0.000100649*(LOG(0.05/(0.5*0.5*(G33-10))))^2-0.0000198446*(LOG(0.05/(0.5*0.5*(G33))))^3-0.00000195494*(LOG(0.05/(0.5*0.5*(G33-10))))^4-0.0000000757244*(LOG(0.05/(0.5*0.5*(G33-10))))^5)</f>
        <v>771.54534138170072</v>
      </c>
      <c r="W16" s="28">
        <f>V16-273</f>
        <v>498.54534138170072</v>
      </c>
      <c r="X16" s="1">
        <f>(S33^(1-Y33)*V33)^(1/Y33)</f>
        <v>2.715149853311333E-4</v>
      </c>
      <c r="Y16" s="1">
        <f>S33</f>
        <v>4623</v>
      </c>
      <c r="Z16" s="22">
        <f>Y16*A$13</f>
        <v>689.75160000000005</v>
      </c>
      <c r="AA16" s="23">
        <f>1.38E-23*V16/(4*(1.602E-19^2)*Y16*A$15)</f>
        <v>4.3844961072599491E-10</v>
      </c>
      <c r="AB16" s="2">
        <f>3/5.814E-23-((0.1/5.814E-29/4-X16*1.38E-23*V16/(8*(1.602E-19)^2)))*10^-6+SQRT(0.1/5.814E-29*X16*1.38E-23*V16/(8*(1.602E-19)^2)*5.814E-29+ (-0.1/5.814E-29/4+(X16*1.38E-23*V16/(8*(1.602E-19)^2)^2)))*10^-6</f>
        <v>5.1177872012752619E+22</v>
      </c>
      <c r="AG16" s="1"/>
      <c r="AH16" s="1"/>
    </row>
    <row r="17" spans="1:37" x14ac:dyDescent="0.35">
      <c r="A17" s="27">
        <f>0.1/5.814E-29/4*10^-6</f>
        <v>4.2999656002751975E+20</v>
      </c>
      <c r="B17" s="2">
        <v>4</v>
      </c>
      <c r="C17" s="19">
        <f>B17/9+C$13</f>
        <v>0.44444444444444442</v>
      </c>
      <c r="D17" s="2">
        <f>(C17-C$13)/0.237</f>
        <v>1.8752930145335209</v>
      </c>
      <c r="E17" s="1">
        <f>S6</f>
        <v>325.39999999999998</v>
      </c>
      <c r="F17" s="1">
        <f>(S6^(1-Y6)*V6)^(1/Y6)</f>
        <v>4.2801825811077218E-4</v>
      </c>
      <c r="G17">
        <f>E17*A$13</f>
        <v>48.549679999999995</v>
      </c>
      <c r="H17" s="29">
        <f>1.38E-23*J17/(4*(1.602E-19^2)*E17*A$15)</f>
        <v>7.1570083842940779E-9</v>
      </c>
      <c r="I17" s="2">
        <f>3/5.814E-23-((0.1/5.814E-29/4-F17*1.38E-23*J17/(8*(1.602E-19)^2)))*10^-6+SQRT(0.1/5.814E-29*F17*1.38E-23*J17/(8*(1.602E-19)^2)*5.814E-29+ (-0.1/5.814E-29/4+(F17*1.38E-23*J17/(8*(1.602E-19)^2)^2)))*10^-6</f>
        <v>5.1180735876299743E+22</v>
      </c>
      <c r="J17" s="6">
        <f>1/(0.000479779-0.000434801*LOG(0.05/(0.5*0.5*(G6-10)))-0.000100649*(LOG(0.05/(0.5*0.5*(G6-10))))^2-0.0000198446*(LOG(0.05/(0.5*0.5*(G6-10))))^3-0.00000195494*(LOG(0.05/(0.5*0.5*(G6-10))))^4-0.0000000757244*(LOG(0.05/(0.5*0.5*(G6-10))))^5)</f>
        <v>886.47592530781583</v>
      </c>
      <c r="K17" s="1"/>
      <c r="M17">
        <v>10</v>
      </c>
      <c r="N17" s="1">
        <f>S26</f>
        <v>73.5</v>
      </c>
      <c r="O17" s="1">
        <f>(S26^(1-Y26)*V26)^(1/Y26)</f>
        <v>3.1071074275735867E-4</v>
      </c>
      <c r="P17" s="3">
        <f>N17*A$13</f>
        <v>10.966200000000001</v>
      </c>
      <c r="Q17" s="3">
        <f>1.38E-23*S17/(4*(1.602E-19^2)*N17*A$15)</f>
        <v>3.1283344808399556E-8</v>
      </c>
      <c r="R17" s="2">
        <f>3/5.814E-23-((0.1/5.814E-29/4-O17*1.38E-23*S17/(8*(1.602E-19)^2)))*10^-6+SQRT(0.1/5.814E-29*O17*1.38E-23*S17/(8*(1.602E-19)^2)*5.814E-29+ (-0.1/5.814E-29/4+(O17*1.38E-23*S17/(8*(1.602E-19)^2)^2)))*10^-6</f>
        <v>5.1179026076883824E+22</v>
      </c>
      <c r="S17" s="6">
        <f>1/(0.000479779-0.000434801*LOG(0.05/(0.5*0.5*(G26-10)))-0.000100649*(LOG(0.05/(0.5*0.5*(G26-10))))^2-0.0000198446*(LOG(0.05/(0.5*0.5*(G26-10))))^3-0.00000195494*(LOG(0.05/(0.5*0.5*(G26-10))))^4-0.0000000757244*(LOG(0.05/(0.5*0.5*(G26-10))))^5)</f>
        <v>875.22233437045372</v>
      </c>
      <c r="AH17" s="1"/>
    </row>
    <row r="18" spans="1:37" x14ac:dyDescent="0.35">
      <c r="A18" s="9"/>
      <c r="B18" s="2">
        <v>5</v>
      </c>
      <c r="C18" s="19">
        <f>B18/9+C$13</f>
        <v>0.55555555555555558</v>
      </c>
      <c r="D18" s="2">
        <f>(C18-C$13)/0.237</f>
        <v>2.3441162681669012</v>
      </c>
      <c r="E18" s="1">
        <f>S7</f>
        <v>421.1</v>
      </c>
      <c r="F18" s="1">
        <f>(S7^(1-Y7)*V7)^(1/Y7)</f>
        <v>4.4402663053218862E-4</v>
      </c>
      <c r="G18">
        <f>E18*A$13</f>
        <v>62.828120000000006</v>
      </c>
      <c r="H18" s="29">
        <f>1.38E-23*J18/(4*(1.602E-19^2)*E18*A$15)</f>
        <v>5.5345834933186174E-9</v>
      </c>
      <c r="I18" s="2">
        <f>3/5.814E-23-((0.1/5.814E-29/4-F18*1.38E-23*J18/(8*(1.602E-19)^2)))*10^-6+SQRT(0.1/5.814E-29*F18*1.38E-23*J18/(8*(1.602E-19)^2)*5.814E-29+ (-0.1/5.814E-29/4+(F18*1.38E-23*J18/(8*(1.602E-19)^2)^2)))*10^-6</f>
        <v>5.1180946582760621E+22</v>
      </c>
      <c r="J18" s="6">
        <f>1/(0.000479779-0.000434801*LOG(0.05/(0.5*0.5*(G7-10)))-0.000100649*(LOG(0.05/(0.5*0.5*(G7-10))))^2-0.0000198446*(LOG(0.05/(0.5*0.5*(G7-10))))^3-0.00000195494*(LOG(0.05/(0.5*0.5*(G7-10))))^4-0.0000000757244*(LOG(0.05/(0.5*0.5*(G7-10))))^5)</f>
        <v>887.1316136618658</v>
      </c>
      <c r="K18" s="1"/>
      <c r="M18">
        <v>100</v>
      </c>
      <c r="N18" s="1">
        <f>S27</f>
        <v>43.59</v>
      </c>
      <c r="O18" s="1">
        <f>(S27^(1-Y27)*V27)^(1/Y27)</f>
        <v>2.9741081020372482E-4</v>
      </c>
      <c r="P18" s="3">
        <f>N18*A$13</f>
        <v>6.5036280000000009</v>
      </c>
      <c r="Q18" s="3">
        <f>1.38E-23*S18/(4*(1.602E-19^2)*N18*A$15)</f>
        <v>5.2624841740083697E-8</v>
      </c>
      <c r="R18" s="2">
        <f>3/5.814E-23-((0.1/5.814E-29/4-O18*1.38E-23*S18/(8*(1.602E-19)^2)))*10^-6+SQRT(0.1/5.814E-29*O18*1.38E-23*S18/(8*(1.602E-19)^2)*5.814E-29+ (-0.1/5.814E-29/4+(O18*1.38E-23*S18/(8*(1.602E-19)^2)^2)))*10^-6</f>
        <v>5.1178811062746196E+22</v>
      </c>
      <c r="S18" s="6">
        <f>1/(0.000479779-0.000434801*LOG(0.05/(0.5*0.5*(G27-10)))-0.000100649*(LOG(0.05/(0.5*0.5*(G27-10))))^2-0.0000198446*(LOG(0.05/(0.5*0.5*(G27-10))))^3-0.00000195494*(LOG(0.05/(0.5*0.5*(G27-10))))^4-0.0000000757244*(LOG(0.05/(0.5*0.5*(G27-10))))^5)</f>
        <v>873.16343932971574</v>
      </c>
      <c r="AH18" s="1"/>
    </row>
    <row r="19" spans="1:37" x14ac:dyDescent="0.35">
      <c r="B19" s="2"/>
      <c r="C19" s="2"/>
      <c r="E19" s="1"/>
      <c r="Z19" s="1"/>
    </row>
    <row r="20" spans="1:37" x14ac:dyDescent="0.35">
      <c r="Z20" s="1"/>
    </row>
    <row r="21" spans="1:37" x14ac:dyDescent="0.35">
      <c r="A21" t="s">
        <v>177</v>
      </c>
      <c r="B21" s="1" t="s">
        <v>0</v>
      </c>
      <c r="C21" t="s">
        <v>1</v>
      </c>
      <c r="D21" s="1" t="s">
        <v>2</v>
      </c>
      <c r="E21" s="1" t="s">
        <v>3</v>
      </c>
      <c r="F21" t="s">
        <v>4</v>
      </c>
      <c r="G21" t="s">
        <v>33</v>
      </c>
      <c r="H21" t="s">
        <v>34</v>
      </c>
      <c r="I21" t="s">
        <v>35</v>
      </c>
      <c r="J21" s="1" t="s">
        <v>5</v>
      </c>
      <c r="K21" s="1" t="s">
        <v>6</v>
      </c>
      <c r="L21" t="s">
        <v>7</v>
      </c>
      <c r="M21" t="s">
        <v>8</v>
      </c>
      <c r="N21" s="1" t="s">
        <v>9</v>
      </c>
      <c r="O21" s="1" t="s">
        <v>10</v>
      </c>
      <c r="P21" t="s">
        <v>11</v>
      </c>
      <c r="Q21" s="1" t="s">
        <v>12</v>
      </c>
      <c r="R21" s="1" t="s">
        <v>13</v>
      </c>
      <c r="S21" s="1" t="s">
        <v>14</v>
      </c>
      <c r="T21" s="1" t="s">
        <v>15</v>
      </c>
      <c r="U21" s="1" t="s">
        <v>16</v>
      </c>
      <c r="V21" t="s">
        <v>17</v>
      </c>
      <c r="W21" s="1" t="s">
        <v>18</v>
      </c>
      <c r="X21" s="1" t="s">
        <v>19</v>
      </c>
      <c r="Y21" t="s">
        <v>20</v>
      </c>
      <c r="Z21" t="s">
        <v>21</v>
      </c>
      <c r="AA21" t="s">
        <v>22</v>
      </c>
      <c r="AB21" t="s">
        <v>36</v>
      </c>
      <c r="AC21" s="1" t="s">
        <v>37</v>
      </c>
      <c r="AD21" t="s">
        <v>38</v>
      </c>
    </row>
    <row r="22" spans="1:37" x14ac:dyDescent="0.35">
      <c r="A22" t="s">
        <v>192</v>
      </c>
      <c r="B22" s="1">
        <v>4.5538999999999999E-5</v>
      </c>
      <c r="C22">
        <v>3.0967E-3</v>
      </c>
      <c r="D22" s="1">
        <v>6.3412000000000004E-6</v>
      </c>
      <c r="E22" s="1">
        <v>5.1685000000000003E-8</v>
      </c>
      <c r="F22">
        <v>0.81506999999999996</v>
      </c>
      <c r="G22">
        <v>46.72</v>
      </c>
      <c r="H22">
        <v>0.30520999999999998</v>
      </c>
      <c r="I22">
        <v>0.65327000000000002</v>
      </c>
      <c r="J22" s="1">
        <v>4.1340000000000003</v>
      </c>
      <c r="K22" s="1">
        <v>0.83594000000000002</v>
      </c>
      <c r="L22" s="1">
        <v>20.221</v>
      </c>
      <c r="M22">
        <v>5.8859999999999997E-3</v>
      </c>
      <c r="N22" s="1">
        <v>5.1067999999999999E-3</v>
      </c>
      <c r="O22" s="1">
        <v>86.762</v>
      </c>
      <c r="P22">
        <v>0.41578999999999999</v>
      </c>
      <c r="Q22" s="1">
        <v>0.10051</v>
      </c>
      <c r="R22" s="1">
        <v>24.172999999999998</v>
      </c>
      <c r="S22" s="1">
        <v>975.5</v>
      </c>
      <c r="T22" s="1">
        <v>4.0662000000000003</v>
      </c>
      <c r="U22" s="1">
        <v>0.41682999999999998</v>
      </c>
      <c r="V22">
        <v>5.4872999999999999E-4</v>
      </c>
      <c r="W22" s="1">
        <v>2.7122000000000001E-6</v>
      </c>
      <c r="X22" s="1">
        <v>0.49426999999999999</v>
      </c>
      <c r="Y22">
        <v>0.92430999999999996</v>
      </c>
      <c r="Z22">
        <v>2.2315999999999998E-3</v>
      </c>
      <c r="AA22">
        <v>0.24143000000000001</v>
      </c>
      <c r="AB22">
        <v>0</v>
      </c>
      <c r="AC22" s="1">
        <v>0</v>
      </c>
      <c r="AD22">
        <v>1</v>
      </c>
    </row>
    <row r="23" spans="1:37" x14ac:dyDescent="0.35">
      <c r="A23" t="s">
        <v>191</v>
      </c>
      <c r="B23" s="1">
        <v>1.1374E-5</v>
      </c>
      <c r="C23">
        <v>7.2794999999999999E-4</v>
      </c>
      <c r="D23" s="1">
        <v>6.3335999999999998E-6</v>
      </c>
      <c r="E23" s="1">
        <v>2.4200999999999999E-8</v>
      </c>
      <c r="F23">
        <v>0.3821</v>
      </c>
      <c r="G23">
        <v>44.92</v>
      </c>
      <c r="H23">
        <v>0.10077</v>
      </c>
      <c r="I23">
        <v>0.22433</v>
      </c>
      <c r="J23" s="1">
        <v>3.2250000000000001</v>
      </c>
      <c r="K23" s="1">
        <v>0.27700999999999998</v>
      </c>
      <c r="L23">
        <v>8.5894999999999992</v>
      </c>
      <c r="M23">
        <v>3.1102999999999999E-3</v>
      </c>
      <c r="N23" s="1">
        <v>1.4881E-3</v>
      </c>
      <c r="O23" s="1">
        <v>47.844000000000001</v>
      </c>
      <c r="P23">
        <v>0.50753999999999999</v>
      </c>
      <c r="Q23" s="1">
        <v>5.3419000000000001E-2</v>
      </c>
      <c r="R23" s="1">
        <v>10.525</v>
      </c>
      <c r="S23" s="1">
        <v>421.1</v>
      </c>
      <c r="T23" s="1">
        <v>0.97626999999999997</v>
      </c>
      <c r="U23" s="1">
        <v>0.23183999999999999</v>
      </c>
      <c r="V23">
        <v>4.9757000000000002E-4</v>
      </c>
      <c r="W23" s="1">
        <v>1.9147000000000001E-6</v>
      </c>
      <c r="X23" s="1">
        <v>0.38480999999999999</v>
      </c>
      <c r="Y23">
        <v>0.93210000000000004</v>
      </c>
      <c r="Z23">
        <v>1.4603999999999999E-3</v>
      </c>
      <c r="AA23">
        <v>0.15668000000000001</v>
      </c>
      <c r="AB23">
        <v>0</v>
      </c>
      <c r="AC23" s="1">
        <v>0</v>
      </c>
      <c r="AD23">
        <v>1</v>
      </c>
    </row>
    <row r="24" spans="1:37" x14ac:dyDescent="0.35">
      <c r="A24" t="s">
        <v>190</v>
      </c>
      <c r="B24" s="1">
        <v>6.0579000000000001E-6</v>
      </c>
      <c r="C24">
        <v>4.1194000000000002E-4</v>
      </c>
      <c r="D24" s="1">
        <v>6.3485999999999997E-6</v>
      </c>
      <c r="E24" s="1">
        <v>1.9063E-8</v>
      </c>
      <c r="F24">
        <v>0.30026999999999998</v>
      </c>
      <c r="G24">
        <v>48.96</v>
      </c>
      <c r="H24">
        <v>9.5782999999999993E-2</v>
      </c>
      <c r="I24">
        <v>0.19564000000000001</v>
      </c>
      <c r="J24" s="1">
        <v>4.8499999999999996</v>
      </c>
      <c r="K24" s="1">
        <v>0.35941000000000001</v>
      </c>
      <c r="L24">
        <v>7.4104999999999999</v>
      </c>
      <c r="M24">
        <v>4.6679E-3</v>
      </c>
      <c r="N24" s="1">
        <v>1.4404999999999999E-3</v>
      </c>
      <c r="O24" s="1">
        <v>30.86</v>
      </c>
      <c r="P24">
        <v>0.44490000000000002</v>
      </c>
      <c r="Q24" s="1">
        <v>3.4837E-2</v>
      </c>
      <c r="R24" s="1">
        <v>7.8303000000000003</v>
      </c>
      <c r="S24" s="1">
        <v>312.3</v>
      </c>
      <c r="T24" s="1">
        <v>0.52449000000000001</v>
      </c>
      <c r="U24" s="1">
        <v>0.16794000000000001</v>
      </c>
      <c r="V24">
        <v>4.2949999999999998E-4</v>
      </c>
      <c r="W24" s="1">
        <v>1.4125E-6</v>
      </c>
      <c r="X24" s="1">
        <v>0.32887</v>
      </c>
      <c r="Y24">
        <v>0.94316999999999995</v>
      </c>
      <c r="Z24">
        <v>1.3202000000000001E-3</v>
      </c>
      <c r="AA24">
        <v>0.13997000000000001</v>
      </c>
      <c r="AB24">
        <v>0</v>
      </c>
      <c r="AC24" s="1">
        <v>0</v>
      </c>
      <c r="AD24">
        <v>1</v>
      </c>
    </row>
    <row r="25" spans="1:37" x14ac:dyDescent="0.35">
      <c r="A25" t="s">
        <v>189</v>
      </c>
      <c r="B25" s="1">
        <v>2.8244999999999998E-6</v>
      </c>
      <c r="C25">
        <v>1.6946999999999999E-4</v>
      </c>
      <c r="D25" s="1">
        <v>6.3868999999999998E-6</v>
      </c>
      <c r="E25" s="1">
        <v>1.2903E-8</v>
      </c>
      <c r="F25">
        <v>0.20202000000000001</v>
      </c>
      <c r="G25">
        <v>48.72</v>
      </c>
      <c r="H25">
        <v>6.0518000000000002E-2</v>
      </c>
      <c r="I25">
        <v>0.12422</v>
      </c>
      <c r="J25" s="1">
        <v>5.5810000000000004</v>
      </c>
      <c r="K25" s="1">
        <v>0.33250000000000002</v>
      </c>
      <c r="L25">
        <v>5.9577</v>
      </c>
      <c r="M25">
        <v>3.8118000000000002E-3</v>
      </c>
      <c r="N25" s="1">
        <v>8.4108999999999996E-4</v>
      </c>
      <c r="O25" s="1">
        <v>22.065000000000001</v>
      </c>
      <c r="P25">
        <v>0.46576000000000001</v>
      </c>
      <c r="Q25" s="1">
        <v>2.4098999999999999E-2</v>
      </c>
      <c r="R25" s="1">
        <v>5.1741000000000001</v>
      </c>
      <c r="S25" s="1">
        <v>108.2</v>
      </c>
      <c r="T25" s="1">
        <v>0.33078999999999997</v>
      </c>
      <c r="U25" s="1">
        <v>0.30571999999999999</v>
      </c>
      <c r="V25">
        <v>3.8352999999999998E-4</v>
      </c>
      <c r="W25" s="1">
        <v>1.8262E-6</v>
      </c>
      <c r="X25" s="1">
        <v>0.47616000000000003</v>
      </c>
      <c r="Y25">
        <v>0.95891999999999999</v>
      </c>
      <c r="Z25">
        <v>1.8517E-3</v>
      </c>
      <c r="AA25">
        <v>0.19309999999999999</v>
      </c>
      <c r="AB25">
        <v>0</v>
      </c>
      <c r="AC25" s="1">
        <v>0</v>
      </c>
      <c r="AD25">
        <v>1</v>
      </c>
    </row>
    <row r="26" spans="1:37" x14ac:dyDescent="0.35">
      <c r="A26" t="s">
        <v>188</v>
      </c>
      <c r="B26" s="1">
        <v>2.3128999999999999E-6</v>
      </c>
      <c r="C26">
        <v>1.3415000000000001E-4</v>
      </c>
      <c r="D26" s="1">
        <v>6.4365000000000001E-6</v>
      </c>
      <c r="E26" s="1">
        <v>1.1948000000000001E-8</v>
      </c>
      <c r="F26">
        <v>0.18562999999999999</v>
      </c>
      <c r="G26">
        <v>51.56</v>
      </c>
      <c r="H26">
        <v>4.6572000000000002E-2</v>
      </c>
      <c r="I26">
        <v>9.0326000000000004E-2</v>
      </c>
      <c r="J26" s="1">
        <v>5.1639999999999997</v>
      </c>
      <c r="K26" s="1">
        <v>0.26835999999999999</v>
      </c>
      <c r="L26">
        <v>5.1966999999999999</v>
      </c>
      <c r="M26">
        <v>2.4280999999999999E-3</v>
      </c>
      <c r="N26" s="1">
        <v>5.1407000000000004E-4</v>
      </c>
      <c r="O26" s="1">
        <v>21.172000000000001</v>
      </c>
      <c r="P26">
        <v>0.52431000000000005</v>
      </c>
      <c r="Q26" s="1">
        <v>2.3E-2</v>
      </c>
      <c r="R26" s="1">
        <v>4.3867000000000003</v>
      </c>
      <c r="S26" s="1">
        <v>73.5</v>
      </c>
      <c r="T26" s="1">
        <v>0.27084000000000003</v>
      </c>
      <c r="U26" s="1">
        <v>0.36848999999999998</v>
      </c>
      <c r="V26">
        <v>3.4348000000000001E-4</v>
      </c>
      <c r="W26" s="1">
        <v>2.0808000000000001E-6</v>
      </c>
      <c r="X26" s="1">
        <v>0.60580000000000001</v>
      </c>
      <c r="Y26">
        <v>0.97346999999999995</v>
      </c>
      <c r="Z26">
        <v>2.1833999999999998E-3</v>
      </c>
      <c r="AA26">
        <v>0.22428999999999999</v>
      </c>
      <c r="AB26">
        <v>0</v>
      </c>
      <c r="AC26" s="1">
        <v>0</v>
      </c>
      <c r="AD26">
        <v>1</v>
      </c>
    </row>
    <row r="27" spans="1:37" x14ac:dyDescent="0.35">
      <c r="A27" t="s">
        <v>187</v>
      </c>
      <c r="B27" s="1">
        <v>1.9844999999999998E-6</v>
      </c>
      <c r="C27">
        <v>1.1113E-4</v>
      </c>
      <c r="D27" s="1">
        <v>6.4521999999999998E-6</v>
      </c>
      <c r="E27" s="1">
        <v>1.1348E-8</v>
      </c>
      <c r="F27">
        <v>0.17588000000000001</v>
      </c>
      <c r="G27">
        <v>52.86</v>
      </c>
      <c r="H27">
        <v>4.6366999999999998E-2</v>
      </c>
      <c r="I27">
        <v>8.7717000000000003E-2</v>
      </c>
      <c r="J27" s="1">
        <v>5.4969999999999999</v>
      </c>
      <c r="K27" s="1">
        <v>0.34033999999999998</v>
      </c>
      <c r="L27">
        <v>6.1913999999999998</v>
      </c>
      <c r="M27">
        <v>2.3134000000000002E-3</v>
      </c>
      <c r="N27" s="1">
        <v>5.1729E-4</v>
      </c>
      <c r="O27" s="1">
        <v>22.361000000000001</v>
      </c>
      <c r="P27">
        <v>0.52324000000000004</v>
      </c>
      <c r="Q27" s="1">
        <v>2.3661999999999999E-2</v>
      </c>
      <c r="R27" s="1">
        <v>4.5221999999999998</v>
      </c>
      <c r="S27" s="1">
        <v>43.59</v>
      </c>
      <c r="T27" s="1">
        <v>0.31086999999999998</v>
      </c>
      <c r="U27" s="1">
        <v>0.71316999999999997</v>
      </c>
      <c r="V27">
        <v>3.2242000000000002E-4</v>
      </c>
      <c r="W27" s="1">
        <v>2.9316999999999998E-6</v>
      </c>
      <c r="X27" s="1">
        <v>0.90927999999999998</v>
      </c>
      <c r="Y27">
        <v>0.98141999999999996</v>
      </c>
      <c r="Z27">
        <v>3.3733999999999999E-3</v>
      </c>
      <c r="AA27">
        <v>0.34372999999999998</v>
      </c>
      <c r="AB27">
        <v>0</v>
      </c>
      <c r="AC27" s="1">
        <v>0</v>
      </c>
      <c r="AD27">
        <v>1</v>
      </c>
    </row>
    <row r="29" spans="1:37" x14ac:dyDescent="0.35">
      <c r="A29" t="s">
        <v>150</v>
      </c>
      <c r="B29" t="s">
        <v>0</v>
      </c>
      <c r="C29" t="s">
        <v>1</v>
      </c>
      <c r="D29" t="s">
        <v>2</v>
      </c>
      <c r="E29" t="s">
        <v>3</v>
      </c>
      <c r="F29" t="s">
        <v>4</v>
      </c>
      <c r="G29" t="s">
        <v>33</v>
      </c>
      <c r="H29" t="s">
        <v>34</v>
      </c>
      <c r="I29" t="s">
        <v>35</v>
      </c>
      <c r="J29" t="s">
        <v>5</v>
      </c>
      <c r="K29" t="s">
        <v>6</v>
      </c>
      <c r="L29" t="s">
        <v>7</v>
      </c>
      <c r="M29" t="s">
        <v>8</v>
      </c>
      <c r="N29" t="s">
        <v>9</v>
      </c>
      <c r="O29" t="s">
        <v>10</v>
      </c>
      <c r="P29" t="s">
        <v>11</v>
      </c>
      <c r="Q29" t="s">
        <v>12</v>
      </c>
      <c r="R29" t="s">
        <v>13</v>
      </c>
      <c r="S29" t="s">
        <v>14</v>
      </c>
      <c r="T29" t="s">
        <v>15</v>
      </c>
      <c r="U29" t="s">
        <v>16</v>
      </c>
      <c r="V29" t="s">
        <v>17</v>
      </c>
      <c r="W29" t="s">
        <v>18</v>
      </c>
      <c r="X29" t="s">
        <v>19</v>
      </c>
      <c r="Y29" t="s">
        <v>20</v>
      </c>
      <c r="Z29" t="s">
        <v>21</v>
      </c>
      <c r="AA29" t="s">
        <v>22</v>
      </c>
      <c r="AF29" s="1"/>
      <c r="AK29" s="1"/>
    </row>
    <row r="30" spans="1:37" x14ac:dyDescent="0.35">
      <c r="A30" t="s">
        <v>186</v>
      </c>
      <c r="B30" s="1">
        <v>2.4813000000000001E-5</v>
      </c>
      <c r="C30">
        <v>1.6873000000000001E-3</v>
      </c>
      <c r="D30" s="1">
        <v>6.4911999999999998E-6</v>
      </c>
      <c r="E30" s="1">
        <v>3.9004000000000003E-8</v>
      </c>
      <c r="F30">
        <v>0.60087999999999997</v>
      </c>
      <c r="G30">
        <v>49.06</v>
      </c>
      <c r="H30">
        <v>0.18512000000000001</v>
      </c>
      <c r="I30">
        <v>0.37733</v>
      </c>
      <c r="J30" s="1">
        <v>3.782</v>
      </c>
      <c r="K30" s="1">
        <v>0.44048999999999999</v>
      </c>
      <c r="L30">
        <v>11.647</v>
      </c>
      <c r="M30">
        <v>2.5752000000000001E-3</v>
      </c>
      <c r="N30" s="1">
        <v>1.7034999999999999E-3</v>
      </c>
      <c r="O30" s="1">
        <v>66.150000000000006</v>
      </c>
      <c r="P30">
        <v>0.49110999999999999</v>
      </c>
      <c r="Q30" s="1">
        <v>7.3412000000000005E-2</v>
      </c>
      <c r="R30" s="1">
        <v>14.948</v>
      </c>
      <c r="S30" s="1">
        <v>565.70000000000005</v>
      </c>
      <c r="T30" s="1">
        <v>1.5605</v>
      </c>
      <c r="U30" s="1">
        <v>0.27584999999999998</v>
      </c>
      <c r="V30">
        <v>4.7333999999999999E-4</v>
      </c>
      <c r="W30" s="1">
        <v>2.2998E-6</v>
      </c>
      <c r="X30" s="1">
        <v>0.48587000000000002</v>
      </c>
      <c r="Y30">
        <v>0.92532999999999999</v>
      </c>
      <c r="Z30">
        <v>1.8575E-3</v>
      </c>
      <c r="AA30">
        <v>0.20074</v>
      </c>
    </row>
    <row r="31" spans="1:37" x14ac:dyDescent="0.35">
      <c r="A31" t="s">
        <v>185</v>
      </c>
      <c r="B31" s="1">
        <v>1.4953000000000001E-5</v>
      </c>
      <c r="C31">
        <v>1.0168E-3</v>
      </c>
      <c r="D31" s="1">
        <v>6.4370999999999997E-6</v>
      </c>
      <c r="E31" s="1">
        <v>3.8276999999999999E-8</v>
      </c>
      <c r="F31">
        <v>0.59462999999999999</v>
      </c>
      <c r="G31">
        <v>67.819999999999993</v>
      </c>
      <c r="H31">
        <v>0.18503</v>
      </c>
      <c r="I31">
        <v>0.27283000000000002</v>
      </c>
      <c r="J31">
        <v>7.2530000000000001</v>
      </c>
      <c r="K31">
        <v>0.56225000000000003</v>
      </c>
      <c r="L31">
        <v>7.7519999999999998</v>
      </c>
      <c r="M31">
        <v>2.4491000000000001E-3</v>
      </c>
      <c r="N31">
        <v>9.1933E-4</v>
      </c>
      <c r="O31">
        <v>37.536999999999999</v>
      </c>
      <c r="P31">
        <v>0.46359</v>
      </c>
      <c r="Q31">
        <v>4.2930999999999997E-2</v>
      </c>
      <c r="R31">
        <v>9.2606000000000002</v>
      </c>
      <c r="S31">
        <v>925.7</v>
      </c>
      <c r="T31">
        <v>2.1246</v>
      </c>
      <c r="U31">
        <v>0.22950999999999999</v>
      </c>
      <c r="V31">
        <v>3.9505999999999997E-4</v>
      </c>
      <c r="W31" s="1">
        <v>1.3197E-6</v>
      </c>
      <c r="X31">
        <v>0.33405000000000001</v>
      </c>
      <c r="Y31">
        <v>0.93274000000000001</v>
      </c>
      <c r="Z31">
        <v>1.4537E-3</v>
      </c>
      <c r="AA31">
        <v>0.15584999999999999</v>
      </c>
    </row>
    <row r="32" spans="1:37" x14ac:dyDescent="0.35">
      <c r="A32" t="s">
        <v>184</v>
      </c>
      <c r="B32" s="1">
        <v>1.8810000000000001E-5</v>
      </c>
      <c r="C32">
        <v>1.3167000000000001E-3</v>
      </c>
      <c r="D32" s="1">
        <v>6.0491999999999996E-6</v>
      </c>
      <c r="E32" s="1">
        <v>7.5158000000000004E-8</v>
      </c>
      <c r="F32">
        <v>1.2423999999999999</v>
      </c>
      <c r="G32">
        <v>131.9</v>
      </c>
      <c r="H32">
        <v>0.31233</v>
      </c>
      <c r="I32">
        <v>0.23679</v>
      </c>
      <c r="J32">
        <v>21.03</v>
      </c>
      <c r="K32">
        <v>1.2178</v>
      </c>
      <c r="L32">
        <v>5.7907999999999999</v>
      </c>
      <c r="M32">
        <v>1.1938999999999999E-3</v>
      </c>
      <c r="N32">
        <v>3.0636999999999998E-4</v>
      </c>
      <c r="O32">
        <v>25.661000000000001</v>
      </c>
      <c r="P32">
        <v>0.47521999999999998</v>
      </c>
      <c r="Q32">
        <v>3.0880000000000001E-2</v>
      </c>
      <c r="R32">
        <v>6.4980000000000002</v>
      </c>
      <c r="S32">
        <v>2307</v>
      </c>
      <c r="T32">
        <v>6.0833000000000004</v>
      </c>
      <c r="U32">
        <v>0.26368999999999998</v>
      </c>
      <c r="V32">
        <v>3.1111000000000002E-4</v>
      </c>
      <c r="W32" s="1">
        <v>8.9571999999999998E-7</v>
      </c>
      <c r="X32">
        <v>0.28791</v>
      </c>
      <c r="Y32">
        <v>0.93386000000000002</v>
      </c>
      <c r="Z32">
        <v>1.5528E-3</v>
      </c>
      <c r="AA32">
        <v>0.16628000000000001</v>
      </c>
    </row>
    <row r="33" spans="1:32" x14ac:dyDescent="0.35">
      <c r="A33" t="s">
        <v>183</v>
      </c>
      <c r="B33" s="1">
        <v>3.3626E-5</v>
      </c>
      <c r="C33">
        <v>2.3538000000000001E-3</v>
      </c>
      <c r="D33" s="1">
        <v>4.7696E-6</v>
      </c>
      <c r="E33" s="1">
        <v>1.7652E-7</v>
      </c>
      <c r="F33">
        <v>3.7008999999999999</v>
      </c>
      <c r="G33">
        <v>240.8</v>
      </c>
      <c r="H33">
        <v>0.64544999999999997</v>
      </c>
      <c r="I33">
        <v>0.26804</v>
      </c>
      <c r="J33">
        <v>45.65</v>
      </c>
      <c r="K33">
        <v>4.0072000000000001</v>
      </c>
      <c r="L33">
        <v>8.7781000000000002</v>
      </c>
      <c r="M33">
        <v>1.1209E-3</v>
      </c>
      <c r="N33">
        <v>3.2013000000000001E-4</v>
      </c>
      <c r="O33">
        <v>28.56</v>
      </c>
      <c r="P33">
        <v>0.46504000000000001</v>
      </c>
      <c r="Q33">
        <v>3.7322000000000001E-2</v>
      </c>
      <c r="R33">
        <v>8.0254999999999992</v>
      </c>
      <c r="S33">
        <v>4623</v>
      </c>
      <c r="T33">
        <v>19.774000000000001</v>
      </c>
      <c r="U33">
        <v>0.42773</v>
      </c>
      <c r="V33">
        <v>2.6766000000000002E-4</v>
      </c>
      <c r="W33" s="1">
        <v>8.7688999999999996E-7</v>
      </c>
      <c r="X33">
        <v>0.32761000000000001</v>
      </c>
      <c r="Y33">
        <v>0.93708999999999998</v>
      </c>
      <c r="Z33">
        <v>2.3002000000000001E-3</v>
      </c>
      <c r="AA33">
        <v>0.24546000000000001</v>
      </c>
    </row>
    <row r="34" spans="1:32" x14ac:dyDescent="0.35">
      <c r="J34" s="1"/>
      <c r="K34" s="1"/>
      <c r="N34" s="1"/>
      <c r="O34" s="1"/>
      <c r="Q34" s="1"/>
      <c r="R34" s="1"/>
      <c r="S34" s="1"/>
      <c r="T34" s="1"/>
      <c r="U34" s="1"/>
      <c r="X34" s="1"/>
      <c r="AC34" s="1"/>
    </row>
    <row r="35" spans="1:32" x14ac:dyDescent="0.35">
      <c r="J35" s="1"/>
      <c r="K35" s="1"/>
      <c r="M35" s="1"/>
      <c r="N35" s="1"/>
      <c r="Q35" s="1"/>
      <c r="R35" s="1"/>
      <c r="T35" s="1"/>
      <c r="U35" s="1"/>
      <c r="V35" s="1"/>
      <c r="W35" s="1"/>
      <c r="X35" s="1"/>
      <c r="AA35" s="1"/>
      <c r="AC35" s="1"/>
      <c r="AF35" s="1"/>
    </row>
    <row r="36" spans="1:32" x14ac:dyDescent="0.35">
      <c r="B36" s="1"/>
      <c r="D36" s="1"/>
      <c r="E36" s="1"/>
      <c r="J36" s="1"/>
      <c r="K36" s="1"/>
      <c r="N36" s="1"/>
      <c r="O36" s="1"/>
      <c r="Q36" s="1"/>
      <c r="R36" s="1"/>
      <c r="S36" s="1"/>
      <c r="T36" s="1"/>
      <c r="U36" s="1"/>
      <c r="W36" s="1"/>
      <c r="X36" s="1"/>
      <c r="AC36" s="1"/>
    </row>
    <row r="37" spans="1:32" x14ac:dyDescent="0.35">
      <c r="B37" s="1"/>
      <c r="D37" s="1"/>
      <c r="E37" s="1"/>
      <c r="J37" s="1"/>
      <c r="K37" s="1"/>
      <c r="L37" s="1"/>
      <c r="N37" s="1"/>
      <c r="O37" s="1"/>
      <c r="Q37" s="1"/>
      <c r="R37" s="1"/>
      <c r="S37" s="1"/>
      <c r="T37" s="1"/>
      <c r="U37" s="1"/>
      <c r="W37" s="1"/>
      <c r="X37" s="1"/>
      <c r="AC37" s="1"/>
    </row>
    <row r="38" spans="1:32" x14ac:dyDescent="0.35">
      <c r="B38" s="1"/>
      <c r="D38" s="1"/>
      <c r="E38" s="1"/>
      <c r="J38" s="1"/>
      <c r="K38" s="1"/>
      <c r="N38" s="1"/>
      <c r="O38" s="1"/>
      <c r="Q38" s="1"/>
      <c r="R38" s="1"/>
      <c r="S38" s="1"/>
      <c r="T38" s="1"/>
      <c r="U38" s="1"/>
      <c r="W38" s="1"/>
      <c r="X38" s="1"/>
      <c r="AC38" s="1"/>
    </row>
    <row r="39" spans="1:32" x14ac:dyDescent="0.35">
      <c r="B39" s="1"/>
      <c r="D39" s="1"/>
      <c r="E39" s="1"/>
      <c r="J39" s="1"/>
      <c r="K39" s="1"/>
      <c r="N39" s="1"/>
      <c r="O39" s="1"/>
      <c r="Q39" s="1"/>
      <c r="R39" s="1"/>
      <c r="S39" s="1"/>
      <c r="T39" s="1"/>
      <c r="U39" s="1"/>
      <c r="W39" s="1"/>
      <c r="X39" s="1"/>
      <c r="AC39" s="1"/>
    </row>
    <row r="40" spans="1:32" x14ac:dyDescent="0.35">
      <c r="B40" s="1"/>
      <c r="D40" s="1"/>
      <c r="E40" s="1"/>
      <c r="J40" s="1"/>
      <c r="K40" s="1"/>
      <c r="N40" s="1"/>
      <c r="O40" s="1"/>
      <c r="Q40" s="1"/>
      <c r="R40" s="1"/>
      <c r="S40" s="1"/>
      <c r="T40" s="1"/>
      <c r="U40" s="1"/>
      <c r="W40" s="1"/>
      <c r="X40" s="1"/>
      <c r="AC40" s="1"/>
    </row>
    <row r="41" spans="1:32" x14ac:dyDescent="0.35">
      <c r="B41" s="1"/>
      <c r="D41" s="1"/>
      <c r="E41" s="1"/>
      <c r="J41" s="1"/>
      <c r="K41" s="1"/>
      <c r="N41" s="1"/>
      <c r="O41" s="1"/>
      <c r="Q41" s="1"/>
      <c r="R41" s="1"/>
      <c r="S41" s="1"/>
      <c r="T41" s="1"/>
      <c r="U41" s="1"/>
      <c r="W41" s="1"/>
      <c r="X41" s="1"/>
      <c r="AC41" s="1"/>
    </row>
    <row r="42" spans="1:32" x14ac:dyDescent="0.35">
      <c r="B42" s="1"/>
      <c r="D42" s="1"/>
      <c r="E42" s="1"/>
      <c r="J42" s="1"/>
      <c r="K42" s="1"/>
      <c r="N42" s="1"/>
      <c r="O42" s="1"/>
      <c r="Q42" s="1"/>
      <c r="R42" s="1"/>
      <c r="S42" s="1"/>
      <c r="T42" s="1"/>
      <c r="U42" s="1"/>
      <c r="W42" s="1"/>
      <c r="X42" s="1"/>
      <c r="AC42" s="1"/>
    </row>
    <row r="43" spans="1:32" x14ac:dyDescent="0.35">
      <c r="B43" s="1"/>
      <c r="D43" s="1"/>
      <c r="E43" s="1"/>
      <c r="W43" s="1"/>
    </row>
    <row r="44" spans="1:32" x14ac:dyDescent="0.35">
      <c r="B44" s="1"/>
      <c r="D44" s="1"/>
      <c r="E44" s="1"/>
      <c r="W44" s="1"/>
    </row>
    <row r="45" spans="1:32" x14ac:dyDescent="0.35">
      <c r="B45" s="1"/>
      <c r="D45" s="1"/>
      <c r="E45" s="1"/>
      <c r="W45" s="1"/>
    </row>
    <row r="46" spans="1:32" x14ac:dyDescent="0.35">
      <c r="H46" s="1"/>
      <c r="J46" s="1"/>
      <c r="K46" s="1"/>
      <c r="AC46" s="1"/>
    </row>
    <row r="47" spans="1:32" x14ac:dyDescent="0.35">
      <c r="H47" s="1"/>
      <c r="I47" s="1"/>
      <c r="J47" s="1"/>
      <c r="K47" s="1"/>
      <c r="AC47" s="1"/>
    </row>
    <row r="48" spans="1:32" x14ac:dyDescent="0.35">
      <c r="H48" s="1"/>
      <c r="I48" s="1"/>
      <c r="J48" s="1"/>
      <c r="K48" s="1"/>
      <c r="AC48" s="1"/>
    </row>
    <row r="49" spans="6:29" x14ac:dyDescent="0.35">
      <c r="H49" s="1"/>
      <c r="J49" s="1"/>
      <c r="K49" s="1"/>
      <c r="AC49" s="1"/>
    </row>
    <row r="50" spans="6:29" x14ac:dyDescent="0.35">
      <c r="H50" s="1"/>
      <c r="J50" s="1"/>
      <c r="K50" s="1"/>
      <c r="AC50" s="1"/>
    </row>
    <row r="51" spans="6:29" x14ac:dyDescent="0.35">
      <c r="H51" s="1"/>
      <c r="I51" s="1"/>
      <c r="J51" s="1"/>
      <c r="K51" s="1"/>
      <c r="AC51" s="1"/>
    </row>
    <row r="52" spans="6:29" x14ac:dyDescent="0.35">
      <c r="H52" s="1"/>
      <c r="I52" s="1"/>
      <c r="J52" s="1"/>
      <c r="K52" s="1"/>
      <c r="AC52" s="1"/>
    </row>
    <row r="53" spans="6:29" x14ac:dyDescent="0.35">
      <c r="H53" s="1"/>
      <c r="J53" s="1"/>
      <c r="K53" s="1"/>
      <c r="AC53" s="1"/>
    </row>
    <row r="54" spans="6:29" x14ac:dyDescent="0.35">
      <c r="H54" s="1"/>
      <c r="J54" s="1"/>
      <c r="K54" s="1"/>
      <c r="AC54" s="1"/>
    </row>
    <row r="55" spans="6:29" x14ac:dyDescent="0.35">
      <c r="H55" s="1"/>
      <c r="I55" s="1"/>
      <c r="J55" s="1"/>
      <c r="K55" s="1"/>
      <c r="AC55" s="1"/>
    </row>
    <row r="56" spans="6:29" x14ac:dyDescent="0.35">
      <c r="H56" s="1"/>
      <c r="I56" s="1"/>
      <c r="J56" s="1"/>
      <c r="K56" s="1"/>
      <c r="AC56" s="1"/>
    </row>
    <row r="57" spans="6:29" x14ac:dyDescent="0.35">
      <c r="H57" s="1"/>
      <c r="I57" s="1"/>
      <c r="J57" s="1"/>
      <c r="K57" s="1"/>
      <c r="AC57" s="1"/>
    </row>
    <row r="58" spans="6:29" x14ac:dyDescent="0.35">
      <c r="H58" s="1"/>
      <c r="I58" s="1"/>
      <c r="J58" s="1"/>
      <c r="K58" s="1"/>
      <c r="AC58" s="1"/>
    </row>
    <row r="59" spans="6:29" x14ac:dyDescent="0.35">
      <c r="H59" s="1"/>
      <c r="I59" s="1"/>
      <c r="J59" s="1"/>
      <c r="K59" s="1"/>
      <c r="AC59" s="1"/>
    </row>
    <row r="60" spans="6:29" x14ac:dyDescent="0.35">
      <c r="H60" s="1"/>
      <c r="I60" s="1"/>
      <c r="J60" s="1"/>
      <c r="K60" s="1"/>
      <c r="AC60" s="1"/>
    </row>
    <row r="61" spans="6:29" x14ac:dyDescent="0.35">
      <c r="H61" s="1"/>
      <c r="I61" s="1"/>
      <c r="J61" s="1"/>
      <c r="K61" s="1"/>
      <c r="AC61" s="1"/>
    </row>
    <row r="62" spans="6:29" x14ac:dyDescent="0.35">
      <c r="H62" s="1"/>
      <c r="J62" s="1"/>
      <c r="K62" s="1"/>
      <c r="AC62" s="1"/>
    </row>
    <row r="63" spans="6:29" x14ac:dyDescent="0.35">
      <c r="H63" s="1"/>
      <c r="I63" s="1"/>
      <c r="J63" s="1"/>
      <c r="K63" s="1"/>
      <c r="AC63" s="1"/>
    </row>
    <row r="64" spans="6:29" x14ac:dyDescent="0.35">
      <c r="F64" s="1"/>
      <c r="H64" s="1"/>
      <c r="I64" s="1"/>
      <c r="J64" s="1"/>
      <c r="K64" s="1"/>
      <c r="AC64" s="1"/>
    </row>
    <row r="65" spans="5:29" x14ac:dyDescent="0.35">
      <c r="F65" s="1"/>
      <c r="H65" s="1"/>
      <c r="I65" s="1"/>
      <c r="J65" s="1"/>
      <c r="K65" s="1"/>
      <c r="AC65" s="1"/>
    </row>
    <row r="66" spans="5:29" x14ac:dyDescent="0.35">
      <c r="E66" s="1"/>
      <c r="F66" s="1"/>
      <c r="H66" s="1"/>
      <c r="I66" s="1"/>
      <c r="J66" s="1"/>
      <c r="K66" s="1"/>
      <c r="AC66" s="1"/>
    </row>
    <row r="67" spans="5:29" x14ac:dyDescent="0.35">
      <c r="E67" s="1"/>
      <c r="F67" s="1"/>
      <c r="H67" s="1"/>
      <c r="I67" s="1"/>
      <c r="J67" s="1"/>
      <c r="K67" s="1"/>
      <c r="AC67" s="1"/>
    </row>
    <row r="68" spans="5:29" x14ac:dyDescent="0.35">
      <c r="E68" s="1"/>
      <c r="F68" s="1"/>
      <c r="G68" s="1"/>
      <c r="H68" s="1"/>
      <c r="Z68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zoomScale="68" zoomScaleNormal="70" workbookViewId="0">
      <selection activeCell="A16" sqref="A16"/>
    </sheetView>
  </sheetViews>
  <sheetFormatPr baseColWidth="10" defaultColWidth="8.7265625" defaultRowHeight="14.5" x14ac:dyDescent="0.35"/>
  <cols>
    <col min="1" max="1" width="110.6328125" customWidth="1"/>
    <col min="2" max="2" width="18.81640625" customWidth="1"/>
    <col min="3" max="3" width="12" customWidth="1"/>
    <col min="4" max="4" width="17.36328125" customWidth="1"/>
    <col min="5" max="5" width="20.54296875" customWidth="1"/>
    <col min="6" max="6" width="16" customWidth="1"/>
    <col min="7" max="7" width="14.54296875" customWidth="1"/>
    <col min="8" max="8" width="12.7265625" customWidth="1"/>
    <col min="9" max="9" width="13.54296875" bestFit="1" customWidth="1"/>
    <col min="10" max="11" width="8.90625" bestFit="1" customWidth="1"/>
    <col min="13" max="13" width="10" bestFit="1" customWidth="1"/>
    <col min="14" max="14" width="13" customWidth="1"/>
    <col min="15" max="16" width="10.26953125" bestFit="1" customWidth="1"/>
    <col min="17" max="18" width="11.81640625" bestFit="1" customWidth="1"/>
    <col min="23" max="23" width="9.26953125" bestFit="1" customWidth="1"/>
    <col min="24" max="25" width="11.81640625" bestFit="1" customWidth="1"/>
    <col min="26" max="26" width="12" bestFit="1" customWidth="1"/>
    <col min="27" max="27" width="13.81640625" bestFit="1" customWidth="1"/>
    <col min="28" max="28" width="11.81640625" bestFit="1" customWidth="1"/>
    <col min="29" max="29" width="12.453125" bestFit="1" customWidth="1"/>
    <col min="30" max="31" width="11.81640625" bestFit="1" customWidth="1"/>
  </cols>
  <sheetData>
    <row r="1" spans="1:38" x14ac:dyDescent="0.35">
      <c r="A1" t="s">
        <v>150</v>
      </c>
      <c r="B1" t="s">
        <v>136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33</v>
      </c>
      <c r="I1" t="s">
        <v>34</v>
      </c>
      <c r="J1" t="s">
        <v>35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</row>
    <row r="2" spans="1:38" x14ac:dyDescent="0.35">
      <c r="A2" t="s">
        <v>215</v>
      </c>
      <c r="B2">
        <f>D13</f>
        <v>0</v>
      </c>
      <c r="C2" s="1">
        <v>1.1527E-6</v>
      </c>
      <c r="D2" s="1">
        <v>7.0314999999999993E-5</v>
      </c>
      <c r="E2" s="1">
        <v>6.4308000000000003E-6</v>
      </c>
      <c r="F2" s="1">
        <v>8.2872999999999997E-9</v>
      </c>
      <c r="G2">
        <v>0.12887000000000001</v>
      </c>
      <c r="H2">
        <v>47.3</v>
      </c>
      <c r="I2">
        <v>4.4701999999999999E-2</v>
      </c>
      <c r="J2">
        <v>9.4506999999999994E-2</v>
      </c>
      <c r="K2">
        <v>4.6029999999999998</v>
      </c>
      <c r="L2">
        <v>0.38596000000000003</v>
      </c>
      <c r="M2">
        <v>8.3849999999999998</v>
      </c>
      <c r="N2">
        <v>4.4688999999999996E-3</v>
      </c>
      <c r="O2">
        <v>1.106E-3</v>
      </c>
      <c r="P2">
        <v>24.748999999999999</v>
      </c>
      <c r="Q2">
        <v>0.46265000000000001</v>
      </c>
      <c r="R2">
        <v>2.5205000000000002E-2</v>
      </c>
      <c r="S2">
        <v>5.4480000000000004</v>
      </c>
      <c r="T2">
        <v>12.57</v>
      </c>
      <c r="U2">
        <v>0.19908999999999999</v>
      </c>
      <c r="V2">
        <v>1.5839000000000001</v>
      </c>
      <c r="W2">
        <v>2.2953000000000001E-2</v>
      </c>
      <c r="X2" s="1">
        <v>3.9343000000000001E-4</v>
      </c>
      <c r="Y2">
        <v>1.7141</v>
      </c>
      <c r="Z2">
        <v>0.95213999999999999</v>
      </c>
      <c r="AA2">
        <v>9.9638000000000001E-3</v>
      </c>
      <c r="AB2">
        <v>1.0465</v>
      </c>
      <c r="AC2">
        <v>20.53</v>
      </c>
      <c r="AD2">
        <v>0.38002999999999998</v>
      </c>
      <c r="AE2">
        <v>1.8511</v>
      </c>
      <c r="AF2">
        <v>6.3632000000000001E-4</v>
      </c>
      <c r="AG2" s="1">
        <v>1.2289999999999999E-5</v>
      </c>
      <c r="AH2">
        <v>1.9314</v>
      </c>
      <c r="AI2">
        <v>0.95093000000000005</v>
      </c>
      <c r="AJ2">
        <v>7.0603000000000003E-3</v>
      </c>
      <c r="AK2">
        <v>0.74246000000000001</v>
      </c>
    </row>
    <row r="3" spans="1:38" x14ac:dyDescent="0.35">
      <c r="A3" t="s">
        <v>214</v>
      </c>
      <c r="B3">
        <f>D14</f>
        <v>0.14285714285714285</v>
      </c>
      <c r="C3" s="1">
        <v>2.0750999999999998E-6</v>
      </c>
      <c r="D3">
        <v>1.2658E-4</v>
      </c>
      <c r="E3" s="1">
        <v>6.3172999999999996E-6</v>
      </c>
      <c r="F3" s="1">
        <v>1.1271E-8</v>
      </c>
      <c r="G3">
        <v>0.17841000000000001</v>
      </c>
      <c r="H3">
        <v>46.88</v>
      </c>
      <c r="I3">
        <v>6.5107999999999999E-2</v>
      </c>
      <c r="J3">
        <v>0.13888</v>
      </c>
      <c r="K3">
        <v>4.0609999999999999</v>
      </c>
      <c r="L3">
        <v>0.47254000000000002</v>
      </c>
      <c r="M3">
        <v>11.635999999999999</v>
      </c>
      <c r="N3">
        <v>2.7266999999999999E-3</v>
      </c>
      <c r="O3">
        <v>1.0855000000000001E-3</v>
      </c>
      <c r="P3">
        <v>39.81</v>
      </c>
      <c r="Q3">
        <v>0.48977999999999999</v>
      </c>
      <c r="R3">
        <v>3.8906000000000003E-2</v>
      </c>
      <c r="S3">
        <v>7.9436</v>
      </c>
      <c r="T3">
        <v>13.97</v>
      </c>
      <c r="U3">
        <v>0.17402999999999999</v>
      </c>
      <c r="V3">
        <v>1.2457</v>
      </c>
      <c r="W3">
        <v>2.0497000000000001E-2</v>
      </c>
      <c r="X3" s="1">
        <v>2.7263999999999999E-4</v>
      </c>
      <c r="Y3">
        <v>1.3301000000000001</v>
      </c>
      <c r="Z3">
        <v>0.94198999999999999</v>
      </c>
      <c r="AA3">
        <v>9.0682999999999996E-3</v>
      </c>
      <c r="AB3">
        <v>0.96267000000000003</v>
      </c>
      <c r="AC3">
        <v>11.94</v>
      </c>
      <c r="AD3">
        <v>0.42104000000000003</v>
      </c>
      <c r="AE3">
        <v>3.5263</v>
      </c>
      <c r="AF3">
        <v>5.6278000000000003E-4</v>
      </c>
      <c r="AG3" s="1">
        <v>2.3745999999999999E-5</v>
      </c>
      <c r="AH3">
        <v>4.2194000000000003</v>
      </c>
      <c r="AI3">
        <v>0.93820999999999999</v>
      </c>
      <c r="AJ3">
        <v>1.3442000000000001E-2</v>
      </c>
      <c r="AK3">
        <v>1.4327000000000001</v>
      </c>
    </row>
    <row r="4" spans="1:38" x14ac:dyDescent="0.35">
      <c r="A4" t="s">
        <v>213</v>
      </c>
      <c r="B4">
        <f>D15</f>
        <v>0.2857142857142857</v>
      </c>
      <c r="C4" s="1">
        <v>1.6803E-6</v>
      </c>
      <c r="D4">
        <v>1.025E-4</v>
      </c>
      <c r="E4" s="1">
        <v>6.3010000000000003E-6</v>
      </c>
      <c r="F4" s="1">
        <v>9.6784000000000008E-9</v>
      </c>
      <c r="G4">
        <v>0.15359999999999999</v>
      </c>
      <c r="H4">
        <v>47.12</v>
      </c>
      <c r="I4">
        <v>3.9307000000000002E-2</v>
      </c>
      <c r="J4">
        <v>8.3418999999999993E-2</v>
      </c>
      <c r="K4">
        <v>2.956</v>
      </c>
      <c r="L4">
        <v>0.24474000000000001</v>
      </c>
      <c r="M4">
        <v>8.2794000000000008</v>
      </c>
      <c r="N4">
        <v>1.1444999999999999E-3</v>
      </c>
      <c r="O4">
        <v>4.0945E-4</v>
      </c>
      <c r="P4">
        <v>35.774999999999999</v>
      </c>
      <c r="Q4">
        <v>0.59724999999999995</v>
      </c>
      <c r="R4">
        <v>3.5282000000000001E-2</v>
      </c>
      <c r="S4">
        <v>5.9074</v>
      </c>
      <c r="T4">
        <v>13.48</v>
      </c>
      <c r="U4">
        <v>0.14956</v>
      </c>
      <c r="V4">
        <v>1.1094999999999999</v>
      </c>
      <c r="W4">
        <v>2.1228E-2</v>
      </c>
      <c r="X4" s="1">
        <v>2.5314000000000001E-4</v>
      </c>
      <c r="Y4">
        <v>1.1924999999999999</v>
      </c>
      <c r="Z4">
        <v>0.93681000000000003</v>
      </c>
      <c r="AA4">
        <v>8.1271999999999994E-3</v>
      </c>
      <c r="AB4">
        <v>0.86753999999999998</v>
      </c>
      <c r="AC4">
        <v>10.66</v>
      </c>
      <c r="AD4">
        <v>0.26802999999999999</v>
      </c>
      <c r="AE4">
        <v>2.5144000000000002</v>
      </c>
      <c r="AF4">
        <v>5.6651E-4</v>
      </c>
      <c r="AG4" s="1">
        <v>2.4170000000000001E-5</v>
      </c>
      <c r="AH4">
        <v>4.2664999999999997</v>
      </c>
      <c r="AI4">
        <v>0.92535000000000001</v>
      </c>
      <c r="AJ4">
        <v>1.1671000000000001E-2</v>
      </c>
      <c r="AK4">
        <v>1.2613000000000001</v>
      </c>
    </row>
    <row r="5" spans="1:38" x14ac:dyDescent="0.35">
      <c r="A5" t="s">
        <v>212</v>
      </c>
      <c r="B5">
        <f>D16</f>
        <v>0.42857142857142855</v>
      </c>
      <c r="C5" s="1">
        <v>1.3529E-6</v>
      </c>
      <c r="D5" s="1">
        <v>8.2528000000000007E-5</v>
      </c>
      <c r="E5" s="1">
        <v>6.3153999999999997E-6</v>
      </c>
      <c r="F5" s="1">
        <v>9.1570000000000005E-9</v>
      </c>
      <c r="G5">
        <v>0.14499000000000001</v>
      </c>
      <c r="H5">
        <v>46.95</v>
      </c>
      <c r="I5" s="1">
        <v>5.4511999999999998E-2</v>
      </c>
      <c r="J5">
        <v>0.11611</v>
      </c>
      <c r="K5" s="1">
        <v>4.0860000000000003</v>
      </c>
      <c r="L5" s="1">
        <v>0.42921999999999999</v>
      </c>
      <c r="M5">
        <v>10.505000000000001</v>
      </c>
      <c r="N5">
        <v>2.8730000000000001E-3</v>
      </c>
      <c r="O5" s="1">
        <v>9.7628000000000005E-4</v>
      </c>
      <c r="P5">
        <v>33.981000000000002</v>
      </c>
      <c r="Q5">
        <v>0.48513000000000001</v>
      </c>
      <c r="R5">
        <v>3.3015000000000003E-2</v>
      </c>
      <c r="S5">
        <v>6.8053999999999997</v>
      </c>
      <c r="T5">
        <v>13.39</v>
      </c>
      <c r="U5">
        <v>0.14177999999999999</v>
      </c>
      <c r="V5">
        <v>1.0588</v>
      </c>
      <c r="W5">
        <v>2.1179E-2</v>
      </c>
      <c r="X5" s="1">
        <v>2.3839E-4</v>
      </c>
      <c r="Y5">
        <v>1.1255999999999999</v>
      </c>
      <c r="Z5">
        <v>0.94293000000000005</v>
      </c>
      <c r="AA5">
        <v>7.5760000000000003E-3</v>
      </c>
      <c r="AB5">
        <v>0.80345</v>
      </c>
      <c r="AC5" s="1">
        <v>11.16</v>
      </c>
      <c r="AD5" s="1">
        <v>0.38107999999999997</v>
      </c>
      <c r="AE5">
        <v>3.4146999999999998</v>
      </c>
      <c r="AF5">
        <v>6.4942000000000005E-4</v>
      </c>
      <c r="AG5" s="1">
        <v>2.4321999999999999E-5</v>
      </c>
      <c r="AH5">
        <v>3.7452000000000001</v>
      </c>
      <c r="AI5">
        <v>0.91886999999999996</v>
      </c>
      <c r="AJ5">
        <v>1.2383E-2</v>
      </c>
      <c r="AK5">
        <v>1.3475999999999999</v>
      </c>
    </row>
    <row r="6" spans="1:38" x14ac:dyDescent="0.35">
      <c r="A6" t="s">
        <v>211</v>
      </c>
      <c r="B6">
        <f>D17</f>
        <v>0.5714285714285714</v>
      </c>
      <c r="C6" s="1">
        <v>2.1930999999999998E-6</v>
      </c>
      <c r="D6">
        <v>1.3378000000000001E-4</v>
      </c>
      <c r="E6" s="1">
        <v>6.3056000000000002E-6</v>
      </c>
      <c r="F6" s="1">
        <v>1.1167E-8</v>
      </c>
      <c r="G6">
        <v>0.17710000000000001</v>
      </c>
      <c r="H6">
        <v>46.57</v>
      </c>
      <c r="I6">
        <v>4.9932999999999998E-2</v>
      </c>
      <c r="J6">
        <v>0.10722</v>
      </c>
      <c r="K6" s="1">
        <v>2.9359999999999999</v>
      </c>
      <c r="L6" s="1">
        <v>0.24274000000000001</v>
      </c>
      <c r="M6">
        <v>8.2676999999999996</v>
      </c>
      <c r="N6">
        <v>1.1222000000000001E-3</v>
      </c>
      <c r="O6" s="1">
        <v>4.4449000000000002E-4</v>
      </c>
      <c r="P6" s="1">
        <v>39.609000000000002</v>
      </c>
      <c r="Q6">
        <v>0.57994999999999997</v>
      </c>
      <c r="R6" s="1">
        <v>3.8807000000000001E-2</v>
      </c>
      <c r="S6" s="1">
        <v>6.6913999999999998</v>
      </c>
      <c r="T6" s="1">
        <v>12.93</v>
      </c>
      <c r="U6" s="1">
        <v>0.19277</v>
      </c>
      <c r="V6" s="1">
        <v>1.4908999999999999</v>
      </c>
      <c r="W6">
        <v>2.1961000000000001E-2</v>
      </c>
      <c r="X6">
        <v>3.4508999999999999E-4</v>
      </c>
      <c r="Y6" s="1">
        <v>1.5713999999999999</v>
      </c>
      <c r="Z6">
        <v>0.94762000000000002</v>
      </c>
      <c r="AA6">
        <v>1.022E-2</v>
      </c>
      <c r="AB6">
        <v>1.0785</v>
      </c>
      <c r="AC6">
        <v>12.23</v>
      </c>
      <c r="AD6" s="1">
        <v>0.29153000000000001</v>
      </c>
      <c r="AE6">
        <v>2.3837000000000002</v>
      </c>
      <c r="AF6">
        <v>7.2444999999999996E-4</v>
      </c>
      <c r="AG6" s="1">
        <v>3.2283999999999998E-5</v>
      </c>
      <c r="AH6">
        <v>4.4562999999999997</v>
      </c>
      <c r="AI6">
        <v>0.89378000000000002</v>
      </c>
      <c r="AJ6">
        <v>1.1864E-2</v>
      </c>
      <c r="AK6">
        <v>1.3273999999999999</v>
      </c>
    </row>
    <row r="7" spans="1:38" x14ac:dyDescent="0.35">
      <c r="A7" t="s">
        <v>210</v>
      </c>
      <c r="B7">
        <f>D18</f>
        <v>0.7142857142857143</v>
      </c>
      <c r="C7" s="1">
        <v>2.9138E-6</v>
      </c>
      <c r="D7">
        <v>1.7773999999999999E-4</v>
      </c>
      <c r="E7" s="1">
        <v>6.3345000000000001E-6</v>
      </c>
      <c r="F7" s="1">
        <v>1.4327E-8</v>
      </c>
      <c r="G7">
        <v>0.22617000000000001</v>
      </c>
      <c r="H7">
        <v>47.17</v>
      </c>
      <c r="I7">
        <v>0.14713999999999999</v>
      </c>
      <c r="J7">
        <v>0.31194</v>
      </c>
      <c r="K7" s="1">
        <v>6.0439999999999996</v>
      </c>
      <c r="L7" s="1">
        <v>2.2858999999999998</v>
      </c>
      <c r="M7">
        <v>37.820999999999998</v>
      </c>
      <c r="N7" s="1">
        <v>1.1178E-2</v>
      </c>
      <c r="O7" s="1">
        <v>7.5018999999999997E-3</v>
      </c>
      <c r="P7">
        <v>67.113</v>
      </c>
      <c r="Q7">
        <v>0.35814000000000001</v>
      </c>
      <c r="R7" s="1">
        <v>6.4257999999999996E-2</v>
      </c>
      <c r="S7" s="1">
        <v>17.942</v>
      </c>
      <c r="T7">
        <v>12.25</v>
      </c>
      <c r="U7" s="1">
        <v>0.74834999999999996</v>
      </c>
      <c r="V7" s="1">
        <v>6.109</v>
      </c>
      <c r="W7" s="1">
        <v>2.3116000000000001E-2</v>
      </c>
      <c r="X7" s="1">
        <v>1.0303999999999999E-3</v>
      </c>
      <c r="Y7" s="1">
        <v>4.4574999999999996</v>
      </c>
      <c r="Z7">
        <v>0.96214</v>
      </c>
      <c r="AA7">
        <v>1.8402999999999999E-2</v>
      </c>
      <c r="AB7" s="1">
        <v>1.9127000000000001</v>
      </c>
      <c r="AC7">
        <v>13.06</v>
      </c>
      <c r="AD7" s="1">
        <v>1.1733</v>
      </c>
      <c r="AE7">
        <v>8.9839000000000002</v>
      </c>
      <c r="AF7">
        <v>7.605E-4</v>
      </c>
      <c r="AG7" s="1">
        <v>3.5128E-5</v>
      </c>
      <c r="AH7">
        <v>4.6191000000000004</v>
      </c>
      <c r="AI7">
        <v>0.92988999999999999</v>
      </c>
      <c r="AJ7">
        <v>2.3154000000000001E-2</v>
      </c>
      <c r="AK7">
        <v>2.4900000000000002</v>
      </c>
    </row>
    <row r="8" spans="1:38" x14ac:dyDescent="0.35">
      <c r="A8" t="s">
        <v>209</v>
      </c>
      <c r="B8">
        <f>D19</f>
        <v>0.8571428571428571</v>
      </c>
      <c r="C8" s="1">
        <v>2.1523999999999999E-6</v>
      </c>
      <c r="D8">
        <v>1.2699E-4</v>
      </c>
      <c r="E8" s="1">
        <v>6.3083999999999996E-6</v>
      </c>
      <c r="F8" s="1">
        <v>1.1059999999999999E-8</v>
      </c>
      <c r="G8">
        <v>0.17532</v>
      </c>
      <c r="H8">
        <v>46.29</v>
      </c>
      <c r="I8" s="1">
        <v>5.5772000000000002E-2</v>
      </c>
      <c r="J8">
        <v>0.12048</v>
      </c>
      <c r="K8" s="1">
        <v>3.9369999999999998</v>
      </c>
      <c r="L8" s="1">
        <v>0.42166999999999999</v>
      </c>
      <c r="M8">
        <v>10.71</v>
      </c>
      <c r="N8" s="1">
        <v>3.0961000000000001E-3</v>
      </c>
      <c r="O8" s="1">
        <v>1.1075E-3</v>
      </c>
      <c r="P8">
        <v>35.771000000000001</v>
      </c>
      <c r="Q8">
        <v>0.49731999999999998</v>
      </c>
      <c r="R8" s="1">
        <v>3.5970000000000002E-2</v>
      </c>
      <c r="S8" s="1">
        <v>7.2328000000000001</v>
      </c>
      <c r="T8">
        <v>12.48</v>
      </c>
      <c r="U8" s="1">
        <v>0.28416000000000002</v>
      </c>
      <c r="V8" s="1">
        <v>2.2768999999999999</v>
      </c>
      <c r="W8" s="1">
        <v>2.3422999999999999E-2</v>
      </c>
      <c r="X8" s="1">
        <v>4.8881E-4</v>
      </c>
      <c r="Y8" s="1">
        <v>2.0869</v>
      </c>
      <c r="Z8">
        <v>0.95055999999999996</v>
      </c>
      <c r="AA8">
        <v>1.4215E-2</v>
      </c>
      <c r="AB8" s="1">
        <v>1.4954000000000001</v>
      </c>
      <c r="AC8">
        <v>15.93</v>
      </c>
      <c r="AD8" s="1">
        <v>0.46693000000000001</v>
      </c>
      <c r="AE8">
        <v>2.9310999999999998</v>
      </c>
      <c r="AF8">
        <v>7.9482999999999995E-4</v>
      </c>
      <c r="AG8" s="1">
        <v>2.7881E-5</v>
      </c>
      <c r="AH8">
        <v>3.5078</v>
      </c>
      <c r="AI8">
        <v>0.91586000000000001</v>
      </c>
      <c r="AJ8">
        <v>1.1788E-2</v>
      </c>
      <c r="AK8">
        <v>1.2870999999999999</v>
      </c>
    </row>
    <row r="9" spans="1:38" x14ac:dyDescent="0.35">
      <c r="A9" t="s">
        <v>207</v>
      </c>
      <c r="B9">
        <f>D20</f>
        <v>1</v>
      </c>
      <c r="C9" s="1">
        <v>1.4475999999999999E-6</v>
      </c>
      <c r="D9" s="1">
        <v>8.8306000000000005E-5</v>
      </c>
      <c r="E9" s="1">
        <v>6.3161999999999998E-6</v>
      </c>
      <c r="F9" s="1">
        <v>9.4347000000000001E-9</v>
      </c>
      <c r="G9">
        <v>0.14937</v>
      </c>
      <c r="H9">
        <v>47.03</v>
      </c>
      <c r="I9">
        <v>6.5093999999999999E-2</v>
      </c>
      <c r="J9">
        <v>0.13841000000000001</v>
      </c>
      <c r="K9" s="1">
        <v>6.2359999999999998</v>
      </c>
      <c r="L9" s="1">
        <v>1.0098</v>
      </c>
      <c r="M9">
        <v>16.193000000000001</v>
      </c>
      <c r="N9">
        <v>8.0789E-3</v>
      </c>
      <c r="O9" s="1">
        <v>2.5362000000000002E-3</v>
      </c>
      <c r="P9" s="1">
        <v>31.393000000000001</v>
      </c>
      <c r="Q9">
        <v>0.40175</v>
      </c>
      <c r="R9" s="1">
        <v>3.1328000000000002E-2</v>
      </c>
      <c r="S9" s="1">
        <v>7.7979000000000003</v>
      </c>
      <c r="T9" s="1">
        <v>11.88</v>
      </c>
      <c r="U9" s="1">
        <v>0.30680000000000002</v>
      </c>
      <c r="V9" s="1">
        <v>2.5825</v>
      </c>
      <c r="W9">
        <v>2.4063000000000001E-2</v>
      </c>
      <c r="X9">
        <v>5.3470999999999998E-4</v>
      </c>
      <c r="Y9" s="1">
        <v>2.2221000000000002</v>
      </c>
      <c r="Z9">
        <v>0.96167000000000002</v>
      </c>
      <c r="AA9">
        <v>1.1623E-2</v>
      </c>
      <c r="AB9">
        <v>1.2085999999999999</v>
      </c>
      <c r="AC9">
        <v>17.41</v>
      </c>
      <c r="AD9" s="1">
        <v>0.67520999999999998</v>
      </c>
      <c r="AE9">
        <v>3.8782999999999999</v>
      </c>
      <c r="AF9">
        <v>7.8456000000000001E-4</v>
      </c>
      <c r="AG9" s="1">
        <v>1.9236999999999999E-5</v>
      </c>
      <c r="AH9">
        <v>2.4519000000000002</v>
      </c>
      <c r="AI9">
        <v>0.94316</v>
      </c>
      <c r="AJ9">
        <v>1.1448E-2</v>
      </c>
      <c r="AK9">
        <v>1.2138</v>
      </c>
    </row>
    <row r="10" spans="1:38" x14ac:dyDescent="0.35">
      <c r="C10" s="1"/>
      <c r="E10" s="1"/>
      <c r="F10" s="1"/>
      <c r="I10" s="1"/>
      <c r="K10" s="2"/>
      <c r="L10" s="1"/>
      <c r="O10" s="1"/>
      <c r="AD10" s="1"/>
    </row>
    <row r="11" spans="1:38" x14ac:dyDescent="0.35">
      <c r="I11" s="1"/>
      <c r="K11" s="1"/>
      <c r="L11" s="1"/>
      <c r="AD11" s="1"/>
    </row>
    <row r="12" spans="1:38" x14ac:dyDescent="0.35">
      <c r="B12" s="27" t="s">
        <v>132</v>
      </c>
      <c r="C12" t="s">
        <v>39</v>
      </c>
      <c r="D12" t="s">
        <v>136</v>
      </c>
      <c r="E12" t="s">
        <v>56</v>
      </c>
      <c r="F12" t="s">
        <v>40</v>
      </c>
      <c r="G12" t="s">
        <v>32</v>
      </c>
      <c r="H12" s="2" t="s">
        <v>52</v>
      </c>
      <c r="I12" s="2" t="s">
        <v>193</v>
      </c>
      <c r="J12" s="2" t="s">
        <v>54</v>
      </c>
      <c r="M12" t="s">
        <v>41</v>
      </c>
      <c r="N12" t="s">
        <v>40</v>
      </c>
      <c r="O12" t="s">
        <v>32</v>
      </c>
      <c r="P12" s="2" t="s">
        <v>77</v>
      </c>
      <c r="Q12" s="2" t="s">
        <v>52</v>
      </c>
      <c r="R12" s="2" t="s">
        <v>193</v>
      </c>
      <c r="S12" s="2" t="s">
        <v>54</v>
      </c>
      <c r="T12" s="2"/>
      <c r="V12" t="s">
        <v>46</v>
      </c>
      <c r="W12" t="s">
        <v>47</v>
      </c>
      <c r="X12" t="s">
        <v>48</v>
      </c>
      <c r="Y12" t="s">
        <v>32</v>
      </c>
      <c r="Z12" t="s">
        <v>40</v>
      </c>
      <c r="AA12" t="s">
        <v>77</v>
      </c>
      <c r="AB12" t="s">
        <v>52</v>
      </c>
      <c r="AC12" s="2" t="s">
        <v>193</v>
      </c>
      <c r="AL12" s="1"/>
    </row>
    <row r="13" spans="1:38" x14ac:dyDescent="0.35">
      <c r="B13" s="27">
        <v>0.1492</v>
      </c>
      <c r="C13" s="2">
        <v>0</v>
      </c>
      <c r="D13" s="2">
        <v>0</v>
      </c>
      <c r="E13" s="2">
        <f>(D13-D$13)/0.243</f>
        <v>0</v>
      </c>
      <c r="F13">
        <f>AC2</f>
        <v>20.53</v>
      </c>
      <c r="G13" s="1">
        <f>(AC2^(1-AI2)*AF2)^(1/AI2)</f>
        <v>5.0869857019261993E-4</v>
      </c>
      <c r="H13" s="29">
        <f>1.38E-23*J13/(4*(1.602E-19^2)*F13*B$15)</f>
        <v>1.1293796591736733E-7</v>
      </c>
      <c r="I13" s="2">
        <f>3/5.814E-23-((0.1/5.814E-29/4-G13*1.38E-23*J13/(8*(1.602E-19)^2)))*10^-6+SQRT(0.1/5.814E-29*G13*1.38E-23*J13/(8*(1.602E-19)^2)*5.814E-29+ (-0.1/5.814E-29/4+(G13*1.38E-23*J13/(8*(1.602E-19)^2)^2)))*10^-6</f>
        <v>5.11817141478916E+22</v>
      </c>
      <c r="J13" s="6">
        <f>1/(0.000479779-0.000434801*LOG(0.05/(0.5*0.5*(H2-10)))-0.000100649*(LOG(0.05/(0.5*0.5*(H2-10))))^2-0.0000198446*(LOG(0.05/(0.5*0.5*(H2-10))))^3-0.00000195494*(LOG(0.05/(0.5*0.5*(H2-10))))^4-0.0000000757244*(LOG(0.05/(0.5*0.5*(H2-10))))^5)</f>
        <v>882.56516543067767</v>
      </c>
      <c r="M13">
        <v>0.01</v>
      </c>
      <c r="N13">
        <f>T24</f>
        <v>42.06</v>
      </c>
      <c r="O13" s="1">
        <f>(T24^(1-Z24)*W24)^(1/Z24)</f>
        <v>6.93185735863748E-4</v>
      </c>
      <c r="P13" s="3">
        <f>N13*B$13</f>
        <v>6.2753520000000007</v>
      </c>
      <c r="Q13" s="3">
        <f>1.38E-23*S13/(4*(1.602E-19^2)*N13*B$15)</f>
        <v>5.5020966627336757E-8</v>
      </c>
      <c r="R13" s="2">
        <f>3/5.814E-23-((0.1/5.814E-29/4-O13*1.38E-23*S13/(8*(1.602E-19)^2)))*10^-6+SQRT(0.1/5.814E-29*O13*1.38E-23*S13/(8*(1.602E-19)^2)*5.814E-29+ (-0.1/5.814E-29/4+(O13*1.38E-23*S13/(8*(1.602E-19)^2)^2)))*10^-6</f>
        <v>5.118372926317271E+22</v>
      </c>
      <c r="S13" s="6">
        <f>1/(0.000479779-0.000434801*LOG(0.05/(0.5*0.5*(H24-10)))-0.000100649*(LOG(0.05/(0.5*0.5*(H24-10))))^2-0.0000198446*(LOG(0.05/(0.5*0.5*(H24-10))))^3-0.00000195494*(LOG(0.05/(0.5*0.5*(H24-10))))^4-0.0000000757244*(LOG(0.05/(0.5*0.5*(H24-10))))^5)</f>
        <v>880.87717200552402</v>
      </c>
      <c r="T13" s="1"/>
      <c r="V13" s="32">
        <f>1000/W13</f>
        <v>1.168793144085464</v>
      </c>
      <c r="W13" s="28">
        <f>1/(0.000479779-0.000434801*LOG(0.05/(0.5*0.5*(H32-10)))-0.000100649*(LOG(0.05/(0.5*0.5*(H32-10))))^2-0.0000198446*(LOG(0.05/(0.5*0.5*(H32))))^3-0.00000195494*(LOG(0.05/(0.5*0.5*(H32-10))))^4-0.0000000757244*(LOG(0.05/(0.5*0.5*(H32-10))))^5)</f>
        <v>855.58338963603501</v>
      </c>
      <c r="X13" s="28">
        <f>W13-273</f>
        <v>582.58338963603501</v>
      </c>
      <c r="Y13" s="1">
        <f>(T32^(1-Z32)*W32)^(1/Z32)</f>
        <v>5.9432696128685768E-4</v>
      </c>
      <c r="Z13">
        <f>T32</f>
        <v>16.89</v>
      </c>
      <c r="AA13" s="9">
        <f>Z13*B$13</f>
        <v>2.5199880000000001</v>
      </c>
      <c r="AB13" s="4">
        <f>1.38E-23*W13/(4*(1.602E-19^2)*Z13*B$15)</f>
        <v>1.330806225812653E-7</v>
      </c>
      <c r="AC13" s="2">
        <f>3/5.814E-23-((0.1/5.814E-29/4-Y13*1.38E-23*W13/(8*(1.602E-19)^2)))*10^-6+SQRT(0.1/5.814E-29*Y13*1.38E-23*W13/(8*(1.602E-19)^2)*5.814E-29+ (-0.1/5.814E-29/4+(Y13*1.38E-23*W13/(8*(1.602E-19)^2)^2)))*10^-6</f>
        <v>5.1182492981460937E+22</v>
      </c>
      <c r="AL13" s="1"/>
    </row>
    <row r="14" spans="1:38" x14ac:dyDescent="0.35">
      <c r="B14" s="11" t="s">
        <v>131</v>
      </c>
      <c r="C14" s="2">
        <v>3</v>
      </c>
      <c r="D14" s="2">
        <f>C14/21</f>
        <v>0.14285714285714285</v>
      </c>
      <c r="E14" s="2">
        <f>(D14-D$13)/0.243</f>
        <v>0.58788947677836567</v>
      </c>
      <c r="F14">
        <f>AC3</f>
        <v>11.94</v>
      </c>
      <c r="G14" s="1">
        <f>(AC3^(1-AI3)*AF3)^(1/AI3)</f>
        <v>4.0480758960060459E-4</v>
      </c>
      <c r="H14" s="29">
        <f>1.38E-23*J14/(4*(1.602E-19^2)*F14*B$15)</f>
        <v>1.943604617896371E-7</v>
      </c>
      <c r="I14" s="2">
        <f>3/5.814E-23-((0.1/5.814E-29/4-G14*1.38E-23*J14/(8*(1.602E-19)^2)))*10^-6+SQRT(0.1/5.814E-29*G14*1.38E-23*J14/(8*(1.602E-19)^2)*5.814E-29+ (-0.1/5.814E-29/4+(G14*1.38E-23*J14/(8*(1.602E-19)^2)^2)))*10^-6</f>
        <v>5.1180410310807152E+22</v>
      </c>
      <c r="J14" s="6">
        <f>1/(0.000479779-0.000434801*LOG(0.05/(0.5*0.5*(H3-10)))-0.000100649*(LOG(0.05/(0.5*0.5*(H3-10))))^2-0.0000198446*(LOG(0.05/(0.5*0.5*(H3-10))))^3-0.00000195494*(LOG(0.05/(0.5*0.5*(H3-10))))^4-0.0000000757244*(LOG(0.05/(0.5*0.5*(H3-10))))^5)</f>
        <v>883.34452192248807</v>
      </c>
      <c r="M14">
        <v>0.04</v>
      </c>
      <c r="N14">
        <f>T25</f>
        <v>17.41</v>
      </c>
      <c r="O14" s="1">
        <f>(T25^(1-Z25)*W25)^(1/Z25)</f>
        <v>6.0569868580681607E-4</v>
      </c>
      <c r="P14" s="3">
        <f>N14*B$13</f>
        <v>2.597572</v>
      </c>
      <c r="Q14" s="3">
        <f>1.38E-23*S14/(4*(1.602E-19^2)*N14*B$15)</f>
        <v>1.3325269373803159E-7</v>
      </c>
      <c r="R14" s="2">
        <f>3/5.814E-23-((0.1/5.814E-29/4-O14*1.38E-23*S14/(8*(1.602E-19)^2)))*10^-6+SQRT(0.1/5.814E-29*O14*1.38E-23*S14/(8*(1.602E-19)^2)*5.814E-29+ (-0.1/5.814E-29/4+(O14*1.38E-23*S14/(8*(1.602E-19)^2)^2)))*10^-6</f>
        <v>5.1182823364645926E+22</v>
      </c>
      <c r="S14" s="6">
        <f>1/(0.000479779-0.000434801*LOG(0.05/(0.5*0.5*(H25-10)))-0.000100649*(LOG(0.05/(0.5*0.5*(H25-10))))^2-0.0000198446*(LOG(0.05/(0.5*0.5*(H25-10))))^3-0.00000195494*(LOG(0.05/(0.5*0.5*(H25-10))))^4-0.0000000757244*(LOG(0.05/(0.5*0.5*(H25-10))))^5)</f>
        <v>883.06493361383627</v>
      </c>
      <c r="T14" s="1"/>
      <c r="V14" s="32">
        <f>1000/W14</f>
        <v>1.2060959005342808</v>
      </c>
      <c r="W14" s="28">
        <f>1/(0.000479779-0.000434801*LOG(0.05/(0.5*0.5*(H33-10)))-0.000100649*(LOG(0.05/(0.5*0.5*(H33-10))))^2-0.0000198446*(LOG(0.05/(0.5*0.5*(H33))))^3-0.00000195494*(LOG(0.05/(0.5*0.5*(H33-10))))^4-0.0000000757244*(LOG(0.05/(0.5*0.5*(H33-10))))^5)</f>
        <v>829.12146501535767</v>
      </c>
      <c r="X14" s="28">
        <f>W14-273</f>
        <v>556.12146501535767</v>
      </c>
      <c r="Y14" s="1">
        <f>(T33^(1-Z33)*W33)^(1/Z33)</f>
        <v>4.7776979158508954E-4</v>
      </c>
      <c r="Z14">
        <f>T33</f>
        <v>43.56</v>
      </c>
      <c r="AA14" s="9">
        <f>Z14*B$13</f>
        <v>6.4991520000000005</v>
      </c>
      <c r="AB14" s="4">
        <f>1.38E-23*W14/(4*(1.602E-19^2)*Z14*B$15)</f>
        <v>5.0004883124505634E-8</v>
      </c>
      <c r="AC14" s="2">
        <f>3/5.814E-23-((0.1/5.814E-29/4-Y14*1.38E-23*W14/(8*(1.602E-19)^2)))*10^-6+SQRT(0.1/5.814E-29*Y14*1.38E-23*W14/(8*(1.602E-19)^2)*5.814E-29+ (-0.1/5.814E-29/4+(Y14*1.38E-23*W14/(8*(1.602E-19)^2)^2)))*10^-6</f>
        <v>5.1180978525196972E+22</v>
      </c>
      <c r="AL14" s="1"/>
    </row>
    <row r="15" spans="1:38" x14ac:dyDescent="0.35">
      <c r="B15" s="11">
        <f>((3/5.814E-29)-(0.1/5.814E-29/4))*10^-6</f>
        <v>5.1169590643274845E+22</v>
      </c>
      <c r="C15" s="2">
        <v>6</v>
      </c>
      <c r="D15" s="2">
        <f>C15/21</f>
        <v>0.2857142857142857</v>
      </c>
      <c r="E15" s="2">
        <f>(D15-D$13)/0.243</f>
        <v>1.1757789535567313</v>
      </c>
      <c r="F15">
        <f>AC4</f>
        <v>10.66</v>
      </c>
      <c r="G15" s="1">
        <f>(AC4^(1-AI4)*AF4)^(1/AI4)</f>
        <v>3.7513982920705174E-4</v>
      </c>
      <c r="H15" s="29">
        <f>1.38E-23*J15/(4*(1.602E-19^2)*F15*B$15)</f>
        <v>2.1758822155012872E-7</v>
      </c>
      <c r="I15" s="2">
        <f>3/5.814E-23-((0.1/5.814E-29/4-G15*1.38E-23*J15/(8*(1.602E-19)^2)))*10^-6+SQRT(0.1/5.814E-29*G15*1.38E-23*J15/(8*(1.602E-19)^2)*5.814E-29+ (-0.1/5.814E-29/4+(G15*1.38E-23*J15/(8*(1.602E-19)^2)^2)))*10^-6</f>
        <v>5.1180003654822626E+22</v>
      </c>
      <c r="J15" s="6">
        <f>1/(0.000479779-0.000434801*LOG(0.05/(0.5*0.5*(H4-10)))-0.000100649*(LOG(0.05/(0.5*0.5*(H4-10))))^2-0.0000198446*(LOG(0.05/(0.5*0.5*(H4-10))))^3-0.00000195494*(LOG(0.05/(0.5*0.5*(H4-10))))^4-0.0000000757244*(LOG(0.05/(0.5*0.5*(H4-10))))^5)</f>
        <v>882.89784797911614</v>
      </c>
      <c r="M15">
        <v>0.1</v>
      </c>
      <c r="N15">
        <f>T26</f>
        <v>11.6</v>
      </c>
      <c r="O15" s="1">
        <f>(T26^(1-Z26)*W26)^(1/Z26)</f>
        <v>5.3899536433524731E-4</v>
      </c>
      <c r="P15" s="3">
        <f>N15*B$13</f>
        <v>1.73072</v>
      </c>
      <c r="Q15" s="3">
        <f>1.38E-23*S15/(4*(1.602E-19^2)*N15*B$15)</f>
        <v>1.9823603451524352E-7</v>
      </c>
      <c r="R15" s="2">
        <f>3/5.814E-23-((0.1/5.814E-29/4-O15*1.38E-23*S15/(8*(1.602E-19)^2)))*10^-6+SQRT(0.1/5.814E-29*O15*1.38E-23*S15/(8*(1.602E-19)^2)*5.814E-29+ (-0.1/5.814E-29/4+(O15*1.38E-23*S15/(8*(1.602E-19)^2)^2)))*10^-6</f>
        <v>5.1182018501167714E+22</v>
      </c>
      <c r="S15" s="6">
        <f>1/(0.000479779-0.000434801*LOG(0.05/(0.5*0.5*(H26-10)))-0.000100649*(LOG(0.05/(0.5*0.5*(H26-10))))^2-0.0000198446*(LOG(0.05/(0.5*0.5*(H26-10))))^3-0.00000195494*(LOG(0.05/(0.5*0.5*(H26-10))))^4-0.0000000757244*(LOG(0.05/(0.5*0.5*(H26-10))))^5)</f>
        <v>875.30309043634179</v>
      </c>
      <c r="T15" s="1"/>
      <c r="V15" s="32">
        <f>1000/W15</f>
        <v>1.242229454267104</v>
      </c>
      <c r="W15" s="28">
        <f>1/(0.000479779-0.000434801*LOG(0.05/(0.5*0.5*(H34-10)))-0.000100649*(LOG(0.05/(0.5*0.5*(H34-10))))^2-0.0000198446*(LOG(0.05/(0.5*0.5*(H34))))^3-0.00000195494*(LOG(0.05/(0.5*0.5*(H34-10))))^4-0.0000000757244*(LOG(0.05/(0.5*0.5*(H34-10))))^5)</f>
        <v>805.00425792108149</v>
      </c>
      <c r="X15" s="28">
        <f>W15-273</f>
        <v>532.00425792108149</v>
      </c>
      <c r="Y15" s="1">
        <f>(K34^(1-Q34)*N34)^(1/Q34)</f>
        <v>4.0968915572236689E-4</v>
      </c>
      <c r="Z15" s="2">
        <f>K34</f>
        <v>106.1</v>
      </c>
      <c r="AA15" s="9">
        <f>Z15*B$13</f>
        <v>15.830119999999999</v>
      </c>
      <c r="AB15" s="4">
        <f>1.38E-23*W15/(4*(1.602E-19^2)*Z15*B$15)</f>
        <v>1.9932644563434315E-8</v>
      </c>
      <c r="AC15" s="2">
        <f>3/5.814E-23-((0.1/5.814E-29/4-Y15*1.38E-23*W15/(8*(1.602E-19)^2)))*10^-6+SQRT(0.1/5.814E-29*Y15*1.38E-23*W15/(8*(1.602E-19)^2)*5.814E-29+ (-0.1/5.814E-29/4+(Y15*1.38E-23*W15/(8*(1.602E-19)^2)^2)))*10^-6</f>
        <v>5.1179981488016901E+22</v>
      </c>
      <c r="AI15" s="1"/>
    </row>
    <row r="16" spans="1:38" x14ac:dyDescent="0.35">
      <c r="B16" s="27" t="s">
        <v>129</v>
      </c>
      <c r="C16" s="2">
        <v>9</v>
      </c>
      <c r="D16" s="2">
        <f>C16/21</f>
        <v>0.42857142857142855</v>
      </c>
      <c r="E16" s="2">
        <f>(D16-D$13)/0.243</f>
        <v>1.7636684303350969</v>
      </c>
      <c r="F16">
        <f>AC5</f>
        <v>11.16</v>
      </c>
      <c r="G16" s="1">
        <f>(AC5^(1-AI5)*AF5)^(1/AI5)</f>
        <v>4.203343773425201E-4</v>
      </c>
      <c r="H16" s="29">
        <f>1.38E-23*J16/(4*(1.602E-19^2)*F16*B$15)</f>
        <v>2.0791403975021383E-7</v>
      </c>
      <c r="I16" s="2">
        <f>3/5.814E-23-((0.1/5.814E-29/4-G16*1.38E-23*J16/(8*(1.602E-19)^2)))*10^-6+SQRT(0.1/5.814E-29*G16*1.38E-23*J16/(8*(1.602E-19)^2)*5.814E-29+ (-0.1/5.814E-29/4+(G16*1.38E-23*J16/(8*(1.602E-19)^2)^2)))*10^-6</f>
        <v>5.1180615042431701E+22</v>
      </c>
      <c r="J16" s="6">
        <f>1/(0.000479779-0.000434801*LOG(0.05/(0.5*0.5*(H5-10)))-0.000100649*(LOG(0.05/(0.5*0.5*(H5-10))))^2-0.0000198446*(LOG(0.05/(0.5*0.5*(H5-10))))^3-0.00000195494*(LOG(0.05/(0.5*0.5*(H5-10))))^4-0.0000000757244*(LOG(0.05/(0.5*0.5*(H5-10))))^5)</f>
        <v>883.21387375919426</v>
      </c>
      <c r="M16">
        <v>1</v>
      </c>
      <c r="N16">
        <v>7.61</v>
      </c>
      <c r="O16" s="1">
        <f>(K27^(1-Q27)*N27)^(1/Q27)</f>
        <v>4.4596454930064764E-4</v>
      </c>
      <c r="P16" s="3">
        <f>N16*B$13</f>
        <v>1.1354120000000001</v>
      </c>
      <c r="Q16" s="3">
        <f>1.38E-23*S16/(4*(1.602E-19^2)*N16*B$15)</f>
        <v>3.0373068707445715E-7</v>
      </c>
      <c r="R16" s="2">
        <f>3/5.814E-23-((0.1/5.814E-29/4-O16*1.38E-23*S16/(8*(1.602E-19)^2)))*10^-6+SQRT(0.1/5.814E-29*O16*1.38E-23*S16/(8*(1.602E-19)^2)*5.814E-29+ (-0.1/5.814E-29/4+(O16*1.38E-23*S16/(8*(1.602E-19)^2)^2)))*10^-6</f>
        <v>5.1180924306442995E+22</v>
      </c>
      <c r="S16" s="6">
        <f>1/(0.000479779-0.000434801*LOG(0.05/(0.5*0.5*(H27-10)))-0.000100649*(LOG(0.05/(0.5*0.5*(H27-10))))^2-0.0000198446*(LOG(0.05/(0.5*0.5*(H27-10))))^3-0.00000195494*(LOG(0.05/(0.5*0.5*(H27-10))))^4-0.0000000757244*(LOG(0.05/(0.5*0.5*(H27-10))))^5)</f>
        <v>879.81467259483713</v>
      </c>
      <c r="T16" s="1"/>
      <c r="V16" s="32">
        <f>1000/W16</f>
        <v>1.2905701683104971</v>
      </c>
      <c r="W16" s="28">
        <f>1/(0.000479779-0.000434801*LOG(0.05/(0.5*0.5*(H35-10)))-0.000100649*(LOG(0.05/(0.5*0.5*(H35-10))))^2-0.0000198446*(LOG(0.05/(0.5*0.5*(H35))))^3-0.00000195494*(LOG(0.05/(0.5*0.5*(H35-10))))^4-0.0000000757244*(LOG(0.05/(0.5*0.5*(H35-10))))^5)</f>
        <v>774.85132118706383</v>
      </c>
      <c r="X16" s="28">
        <f>W16-273</f>
        <v>501.85132118706383</v>
      </c>
      <c r="Y16" s="1">
        <f>(T35^(1-Z35)*W35)^(1/Z35)</f>
        <v>3.7215640124866435E-4</v>
      </c>
      <c r="Z16">
        <f>T35</f>
        <v>319.10000000000002</v>
      </c>
      <c r="AA16" s="9">
        <f>Z16*B$13</f>
        <v>47.609720000000003</v>
      </c>
      <c r="AB16" s="4">
        <f>1.38E-23*W16/(4*(1.602E-19^2)*Z16*B$15)</f>
        <v>6.379309935488849E-9</v>
      </c>
      <c r="AC16" s="2">
        <f>3/5.814E-23-((0.1/5.814E-29/4-Y16*1.38E-23*W16/(8*(1.602E-19)^2)))*10^-6+SQRT(0.1/5.814E-29*Y16*1.38E-23*W16/(8*(1.602E-19)^2)*5.814E-29+ (-0.1/5.814E-29/4+(Y16*1.38E-23*W16/(8*(1.602E-19)^2)^2)))*10^-6</f>
        <v>5.1179306843779476E+22</v>
      </c>
      <c r="AH16" s="1"/>
      <c r="AI16" s="1"/>
    </row>
    <row r="17" spans="1:37" x14ac:dyDescent="0.35">
      <c r="B17" s="27">
        <f>0.1/5.814E-29/4*10^-6</f>
        <v>4.2999656002751975E+20</v>
      </c>
      <c r="C17" s="2">
        <v>12</v>
      </c>
      <c r="D17" s="2">
        <f>C17/21</f>
        <v>0.5714285714285714</v>
      </c>
      <c r="E17" s="2">
        <f>(D17-D$13)/0.243</f>
        <v>2.3515579071134627</v>
      </c>
      <c r="F17">
        <f>AC6</f>
        <v>12.23</v>
      </c>
      <c r="G17" s="1">
        <f>(AC6^(1-AI6)*AF6)^(1/AI6)</f>
        <v>4.131181381187839E-4</v>
      </c>
      <c r="H17" s="29">
        <f>1.38E-23*J17/(4*(1.602E-19^2)*F17*B$15)</f>
        <v>1.8987682903242433E-7</v>
      </c>
      <c r="I17" s="2">
        <f>3/5.814E-23-((0.1/5.814E-29/4-G17*1.38E-23*J17/(8*(1.602E-19)^2)))*10^-6+SQRT(0.1/5.814E-29*G17*1.38E-23*J17/(8*(1.602E-19)^2)*5.814E-29+ (-0.1/5.814E-29/4+(G17*1.38E-23*J17/(8*(1.602E-19)^2)^2)))*10^-6</f>
        <v>5.1180524410244061E+22</v>
      </c>
      <c r="J17" s="6">
        <f>1/(0.000479779-0.000434801*LOG(0.05/(0.5*0.5*(H6-10)))-0.000100649*(LOG(0.05/(0.5*0.5*(H6-10))))^2-0.0000198446*(LOG(0.05/(0.5*0.5*(H6-10))))^3-0.00000195494*(LOG(0.05/(0.5*0.5*(H6-10))))^4-0.0000000757244*(LOG(0.05/(0.5*0.5*(H6-10))))^5)</f>
        <v>883.9267935678464</v>
      </c>
      <c r="M17">
        <v>10</v>
      </c>
      <c r="N17">
        <f>T28</f>
        <v>7.4729999999999999</v>
      </c>
      <c r="O17" s="1">
        <f>(T28^(1-Z28)*W28)^(1/Z28)</f>
        <v>4.3172749284695343E-4</v>
      </c>
      <c r="P17" s="3">
        <f>N17*B$13</f>
        <v>1.1149716000000001</v>
      </c>
      <c r="Q17" s="3">
        <f>1.38E-23*S17/(4*(1.602E-19^2)*N17*B$15)</f>
        <v>3.0914532985823378E-7</v>
      </c>
      <c r="R17" s="2">
        <f>3/5.814E-23-((0.1/5.814E-29/4-O17*1.38E-23*S17/(8*(1.602E-19)^2)))*10^-6+SQRT(0.1/5.814E-29*O17*1.38E-23*S17/(8*(1.602E-19)^2)*5.814E-29+ (-0.1/5.814E-29/4+(O17*1.38E-23*S17/(8*(1.602E-19)^2)^2)))*10^-6</f>
        <v>5.1180739161736687E+22</v>
      </c>
      <c r="S17" s="6">
        <f>1/(0.000479779-0.000434801*LOG(0.05/(0.5*0.5*(H28-10)))-0.000100649*(LOG(0.05/(0.5*0.5*(H28-10))))^2-0.0000198446*(LOG(0.05/(0.5*0.5*(H28-10))))^3-0.00000195494*(LOG(0.05/(0.5*0.5*(H28-10))))^4-0.0000000757244*(LOG(0.05/(0.5*0.5*(H28-10))))^5)</f>
        <v>879.3778928721664</v>
      </c>
      <c r="T17" s="1"/>
      <c r="AC17" s="1"/>
      <c r="AI17" s="1"/>
    </row>
    <row r="18" spans="1:37" x14ac:dyDescent="0.35">
      <c r="B18" s="1"/>
      <c r="C18" s="2">
        <v>15</v>
      </c>
      <c r="D18" s="2">
        <f>C18/21</f>
        <v>0.7142857142857143</v>
      </c>
      <c r="E18" s="2">
        <f>(D18-D$13)/0.243</f>
        <v>2.9394473838918285</v>
      </c>
      <c r="F18">
        <f>AC7</f>
        <v>13.06</v>
      </c>
      <c r="G18" s="1">
        <f>(AC7^(1-AI7)*AF7)^(1/AI7)</f>
        <v>5.3713592199020001E-4</v>
      </c>
      <c r="H18" s="29">
        <f>1.38E-23*J18/(4*(1.602E-19^2)*F18*B$15)</f>
        <v>1.7758400780647805E-7</v>
      </c>
      <c r="I18" s="2">
        <f>3/5.814E-23-((0.1/5.814E-29/4-G18*1.38E-23*J18/(8*(1.602E-19)^2)))*10^-6+SQRT(0.1/5.814E-29*G18*1.38E-23*J18/(8*(1.602E-19)^2)*5.814E-29+ (-0.1/5.814E-29/4+(G18*1.38E-23*J18/(8*(1.602E-19)^2)^2)))*10^-6</f>
        <v>5.1182050099313657E+22</v>
      </c>
      <c r="J18" s="6">
        <f>1/(0.000479779-0.000434801*LOG(0.05/(0.5*0.5*(H7-10)))-0.000100649*(LOG(0.05/(0.5*0.5*(H7-10))))^2-0.0000198446*(LOG(0.05/(0.5*0.5*(H7-10))))^3-0.00000195494*(LOG(0.05/(0.5*0.5*(H7-10))))^4-0.0000000757244*(LOG(0.05/(0.5*0.5*(H7-10))))^5)</f>
        <v>882.80523761907989</v>
      </c>
      <c r="M18">
        <v>100</v>
      </c>
      <c r="N18">
        <f>T29</f>
        <v>9.0760000000000005</v>
      </c>
      <c r="O18" s="1">
        <f>(T29^(1-Z29)*W29)^(1/Z29)</f>
        <v>4.0594653733396949E-4</v>
      </c>
      <c r="P18" s="3">
        <f>N18*B$13</f>
        <v>1.3541392000000001</v>
      </c>
      <c r="Q18" s="3">
        <f>1.38E-23*S18/(4*(1.602E-19^2)*N18*B$15)</f>
        <v>2.5366221569073869E-7</v>
      </c>
      <c r="R18" s="2">
        <f>3/5.814E-23-((0.1/5.814E-29/4-O18*1.38E-23*S18/(8*(1.602E-19)^2)))*10^-6+SQRT(0.1/5.814E-29*O18*1.38E-23*S18/(8*(1.602E-19)^2)*5.814E-29+ (-0.1/5.814E-29/4+(O18*1.38E-23*S18/(8*(1.602E-19)^2)^2)))*10^-6</f>
        <v>5.1180382421784405E+22</v>
      </c>
      <c r="S18" s="6">
        <f>1/(0.000479779-0.000434801*LOG(0.05/(0.5*0.5*(H29-10)))-0.000100649*(LOG(0.05/(0.5*0.5*(H29-10))))^2-0.0000198446*(LOG(0.05/(0.5*0.5*(H29-10))))^3-0.00000195494*(LOG(0.05/(0.5*0.5*(H29-10))))^4-0.0000000757244*(LOG(0.05/(0.5*0.5*(H29-10))))^5)</f>
        <v>876.33092907335163</v>
      </c>
      <c r="T18" s="1"/>
      <c r="AC18" s="1"/>
      <c r="AI18" s="1"/>
    </row>
    <row r="19" spans="1:37" x14ac:dyDescent="0.35">
      <c r="B19" s="1"/>
      <c r="C19" s="2">
        <v>18</v>
      </c>
      <c r="D19" s="2">
        <f>C19/21</f>
        <v>0.8571428571428571</v>
      </c>
      <c r="E19" s="2">
        <f>(D19-D$13)/0.243</f>
        <v>3.5273368606701938</v>
      </c>
      <c r="F19">
        <f>AC8</f>
        <v>15.93</v>
      </c>
      <c r="G19" s="1">
        <f>(AC8^(1-AI8)*AF8)^(1/AI8)</f>
        <v>5.320471608768404E-4</v>
      </c>
      <c r="H19" s="29">
        <f>1.38E-23*J19/(4*(1.602E-19^2)*F19*B$15)</f>
        <v>1.4586246443431636E-7</v>
      </c>
      <c r="I19" s="2">
        <f>3/5.814E-23-((0.1/5.814E-29/4-G19*1.38E-23*J19/(8*(1.602E-19)^2)))*10^-6+SQRT(0.1/5.814E-29*G19*1.38E-23*J19/(8*(1.602E-19)^2)*5.814E-29+ (-0.1/5.814E-29/4+(G19*1.38E-23*J19/(8*(1.602E-19)^2)^2)))*10^-6</f>
        <v>5.1182002541180827E+22</v>
      </c>
      <c r="J19" s="6">
        <f>1/(0.000479779-0.000434801*LOG(0.05/(0.5*0.5*(H8-10)))-0.000100649*(LOG(0.05/(0.5*0.5*(H8-10))))^2-0.0000198446*(LOG(0.05/(0.5*0.5*(H8-10))))^3-0.00000195494*(LOG(0.05/(0.5*0.5*(H8-10))))^4-0.0000000757244*(LOG(0.05/(0.5*0.5*(H8-10))))^5)</f>
        <v>884.4579578255034</v>
      </c>
      <c r="O19" s="1"/>
      <c r="AE19" s="1"/>
    </row>
    <row r="20" spans="1:37" x14ac:dyDescent="0.35">
      <c r="B20" s="22"/>
      <c r="C20" s="2">
        <v>21</v>
      </c>
      <c r="D20" s="2">
        <f>C20/21</f>
        <v>1</v>
      </c>
      <c r="E20" s="2">
        <f>(D20-D$13)/0.243</f>
        <v>4.1152263374485596</v>
      </c>
      <c r="F20">
        <f>AC9</f>
        <v>17.41</v>
      </c>
      <c r="G20" s="1">
        <f>(AC9^(1-AI9)*AF9)^(1/AI9)</f>
        <v>6.0569868580681607E-4</v>
      </c>
      <c r="H20" s="29">
        <f>1.38E-23*J20/(4*(1.602E-19^2)*F20*B$15)</f>
        <v>1.3325269373803159E-7</v>
      </c>
      <c r="I20" s="2">
        <f>3/5.814E-23-((0.1/5.814E-29/4-G20*1.38E-23*J20/(8*(1.602E-19)^2)))*10^-6+SQRT(0.1/5.814E-29*G20*1.38E-23*J20/(8*(1.602E-19)^2)*5.814E-29+ (-0.1/5.814E-29/4+(G20*1.38E-23*J20/(8*(1.602E-19)^2)^2)))*10^-6</f>
        <v>5.1182823364645926E+22</v>
      </c>
      <c r="J20" s="6">
        <f>1/(0.000479779-0.000434801*LOG(0.05/(0.5*0.5*(H9-10)))-0.000100649*(LOG(0.05/(0.5*0.5*(H9-10))))^2-0.0000198446*(LOG(0.05/(0.5*0.5*(H9-10))))^3-0.00000195494*(LOG(0.05/(0.5*0.5*(H9-10))))^4-0.0000000757244*(LOG(0.05/(0.5*0.5*(H9-10))))^5)</f>
        <v>883.06493361383627</v>
      </c>
      <c r="O20" s="1"/>
      <c r="P20" s="3"/>
      <c r="R20" s="33"/>
      <c r="AE20" s="1"/>
    </row>
    <row r="21" spans="1:37" x14ac:dyDescent="0.35">
      <c r="C21" s="2"/>
      <c r="D21" s="2"/>
      <c r="F21" s="1"/>
      <c r="AA21" s="1"/>
    </row>
    <row r="22" spans="1:37" x14ac:dyDescent="0.35">
      <c r="AA22" s="1"/>
    </row>
    <row r="23" spans="1:37" x14ac:dyDescent="0.35">
      <c r="A23" t="s">
        <v>177</v>
      </c>
      <c r="B23" t="s">
        <v>41</v>
      </c>
      <c r="C23" t="s">
        <v>0</v>
      </c>
      <c r="D23" t="s">
        <v>1</v>
      </c>
      <c r="E23" t="s">
        <v>2</v>
      </c>
      <c r="F23" t="s">
        <v>3</v>
      </c>
      <c r="G23" t="s">
        <v>4</v>
      </c>
      <c r="H23" t="s">
        <v>33</v>
      </c>
      <c r="I23" t="s">
        <v>34</v>
      </c>
      <c r="J23" t="s">
        <v>35</v>
      </c>
      <c r="K23" t="s">
        <v>5</v>
      </c>
      <c r="L23" t="s">
        <v>6</v>
      </c>
      <c r="M23" t="s">
        <v>7</v>
      </c>
      <c r="N23" t="s">
        <v>8</v>
      </c>
      <c r="O23" t="s">
        <v>9</v>
      </c>
      <c r="P23" t="s">
        <v>10</v>
      </c>
      <c r="Q23" t="s">
        <v>11</v>
      </c>
      <c r="R23" t="s">
        <v>12</v>
      </c>
      <c r="S23" t="s">
        <v>13</v>
      </c>
      <c r="T23" t="s">
        <v>14</v>
      </c>
      <c r="U23" t="s">
        <v>15</v>
      </c>
      <c r="V23" t="s">
        <v>16</v>
      </c>
      <c r="W23" t="s">
        <v>17</v>
      </c>
      <c r="X23" t="s">
        <v>18</v>
      </c>
      <c r="Y23" t="s">
        <v>19</v>
      </c>
      <c r="Z23" t="s">
        <v>20</v>
      </c>
      <c r="AA23" s="1" t="s">
        <v>21</v>
      </c>
      <c r="AB23" t="s">
        <v>22</v>
      </c>
      <c r="AC23" t="s">
        <v>23</v>
      </c>
      <c r="AD23" t="s">
        <v>24</v>
      </c>
      <c r="AE23" t="s">
        <v>25</v>
      </c>
      <c r="AF23" t="s">
        <v>26</v>
      </c>
      <c r="AG23" t="s">
        <v>27</v>
      </c>
      <c r="AH23" t="s">
        <v>28</v>
      </c>
      <c r="AI23" t="s">
        <v>29</v>
      </c>
      <c r="AJ23" t="s">
        <v>30</v>
      </c>
      <c r="AK23" t="s">
        <v>31</v>
      </c>
    </row>
    <row r="24" spans="1:37" x14ac:dyDescent="0.35">
      <c r="A24" t="s">
        <v>208</v>
      </c>
      <c r="B24">
        <v>0.01</v>
      </c>
      <c r="C24" s="1">
        <v>3.7871999999999999E-6</v>
      </c>
      <c r="D24">
        <v>2.4616999999999998E-4</v>
      </c>
      <c r="E24" s="1">
        <v>6.3354999999999997E-6</v>
      </c>
      <c r="F24" s="1">
        <v>1.5147E-8</v>
      </c>
      <c r="G24">
        <v>0.23907999999999999</v>
      </c>
      <c r="H24">
        <v>48.23</v>
      </c>
      <c r="I24">
        <v>0.15673999999999999</v>
      </c>
      <c r="J24">
        <v>0.32497999999999999</v>
      </c>
      <c r="K24">
        <v>33.1</v>
      </c>
      <c r="L24">
        <v>1.6215999999999999</v>
      </c>
      <c r="M24">
        <v>4.8990999999999998</v>
      </c>
      <c r="N24">
        <v>2.6124999999999999E-2</v>
      </c>
      <c r="O24">
        <v>9.0649000000000003E-4</v>
      </c>
      <c r="P24">
        <v>3.4698000000000002</v>
      </c>
      <c r="Q24">
        <v>0.99797000000000002</v>
      </c>
      <c r="R24">
        <v>1.6580999999999999E-2</v>
      </c>
      <c r="S24">
        <v>1.6615</v>
      </c>
      <c r="T24">
        <v>42.06</v>
      </c>
      <c r="U24">
        <v>0.57138999999999995</v>
      </c>
      <c r="V24">
        <v>1.3585</v>
      </c>
      <c r="W24">
        <v>7.9869999999999995E-4</v>
      </c>
      <c r="X24" s="1">
        <v>1.1345000000000001E-5</v>
      </c>
      <c r="Y24">
        <v>1.4204000000000001</v>
      </c>
      <c r="Z24">
        <v>0.95992</v>
      </c>
      <c r="AA24">
        <v>5.4722E-3</v>
      </c>
      <c r="AB24">
        <v>0.57006999999999997</v>
      </c>
      <c r="AC24">
        <v>28.15</v>
      </c>
      <c r="AD24">
        <v>9.2730999999999995</v>
      </c>
      <c r="AE24">
        <v>32.942</v>
      </c>
      <c r="AF24">
        <v>4.8240999999999999E-2</v>
      </c>
      <c r="AG24">
        <v>6.9731000000000003E-3</v>
      </c>
      <c r="AH24">
        <v>14.455</v>
      </c>
      <c r="AI24">
        <v>0.21697</v>
      </c>
      <c r="AJ24">
        <v>1.9493E-2</v>
      </c>
      <c r="AK24">
        <v>8.9841999999999995</v>
      </c>
    </row>
    <row r="25" spans="1:37" x14ac:dyDescent="0.35">
      <c r="A25" t="s">
        <v>207</v>
      </c>
      <c r="B25">
        <v>0.04</v>
      </c>
      <c r="C25" s="1">
        <v>1.4475999999999999E-6</v>
      </c>
      <c r="D25" s="1">
        <v>8.8306000000000005E-5</v>
      </c>
      <c r="E25" s="1">
        <v>6.3161999999999998E-6</v>
      </c>
      <c r="F25" s="1">
        <v>9.4348000000000005E-9</v>
      </c>
      <c r="G25">
        <v>0.14937</v>
      </c>
      <c r="H25">
        <v>47.03</v>
      </c>
      <c r="I25">
        <v>6.5093999999999999E-2</v>
      </c>
      <c r="J25">
        <v>0.13841000000000001</v>
      </c>
      <c r="K25">
        <v>11.88</v>
      </c>
      <c r="L25">
        <v>0.30680000000000002</v>
      </c>
      <c r="M25">
        <v>2.5825</v>
      </c>
      <c r="N25">
        <v>2.4063000000000001E-2</v>
      </c>
      <c r="O25">
        <v>5.3470999999999998E-4</v>
      </c>
      <c r="P25">
        <v>2.2221000000000002</v>
      </c>
      <c r="Q25">
        <v>0.96167000000000002</v>
      </c>
      <c r="R25">
        <v>1.1623E-2</v>
      </c>
      <c r="S25">
        <v>1.2085999999999999</v>
      </c>
      <c r="T25">
        <v>17.41</v>
      </c>
      <c r="U25">
        <v>0.67520999999999998</v>
      </c>
      <c r="V25">
        <v>3.8782999999999999</v>
      </c>
      <c r="W25">
        <v>7.8456000000000001E-4</v>
      </c>
      <c r="X25" s="1">
        <v>1.9236999999999999E-5</v>
      </c>
      <c r="Y25">
        <v>2.4519000000000002</v>
      </c>
      <c r="Z25">
        <v>0.94316</v>
      </c>
      <c r="AA25">
        <v>1.1448E-2</v>
      </c>
      <c r="AB25">
        <v>1.2138</v>
      </c>
      <c r="AC25">
        <v>6.2359999999999998</v>
      </c>
      <c r="AD25">
        <v>1.0098</v>
      </c>
      <c r="AE25">
        <v>16.193000000000001</v>
      </c>
      <c r="AF25">
        <v>8.0789E-3</v>
      </c>
      <c r="AG25">
        <v>2.5362000000000002E-3</v>
      </c>
      <c r="AH25">
        <v>31.393000000000001</v>
      </c>
      <c r="AI25">
        <v>0.40175</v>
      </c>
      <c r="AJ25">
        <v>3.1328000000000002E-2</v>
      </c>
      <c r="AK25">
        <v>7.7979000000000003</v>
      </c>
    </row>
    <row r="26" spans="1:37" x14ac:dyDescent="0.35">
      <c r="A26" t="s">
        <v>206</v>
      </c>
      <c r="B26">
        <v>0.1</v>
      </c>
      <c r="C26" s="1">
        <v>2.5245000000000001E-6</v>
      </c>
      <c r="D26">
        <v>1.3884999999999999E-4</v>
      </c>
      <c r="E26" s="1">
        <v>6.3153000000000003E-6</v>
      </c>
      <c r="F26" s="1">
        <v>1.3623000000000001E-8</v>
      </c>
      <c r="G26">
        <v>0.21571000000000001</v>
      </c>
      <c r="H26">
        <v>51.51</v>
      </c>
      <c r="I26">
        <v>0.1163</v>
      </c>
      <c r="J26">
        <v>0.22578000000000001</v>
      </c>
      <c r="K26">
        <v>4.4480000000000004</v>
      </c>
      <c r="L26">
        <v>1.2094</v>
      </c>
      <c r="M26">
        <v>27.19</v>
      </c>
      <c r="N26">
        <v>2.5378000000000001E-2</v>
      </c>
      <c r="O26">
        <v>3.3595000000000001E-3</v>
      </c>
      <c r="P26">
        <v>13.238</v>
      </c>
      <c r="Q26">
        <v>1.018</v>
      </c>
      <c r="R26">
        <v>7.0272000000000001E-2</v>
      </c>
      <c r="S26">
        <v>6.9028999999999998</v>
      </c>
      <c r="T26">
        <v>11.6</v>
      </c>
      <c r="U26">
        <v>1.5439000000000001</v>
      </c>
      <c r="V26">
        <v>13.308999999999999</v>
      </c>
      <c r="W26">
        <v>7.3021000000000002E-4</v>
      </c>
      <c r="X26" s="1">
        <v>4.6230000000000003E-5</v>
      </c>
      <c r="Y26">
        <v>6.3311000000000002</v>
      </c>
      <c r="Z26">
        <v>0.94016999999999995</v>
      </c>
      <c r="AA26">
        <v>3.0471000000000002E-2</v>
      </c>
      <c r="AB26">
        <v>3.2410000000000001</v>
      </c>
      <c r="AC26">
        <v>8.8759999999999994</v>
      </c>
      <c r="AD26">
        <v>3.4272999999999998</v>
      </c>
      <c r="AE26">
        <v>38.613</v>
      </c>
      <c r="AF26">
        <v>9.2070999999999993E-3</v>
      </c>
      <c r="AG26">
        <v>4.6860000000000001E-3</v>
      </c>
      <c r="AH26">
        <v>50.896000000000001</v>
      </c>
      <c r="AI26">
        <v>0.37158999999999998</v>
      </c>
      <c r="AJ26">
        <v>4.8133000000000002E-2</v>
      </c>
      <c r="AK26">
        <v>12.952999999999999</v>
      </c>
    </row>
    <row r="27" spans="1:37" x14ac:dyDescent="0.35">
      <c r="A27" t="s">
        <v>205</v>
      </c>
      <c r="B27">
        <v>1</v>
      </c>
      <c r="C27" s="1">
        <v>1.0088E-6</v>
      </c>
      <c r="D27" s="1">
        <v>5.4475999999999998E-5</v>
      </c>
      <c r="E27" s="1">
        <v>6.2960000000000004E-6</v>
      </c>
      <c r="F27" s="1">
        <v>7.6957000000000002E-9</v>
      </c>
      <c r="G27">
        <v>0.12223000000000001</v>
      </c>
      <c r="H27">
        <v>48.83</v>
      </c>
      <c r="I27">
        <v>3.3805000000000002E-2</v>
      </c>
      <c r="J27">
        <v>6.923E-2</v>
      </c>
      <c r="K27">
        <v>7.61</v>
      </c>
      <c r="L27">
        <v>0.52178000000000002</v>
      </c>
      <c r="M27">
        <v>6.8564999999999996</v>
      </c>
      <c r="N27">
        <v>6.8869999999999999E-4</v>
      </c>
      <c r="O27" s="1">
        <v>2.6135E-5</v>
      </c>
      <c r="P27">
        <v>3.7948</v>
      </c>
      <c r="Q27">
        <v>0.92357</v>
      </c>
      <c r="R27">
        <v>1.9234999999999999E-2</v>
      </c>
      <c r="S27">
        <v>2.0827</v>
      </c>
      <c r="T27">
        <v>5.1130000000000004</v>
      </c>
      <c r="U27">
        <v>0.58106000000000002</v>
      </c>
      <c r="V27">
        <v>11.364000000000001</v>
      </c>
      <c r="W27">
        <v>2.042E-3</v>
      </c>
      <c r="X27">
        <v>5.0188999999999995E-4</v>
      </c>
      <c r="Y27">
        <v>24.577999999999999</v>
      </c>
      <c r="Z27">
        <v>0.53491999999999995</v>
      </c>
      <c r="AA27">
        <v>2.3934E-2</v>
      </c>
      <c r="AB27">
        <v>4.4743000000000004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1</v>
      </c>
      <c r="AJ27" s="1">
        <v>0</v>
      </c>
      <c r="AK27" s="1">
        <v>0</v>
      </c>
    </row>
    <row r="28" spans="1:37" x14ac:dyDescent="0.35">
      <c r="A28" t="s">
        <v>204</v>
      </c>
      <c r="B28">
        <v>10</v>
      </c>
      <c r="C28" s="1">
        <v>6.7350999999999995E-7</v>
      </c>
      <c r="D28" s="1">
        <v>3.3674999999999999E-5</v>
      </c>
      <c r="E28" s="1">
        <v>6.2178E-6</v>
      </c>
      <c r="F28" s="1">
        <v>6.1749000000000003E-9</v>
      </c>
      <c r="G28">
        <v>9.9309999999999996E-2</v>
      </c>
      <c r="H28">
        <v>49.08</v>
      </c>
      <c r="I28">
        <v>2.3335999999999999E-2</v>
      </c>
      <c r="J28">
        <v>4.7546999999999999E-2</v>
      </c>
      <c r="K28">
        <v>4.8289999999999997</v>
      </c>
      <c r="L28">
        <v>0.36249999999999999</v>
      </c>
      <c r="M28">
        <v>7.5067000000000004</v>
      </c>
      <c r="N28">
        <v>1.4997000000000001E-3</v>
      </c>
      <c r="O28">
        <v>2.8484000000000002E-4</v>
      </c>
      <c r="P28">
        <v>18.992999999999999</v>
      </c>
      <c r="Q28">
        <v>0.58211999999999997</v>
      </c>
      <c r="R28">
        <v>1.8981999999999999E-2</v>
      </c>
      <c r="S28">
        <v>3.2608000000000001</v>
      </c>
      <c r="T28">
        <v>7.4729999999999999</v>
      </c>
      <c r="U28">
        <v>0.32529999999999998</v>
      </c>
      <c r="V28">
        <v>4.3529999999999998</v>
      </c>
      <c r="W28">
        <v>4.4066E-4</v>
      </c>
      <c r="X28" s="1">
        <v>1.3864E-5</v>
      </c>
      <c r="Y28">
        <v>3.1461999999999999</v>
      </c>
      <c r="Z28">
        <v>0.99643000000000004</v>
      </c>
      <c r="AA28">
        <v>1.3214E-2</v>
      </c>
      <c r="AB28">
        <v>1.3261000000000001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1</v>
      </c>
      <c r="AJ28" s="1">
        <v>0</v>
      </c>
      <c r="AK28" s="1">
        <v>0</v>
      </c>
    </row>
    <row r="29" spans="1:37" x14ac:dyDescent="0.35">
      <c r="A29" t="s">
        <v>203</v>
      </c>
      <c r="B29">
        <v>100</v>
      </c>
      <c r="C29" s="1">
        <v>3.8066999999999999E-6</v>
      </c>
      <c r="D29">
        <v>1.9034E-4</v>
      </c>
      <c r="E29" s="1">
        <v>6.2590999999999999E-6</v>
      </c>
      <c r="F29" s="1">
        <v>1.5110000000000001E-8</v>
      </c>
      <c r="G29">
        <v>0.24141000000000001</v>
      </c>
      <c r="H29">
        <v>50.88</v>
      </c>
      <c r="I29">
        <v>6.1670000000000003E-2</v>
      </c>
      <c r="J29">
        <v>0.12121</v>
      </c>
      <c r="K29">
        <v>5.8710000000000004</v>
      </c>
      <c r="L29">
        <v>1.2481</v>
      </c>
      <c r="M29">
        <v>21.259</v>
      </c>
      <c r="N29">
        <v>2.9962000000000001E-3</v>
      </c>
      <c r="O29">
        <v>1.1452000000000001E-3</v>
      </c>
      <c r="P29">
        <v>38.222000000000001</v>
      </c>
      <c r="Q29">
        <v>0.50534999999999997</v>
      </c>
      <c r="R29">
        <v>3.7332999999999998E-2</v>
      </c>
      <c r="S29">
        <v>7.3875999999999999</v>
      </c>
      <c r="T29">
        <v>9.0760000000000005</v>
      </c>
      <c r="U29">
        <v>1.0302</v>
      </c>
      <c r="V29">
        <v>11.351000000000001</v>
      </c>
      <c r="W29">
        <v>4.0880000000000002E-4</v>
      </c>
      <c r="X29" s="1">
        <v>3.2808999999999997E-5</v>
      </c>
      <c r="Y29">
        <v>8.0257000000000005</v>
      </c>
      <c r="Z29">
        <v>0.99875000000000003</v>
      </c>
      <c r="AA29">
        <v>3.3676999999999999E-2</v>
      </c>
      <c r="AB29">
        <v>3.3719000000000001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1</v>
      </c>
      <c r="AJ29" s="1">
        <v>0</v>
      </c>
      <c r="AK29" s="1">
        <v>0</v>
      </c>
    </row>
    <row r="30" spans="1:37" x14ac:dyDescent="0.35">
      <c r="C30" s="1"/>
      <c r="E30" s="1"/>
      <c r="F30" s="1"/>
      <c r="R30" s="1"/>
    </row>
    <row r="31" spans="1:37" x14ac:dyDescent="0.35">
      <c r="A31" t="s">
        <v>177</v>
      </c>
      <c r="B31" t="s">
        <v>54</v>
      </c>
      <c r="C31" t="s">
        <v>0</v>
      </c>
      <c r="D31" t="s">
        <v>1</v>
      </c>
      <c r="E31" t="s">
        <v>2</v>
      </c>
      <c r="F31" s="1" t="s">
        <v>3</v>
      </c>
      <c r="G31" t="s">
        <v>4</v>
      </c>
      <c r="H31" s="1" t="s">
        <v>33</v>
      </c>
      <c r="I31" s="1" t="s">
        <v>34</v>
      </c>
      <c r="J31" s="1" t="s">
        <v>35</v>
      </c>
      <c r="K31" s="1" t="s">
        <v>5</v>
      </c>
      <c r="L31" s="1" t="s">
        <v>6</v>
      </c>
      <c r="M31" t="s">
        <v>7</v>
      </c>
      <c r="N31" t="s">
        <v>8</v>
      </c>
      <c r="O31" t="s">
        <v>9</v>
      </c>
      <c r="P31" t="s">
        <v>10</v>
      </c>
      <c r="Q31" t="s">
        <v>11</v>
      </c>
      <c r="R31" s="1" t="s">
        <v>12</v>
      </c>
      <c r="S31" t="s">
        <v>13</v>
      </c>
      <c r="T31" t="s">
        <v>14</v>
      </c>
      <c r="U31" t="s">
        <v>15</v>
      </c>
      <c r="V31" t="s">
        <v>16</v>
      </c>
      <c r="W31" t="s">
        <v>17</v>
      </c>
      <c r="X31" t="s">
        <v>18</v>
      </c>
      <c r="Y31" t="s">
        <v>19</v>
      </c>
      <c r="Z31" t="s">
        <v>20</v>
      </c>
      <c r="AA31" t="s">
        <v>21</v>
      </c>
      <c r="AB31" t="s">
        <v>22</v>
      </c>
      <c r="AC31" t="s">
        <v>23</v>
      </c>
      <c r="AD31" s="1" t="s">
        <v>24</v>
      </c>
      <c r="AE31" t="s">
        <v>25</v>
      </c>
      <c r="AF31" t="s">
        <v>26</v>
      </c>
      <c r="AG31" t="s">
        <v>27</v>
      </c>
      <c r="AH31" t="s">
        <v>28</v>
      </c>
      <c r="AI31" t="s">
        <v>29</v>
      </c>
      <c r="AJ31" t="s">
        <v>30</v>
      </c>
      <c r="AK31" t="s">
        <v>31</v>
      </c>
    </row>
    <row r="32" spans="1:37" x14ac:dyDescent="0.35">
      <c r="A32" t="s">
        <v>202</v>
      </c>
      <c r="B32">
        <f>1/(0.000479779-0.000434801*LOG(0.05/(0.5*0.5*(H32-10)))-0.000100649*(LOG(0.05/(0.5*0.5*(H32-10))))^2-0.0000198446*(LOG(0.05/(0.5*0.5*(H32))))^3-0.00000195494*(LOG(0.05/(0.5*0.5*(H32-10))))^4-0.0000000757244*(LOG(0.05/(0.5*0.5*(H32-10))))^5)</f>
        <v>855.58338963603501</v>
      </c>
      <c r="C32" s="1">
        <v>3.1410000000000001E-6</v>
      </c>
      <c r="D32">
        <v>1.916E-4</v>
      </c>
      <c r="E32" s="1">
        <v>6.1596999999999997E-6</v>
      </c>
      <c r="F32" s="1">
        <v>1.3744000000000001E-8</v>
      </c>
      <c r="G32">
        <v>0.22313</v>
      </c>
      <c r="H32">
        <v>48.72</v>
      </c>
      <c r="I32" s="1">
        <v>0.10314</v>
      </c>
      <c r="J32" s="1">
        <v>0.2117</v>
      </c>
      <c r="K32" s="1">
        <v>11.41</v>
      </c>
      <c r="L32" s="1">
        <v>1.5242</v>
      </c>
      <c r="M32" s="1">
        <v>13.358000000000001</v>
      </c>
      <c r="N32">
        <v>2.4385E-2</v>
      </c>
      <c r="O32">
        <v>1.9319000000000001E-3</v>
      </c>
      <c r="P32">
        <v>7.9225000000000003</v>
      </c>
      <c r="Q32">
        <v>1.002</v>
      </c>
      <c r="R32">
        <v>3.7714999999999999E-2</v>
      </c>
      <c r="S32">
        <v>3.7639999999999998</v>
      </c>
      <c r="T32">
        <v>16.89</v>
      </c>
      <c r="U32">
        <v>0.89839999999999998</v>
      </c>
      <c r="V32">
        <v>5.3190999999999997</v>
      </c>
      <c r="W32">
        <v>7.2672999999999998E-4</v>
      </c>
      <c r="X32" s="1">
        <v>2.6041E-5</v>
      </c>
      <c r="Y32">
        <v>3.5832999999999999</v>
      </c>
      <c r="Z32">
        <v>0.95628999999999997</v>
      </c>
      <c r="AA32">
        <v>1.4059E-2</v>
      </c>
      <c r="AB32">
        <v>1.4702</v>
      </c>
      <c r="AC32">
        <v>10.27</v>
      </c>
      <c r="AD32" s="1">
        <v>3.4485000000000001</v>
      </c>
      <c r="AE32">
        <v>33.578000000000003</v>
      </c>
      <c r="AF32">
        <v>2.0152E-2</v>
      </c>
      <c r="AG32">
        <v>6.3952999999999996E-3</v>
      </c>
      <c r="AH32">
        <v>31.734999999999999</v>
      </c>
      <c r="AI32">
        <v>0.31594</v>
      </c>
      <c r="AJ32">
        <v>3.2025999999999999E-2</v>
      </c>
      <c r="AK32">
        <v>10.137</v>
      </c>
    </row>
    <row r="33" spans="1:37" x14ac:dyDescent="0.35">
      <c r="A33" t="s">
        <v>201</v>
      </c>
      <c r="B33">
        <f>1/(0.000479779-0.000434801*LOG(0.05/(0.5*0.5*(H33-10)))-0.000100649*(LOG(0.05/(0.5*0.5*(H33-10))))^2-0.0000198446*(LOG(0.05/(0.5*0.5*(H33))))^3-0.00000195494*(LOG(0.05/(0.5*0.5*(H33-10))))^4-0.0000000757244*(LOG(0.05/(0.5*0.5*(H33-10))))^5)</f>
        <v>829.12146501535767</v>
      </c>
      <c r="C33" s="1">
        <v>1.9794999999999999E-6</v>
      </c>
      <c r="D33">
        <v>1.2867E-4</v>
      </c>
      <c r="E33" s="1">
        <v>6.0889000000000003E-6</v>
      </c>
      <c r="F33" s="1">
        <v>1.5390000000000001E-8</v>
      </c>
      <c r="G33">
        <v>0.25275999999999998</v>
      </c>
      <c r="H33">
        <v>75.94</v>
      </c>
      <c r="I33" s="1">
        <v>9.8937999999999998E-2</v>
      </c>
      <c r="J33" s="1">
        <v>0.13028000000000001</v>
      </c>
      <c r="K33" s="1">
        <v>12.7</v>
      </c>
      <c r="L33" s="1">
        <v>0.86136999999999997</v>
      </c>
      <c r="M33">
        <v>6.7824</v>
      </c>
      <c r="N33">
        <v>2.2294000000000001E-2</v>
      </c>
      <c r="O33">
        <v>1.2917E-3</v>
      </c>
      <c r="P33">
        <v>5.7938999999999998</v>
      </c>
      <c r="Q33">
        <v>1.024</v>
      </c>
      <c r="R33">
        <v>2.5746000000000002E-2</v>
      </c>
      <c r="S33">
        <v>2.5143</v>
      </c>
      <c r="T33">
        <v>43.56</v>
      </c>
      <c r="U33">
        <v>1.2084999999999999</v>
      </c>
      <c r="V33">
        <v>2.7743000000000002</v>
      </c>
      <c r="W33">
        <v>6.0212000000000004E-4</v>
      </c>
      <c r="X33" s="1">
        <v>1.1926000000000001E-5</v>
      </c>
      <c r="Y33">
        <v>1.9806999999999999</v>
      </c>
      <c r="Z33">
        <v>0.94025999999999998</v>
      </c>
      <c r="AA33">
        <v>8.6081000000000005E-3</v>
      </c>
      <c r="AB33">
        <v>0.91549999999999998</v>
      </c>
      <c r="AC33">
        <v>16.350000000000001</v>
      </c>
      <c r="AD33" s="1">
        <v>2.1288999999999998</v>
      </c>
      <c r="AE33">
        <v>13.021000000000001</v>
      </c>
      <c r="AF33">
        <v>6.1024E-3</v>
      </c>
      <c r="AG33">
        <v>1.1552000000000001E-3</v>
      </c>
      <c r="AH33">
        <v>18.93</v>
      </c>
      <c r="AI33">
        <v>0.37162000000000001</v>
      </c>
      <c r="AJ33">
        <v>1.9668999999999999E-2</v>
      </c>
      <c r="AK33">
        <v>5.2927999999999997</v>
      </c>
    </row>
    <row r="34" spans="1:37" x14ac:dyDescent="0.35">
      <c r="A34" t="s">
        <v>200</v>
      </c>
      <c r="B34">
        <f>1/(0.000479779-0.000434801*LOG(0.05/(0.5*0.5*(H34-10)))-0.000100649*(LOG(0.05/(0.5*0.5*(H34-10))))^2-0.0000198446*(LOG(0.05/(0.5*0.5*(H34))))^3-0.00000195494*(LOG(0.05/(0.5*0.5*(H34-10))))^4-0.0000000757244*(LOG(0.05/(0.5*0.5*(H34-10))))^5)</f>
        <v>805.00425792108149</v>
      </c>
      <c r="C34" s="1">
        <v>5.1101000000000004E-6</v>
      </c>
      <c r="D34">
        <v>3.3726999999999997E-4</v>
      </c>
      <c r="E34" s="1">
        <v>5.7872000000000003E-6</v>
      </c>
      <c r="F34" s="1">
        <v>3.4785999999999998E-8</v>
      </c>
      <c r="G34">
        <v>0.60109000000000001</v>
      </c>
      <c r="H34">
        <v>119.7</v>
      </c>
      <c r="I34" s="1">
        <v>0</v>
      </c>
      <c r="J34" s="1">
        <v>0</v>
      </c>
      <c r="K34" s="1">
        <v>106.1</v>
      </c>
      <c r="L34" s="1">
        <v>3.9483999999999999</v>
      </c>
      <c r="M34" s="1">
        <v>3.7214</v>
      </c>
      <c r="N34" s="1">
        <v>5.0697999999999997E-4</v>
      </c>
      <c r="O34" s="1">
        <v>1.172E-5</v>
      </c>
      <c r="P34">
        <v>2.3117000000000001</v>
      </c>
      <c r="Q34">
        <v>0.93205000000000005</v>
      </c>
      <c r="R34">
        <v>1.2756999999999999E-2</v>
      </c>
      <c r="S34">
        <v>1.3687</v>
      </c>
      <c r="T34">
        <v>8.8529999999999998</v>
      </c>
      <c r="U34">
        <v>2.2509000000000001</v>
      </c>
      <c r="V34">
        <v>25.425000000000001</v>
      </c>
      <c r="W34">
        <v>3.4805999999999997E-2</v>
      </c>
      <c r="X34">
        <v>1.1284000000000001E-2</v>
      </c>
      <c r="Y34">
        <v>32.42</v>
      </c>
      <c r="Z34">
        <v>1.117</v>
      </c>
      <c r="AA34">
        <v>8.7492E-2</v>
      </c>
      <c r="AB34">
        <v>7.8327999999999998</v>
      </c>
      <c r="AC34">
        <v>25.06</v>
      </c>
      <c r="AD34">
        <v>2.6705000000000001</v>
      </c>
      <c r="AE34">
        <v>10.656000000000001</v>
      </c>
      <c r="AF34" s="1">
        <v>2.2271999999999999E-3</v>
      </c>
      <c r="AG34">
        <v>3.5316999999999998E-4</v>
      </c>
      <c r="AH34">
        <v>15.856999999999999</v>
      </c>
      <c r="AI34">
        <v>0.45391999999999999</v>
      </c>
      <c r="AJ34">
        <v>1.5389E-2</v>
      </c>
      <c r="AK34">
        <v>3.3902000000000001</v>
      </c>
    </row>
    <row r="35" spans="1:37" x14ac:dyDescent="0.35">
      <c r="A35" t="s">
        <v>199</v>
      </c>
      <c r="B35">
        <f>1/(0.000479779-0.000434801*LOG(0.05/(0.5*0.5*(H35-10)))-0.000100649*(LOG(0.05/(0.5*0.5*(H35-10))))^2-0.0000198446*(LOG(0.05/(0.5*0.5*(H35))))^3-0.00000195494*(LOG(0.05/(0.5*0.5*(H35-10))))^4-0.0000000757244*(LOG(0.05/(0.5*0.5*(H35-10))))^5)</f>
        <v>774.85132118706383</v>
      </c>
      <c r="C35" s="1">
        <v>1.5102E-5</v>
      </c>
      <c r="D35">
        <v>9.967000000000001E-4</v>
      </c>
      <c r="E35" s="1">
        <v>4.6889000000000001E-6</v>
      </c>
      <c r="F35" s="1">
        <v>1.1021000000000001E-7</v>
      </c>
      <c r="G35">
        <v>2.3504</v>
      </c>
      <c r="H35">
        <v>224</v>
      </c>
      <c r="I35" s="1">
        <v>0</v>
      </c>
      <c r="J35" s="1">
        <v>0</v>
      </c>
      <c r="K35" s="1">
        <v>57.16</v>
      </c>
      <c r="L35" s="1">
        <v>16.914999999999999</v>
      </c>
      <c r="M35" s="1">
        <v>29.591999999999999</v>
      </c>
      <c r="N35" s="1">
        <v>9.1104000000000001E-4</v>
      </c>
      <c r="O35" s="1">
        <v>4.3609999999999998E-4</v>
      </c>
      <c r="P35">
        <v>47.868000000000002</v>
      </c>
      <c r="Q35">
        <v>0.57901999999999998</v>
      </c>
      <c r="R35">
        <v>9.3659999999999993E-2</v>
      </c>
      <c r="S35">
        <v>16.175999999999998</v>
      </c>
      <c r="T35">
        <v>319.10000000000002</v>
      </c>
      <c r="U35">
        <v>13.337</v>
      </c>
      <c r="V35">
        <v>4.1795999999999998</v>
      </c>
      <c r="W35">
        <v>4.0644999999999999E-4</v>
      </c>
      <c r="X35" s="1">
        <v>1.1218E-5</v>
      </c>
      <c r="Y35">
        <v>2.76</v>
      </c>
      <c r="Z35">
        <v>0.95862999999999998</v>
      </c>
      <c r="AA35">
        <v>1.255E-2</v>
      </c>
      <c r="AB35">
        <v>1.3091999999999999</v>
      </c>
      <c r="AC35">
        <v>4.6479999999999997</v>
      </c>
      <c r="AD35">
        <v>3.1911999999999998</v>
      </c>
      <c r="AE35">
        <v>68.656999999999996</v>
      </c>
      <c r="AF35" s="1">
        <v>4.8442000000000001E-5</v>
      </c>
      <c r="AG35">
        <v>1.1883999999999999E-4</v>
      </c>
      <c r="AH35">
        <v>245.32</v>
      </c>
      <c r="AI35">
        <v>0.76339000000000001</v>
      </c>
      <c r="AJ35">
        <v>0.23111999999999999</v>
      </c>
      <c r="AK35">
        <v>30.274999999999999</v>
      </c>
    </row>
    <row r="36" spans="1:37" x14ac:dyDescent="0.35">
      <c r="C36" s="1"/>
      <c r="E36" s="1"/>
      <c r="F36" s="1"/>
      <c r="I36" s="1"/>
      <c r="J36" s="1"/>
      <c r="K36" s="1"/>
      <c r="L36" s="1"/>
      <c r="AD36" s="1"/>
      <c r="AG36" s="1"/>
    </row>
    <row r="37" spans="1:37" x14ac:dyDescent="0.35">
      <c r="F37" s="1"/>
      <c r="G37" s="1"/>
      <c r="H37" s="1"/>
      <c r="I37" s="1"/>
      <c r="AA37" s="1"/>
    </row>
    <row r="38" spans="1:37" x14ac:dyDescent="0.35">
      <c r="C38" s="1"/>
      <c r="E38" s="1"/>
      <c r="F38" s="1"/>
      <c r="X38" s="1"/>
    </row>
    <row r="39" spans="1:37" x14ac:dyDescent="0.35">
      <c r="C39" s="1"/>
      <c r="D39" s="1"/>
      <c r="E39" s="1"/>
      <c r="F39" s="1"/>
      <c r="O39" s="1"/>
      <c r="X39" s="1"/>
    </row>
    <row r="40" spans="1:37" x14ac:dyDescent="0.35">
      <c r="C40" s="1"/>
      <c r="E40" s="1"/>
      <c r="F40" s="1"/>
      <c r="O40" s="1"/>
      <c r="X40" s="1"/>
    </row>
    <row r="41" spans="1:37" x14ac:dyDescent="0.35">
      <c r="C41" s="1"/>
      <c r="D41" s="1"/>
      <c r="E41" s="1"/>
      <c r="F41" s="1"/>
      <c r="O41" s="1"/>
      <c r="X41" s="1"/>
    </row>
    <row r="42" spans="1:37" x14ac:dyDescent="0.35">
      <c r="C42" s="1"/>
      <c r="E42" s="1"/>
      <c r="F42" s="1"/>
      <c r="O42" s="1"/>
    </row>
    <row r="43" spans="1:37" x14ac:dyDescent="0.35">
      <c r="C43" s="1"/>
      <c r="D43" s="1"/>
      <c r="E43" s="1"/>
      <c r="F43" s="1"/>
      <c r="O43" s="1"/>
    </row>
    <row r="44" spans="1:37" x14ac:dyDescent="0.35">
      <c r="C44" s="1"/>
      <c r="D44" s="1"/>
      <c r="E44" s="1"/>
      <c r="F44" s="1"/>
      <c r="O44" s="1"/>
    </row>
    <row r="45" spans="1:37" x14ac:dyDescent="0.35">
      <c r="C45" s="1"/>
      <c r="D45" s="1"/>
      <c r="E45" s="1"/>
      <c r="F45" s="1"/>
      <c r="O45" s="1"/>
      <c r="W45" s="1"/>
      <c r="X45" s="1"/>
    </row>
    <row r="46" spans="1:37" x14ac:dyDescent="0.35">
      <c r="C46" s="1"/>
      <c r="D46" s="1"/>
      <c r="E46" s="1"/>
      <c r="F46" s="1"/>
      <c r="O46" s="1"/>
      <c r="V46" s="1"/>
      <c r="W46" s="1"/>
      <c r="Y46" s="1"/>
      <c r="AB46" s="1"/>
    </row>
    <row r="47" spans="1:37" x14ac:dyDescent="0.35">
      <c r="C47" s="1"/>
      <c r="D47" s="1"/>
      <c r="E47" s="1"/>
      <c r="F47" s="1"/>
      <c r="O47" s="1"/>
    </row>
    <row r="48" spans="1:37" x14ac:dyDescent="0.35">
      <c r="C48" s="1"/>
      <c r="D48" s="1"/>
      <c r="E48" s="1"/>
      <c r="F48" s="1"/>
      <c r="O48" s="1"/>
    </row>
    <row r="49" spans="3:15" x14ac:dyDescent="0.35">
      <c r="C49" s="1"/>
      <c r="D49" s="1"/>
      <c r="E49" s="1"/>
      <c r="F49" s="1"/>
      <c r="O49" s="1"/>
    </row>
    <row r="50" spans="3:15" x14ac:dyDescent="0.35">
      <c r="C50" s="1"/>
      <c r="D50" s="1"/>
      <c r="E50" s="1"/>
      <c r="F50" s="1"/>
      <c r="O50" s="1"/>
    </row>
    <row r="51" spans="3:15" x14ac:dyDescent="0.35">
      <c r="C51" s="1"/>
      <c r="D51" s="1"/>
      <c r="E51" s="1"/>
      <c r="F51" s="1"/>
      <c r="O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LSC82</vt:lpstr>
      <vt:lpstr>LSC82-CaO</vt:lpstr>
      <vt:lpstr>LSC82-SnO2</vt:lpstr>
      <vt:lpstr>LSC82-SrO</vt:lpstr>
      <vt:lpstr>LSC82-Decorations</vt:lpstr>
      <vt:lpstr>LSC91</vt:lpstr>
      <vt:lpstr>LSC91-CaO</vt:lpstr>
      <vt:lpstr>LSC91-SnO2</vt:lpstr>
      <vt:lpstr>LSC91-SrO</vt:lpstr>
      <vt:lpstr>LSC91-Decorations</vt:lpstr>
      <vt:lpstr>LSC95-5</vt:lpstr>
      <vt:lpstr>LSC95-5-CaO</vt:lpstr>
      <vt:lpstr>LSC95-5-SnO2</vt:lpstr>
      <vt:lpstr>LSC95-5-SrO</vt:lpstr>
      <vt:lpstr>LSC95-5-Decoration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 Hatter</dc:creator>
  <cp:lastModifiedBy>Alexandre MERIEAU</cp:lastModifiedBy>
  <dcterms:created xsi:type="dcterms:W3CDTF">2022-12-07T11:10:09Z</dcterms:created>
  <dcterms:modified xsi:type="dcterms:W3CDTF">2024-04-19T14:34:33Z</dcterms:modified>
</cp:coreProperties>
</file>