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ml.chartshapes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10.xml" ContentType="application/vnd.openxmlformats-officedocument.drawingml.chartshapes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11.xml" ContentType="application/vnd.openxmlformats-officedocument.drawingml.chartshapes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mbaumgartner\surfdrive\PhD\Projects\GDE\Publication 3 - Ag sinter\"/>
    </mc:Choice>
  </mc:AlternateContent>
  <xr:revisionPtr revIDLastSave="0" documentId="13_ncr:1_{523262E0-6658-44BA-A93A-D692E19C6EA6}" xr6:coauthVersionLast="47" xr6:coauthVersionMax="47" xr10:uidLastSave="{00000000-0000-0000-0000-000000000000}"/>
  <bookViews>
    <workbookView xWindow="28680" yWindow="-120" windowWidth="29040" windowHeight="15840" tabRatio="749" xr2:uid="{00000000-000D-0000-FFFF-FFFF00000000}"/>
  </bookViews>
  <sheets>
    <sheet name="Feed stoichiometry" sheetId="29" r:id="rId1"/>
    <sheet name="Theta" sheetId="24" r:id="rId2"/>
    <sheet name="CO2R Carbon-free GDEs" sheetId="18" r:id="rId3"/>
    <sheet name="Ag 114-3 XPS Depth profile" sheetId="26" r:id="rId4"/>
    <sheet name="Ag 114-3 XPS composition" sheetId="28" r:id="rId5"/>
    <sheet name="Ag 178-1 XPS Depth profile" sheetId="25" r:id="rId6"/>
    <sheet name="Ag 178-1 XPS composition" sheetId="27" r:id="rId7"/>
  </sheets>
  <definedNames>
    <definedName name="_xlnm._FilterDatabase" localSheetId="6" hidden="1">'Ag 178-1 XPS composition'!$E$23:$I$81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0" i="29" l="1"/>
  <c r="C30" i="29" s="1"/>
  <c r="D30" i="29" s="1"/>
  <c r="B29" i="29"/>
  <c r="C29" i="29" s="1"/>
  <c r="D29" i="29" s="1"/>
  <c r="B28" i="29"/>
  <c r="C28" i="29" s="1"/>
  <c r="D28" i="29" s="1"/>
  <c r="B27" i="29"/>
  <c r="C27" i="29" s="1"/>
  <c r="D27" i="29" s="1"/>
  <c r="C16" i="29"/>
  <c r="G21" i="29" s="1"/>
  <c r="G22" i="29" s="1"/>
  <c r="C17" i="29" s="1"/>
  <c r="C19" i="29" s="1"/>
  <c r="C20" i="29" s="1"/>
  <c r="C21" i="29" s="1"/>
  <c r="C11" i="29"/>
  <c r="E29" i="29" l="1"/>
  <c r="E27" i="29"/>
  <c r="E30" i="29"/>
  <c r="E28" i="29"/>
  <c r="F27" i="28" l="1"/>
  <c r="F26" i="28"/>
  <c r="F25" i="28"/>
  <c r="F24" i="28"/>
  <c r="F23" i="28"/>
  <c r="F22" i="28"/>
  <c r="F21" i="28"/>
  <c r="F20" i="28"/>
  <c r="F19" i="28"/>
  <c r="F18" i="28"/>
  <c r="F17" i="28"/>
  <c r="F16" i="28"/>
  <c r="F15" i="28"/>
  <c r="F14" i="28"/>
  <c r="F13" i="28"/>
  <c r="F12" i="28"/>
  <c r="F11" i="28"/>
  <c r="J11" i="28" s="1"/>
  <c r="F10" i="28"/>
  <c r="F9" i="28"/>
  <c r="F8" i="28"/>
  <c r="F7" i="28"/>
  <c r="I5" i="28" s="1"/>
  <c r="F6" i="28"/>
  <c r="I3" i="28" s="1"/>
  <c r="F5" i="28"/>
  <c r="I7" i="28" s="1"/>
  <c r="F4" i="28"/>
  <c r="I4" i="28" s="1"/>
  <c r="F56" i="28"/>
  <c r="F55" i="28"/>
  <c r="F54" i="28"/>
  <c r="F53" i="28"/>
  <c r="F52" i="28"/>
  <c r="F51" i="28"/>
  <c r="K5" i="28" s="1"/>
  <c r="F50" i="28"/>
  <c r="F49" i="28"/>
  <c r="F48" i="28"/>
  <c r="F47" i="28"/>
  <c r="F46" i="28"/>
  <c r="F45" i="28"/>
  <c r="L10" i="28" s="1"/>
  <c r="F43" i="28"/>
  <c r="F42" i="28"/>
  <c r="F41" i="28"/>
  <c r="F40" i="28"/>
  <c r="F39" i="28"/>
  <c r="L12" i="28" s="1"/>
  <c r="F38" i="28"/>
  <c r="F37" i="28"/>
  <c r="F36" i="28"/>
  <c r="L8" i="28" s="1"/>
  <c r="F34" i="28"/>
  <c r="F33" i="28"/>
  <c r="F32" i="28"/>
  <c r="F31" i="28"/>
  <c r="L4" i="28" s="1"/>
  <c r="Z24" i="28"/>
  <c r="Y24" i="28"/>
  <c r="Z23" i="28"/>
  <c r="Y23" i="28"/>
  <c r="Z22" i="28"/>
  <c r="Z25" i="28" s="1"/>
  <c r="Y22" i="28"/>
  <c r="Y25" i="28" s="1"/>
  <c r="Z16" i="28"/>
  <c r="Y16" i="28"/>
  <c r="Z15" i="28"/>
  <c r="Y15" i="28"/>
  <c r="K12" i="28"/>
  <c r="Z14" i="28"/>
  <c r="Y14" i="28"/>
  <c r="Y17" i="28" s="1"/>
  <c r="K10" i="28"/>
  <c r="I9" i="28"/>
  <c r="J8" i="28"/>
  <c r="I8" i="28"/>
  <c r="L6" i="28"/>
  <c r="K6" i="28"/>
  <c r="Z8" i="28"/>
  <c r="Y8" i="28"/>
  <c r="J5" i="28"/>
  <c r="Z7" i="28"/>
  <c r="Y7" i="28"/>
  <c r="Z6" i="28"/>
  <c r="Y6" i="28"/>
  <c r="J3" i="28"/>
  <c r="L7" i="28" l="1"/>
  <c r="Y18" i="28"/>
  <c r="L5" i="28"/>
  <c r="K8" i="28"/>
  <c r="Z9" i="28"/>
  <c r="K7" i="28"/>
  <c r="J7" i="28"/>
  <c r="Y10" i="28"/>
  <c r="K3" i="28"/>
  <c r="J9" i="28"/>
  <c r="K4" i="28"/>
  <c r="L3" i="28"/>
  <c r="J4" i="28"/>
  <c r="I11" i="28"/>
  <c r="Z26" i="28"/>
  <c r="Z17" i="28"/>
  <c r="Y9" i="28"/>
  <c r="Z10" i="28"/>
  <c r="Z18" i="28"/>
  <c r="Y26" i="28"/>
  <c r="K14" i="27" l="1"/>
  <c r="J14" i="27"/>
  <c r="G14" i="27"/>
  <c r="F14" i="27"/>
  <c r="K13" i="27"/>
  <c r="J13" i="27"/>
  <c r="G13" i="27"/>
  <c r="F13" i="27"/>
  <c r="J12" i="27"/>
  <c r="F12" i="27"/>
  <c r="K11" i="27"/>
  <c r="J11" i="27"/>
  <c r="G11" i="27"/>
  <c r="F11" i="27"/>
  <c r="K10" i="27"/>
  <c r="G10" i="27"/>
  <c r="K9" i="27"/>
  <c r="J9" i="27"/>
  <c r="G9" i="27"/>
  <c r="F9" i="27"/>
  <c r="K8" i="27"/>
  <c r="J8" i="27"/>
  <c r="G8" i="27"/>
  <c r="F8" i="27"/>
  <c r="J7" i="27"/>
  <c r="F7" i="27"/>
  <c r="J6" i="27"/>
  <c r="F6" i="27"/>
  <c r="K5" i="27"/>
  <c r="J5" i="27"/>
  <c r="G5" i="27"/>
  <c r="F5" i="27"/>
  <c r="K4" i="27"/>
  <c r="J4" i="27"/>
  <c r="G4" i="27"/>
  <c r="F4" i="27"/>
  <c r="C44" i="27"/>
  <c r="B44" i="27"/>
  <c r="K43" i="27"/>
  <c r="J43" i="27"/>
  <c r="K42" i="27"/>
  <c r="J42" i="27"/>
  <c r="Q59" i="26" l="1"/>
  <c r="P59" i="26"/>
  <c r="O59" i="26"/>
  <c r="N59" i="26"/>
  <c r="M59" i="26"/>
  <c r="L59" i="26"/>
  <c r="H59" i="26"/>
  <c r="G59" i="26"/>
  <c r="F59" i="26"/>
  <c r="E59" i="26"/>
  <c r="D59" i="26"/>
  <c r="C59" i="26"/>
  <c r="Q58" i="26"/>
  <c r="P58" i="26"/>
  <c r="O58" i="26"/>
  <c r="N58" i="26"/>
  <c r="M58" i="26"/>
  <c r="L58" i="26"/>
  <c r="H58" i="26"/>
  <c r="G58" i="26"/>
  <c r="F58" i="26"/>
  <c r="E58" i="26"/>
  <c r="D58" i="26"/>
  <c r="C58" i="26"/>
  <c r="Q57" i="26"/>
  <c r="P57" i="26"/>
  <c r="O57" i="26"/>
  <c r="N57" i="26"/>
  <c r="M57" i="26"/>
  <c r="L57" i="26"/>
  <c r="H57" i="26"/>
  <c r="G57" i="26"/>
  <c r="F57" i="26"/>
  <c r="E57" i="26"/>
  <c r="D57" i="26"/>
  <c r="C57" i="26"/>
  <c r="Q56" i="26"/>
  <c r="P56" i="26"/>
  <c r="O56" i="26"/>
  <c r="N56" i="26"/>
  <c r="M56" i="26"/>
  <c r="L56" i="26"/>
  <c r="H56" i="26"/>
  <c r="G56" i="26"/>
  <c r="F56" i="26"/>
  <c r="E56" i="26"/>
  <c r="D56" i="26"/>
  <c r="C56" i="26"/>
  <c r="Q55" i="26"/>
  <c r="P55" i="26"/>
  <c r="O55" i="26"/>
  <c r="N55" i="26"/>
  <c r="M55" i="26"/>
  <c r="L55" i="26"/>
  <c r="H55" i="26"/>
  <c r="G55" i="26"/>
  <c r="F55" i="26"/>
  <c r="E55" i="26"/>
  <c r="D55" i="26"/>
  <c r="C55" i="26"/>
  <c r="Q54" i="26"/>
  <c r="P54" i="26"/>
  <c r="O54" i="26"/>
  <c r="N54" i="26"/>
  <c r="M54" i="26"/>
  <c r="L54" i="26"/>
  <c r="H54" i="26"/>
  <c r="G54" i="26"/>
  <c r="F54" i="26"/>
  <c r="E54" i="26"/>
  <c r="D54" i="26"/>
  <c r="C54" i="26"/>
  <c r="Q53" i="26"/>
  <c r="P53" i="26"/>
  <c r="O53" i="26"/>
  <c r="N53" i="26"/>
  <c r="M53" i="26"/>
  <c r="L53" i="26"/>
  <c r="H53" i="26"/>
  <c r="G53" i="26"/>
  <c r="F53" i="26"/>
  <c r="E53" i="26"/>
  <c r="D53" i="26"/>
  <c r="C53" i="26"/>
  <c r="Q52" i="26"/>
  <c r="P52" i="26"/>
  <c r="O52" i="26"/>
  <c r="N52" i="26"/>
  <c r="M52" i="26"/>
  <c r="L52" i="26"/>
  <c r="H52" i="26"/>
  <c r="G52" i="26"/>
  <c r="F52" i="26"/>
  <c r="E52" i="26"/>
  <c r="D52" i="26"/>
  <c r="C52" i="26"/>
  <c r="Q51" i="26"/>
  <c r="P51" i="26"/>
  <c r="O51" i="26"/>
  <c r="N51" i="26"/>
  <c r="M51" i="26"/>
  <c r="L51" i="26"/>
  <c r="H51" i="26"/>
  <c r="G51" i="26"/>
  <c r="F51" i="26"/>
  <c r="E51" i="26"/>
  <c r="D51" i="26"/>
  <c r="C51" i="26"/>
  <c r="Q50" i="26"/>
  <c r="P50" i="26"/>
  <c r="O50" i="26"/>
  <c r="N50" i="26"/>
  <c r="M50" i="26"/>
  <c r="L50" i="26"/>
  <c r="H50" i="26"/>
  <c r="G50" i="26"/>
  <c r="F50" i="26"/>
  <c r="E50" i="26"/>
  <c r="D50" i="26"/>
  <c r="C50" i="26"/>
  <c r="Q49" i="26"/>
  <c r="P49" i="26"/>
  <c r="O49" i="26"/>
  <c r="N49" i="26"/>
  <c r="M49" i="26"/>
  <c r="L49" i="26"/>
  <c r="H49" i="26"/>
  <c r="G49" i="26"/>
  <c r="F49" i="26"/>
  <c r="E49" i="26"/>
  <c r="D49" i="26"/>
  <c r="C49" i="26"/>
  <c r="Q48" i="26"/>
  <c r="P48" i="26"/>
  <c r="O48" i="26"/>
  <c r="N48" i="26"/>
  <c r="M48" i="26"/>
  <c r="L48" i="26"/>
  <c r="H48" i="26"/>
  <c r="G48" i="26"/>
  <c r="F48" i="26"/>
  <c r="E48" i="26"/>
  <c r="D48" i="26"/>
  <c r="C48" i="26"/>
  <c r="Q47" i="26"/>
  <c r="P47" i="26"/>
  <c r="O47" i="26"/>
  <c r="N47" i="26"/>
  <c r="M47" i="26"/>
  <c r="L47" i="26"/>
  <c r="H47" i="26"/>
  <c r="G47" i="26"/>
  <c r="F47" i="26"/>
  <c r="E47" i="26"/>
  <c r="D47" i="26"/>
  <c r="C47" i="26"/>
  <c r="Q46" i="26"/>
  <c r="P46" i="26"/>
  <c r="O46" i="26"/>
  <c r="N46" i="26"/>
  <c r="M46" i="26"/>
  <c r="L46" i="26"/>
  <c r="H46" i="26"/>
  <c r="G46" i="26"/>
  <c r="F46" i="26"/>
  <c r="E46" i="26"/>
  <c r="D46" i="26"/>
  <c r="C46" i="26"/>
  <c r="Q45" i="26"/>
  <c r="P45" i="26"/>
  <c r="O45" i="26"/>
  <c r="N45" i="26"/>
  <c r="M45" i="26"/>
  <c r="L45" i="26"/>
  <c r="H45" i="26"/>
  <c r="G45" i="26"/>
  <c r="F45" i="26"/>
  <c r="E45" i="26"/>
  <c r="D45" i="26"/>
  <c r="C45" i="26"/>
  <c r="Q44" i="26"/>
  <c r="P44" i="26"/>
  <c r="O44" i="26"/>
  <c r="N44" i="26"/>
  <c r="M44" i="26"/>
  <c r="L44" i="26"/>
  <c r="H44" i="26"/>
  <c r="G44" i="26"/>
  <c r="F44" i="26"/>
  <c r="E44" i="26"/>
  <c r="D44" i="26"/>
  <c r="C44" i="26"/>
  <c r="Q43" i="26"/>
  <c r="P43" i="26"/>
  <c r="O43" i="26"/>
  <c r="N43" i="26"/>
  <c r="M43" i="26"/>
  <c r="L43" i="26"/>
  <c r="H43" i="26"/>
  <c r="G43" i="26"/>
  <c r="F43" i="26"/>
  <c r="E43" i="26"/>
  <c r="D43" i="26"/>
  <c r="C43" i="26"/>
  <c r="Q42" i="26"/>
  <c r="P42" i="26"/>
  <c r="O42" i="26"/>
  <c r="N42" i="26"/>
  <c r="M42" i="26"/>
  <c r="L42" i="26"/>
  <c r="H42" i="26"/>
  <c r="G42" i="26"/>
  <c r="F42" i="26"/>
  <c r="E42" i="26"/>
  <c r="D42" i="26"/>
  <c r="C42" i="26"/>
  <c r="Q41" i="26"/>
  <c r="P41" i="26"/>
  <c r="O41" i="26"/>
  <c r="N41" i="26"/>
  <c r="M41" i="26"/>
  <c r="L41" i="26"/>
  <c r="H41" i="26"/>
  <c r="G41" i="26"/>
  <c r="F41" i="26"/>
  <c r="E41" i="26"/>
  <c r="D41" i="26"/>
  <c r="C41" i="26"/>
  <c r="Q40" i="26"/>
  <c r="P40" i="26"/>
  <c r="O40" i="26"/>
  <c r="N40" i="26"/>
  <c r="M40" i="26"/>
  <c r="L40" i="26"/>
  <c r="H40" i="26"/>
  <c r="G40" i="26"/>
  <c r="F40" i="26"/>
  <c r="E40" i="26"/>
  <c r="D40" i="26"/>
  <c r="C40" i="26"/>
  <c r="J35" i="26"/>
  <c r="A35" i="26"/>
  <c r="J34" i="26"/>
  <c r="A34" i="26"/>
  <c r="J33" i="26"/>
  <c r="A33" i="26"/>
  <c r="J32" i="26"/>
  <c r="A32" i="26"/>
  <c r="J31" i="26"/>
  <c r="A31" i="26"/>
  <c r="J30" i="26"/>
  <c r="A30" i="26"/>
  <c r="J29" i="26"/>
  <c r="A29" i="26"/>
  <c r="J28" i="26"/>
  <c r="A28" i="26"/>
  <c r="J27" i="26"/>
  <c r="A27" i="26"/>
  <c r="J26" i="26"/>
  <c r="A26" i="26"/>
  <c r="J25" i="26"/>
  <c r="A25" i="26"/>
  <c r="J24" i="26"/>
  <c r="A24" i="26"/>
  <c r="J23" i="26"/>
  <c r="A23" i="26"/>
  <c r="J22" i="26"/>
  <c r="A22" i="26"/>
  <c r="J21" i="26"/>
  <c r="A21" i="26"/>
  <c r="J20" i="26"/>
  <c r="A20" i="26"/>
  <c r="J19" i="26"/>
  <c r="A19" i="26"/>
  <c r="J18" i="26"/>
  <c r="A18" i="26"/>
  <c r="J17" i="26"/>
  <c r="A17" i="26"/>
  <c r="J16" i="26"/>
  <c r="A16" i="26"/>
  <c r="H58" i="25" l="1"/>
  <c r="G58" i="25"/>
  <c r="F58" i="25"/>
  <c r="E58" i="25"/>
  <c r="D58" i="25"/>
  <c r="C58" i="25"/>
  <c r="H57" i="25"/>
  <c r="G57" i="25"/>
  <c r="F57" i="25"/>
  <c r="E57" i="25"/>
  <c r="D57" i="25"/>
  <c r="C57" i="25"/>
  <c r="H56" i="25"/>
  <c r="G56" i="25"/>
  <c r="F56" i="25"/>
  <c r="E56" i="25"/>
  <c r="D56" i="25"/>
  <c r="C56" i="25"/>
  <c r="H55" i="25"/>
  <c r="G55" i="25"/>
  <c r="F55" i="25"/>
  <c r="E55" i="25"/>
  <c r="D55" i="25"/>
  <c r="C55" i="25"/>
  <c r="H54" i="25"/>
  <c r="G54" i="25"/>
  <c r="F54" i="25"/>
  <c r="E54" i="25"/>
  <c r="D54" i="25"/>
  <c r="C54" i="25"/>
  <c r="H53" i="25"/>
  <c r="G53" i="25"/>
  <c r="F53" i="25"/>
  <c r="E53" i="25"/>
  <c r="D53" i="25"/>
  <c r="C53" i="25"/>
  <c r="H52" i="25"/>
  <c r="G52" i="25"/>
  <c r="F52" i="25"/>
  <c r="E52" i="25"/>
  <c r="D52" i="25"/>
  <c r="C52" i="25"/>
  <c r="H51" i="25"/>
  <c r="G51" i="25"/>
  <c r="F51" i="25"/>
  <c r="E51" i="25"/>
  <c r="D51" i="25"/>
  <c r="C51" i="25"/>
  <c r="H50" i="25"/>
  <c r="G50" i="25"/>
  <c r="F50" i="25"/>
  <c r="E50" i="25"/>
  <c r="D50" i="25"/>
  <c r="C50" i="25"/>
  <c r="H49" i="25"/>
  <c r="G49" i="25"/>
  <c r="F49" i="25"/>
  <c r="E49" i="25"/>
  <c r="D49" i="25"/>
  <c r="C49" i="25"/>
  <c r="H48" i="25"/>
  <c r="G48" i="25"/>
  <c r="F48" i="25"/>
  <c r="E48" i="25"/>
  <c r="D48" i="25"/>
  <c r="C48" i="25"/>
  <c r="H47" i="25"/>
  <c r="G47" i="25"/>
  <c r="F47" i="25"/>
  <c r="E47" i="25"/>
  <c r="D47" i="25"/>
  <c r="C47" i="25"/>
  <c r="H46" i="25"/>
  <c r="G46" i="25"/>
  <c r="F46" i="25"/>
  <c r="E46" i="25"/>
  <c r="D46" i="25"/>
  <c r="C46" i="25"/>
  <c r="H45" i="25"/>
  <c r="G45" i="25"/>
  <c r="F45" i="25"/>
  <c r="E45" i="25"/>
  <c r="D45" i="25"/>
  <c r="C45" i="25"/>
  <c r="H44" i="25"/>
  <c r="G44" i="25"/>
  <c r="F44" i="25"/>
  <c r="E44" i="25"/>
  <c r="D44" i="25"/>
  <c r="C44" i="25"/>
  <c r="H43" i="25"/>
  <c r="G43" i="25"/>
  <c r="F43" i="25"/>
  <c r="E43" i="25"/>
  <c r="D43" i="25"/>
  <c r="C43" i="25"/>
  <c r="H42" i="25"/>
  <c r="G42" i="25"/>
  <c r="F42" i="25"/>
  <c r="E42" i="25"/>
  <c r="D42" i="25"/>
  <c r="C42" i="25"/>
  <c r="H41" i="25"/>
  <c r="G41" i="25"/>
  <c r="F41" i="25"/>
  <c r="E41" i="25"/>
  <c r="D41" i="25"/>
  <c r="C41" i="25"/>
  <c r="H40" i="25"/>
  <c r="G40" i="25"/>
  <c r="F40" i="25"/>
  <c r="E40" i="25"/>
  <c r="D40" i="25"/>
  <c r="C40" i="25"/>
  <c r="H39" i="25"/>
  <c r="G39" i="25"/>
  <c r="F39" i="25"/>
  <c r="E39" i="25"/>
  <c r="D39" i="25"/>
  <c r="C39" i="25"/>
  <c r="A34" i="25"/>
  <c r="A33" i="25"/>
  <c r="A32" i="25"/>
  <c r="A31" i="25"/>
  <c r="A30" i="25"/>
  <c r="A29" i="25"/>
  <c r="A28" i="25"/>
  <c r="A27" i="25"/>
  <c r="A26" i="25"/>
  <c r="A25" i="25"/>
  <c r="A24" i="25"/>
  <c r="A23" i="25"/>
  <c r="A22" i="25"/>
  <c r="A21" i="25"/>
  <c r="A20" i="25"/>
  <c r="A19" i="25"/>
  <c r="A18" i="25"/>
  <c r="A17" i="25"/>
  <c r="A16" i="25"/>
  <c r="A15" i="25"/>
  <c r="BC69" i="18" l="1"/>
  <c r="BB69" i="18"/>
  <c r="D69" i="18"/>
  <c r="BC68" i="18"/>
  <c r="BB68" i="18"/>
  <c r="D68" i="18"/>
  <c r="BC67" i="18"/>
  <c r="BB67" i="18"/>
  <c r="D67" i="18"/>
  <c r="BC66" i="18"/>
  <c r="BB66" i="18"/>
  <c r="D66" i="18"/>
  <c r="BC65" i="18"/>
  <c r="BB65" i="18"/>
  <c r="D65" i="18"/>
  <c r="BC64" i="18"/>
  <c r="BB64" i="18"/>
  <c r="D64" i="18"/>
  <c r="BC63" i="18"/>
  <c r="BB63" i="18"/>
  <c r="D63" i="18"/>
  <c r="BC62" i="18"/>
  <c r="BB62" i="18"/>
  <c r="D62" i="18"/>
  <c r="BC61" i="18"/>
  <c r="BB61" i="18"/>
  <c r="D61" i="18"/>
  <c r="BC60" i="18"/>
  <c r="BB60" i="18"/>
  <c r="D60" i="18"/>
  <c r="BC59" i="18"/>
  <c r="BB59" i="18"/>
  <c r="D59" i="18"/>
  <c r="BC58" i="18"/>
  <c r="BB58" i="18"/>
  <c r="D58" i="18"/>
  <c r="BC57" i="18"/>
  <c r="BB57" i="18"/>
  <c r="D57" i="18"/>
  <c r="BC56" i="18"/>
  <c r="BB56" i="18"/>
  <c r="D56" i="18"/>
  <c r="BC55" i="18"/>
  <c r="BB55" i="18"/>
  <c r="D55" i="18"/>
  <c r="BC54" i="18"/>
  <c r="BB54" i="18"/>
  <c r="D54" i="18"/>
  <c r="BC53" i="18"/>
  <c r="BB53" i="18"/>
  <c r="D53" i="18"/>
  <c r="BC52" i="18"/>
  <c r="BB52" i="18"/>
  <c r="D52" i="18"/>
  <c r="BC51" i="18"/>
  <c r="BB51" i="18"/>
  <c r="D51" i="18"/>
  <c r="BC50" i="18"/>
  <c r="BB50" i="18"/>
  <c r="D50" i="18"/>
  <c r="BC49" i="18"/>
  <c r="BB49" i="18"/>
  <c r="D49" i="18"/>
  <c r="BC48" i="18"/>
  <c r="BB48" i="18"/>
  <c r="D48" i="18"/>
  <c r="BC47" i="18"/>
  <c r="BB47" i="18"/>
  <c r="D47" i="18"/>
  <c r="BB40" i="18" l="1"/>
  <c r="BA40" i="18"/>
  <c r="D40" i="18"/>
  <c r="BB39" i="18"/>
  <c r="BA39" i="18"/>
  <c r="D39" i="18"/>
  <c r="BB38" i="18"/>
  <c r="BA38" i="18"/>
  <c r="D38" i="18"/>
  <c r="BB37" i="18"/>
  <c r="BA37" i="18"/>
  <c r="D37" i="18"/>
  <c r="BB36" i="18"/>
  <c r="BA36" i="18"/>
  <c r="D36" i="18"/>
  <c r="BB35" i="18"/>
  <c r="BA35" i="18"/>
  <c r="D35" i="18"/>
  <c r="BB34" i="18"/>
  <c r="BA34" i="18"/>
  <c r="D34" i="18"/>
  <c r="BB33" i="18"/>
  <c r="BA33" i="18"/>
  <c r="D33" i="18"/>
  <c r="BB32" i="18"/>
  <c r="BA32" i="18"/>
  <c r="D32" i="18"/>
  <c r="BB31" i="18"/>
  <c r="BA31" i="18"/>
  <c r="D31" i="18"/>
  <c r="BB30" i="18"/>
  <c r="BA30" i="18"/>
  <c r="D30" i="18"/>
  <c r="BB29" i="18"/>
  <c r="BA29" i="18"/>
  <c r="D29" i="18"/>
  <c r="D62" i="24" l="1"/>
  <c r="D61" i="24"/>
  <c r="D60" i="24"/>
  <c r="D59" i="24"/>
  <c r="D58" i="24"/>
  <c r="D57" i="24"/>
  <c r="D56" i="24"/>
  <c r="D55" i="24"/>
  <c r="D54" i="24"/>
  <c r="D53" i="24"/>
  <c r="D49" i="24"/>
  <c r="D48" i="24"/>
  <c r="D47" i="24"/>
  <c r="D46" i="24"/>
  <c r="D45" i="24"/>
  <c r="D41" i="24"/>
  <c r="D40" i="24"/>
  <c r="D39" i="24"/>
  <c r="D38" i="24"/>
  <c r="D37" i="24"/>
  <c r="D32" i="24"/>
  <c r="D31" i="24"/>
  <c r="D30" i="24"/>
  <c r="D29" i="24"/>
  <c r="D28" i="24"/>
  <c r="D27" i="24"/>
  <c r="D26" i="24"/>
  <c r="D25" i="24"/>
  <c r="D24" i="24"/>
  <c r="D23" i="24"/>
  <c r="D22" i="24"/>
  <c r="D21" i="24"/>
  <c r="D20" i="24"/>
  <c r="D19" i="24"/>
  <c r="D18" i="24"/>
  <c r="G53" i="24" l="1"/>
  <c r="H53" i="24" s="1"/>
  <c r="D12" i="24" s="1"/>
  <c r="G18" i="24"/>
  <c r="G28" i="24"/>
  <c r="F45" i="24"/>
  <c r="B11" i="24" s="1"/>
  <c r="F37" i="24"/>
  <c r="B7" i="24" s="1"/>
  <c r="G45" i="24"/>
  <c r="H45" i="24" s="1"/>
  <c r="D11" i="24" s="1"/>
  <c r="G23" i="24"/>
  <c r="H23" i="24" s="1"/>
  <c r="D4" i="24" s="1"/>
  <c r="G37" i="24"/>
  <c r="F53" i="24"/>
  <c r="B12" i="24" s="1"/>
  <c r="F18" i="24"/>
  <c r="B5" i="24" s="1"/>
  <c r="F23" i="24"/>
  <c r="B4" i="24" s="1"/>
  <c r="F28" i="24"/>
  <c r="B6" i="24" s="1"/>
  <c r="C6" i="24" l="1"/>
  <c r="H28" i="24"/>
  <c r="D6" i="24" s="1"/>
  <c r="C7" i="24"/>
  <c r="H37" i="24"/>
  <c r="D7" i="24" s="1"/>
  <c r="C5" i="24"/>
  <c r="H18" i="24"/>
  <c r="D5" i="24" s="1"/>
  <c r="C12" i="24"/>
  <c r="C4" i="24"/>
  <c r="C11" i="24"/>
  <c r="K8" i="18"/>
  <c r="K7" i="18"/>
  <c r="J8" i="18"/>
  <c r="J7" i="18"/>
  <c r="K6" i="18"/>
  <c r="J6" i="18"/>
  <c r="L6" i="18" s="1"/>
  <c r="F8" i="18"/>
  <c r="E8" i="18"/>
  <c r="F7" i="18"/>
  <c r="E7" i="18"/>
  <c r="F6" i="18"/>
  <c r="E6" i="18"/>
  <c r="D8" i="18"/>
  <c r="C8" i="18"/>
  <c r="D7" i="18"/>
  <c r="C7" i="18"/>
  <c r="D6" i="18"/>
  <c r="C6" i="18"/>
  <c r="L8" i="18" l="1"/>
  <c r="L7" i="18"/>
  <c r="E14" i="18" l="1"/>
  <c r="E15" i="18"/>
  <c r="E17" i="18"/>
  <c r="E18" i="18"/>
  <c r="E20" i="18"/>
  <c r="E21" i="18"/>
  <c r="E22" i="18"/>
  <c r="E19" i="18"/>
  <c r="E16" i="18"/>
  <c r="E13" i="18"/>
  <c r="AA22" i="18" l="1"/>
  <c r="D22" i="18"/>
  <c r="AA21" i="18"/>
  <c r="D21" i="18"/>
  <c r="AA20" i="18"/>
  <c r="D20" i="18"/>
  <c r="AA19" i="18"/>
  <c r="D19" i="18"/>
  <c r="AA18" i="18"/>
  <c r="D18" i="18"/>
  <c r="AA17" i="18"/>
  <c r="D17" i="18"/>
  <c r="AA16" i="18"/>
  <c r="D16" i="18"/>
  <c r="AA15" i="18"/>
  <c r="D15" i="18"/>
  <c r="AA14" i="18"/>
  <c r="D14" i="18"/>
  <c r="AA13" i="18"/>
  <c r="D13" i="18"/>
  <c r="I6" i="18" l="1"/>
  <c r="I7" i="18"/>
  <c r="I8" i="18"/>
  <c r="H8" i="18"/>
  <c r="G7" i="18" l="1"/>
  <c r="G8" i="18"/>
  <c r="G6" i="18"/>
</calcChain>
</file>

<file path=xl/sharedStrings.xml><?xml version="1.0" encoding="utf-8"?>
<sst xmlns="http://schemas.openxmlformats.org/spreadsheetml/2006/main" count="869" uniqueCount="393">
  <si>
    <t>Pump liquid flow rate setpoint in mL/min</t>
  </si>
  <si>
    <t>Liquid pressure average setpoint in mbar</t>
  </si>
  <si>
    <t>Reactor differential pressure deviation in mbar</t>
  </si>
  <si>
    <t>Gas feed pressure average in mbar</t>
  </si>
  <si>
    <t>Gas feed pressure standard deviation in mbar</t>
  </si>
  <si>
    <t>Gas feed temperature average in Celsius</t>
  </si>
  <si>
    <t>Gas feed temperature Standard deviation in Celsius</t>
  </si>
  <si>
    <t>Gas feed humidity average in % relative humidity</t>
  </si>
  <si>
    <t>Gas feed humidity standard deviation in % relative humidity</t>
  </si>
  <si>
    <t>Mass flow controller 1 (Feed) flow rate average set point in mLn/min</t>
  </si>
  <si>
    <t>Mass flow controller 1 (Feed) flow rate set point deviation in mLn/min</t>
  </si>
  <si>
    <t>Mass flow controller 1 (Feed) flow rate average actual in mLn/min</t>
  </si>
  <si>
    <t>Mass flow controller 1 (Feed) flow rate deviation actual in mLn/min</t>
  </si>
  <si>
    <t>Mass flow controller 2 (Purge) flow rate average set point in mLn/min</t>
  </si>
  <si>
    <t>Mass flow controller 2 (Purge) flow rate set point deviation in mLn/min</t>
  </si>
  <si>
    <t>Mass flow controller 2 (Purge) flow rate average actual in mLn/min</t>
  </si>
  <si>
    <t>Mass flow controller 2 (Purge) flow rate standard deviation actual in mLn/min</t>
  </si>
  <si>
    <t>Current density average in mA/cm^2</t>
  </si>
  <si>
    <t>Cell potential average in V</t>
  </si>
  <si>
    <t>CO faradaic efficiency error in %</t>
  </si>
  <si>
    <t>H2 faradaic efficiency error in %</t>
  </si>
  <si>
    <t>i (mA/cm2)</t>
  </si>
  <si>
    <t>FE CO (%)</t>
  </si>
  <si>
    <t>error (%)</t>
  </si>
  <si>
    <t>FE H2 (%)</t>
  </si>
  <si>
    <t>Cathode vs RHE</t>
  </si>
  <si>
    <t>pH</t>
  </si>
  <si>
    <t>Error E cathode vs RHE</t>
  </si>
  <si>
    <t>CO label</t>
  </si>
  <si>
    <t>H2 label</t>
  </si>
  <si>
    <t>Cathode vs SHE</t>
  </si>
  <si>
    <t>Error E cathode vs SHE</t>
  </si>
  <si>
    <t>CO faradaic efficiency in %</t>
  </si>
  <si>
    <t>Date time stamp</t>
  </si>
  <si>
    <t>Run time start in s after start of recording</t>
  </si>
  <si>
    <t>Run time in min</t>
  </si>
  <si>
    <t>Current density error in mA/cm^2</t>
  </si>
  <si>
    <t>Cathode potential average in V vs NHE (uncompensated)</t>
  </si>
  <si>
    <t>Cathode potential error in V vs NHE (uncompensated)</t>
  </si>
  <si>
    <t>Cathode potential average in V vs SHE (iR drop compensated)</t>
  </si>
  <si>
    <t>Cathode potential error in V vs SHE (iR drop compensated)</t>
  </si>
  <si>
    <t>Cell potential error in V</t>
  </si>
  <si>
    <t>Gas conversion factor</t>
  </si>
  <si>
    <t>Mass flow meter corrected flow rate in mLn/min</t>
  </si>
  <si>
    <t>Mass flow meter corrected flow rate error in mLn/min</t>
  </si>
  <si>
    <t>CO2 conversion in % (0 to 100)</t>
  </si>
  <si>
    <t>CO2 conversion error in % (0 to 100)</t>
  </si>
  <si>
    <t>CO Volumetric concentration in %</t>
  </si>
  <si>
    <t>H2 Volumetric concentration in %</t>
  </si>
  <si>
    <t>H2 faradaic efficiency in %</t>
  </si>
  <si>
    <t>0.5 vol% H2 detection limit as faradaic efficiency in %</t>
  </si>
  <si>
    <t>Comment</t>
  </si>
  <si>
    <t>1 10 mAcm2</t>
  </si>
  <si>
    <t>20-Jan-2021;14:00:32</t>
  </si>
  <si>
    <t>2 10 mAcm2</t>
  </si>
  <si>
    <t>20-Jan-2021;14:04:08</t>
  </si>
  <si>
    <t>3 10 mAcm2</t>
  </si>
  <si>
    <t>20-Jan-2021;14:07:45</t>
  </si>
  <si>
    <t>4 100 mAcm2</t>
  </si>
  <si>
    <t>20-Jan-2021;14:16:03</t>
  </si>
  <si>
    <t>5 100 mAcm2</t>
  </si>
  <si>
    <t>20-Jan-2021;14:19:39</t>
  </si>
  <si>
    <t>6 100 mAcm2</t>
  </si>
  <si>
    <t>20-Jan-2021;14:23:16</t>
  </si>
  <si>
    <t>7 200 mAcm2</t>
  </si>
  <si>
    <t>20-Jan-2021;14:30:13</t>
  </si>
  <si>
    <t>8 200 mAcm2</t>
  </si>
  <si>
    <t>20-Jan-2021;14:33:50</t>
  </si>
  <si>
    <t>10 200 mAcm2</t>
  </si>
  <si>
    <t>20-Jan-2021;14:59:54</t>
  </si>
  <si>
    <t>11 200 mAcm2</t>
  </si>
  <si>
    <t>20-Jan-2021;15:03:30</t>
  </si>
  <si>
    <t>17-May-2022;18:38:23</t>
  </si>
  <si>
    <t>13-50 mA cm-2</t>
  </si>
  <si>
    <t>17-May-2022;18:18:16</t>
  </si>
  <si>
    <t>12-50 mA cm-2</t>
  </si>
  <si>
    <t>17-May-2022;17:58:07</t>
  </si>
  <si>
    <t>11-50 mA cm-2</t>
  </si>
  <si>
    <t>17-May-2022;17:38:01</t>
  </si>
  <si>
    <t>10-50 mA cm-2</t>
  </si>
  <si>
    <t>17-May-2022;17:34:25</t>
  </si>
  <si>
    <t>9-50 mA cm-2</t>
  </si>
  <si>
    <t>17-May-2022;17:30:47</t>
  </si>
  <si>
    <t>8-50 mA cm-2</t>
  </si>
  <si>
    <t>17-May-2022;17:27:07</t>
  </si>
  <si>
    <t>7-50 mA cm-2</t>
  </si>
  <si>
    <t>17-May-2022;17:23:30</t>
  </si>
  <si>
    <t>6-50 mA cm-2</t>
  </si>
  <si>
    <t>17-May-2022;17:19:54</t>
  </si>
  <si>
    <t>5-50 mA cm-2</t>
  </si>
  <si>
    <t>17-May-2022;17:04:18</t>
  </si>
  <si>
    <t>4-10 mA cm-2</t>
  </si>
  <si>
    <t>17-May-2022;17:00:41</t>
  </si>
  <si>
    <t>3-10 mA cm-2</t>
  </si>
  <si>
    <t>17-May-2022;16:57:05</t>
  </si>
  <si>
    <t>2-10 mA cm-2</t>
  </si>
  <si>
    <t>O2 faradaic efficiency error in %</t>
  </si>
  <si>
    <t>O2 faradaic efficiency in %</t>
  </si>
  <si>
    <t>Mass flow meter uncorrected flow rate standard deviation in mLn/min</t>
  </si>
  <si>
    <t>Mass flow meter uncorrected flow rate average in mLn/min</t>
  </si>
  <si>
    <t>Cathode potential error in V vs SHE (uncompensated)</t>
  </si>
  <si>
    <t>Cathode potential average in V vs SHE (uncompensated)</t>
  </si>
  <si>
    <t>Current error in mA</t>
  </si>
  <si>
    <t>Current average in mA</t>
  </si>
  <si>
    <t>Reactor differential pressure average in mbar (Gas compartment pressure - liquid compartment pressure)</t>
  </si>
  <si>
    <t>Anolyte liquid pressure standard deviation actual in mbar</t>
  </si>
  <si>
    <t>Anolyte liquid pressure average actual in mbar</t>
  </si>
  <si>
    <t>Catholyte liquid pressure standard deviation actual in mbar</t>
  </si>
  <si>
    <t>Catholyte liquid pressure average actual in mbar</t>
  </si>
  <si>
    <t>GC injection start time stamp</t>
  </si>
  <si>
    <t>GC file name</t>
  </si>
  <si>
    <t>Time in s after potentiostat started current density</t>
  </si>
  <si>
    <t>Cathode potential average in V vs RHE (iR drop compensated)</t>
  </si>
  <si>
    <t>Cathode potential error in V vs RHE (iR drop compensated)</t>
  </si>
  <si>
    <t>Time in s after starting potentiostat</t>
  </si>
  <si>
    <t>27-Jan-2021;18:18:47</t>
  </si>
  <si>
    <t>27-Jan-2021;18:23:50</t>
  </si>
  <si>
    <t>27-Jan-2021;18:27:26</t>
  </si>
  <si>
    <t>27-Jan-2021;18:31:02</t>
  </si>
  <si>
    <t>27-Jan-2021;18:34:39</t>
  </si>
  <si>
    <t>27-Jan-2021;18:38:15</t>
  </si>
  <si>
    <t>27-Jan-2021;18:41:52</t>
  </si>
  <si>
    <t>27-Jan-2021;18:45:28</t>
  </si>
  <si>
    <t>27-Jan-2021;18:49:05</t>
  </si>
  <si>
    <t>27-Jan-2021;18:52:42</t>
  </si>
  <si>
    <t>27-Jan-2021;18:56:19</t>
  </si>
  <si>
    <t>27-Jan-2021;18:59:54</t>
  </si>
  <si>
    <t>27-Jan-2021;19:03:32</t>
  </si>
  <si>
    <t>27-Jan-2021;19:07:08</t>
  </si>
  <si>
    <t>27-Jan-2021;19:10:45</t>
  </si>
  <si>
    <t>27-Jan-2021;19:14:21</t>
  </si>
  <si>
    <t>27-Jan-2021;19:17:58</t>
  </si>
  <si>
    <t>27-Jan-2021;19:21:35</t>
  </si>
  <si>
    <t>27-Jan-2021;19:25:12</t>
  </si>
  <si>
    <t>27-Jan-2021;19:28:53</t>
  </si>
  <si>
    <t>27-Jan-2021;19:32:30</t>
  </si>
  <si>
    <t>27-Jan-2021;19:36:06</t>
  </si>
  <si>
    <t>27-Jan-2021;19:39:43</t>
  </si>
  <si>
    <t>Run time start in s after potentiostat started</t>
  </si>
  <si>
    <t xml:space="preserve">1-200 </t>
  </si>
  <si>
    <t xml:space="preserve">2-200 </t>
  </si>
  <si>
    <t xml:space="preserve">3-200 </t>
  </si>
  <si>
    <t xml:space="preserve">4-200 </t>
  </si>
  <si>
    <t xml:space="preserve">5-200 </t>
  </si>
  <si>
    <t>peak not matched</t>
  </si>
  <si>
    <t xml:space="preserve">6-200 </t>
  </si>
  <si>
    <t xml:space="preserve">7-200 </t>
  </si>
  <si>
    <t xml:space="preserve">8-200 </t>
  </si>
  <si>
    <t xml:space="preserve">9-200 </t>
  </si>
  <si>
    <t xml:space="preserve">10-200 </t>
  </si>
  <si>
    <t xml:space="preserve">11-200 </t>
  </si>
  <si>
    <t xml:space="preserve">12-200 </t>
  </si>
  <si>
    <t xml:space="preserve">13-200 </t>
  </si>
  <si>
    <t xml:space="preserve">14-200 </t>
  </si>
  <si>
    <t xml:space="preserve">15-200 </t>
  </si>
  <si>
    <t xml:space="preserve">16-200 </t>
  </si>
  <si>
    <t xml:space="preserve">17-200 </t>
  </si>
  <si>
    <t xml:space="preserve">18-200 </t>
  </si>
  <si>
    <t xml:space="preserve">19-200 </t>
  </si>
  <si>
    <t xml:space="preserve">20-200 </t>
  </si>
  <si>
    <t xml:space="preserve">21-200 </t>
  </si>
  <si>
    <t xml:space="preserve">22-200 </t>
  </si>
  <si>
    <t xml:space="preserve">23-200 </t>
  </si>
  <si>
    <t>pH measurement recorded on 20.1.2021 for Ag-sinter 114-2 after run</t>
  </si>
  <si>
    <t>Cathode potential (iR corrected) in V vs RHE</t>
  </si>
  <si>
    <t>Error</t>
  </si>
  <si>
    <t>Individual GC injections</t>
  </si>
  <si>
    <t>Ag</t>
  </si>
  <si>
    <t>C</t>
  </si>
  <si>
    <t>F</t>
  </si>
  <si>
    <t>Average</t>
  </si>
  <si>
    <t>Sample standard deviation</t>
  </si>
  <si>
    <t>n.a.</t>
  </si>
  <si>
    <t>n/a</t>
  </si>
  <si>
    <t>Standard error</t>
  </si>
  <si>
    <t>Overview</t>
  </si>
  <si>
    <t>Fresh sample</t>
  </si>
  <si>
    <t>Contact Angle</t>
  </si>
  <si>
    <t>Contact angle</t>
  </si>
  <si>
    <t>CFS</t>
  </si>
  <si>
    <t>MPL</t>
  </si>
  <si>
    <t>CL</t>
  </si>
  <si>
    <t>File Name</t>
  </si>
  <si>
    <t>Theta E</t>
  </si>
  <si>
    <t>Theta</t>
  </si>
  <si>
    <t>Sample domain</t>
  </si>
  <si>
    <t>Average theta</t>
  </si>
  <si>
    <t xml:space="preserve">Standard error </t>
  </si>
  <si>
    <t>22-09-2020_MPL_un_1.tif</t>
  </si>
  <si>
    <t>22_09_2020_MPL_un_2.tif</t>
  </si>
  <si>
    <t>22_09_2020_MPL_un_3.tif</t>
  </si>
  <si>
    <t>22_09_2020_MPL_un_4.tif</t>
  </si>
  <si>
    <t>22_09_2020_MPL_un_5.tif</t>
  </si>
  <si>
    <t>22_09_2020_MPS_un_1.tif</t>
  </si>
  <si>
    <t>22_09_2020_MPS_un_2.tif</t>
  </si>
  <si>
    <t>22_09_2020_MPS_un_3.tif</t>
  </si>
  <si>
    <t>22_09_2020_MPS_un_4.tif</t>
  </si>
  <si>
    <t>22_09_2020_MPS_un_5.tif</t>
  </si>
  <si>
    <t>15-10-2020-SGL_CL-1.tif</t>
  </si>
  <si>
    <t>15-10-2020-SGL_CL-2.tif</t>
  </si>
  <si>
    <t>15-10-2020-SGL_CL-3.tif</t>
  </si>
  <si>
    <t>15-10-2020-SGL_CL-4.tif</t>
  </si>
  <si>
    <t>15-10-2020-SGL_CL-5.tif</t>
  </si>
  <si>
    <t>27-10-2020_AgSinter_114-1_1.tif</t>
  </si>
  <si>
    <t>27-10-2020_AgSinter_114-1_2.tif</t>
  </si>
  <si>
    <t>27-10-2020_AgSinter_114-1_3.tif</t>
  </si>
  <si>
    <t>27-10-2020_AgSinter_114-1_4.tif</t>
  </si>
  <si>
    <t>27-10-2020_AgSinter_114-1_5.tif</t>
  </si>
  <si>
    <t>Ag 114-3 after run-liquid side-1.tif</t>
  </si>
  <si>
    <t>Ag 114-3 after run-liquid side-2.tif</t>
  </si>
  <si>
    <t>Ag 114-3 after run-liquid side-3.tif</t>
  </si>
  <si>
    <t>Ag 114-3 after run-liquid side-4.tif</t>
  </si>
  <si>
    <t>Ag 114-3 after run-liquid side-5.tif</t>
  </si>
  <si>
    <t>#</t>
  </si>
  <si>
    <t>Ag178-1-liquid_center_1.jpg</t>
  </si>
  <si>
    <t>Ag178-1-liquid_center_2_1.jpg</t>
  </si>
  <si>
    <t>Ag178-1-liquid_center_3_2.jpg</t>
  </si>
  <si>
    <t>Ag178-1-liquid_center_4.jpg</t>
  </si>
  <si>
    <t>Ag178-1-liquid_center_5.jpg</t>
  </si>
  <si>
    <t>Ag178-1-liquid_center_6.jpg</t>
  </si>
  <si>
    <t>Ag178-1-liquid_center_7.jpg</t>
  </si>
  <si>
    <t>Ag178-1-liquid_center_8.jpg</t>
  </si>
  <si>
    <t>Ag178-1-liquid_center_10.jpg</t>
  </si>
  <si>
    <t>Ag178-1-liquid_center_11.jpg</t>
  </si>
  <si>
    <t>Individual measurements</t>
  </si>
  <si>
    <t>Ag 114-1</t>
  </si>
  <si>
    <t>Sample</t>
  </si>
  <si>
    <t>Sample Ag 178-1 after electrolysis at -50 mA cm-2</t>
  </si>
  <si>
    <t>Sample Ag 114-3 Electrolysis at -200 mA cm^-2</t>
  </si>
  <si>
    <t>Sample Ag 114-1 Fresh</t>
  </si>
  <si>
    <t>Carbon-based GDE/GDL (SGL 39 BC )</t>
  </si>
  <si>
    <t>After electrolysis</t>
  </si>
  <si>
    <t>Fresh samples</t>
  </si>
  <si>
    <t>Ag 114-3 (-200 mA cm-2)</t>
  </si>
  <si>
    <t>Ag 178-1 (-50 mA cm-2)</t>
  </si>
  <si>
    <t>SGL39BC - CFS</t>
  </si>
  <si>
    <t>SGL39BC - MPL</t>
  </si>
  <si>
    <t>SGL39BC - CL</t>
  </si>
  <si>
    <t>Liquid side, Exposed area</t>
  </si>
  <si>
    <t>Figure 4: Single injection data</t>
  </si>
  <si>
    <t>Averaged values</t>
  </si>
  <si>
    <t>Flow-by configuration</t>
  </si>
  <si>
    <t>Gas flow-through configuration</t>
  </si>
  <si>
    <t>Figure S16: Single injection data</t>
  </si>
  <si>
    <t>Figure 3: Averaged values calculated from steady state injection data (highlighted yellow)</t>
  </si>
  <si>
    <t>Steady state</t>
  </si>
  <si>
    <t>Labels</t>
  </si>
  <si>
    <t>Under gasket</t>
  </si>
  <si>
    <t>-1.0 V vs. RHE</t>
  </si>
  <si>
    <t>Relative concentration in at% within layer</t>
  </si>
  <si>
    <t>At%</t>
  </si>
  <si>
    <t>Depth in nm (vs. Ta2O5)</t>
  </si>
  <si>
    <t>Time s</t>
  </si>
  <si>
    <t>Area Ag</t>
  </si>
  <si>
    <t>Area F</t>
  </si>
  <si>
    <t>Area C</t>
  </si>
  <si>
    <t>under gasket, liquid</t>
  </si>
  <si>
    <t>exposed, liquid</t>
  </si>
  <si>
    <t>At% (*100)</t>
  </si>
  <si>
    <t>fresh</t>
  </si>
  <si>
    <t>spent liquid</t>
  </si>
  <si>
    <t>Alternative labels</t>
  </si>
  <si>
    <t>&gt; -1.4 V vs. RHE</t>
  </si>
  <si>
    <t>Normalized by depth</t>
  </si>
  <si>
    <t>Normalized area</t>
  </si>
  <si>
    <t>Normalized by maximum concentration</t>
  </si>
  <si>
    <t>Fresh</t>
  </si>
  <si>
    <t>Spent</t>
  </si>
  <si>
    <t>Ag / %</t>
  </si>
  <si>
    <t>Ag/C</t>
  </si>
  <si>
    <t>Ag/F</t>
  </si>
  <si>
    <t>COx/C %</t>
  </si>
  <si>
    <t>C / %</t>
  </si>
  <si>
    <t>CF2/C %</t>
  </si>
  <si>
    <t>CR/C %</t>
  </si>
  <si>
    <t>Ca / %</t>
  </si>
  <si>
    <t>Cl / %</t>
  </si>
  <si>
    <t>Cu / %</t>
  </si>
  <si>
    <t>F / %</t>
  </si>
  <si>
    <t>Na / %</t>
  </si>
  <si>
    <t>O / %</t>
  </si>
  <si>
    <t>S / %</t>
  </si>
  <si>
    <t>Si / %</t>
  </si>
  <si>
    <t>K / %</t>
  </si>
  <si>
    <t>Element</t>
  </si>
  <si>
    <t>Liquid side after electrolysis at -50 mA / cm-2</t>
  </si>
  <si>
    <t/>
  </si>
  <si>
    <t>Standard deviation</t>
  </si>
  <si>
    <t>Atomic concentrations of surface</t>
  </si>
  <si>
    <t>Individual measurement of three sample locations</t>
  </si>
  <si>
    <t>Carbon bond analysis</t>
  </si>
  <si>
    <t>Elemental surface composition (corrected for Iodine contamination)</t>
  </si>
  <si>
    <t>CF/C total %</t>
  </si>
  <si>
    <t>Liquid side of used sample</t>
  </si>
  <si>
    <t>Ag%</t>
  </si>
  <si>
    <t>Sample 1</t>
  </si>
  <si>
    <t>C%</t>
  </si>
  <si>
    <t>Carbon is present in PTFE, but could also be a residue of the cellulose pore forming agent</t>
  </si>
  <si>
    <t>Sample 2</t>
  </si>
  <si>
    <t>F%</t>
  </si>
  <si>
    <t>Fluorine is present in PTFE</t>
  </si>
  <si>
    <t>Sample 3</t>
  </si>
  <si>
    <t>Cu%</t>
  </si>
  <si>
    <t>Copper contamination from current collector</t>
  </si>
  <si>
    <t>O%</t>
  </si>
  <si>
    <t>Ca%</t>
  </si>
  <si>
    <t>S%</t>
  </si>
  <si>
    <t>COX/C total %</t>
  </si>
  <si>
    <t>Si%</t>
  </si>
  <si>
    <t>Cl%</t>
  </si>
  <si>
    <t>K%</t>
  </si>
  <si>
    <t>CR/C total %</t>
  </si>
  <si>
    <t>Carbon bonds</t>
  </si>
  <si>
    <t>Sample Identifier</t>
  </si>
  <si>
    <t>Name</t>
  </si>
  <si>
    <t>Area / (T*MFP)</t>
  </si>
  <si>
    <t>Area/(RSF*T*MFP)</t>
  </si>
  <si>
    <t>%At Conc</t>
  </si>
  <si>
    <t>Position</t>
  </si>
  <si>
    <t>FWHM</t>
  </si>
  <si>
    <t>C 1s</t>
  </si>
  <si>
    <t>CR</t>
  </si>
  <si>
    <t>O 1s</t>
  </si>
  <si>
    <t>COR</t>
  </si>
  <si>
    <t>Ag 3d</t>
  </si>
  <si>
    <t>CO</t>
  </si>
  <si>
    <t>F 1s</t>
  </si>
  <si>
    <t>COOR</t>
  </si>
  <si>
    <t>I 3d 5/2</t>
  </si>
  <si>
    <t>CF</t>
  </si>
  <si>
    <t>Ca 2p</t>
  </si>
  <si>
    <t>K2p 3/2</t>
  </si>
  <si>
    <t>Si 2s</t>
  </si>
  <si>
    <t>K2p 1/2</t>
  </si>
  <si>
    <t>S 2p</t>
  </si>
  <si>
    <t>Cu2p 1/2</t>
  </si>
  <si>
    <t>114-3-noCu side_001</t>
  </si>
  <si>
    <t>114-3-noCu side_002</t>
  </si>
  <si>
    <t>Atomic composition in % corrected for Iodine contamination from previous samples</t>
  </si>
  <si>
    <t>114-3-noCu side_003</t>
  </si>
  <si>
    <t>114-3-unused_001</t>
  </si>
  <si>
    <t>114-3-unused_002</t>
  </si>
  <si>
    <t>114-3-unused_003</t>
  </si>
  <si>
    <t>Cl2p</t>
  </si>
  <si>
    <t>Carbon-free GDE</t>
  </si>
  <si>
    <t>CO2 electrolysis with Carbon-free GDE GDE Sample Ag 114-2</t>
  </si>
  <si>
    <t>CO2 electrolysis with Carbon-free GDE Sample Ag 178-1</t>
  </si>
  <si>
    <t>CO2 electrolysis with Carbon-free GDE Sample Ag 114-3</t>
  </si>
  <si>
    <t>Physical constant</t>
  </si>
  <si>
    <t>Quantity</t>
  </si>
  <si>
    <t>Unit</t>
  </si>
  <si>
    <t>Value</t>
  </si>
  <si>
    <t>Source</t>
  </si>
  <si>
    <t>Ideal gas constant</t>
  </si>
  <si>
    <t>J / mol / K</t>
  </si>
  <si>
    <t>Faraday's constant</t>
  </si>
  <si>
    <t>C / mol</t>
  </si>
  <si>
    <t>Normal temperature</t>
  </si>
  <si>
    <t>K</t>
  </si>
  <si>
    <t>Normal pressure</t>
  </si>
  <si>
    <t>Pa</t>
  </si>
  <si>
    <t>System parameters</t>
  </si>
  <si>
    <t>Electrode area</t>
  </si>
  <si>
    <t>cm^2</t>
  </si>
  <si>
    <t>Temperature</t>
  </si>
  <si>
    <t>°C</t>
  </si>
  <si>
    <t>Pressure</t>
  </si>
  <si>
    <t>CO2 feed</t>
  </si>
  <si>
    <t>mLn/min</t>
  </si>
  <si>
    <t xml:space="preserve">Humidifier </t>
  </si>
  <si>
    <t>Antoine equation, Tosun, İsmail. The thermodynamics of phase and reaction equilibria. Elsevier, 2021</t>
  </si>
  <si>
    <t>A</t>
  </si>
  <si>
    <t>-</t>
  </si>
  <si>
    <t xml:space="preserve">Vapor pressure </t>
  </si>
  <si>
    <t>bar (a)</t>
  </si>
  <si>
    <t>B</t>
  </si>
  <si>
    <t>Relative humidity</t>
  </si>
  <si>
    <t>% r.h.</t>
  </si>
  <si>
    <t>Partial pressure</t>
  </si>
  <si>
    <t>T_min</t>
  </si>
  <si>
    <t>Molar fraction</t>
  </si>
  <si>
    <t>mol%</t>
  </si>
  <si>
    <t>T_max</t>
  </si>
  <si>
    <t>H2O vapor flow rate</t>
  </si>
  <si>
    <t>mLn / min</t>
  </si>
  <si>
    <t>Feed specifications</t>
  </si>
  <si>
    <t>Current density</t>
  </si>
  <si>
    <t>Current</t>
  </si>
  <si>
    <t>Stoichiometric volumetric flow rate</t>
  </si>
  <si>
    <t>Lambda_CO2</t>
  </si>
  <si>
    <t>Lambda_H2O</t>
  </si>
  <si>
    <t>mA cm-2</t>
  </si>
  <si>
    <t>Gas feed pressure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</si>
</sst>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0.000"/>
    <numFmt numFmtId="166" formatCode="0.0%"/>
    <numFmt numFmtId="167" formatCode="0.00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Symbol"/>
      <family val="1"/>
      <charset val="2"/>
    </font>
    <font>
      <sz val="11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68">
    <xf numFmtId="0" fontId="0" fillId="0" borderId="0" xfId="0"/>
    <xf numFmtId="164" fontId="0" fillId="0" borderId="0" xfId="0" applyNumberFormat="1"/>
    <xf numFmtId="0" fontId="1" fillId="0" borderId="0" xfId="0" applyFont="1"/>
    <xf numFmtId="1" fontId="0" fillId="0" borderId="0" xfId="0" applyNumberFormat="1"/>
    <xf numFmtId="2" fontId="0" fillId="0" borderId="0" xfId="0" applyNumberFormat="1"/>
    <xf numFmtId="0" fontId="0" fillId="2" borderId="0" xfId="0" applyFill="1"/>
    <xf numFmtId="0" fontId="0" fillId="0" borderId="0" xfId="0" applyBorder="1"/>
    <xf numFmtId="0" fontId="0" fillId="0" borderId="0" xfId="0" applyFill="1" applyBorder="1"/>
    <xf numFmtId="9" fontId="0" fillId="0" borderId="0" xfId="0" applyNumberFormat="1"/>
    <xf numFmtId="0" fontId="0" fillId="0" borderId="1" xfId="0" applyBorder="1"/>
    <xf numFmtId="0" fontId="0" fillId="0" borderId="0" xfId="0" applyFont="1"/>
    <xf numFmtId="1" fontId="1" fillId="0" borderId="0" xfId="0" applyNumberFormat="1" applyFont="1"/>
    <xf numFmtId="164" fontId="1" fillId="0" borderId="0" xfId="0" applyNumberFormat="1" applyFont="1"/>
    <xf numFmtId="165" fontId="0" fillId="0" borderId="0" xfId="0" applyNumberFormat="1"/>
    <xf numFmtId="0" fontId="0" fillId="0" borderId="0" xfId="0" quotePrefix="1"/>
    <xf numFmtId="0" fontId="3" fillId="0" borderId="0" xfId="0" quotePrefix="1" applyFont="1"/>
    <xf numFmtId="166" fontId="1" fillId="0" borderId="0" xfId="1" applyNumberFormat="1" applyFont="1"/>
    <xf numFmtId="166" fontId="0" fillId="0" borderId="0" xfId="1" applyNumberFormat="1" applyFont="1"/>
    <xf numFmtId="166" fontId="0" fillId="0" borderId="0" xfId="0" applyNumberFormat="1"/>
    <xf numFmtId="164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164" fontId="0" fillId="0" borderId="0" xfId="0" applyNumberFormat="1" applyBorder="1"/>
    <xf numFmtId="0" fontId="1" fillId="0" borderId="0" xfId="0" applyFont="1" applyBorder="1"/>
    <xf numFmtId="0" fontId="0" fillId="3" borderId="5" xfId="0" applyFill="1" applyBorder="1"/>
    <xf numFmtId="0" fontId="4" fillId="4" borderId="5" xfId="0" applyFont="1" applyFill="1" applyBorder="1"/>
    <xf numFmtId="0" fontId="0" fillId="5" borderId="5" xfId="0" applyFill="1" applyBorder="1"/>
    <xf numFmtId="9" fontId="0" fillId="5" borderId="0" xfId="1" applyFont="1" applyFill="1" applyBorder="1"/>
    <xf numFmtId="9" fontId="0" fillId="5" borderId="6" xfId="1" applyFont="1" applyFill="1" applyBorder="1"/>
    <xf numFmtId="0" fontId="0" fillId="6" borderId="5" xfId="0" applyFill="1" applyBorder="1"/>
    <xf numFmtId="9" fontId="0" fillId="0" borderId="0" xfId="1" applyFont="1" applyBorder="1"/>
    <xf numFmtId="11" fontId="0" fillId="0" borderId="0" xfId="0" applyNumberFormat="1"/>
    <xf numFmtId="0" fontId="0" fillId="0" borderId="7" xfId="0" applyBorder="1"/>
    <xf numFmtId="0" fontId="0" fillId="0" borderId="8" xfId="0" applyBorder="1"/>
    <xf numFmtId="0" fontId="0" fillId="0" borderId="10" xfId="0" applyBorder="1"/>
    <xf numFmtId="0" fontId="0" fillId="0" borderId="11" xfId="0" applyBorder="1"/>
    <xf numFmtId="0" fontId="0" fillId="0" borderId="9" xfId="0" applyBorder="1"/>
    <xf numFmtId="0" fontId="1" fillId="0" borderId="3" xfId="0" applyFont="1" applyBorder="1"/>
    <xf numFmtId="0" fontId="0" fillId="0" borderId="4" xfId="0" applyFill="1" applyBorder="1"/>
    <xf numFmtId="0" fontId="1" fillId="0" borderId="6" xfId="0" applyFont="1" applyBorder="1"/>
    <xf numFmtId="164" fontId="0" fillId="3" borderId="0" xfId="0" applyNumberFormat="1" applyFill="1" applyBorder="1"/>
    <xf numFmtId="2" fontId="0" fillId="3" borderId="0" xfId="0" applyNumberFormat="1" applyFill="1" applyBorder="1"/>
    <xf numFmtId="9" fontId="0" fillId="0" borderId="6" xfId="1" applyFont="1" applyBorder="1"/>
    <xf numFmtId="164" fontId="4" fillId="4" borderId="0" xfId="0" applyNumberFormat="1" applyFont="1" applyFill="1" applyBorder="1"/>
    <xf numFmtId="164" fontId="0" fillId="6" borderId="0" xfId="0" applyNumberFormat="1" applyFill="1" applyBorder="1"/>
    <xf numFmtId="2" fontId="0" fillId="0" borderId="5" xfId="0" applyNumberFormat="1" applyBorder="1"/>
    <xf numFmtId="164" fontId="0" fillId="0" borderId="1" xfId="0" applyNumberFormat="1" applyBorder="1"/>
    <xf numFmtId="166" fontId="0" fillId="0" borderId="0" xfId="1" applyNumberFormat="1" applyFont="1" applyBorder="1"/>
    <xf numFmtId="166" fontId="0" fillId="0" borderId="6" xfId="1" applyNumberFormat="1" applyFont="1" applyBorder="1"/>
    <xf numFmtId="9" fontId="1" fillId="6" borderId="0" xfId="0" applyNumberFormat="1" applyFont="1" applyFill="1" applyBorder="1"/>
    <xf numFmtId="9" fontId="1" fillId="6" borderId="6" xfId="0" applyNumberFormat="1" applyFont="1" applyFill="1" applyBorder="1"/>
    <xf numFmtId="0" fontId="0" fillId="6" borderId="7" xfId="0" applyFill="1" applyBorder="1"/>
    <xf numFmtId="166" fontId="1" fillId="6" borderId="1" xfId="1" applyNumberFormat="1" applyFont="1" applyFill="1" applyBorder="1"/>
    <xf numFmtId="166" fontId="1" fillId="0" borderId="1" xfId="1" applyNumberFormat="1" applyFont="1" applyBorder="1"/>
    <xf numFmtId="166" fontId="1" fillId="6" borderId="8" xfId="1" applyNumberFormat="1" applyFont="1" applyFill="1" applyBorder="1"/>
    <xf numFmtId="166" fontId="1" fillId="0" borderId="0" xfId="0" applyNumberFormat="1" applyFont="1" applyBorder="1"/>
    <xf numFmtId="166" fontId="1" fillId="0" borderId="6" xfId="0" applyNumberFormat="1" applyFont="1" applyBorder="1"/>
    <xf numFmtId="166" fontId="1" fillId="0" borderId="8" xfId="1" applyNumberFormat="1" applyFont="1" applyBorder="1"/>
    <xf numFmtId="164" fontId="0" fillId="5" borderId="0" xfId="0" applyNumberFormat="1" applyFill="1" applyBorder="1"/>
    <xf numFmtId="0" fontId="1" fillId="0" borderId="4" xfId="0" applyFont="1" applyBorder="1"/>
    <xf numFmtId="166" fontId="0" fillId="5" borderId="1" xfId="1" applyNumberFormat="1" applyFont="1" applyFill="1" applyBorder="1"/>
    <xf numFmtId="166" fontId="0" fillId="5" borderId="8" xfId="1" applyNumberFormat="1" applyFont="1" applyFill="1" applyBorder="1"/>
    <xf numFmtId="167" fontId="0" fillId="0" borderId="0" xfId="0" applyNumberForma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00A6BC"/>
      <color rgb="FF00A390"/>
      <color rgb="FF82D7C6"/>
      <color rgb="FFA2E59C"/>
      <color rgb="FF81D8C6"/>
      <color rgb="FF0066A2"/>
      <color rgb="FFFF8000"/>
      <color rgb="FFFFD28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8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0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1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2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8375817125062"/>
          <c:y val="0.14288983534934188"/>
          <c:w val="0.66131894387844137"/>
          <c:h val="0.67390254803406302"/>
        </c:manualLayout>
      </c:layout>
      <c:scatterChart>
        <c:scatterStyle val="lineMarker"/>
        <c:varyColors val="0"/>
        <c:ser>
          <c:idx val="1"/>
          <c:order val="0"/>
          <c:tx>
            <c:strRef>
              <c:f>'Ag 114-3 XPS Depth profile'!$K$6</c:f>
              <c:strCache>
                <c:ptCount val="1"/>
                <c:pt idx="0">
                  <c:v>After electrolysis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square"/>
            <c:size val="5"/>
            <c:spPr>
              <a:solidFill>
                <a:srgbClr val="F22E27"/>
              </a:solidFill>
              <a:ln w="12700">
                <a:solidFill>
                  <a:schemeClr val="tx1"/>
                </a:solidFill>
              </a:ln>
              <a:effectLst/>
            </c:spPr>
          </c:marker>
          <c:xVal>
            <c:numRef>
              <c:f>'Ag 114-3 XPS Depth profile'!$A$40:$A$59</c:f>
              <c:numCache>
                <c:formatCode>0.0</c:formatCode>
                <c:ptCount val="20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0.80001</c:v>
                </c:pt>
                <c:pt idx="9">
                  <c:v>0.90001000000000009</c:v>
                </c:pt>
                <c:pt idx="10">
                  <c:v>1.0000599999999999</c:v>
                </c:pt>
                <c:pt idx="11">
                  <c:v>1.10006</c:v>
                </c:pt>
                <c:pt idx="12">
                  <c:v>1.2000599999999999</c:v>
                </c:pt>
                <c:pt idx="13">
                  <c:v>1.30006</c:v>
                </c:pt>
                <c:pt idx="14">
                  <c:v>1.4000600000000001</c:v>
                </c:pt>
                <c:pt idx="15">
                  <c:v>1.5000899999999999</c:v>
                </c:pt>
                <c:pt idx="16">
                  <c:v>1.6000899999999998</c:v>
                </c:pt>
                <c:pt idx="17">
                  <c:v>1.7000899999999999</c:v>
                </c:pt>
                <c:pt idx="18">
                  <c:v>1.80009</c:v>
                </c:pt>
                <c:pt idx="19">
                  <c:v>1.9000899999999998</c:v>
                </c:pt>
              </c:numCache>
            </c:numRef>
          </c:xVal>
          <c:yVal>
            <c:numRef>
              <c:f>'Ag 114-3 XPS Depth profile'!$F$40:$F$59</c:f>
              <c:numCache>
                <c:formatCode>0</c:formatCode>
                <c:ptCount val="20"/>
                <c:pt idx="0">
                  <c:v>10.02</c:v>
                </c:pt>
                <c:pt idx="1">
                  <c:v>14.210999999999999</c:v>
                </c:pt>
                <c:pt idx="2">
                  <c:v>15.570999999999998</c:v>
                </c:pt>
                <c:pt idx="3">
                  <c:v>16.161000000000001</c:v>
                </c:pt>
                <c:pt idx="4">
                  <c:v>16.962</c:v>
                </c:pt>
                <c:pt idx="5">
                  <c:v>17.669</c:v>
                </c:pt>
                <c:pt idx="6">
                  <c:v>17.721</c:v>
                </c:pt>
                <c:pt idx="7">
                  <c:v>17.861000000000001</c:v>
                </c:pt>
                <c:pt idx="8">
                  <c:v>18.762</c:v>
                </c:pt>
                <c:pt idx="9">
                  <c:v>19.338000000000001</c:v>
                </c:pt>
                <c:pt idx="10">
                  <c:v>19.003</c:v>
                </c:pt>
                <c:pt idx="11">
                  <c:v>19.495000000000001</c:v>
                </c:pt>
                <c:pt idx="12">
                  <c:v>19.846</c:v>
                </c:pt>
                <c:pt idx="13">
                  <c:v>19.914000000000001</c:v>
                </c:pt>
                <c:pt idx="14">
                  <c:v>19.981999999999999</c:v>
                </c:pt>
                <c:pt idx="15">
                  <c:v>20.655000000000001</c:v>
                </c:pt>
                <c:pt idx="16">
                  <c:v>20.673999999999999</c:v>
                </c:pt>
                <c:pt idx="17">
                  <c:v>21.015000000000001</c:v>
                </c:pt>
                <c:pt idx="18">
                  <c:v>21.268999999999998</c:v>
                </c:pt>
                <c:pt idx="19">
                  <c:v>21.539000000000001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9E0-4AAE-87A5-566B666B8827}"/>
            </c:ext>
          </c:extLst>
        </c:ser>
        <c:ser>
          <c:idx val="0"/>
          <c:order val="1"/>
          <c:tx>
            <c:strRef>
              <c:f>'Ag 114-3 XPS Depth profile'!$K$5</c:f>
              <c:strCache>
                <c:ptCount val="1"/>
                <c:pt idx="0">
                  <c:v>Fresh sample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tx1">
                  <a:lumMod val="75000"/>
                  <a:lumOff val="25000"/>
                </a:schemeClr>
              </a:solidFill>
              <a:ln w="12700">
                <a:solidFill>
                  <a:schemeClr val="tx1"/>
                </a:solidFill>
              </a:ln>
              <a:effectLst/>
            </c:spPr>
          </c:marker>
          <c:xVal>
            <c:numRef>
              <c:f>'Ag 114-3 XPS Depth profile'!$A$40:$A$59</c:f>
              <c:numCache>
                <c:formatCode>0.0</c:formatCode>
                <c:ptCount val="20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0.80001</c:v>
                </c:pt>
                <c:pt idx="9">
                  <c:v>0.90001000000000009</c:v>
                </c:pt>
                <c:pt idx="10">
                  <c:v>1.0000599999999999</c:v>
                </c:pt>
                <c:pt idx="11">
                  <c:v>1.10006</c:v>
                </c:pt>
                <c:pt idx="12">
                  <c:v>1.2000599999999999</c:v>
                </c:pt>
                <c:pt idx="13">
                  <c:v>1.30006</c:v>
                </c:pt>
                <c:pt idx="14">
                  <c:v>1.4000600000000001</c:v>
                </c:pt>
                <c:pt idx="15">
                  <c:v>1.5000899999999999</c:v>
                </c:pt>
                <c:pt idx="16">
                  <c:v>1.6000899999999998</c:v>
                </c:pt>
                <c:pt idx="17">
                  <c:v>1.7000899999999999</c:v>
                </c:pt>
                <c:pt idx="18">
                  <c:v>1.80009</c:v>
                </c:pt>
                <c:pt idx="19">
                  <c:v>1.9000899999999998</c:v>
                </c:pt>
              </c:numCache>
            </c:numRef>
          </c:xVal>
          <c:yVal>
            <c:numRef>
              <c:f>'Ag 114-3 XPS Depth profile'!$C$40:$C$59</c:f>
              <c:numCache>
                <c:formatCode>0</c:formatCode>
                <c:ptCount val="20"/>
                <c:pt idx="0">
                  <c:v>3.0760000000000001</c:v>
                </c:pt>
                <c:pt idx="1">
                  <c:v>4.0280000000000005</c:v>
                </c:pt>
                <c:pt idx="2">
                  <c:v>4.774</c:v>
                </c:pt>
                <c:pt idx="3">
                  <c:v>5.2610000000000001</c:v>
                </c:pt>
                <c:pt idx="4">
                  <c:v>5.8000000000000007</c:v>
                </c:pt>
                <c:pt idx="5">
                  <c:v>6.2649999999999997</c:v>
                </c:pt>
                <c:pt idx="6">
                  <c:v>6.8390000000000004</c:v>
                </c:pt>
                <c:pt idx="7">
                  <c:v>7.2880000000000003</c:v>
                </c:pt>
                <c:pt idx="8">
                  <c:v>7.8</c:v>
                </c:pt>
                <c:pt idx="9">
                  <c:v>8.0869999999999997</c:v>
                </c:pt>
                <c:pt idx="10">
                  <c:v>8.3000000000000007</c:v>
                </c:pt>
                <c:pt idx="11">
                  <c:v>8.7330000000000005</c:v>
                </c:pt>
                <c:pt idx="12">
                  <c:v>8.8969999999999985</c:v>
                </c:pt>
                <c:pt idx="13">
                  <c:v>9.19</c:v>
                </c:pt>
                <c:pt idx="14">
                  <c:v>9.5760000000000005</c:v>
                </c:pt>
                <c:pt idx="15">
                  <c:v>9.702</c:v>
                </c:pt>
                <c:pt idx="16">
                  <c:v>10.116</c:v>
                </c:pt>
                <c:pt idx="17">
                  <c:v>10.401</c:v>
                </c:pt>
                <c:pt idx="18">
                  <c:v>10.609</c:v>
                </c:pt>
                <c:pt idx="19">
                  <c:v>10.804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9E0-4AAE-87A5-566B666B88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1083008"/>
        <c:axId val="551092192"/>
      </c:scatterChart>
      <c:valAx>
        <c:axId val="551083008"/>
        <c:scaling>
          <c:orientation val="minMax"/>
          <c:min val="0"/>
        </c:scaling>
        <c:delete val="0"/>
        <c:axPos val="b"/>
        <c:numFmt formatCode="0.0" sourceLinked="1"/>
        <c:majorTickMark val="cross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551092192"/>
        <c:crosses val="autoZero"/>
        <c:crossBetween val="midCat"/>
        <c:majorUnit val="0.5"/>
      </c:valAx>
      <c:valAx>
        <c:axId val="551092192"/>
        <c:scaling>
          <c:orientation val="minMax"/>
          <c:max val="100"/>
        </c:scaling>
        <c:delete val="0"/>
        <c:axPos val="l"/>
        <c:numFmt formatCode="0" sourceLinked="1"/>
        <c:majorTickMark val="cross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551083008"/>
        <c:crosses val="autoZero"/>
        <c:crossBetween val="midCat"/>
      </c:valAx>
      <c:spPr>
        <a:noFill/>
        <a:ln>
          <a:solidFill>
            <a:sysClr val="windowText" lastClr="000000"/>
          </a:solidFill>
        </a:ln>
        <a:effectLst/>
      </c:spPr>
    </c:plotArea>
    <c:legend>
      <c:legendPos val="r"/>
      <c:layout>
        <c:manualLayout>
          <c:xMode val="edge"/>
          <c:yMode val="edge"/>
          <c:x val="0.2438958912200164"/>
          <c:y val="0.17484721594833663"/>
          <c:w val="0.54471872105665853"/>
          <c:h val="0.1570586590376218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8375817125062"/>
          <c:y val="0.14288983534934188"/>
          <c:w val="0.66131894387844137"/>
          <c:h val="0.67390254803406302"/>
        </c:manualLayout>
      </c:layout>
      <c:scatterChart>
        <c:scatterStyle val="lineMarker"/>
        <c:varyColors val="0"/>
        <c:ser>
          <c:idx val="0"/>
          <c:order val="0"/>
          <c:tx>
            <c:strRef>
              <c:f>'Ag 114-3 XPS Depth profile'!$K$5</c:f>
              <c:strCache>
                <c:ptCount val="1"/>
                <c:pt idx="0">
                  <c:v>Fresh sample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tx1">
                  <a:lumMod val="75000"/>
                  <a:lumOff val="25000"/>
                </a:schemeClr>
              </a:solidFill>
              <a:ln w="12700">
                <a:solidFill>
                  <a:schemeClr val="tx1"/>
                </a:solidFill>
              </a:ln>
              <a:effectLst/>
            </c:spPr>
          </c:marker>
          <c:xVal>
            <c:numRef>
              <c:f>'Ag 114-3 XPS Depth profile'!$A$40:$A$59</c:f>
              <c:numCache>
                <c:formatCode>0.0</c:formatCode>
                <c:ptCount val="20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0.80001</c:v>
                </c:pt>
                <c:pt idx="9">
                  <c:v>0.90001000000000009</c:v>
                </c:pt>
                <c:pt idx="10">
                  <c:v>1.0000599999999999</c:v>
                </c:pt>
                <c:pt idx="11">
                  <c:v>1.10006</c:v>
                </c:pt>
                <c:pt idx="12">
                  <c:v>1.2000599999999999</c:v>
                </c:pt>
                <c:pt idx="13">
                  <c:v>1.30006</c:v>
                </c:pt>
                <c:pt idx="14">
                  <c:v>1.4000600000000001</c:v>
                </c:pt>
                <c:pt idx="15">
                  <c:v>1.5000899999999999</c:v>
                </c:pt>
                <c:pt idx="16">
                  <c:v>1.6000899999999998</c:v>
                </c:pt>
                <c:pt idx="17">
                  <c:v>1.7000899999999999</c:v>
                </c:pt>
                <c:pt idx="18">
                  <c:v>1.80009</c:v>
                </c:pt>
                <c:pt idx="19">
                  <c:v>1.9000899999999998</c:v>
                </c:pt>
              </c:numCache>
            </c:numRef>
          </c:xVal>
          <c:yVal>
            <c:numRef>
              <c:f>'Ag 114-3 XPS Depth profile'!$D$40:$D$59</c:f>
              <c:numCache>
                <c:formatCode>0</c:formatCode>
                <c:ptCount val="20"/>
                <c:pt idx="0">
                  <c:v>62.59</c:v>
                </c:pt>
                <c:pt idx="1">
                  <c:v>62.588000000000001</c:v>
                </c:pt>
                <c:pt idx="2">
                  <c:v>61.172000000000004</c:v>
                </c:pt>
                <c:pt idx="3">
                  <c:v>60.565999999999995</c:v>
                </c:pt>
                <c:pt idx="4">
                  <c:v>60.838999999999999</c:v>
                </c:pt>
                <c:pt idx="5">
                  <c:v>59.689</c:v>
                </c:pt>
                <c:pt idx="6">
                  <c:v>58.855000000000004</c:v>
                </c:pt>
                <c:pt idx="7">
                  <c:v>58.845999999999997</c:v>
                </c:pt>
                <c:pt idx="8">
                  <c:v>58.770999999999994</c:v>
                </c:pt>
                <c:pt idx="9">
                  <c:v>57.63</c:v>
                </c:pt>
                <c:pt idx="10">
                  <c:v>57.145000000000003</c:v>
                </c:pt>
                <c:pt idx="11">
                  <c:v>56.619</c:v>
                </c:pt>
                <c:pt idx="12">
                  <c:v>57.203000000000003</c:v>
                </c:pt>
                <c:pt idx="13">
                  <c:v>56.927000000000007</c:v>
                </c:pt>
                <c:pt idx="14">
                  <c:v>56.003999999999998</c:v>
                </c:pt>
                <c:pt idx="15">
                  <c:v>55.805000000000007</c:v>
                </c:pt>
                <c:pt idx="16">
                  <c:v>55.527000000000001</c:v>
                </c:pt>
                <c:pt idx="17">
                  <c:v>55.81</c:v>
                </c:pt>
                <c:pt idx="18">
                  <c:v>55.283000000000001</c:v>
                </c:pt>
                <c:pt idx="19">
                  <c:v>55.010000000000005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8AB-4AEE-9ED1-4DE42580849B}"/>
            </c:ext>
          </c:extLst>
        </c:ser>
        <c:ser>
          <c:idx val="1"/>
          <c:order val="1"/>
          <c:tx>
            <c:strRef>
              <c:f>'Ag 114-3 XPS Depth profile'!$K$6</c:f>
              <c:strCache>
                <c:ptCount val="1"/>
                <c:pt idx="0">
                  <c:v>After electrolysis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square"/>
            <c:size val="5"/>
            <c:spPr>
              <a:solidFill>
                <a:srgbClr val="F22E27"/>
              </a:solidFill>
              <a:ln w="12700">
                <a:solidFill>
                  <a:schemeClr val="tx1"/>
                </a:solidFill>
              </a:ln>
              <a:effectLst/>
            </c:spPr>
          </c:marker>
          <c:xVal>
            <c:numRef>
              <c:f>'Ag 114-3 XPS Depth profile'!$A$40:$A$59</c:f>
              <c:numCache>
                <c:formatCode>0.0</c:formatCode>
                <c:ptCount val="20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0.80001</c:v>
                </c:pt>
                <c:pt idx="9">
                  <c:v>0.90001000000000009</c:v>
                </c:pt>
                <c:pt idx="10">
                  <c:v>1.0000599999999999</c:v>
                </c:pt>
                <c:pt idx="11">
                  <c:v>1.10006</c:v>
                </c:pt>
                <c:pt idx="12">
                  <c:v>1.2000599999999999</c:v>
                </c:pt>
                <c:pt idx="13">
                  <c:v>1.30006</c:v>
                </c:pt>
                <c:pt idx="14">
                  <c:v>1.4000600000000001</c:v>
                </c:pt>
                <c:pt idx="15">
                  <c:v>1.5000899999999999</c:v>
                </c:pt>
                <c:pt idx="16">
                  <c:v>1.6000899999999998</c:v>
                </c:pt>
                <c:pt idx="17">
                  <c:v>1.7000899999999999</c:v>
                </c:pt>
                <c:pt idx="18">
                  <c:v>1.80009</c:v>
                </c:pt>
                <c:pt idx="19">
                  <c:v>1.9000899999999998</c:v>
                </c:pt>
              </c:numCache>
            </c:numRef>
          </c:xVal>
          <c:yVal>
            <c:numRef>
              <c:f>'Ag 114-3 XPS Depth profile'!$G$40:$G$59</c:f>
              <c:numCache>
                <c:formatCode>0</c:formatCode>
                <c:ptCount val="20"/>
                <c:pt idx="0">
                  <c:v>47.994999999999997</c:v>
                </c:pt>
                <c:pt idx="1">
                  <c:v>47.667000000000002</c:v>
                </c:pt>
                <c:pt idx="2">
                  <c:v>47.374000000000002</c:v>
                </c:pt>
                <c:pt idx="3">
                  <c:v>45.753999999999998</c:v>
                </c:pt>
                <c:pt idx="4">
                  <c:v>46.298999999999999</c:v>
                </c:pt>
                <c:pt idx="5">
                  <c:v>45.149000000000001</c:v>
                </c:pt>
                <c:pt idx="6">
                  <c:v>44.75</c:v>
                </c:pt>
                <c:pt idx="7">
                  <c:v>44.188000000000002</c:v>
                </c:pt>
                <c:pt idx="8">
                  <c:v>44.875999999999998</c:v>
                </c:pt>
                <c:pt idx="9">
                  <c:v>43.658999999999999</c:v>
                </c:pt>
                <c:pt idx="10">
                  <c:v>42.128</c:v>
                </c:pt>
                <c:pt idx="11">
                  <c:v>42.786000000000001</c:v>
                </c:pt>
                <c:pt idx="12">
                  <c:v>42.713000000000001</c:v>
                </c:pt>
                <c:pt idx="13">
                  <c:v>42.44</c:v>
                </c:pt>
                <c:pt idx="14">
                  <c:v>41.9</c:v>
                </c:pt>
                <c:pt idx="15">
                  <c:v>41.61</c:v>
                </c:pt>
                <c:pt idx="16">
                  <c:v>41.388000000000005</c:v>
                </c:pt>
                <c:pt idx="17">
                  <c:v>41.991</c:v>
                </c:pt>
                <c:pt idx="18">
                  <c:v>41.256999999999998</c:v>
                </c:pt>
                <c:pt idx="19">
                  <c:v>40.863999999999997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8AB-4AEE-9ED1-4DE4258084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1083008"/>
        <c:axId val="551092192"/>
      </c:scatterChart>
      <c:valAx>
        <c:axId val="551083008"/>
        <c:scaling>
          <c:orientation val="minMax"/>
          <c:min val="0"/>
        </c:scaling>
        <c:delete val="0"/>
        <c:axPos val="b"/>
        <c:numFmt formatCode="0.0" sourceLinked="1"/>
        <c:majorTickMark val="cross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551092192"/>
        <c:crosses val="autoZero"/>
        <c:crossBetween val="midCat"/>
        <c:majorUnit val="0.5"/>
      </c:valAx>
      <c:valAx>
        <c:axId val="551092192"/>
        <c:scaling>
          <c:orientation val="minMax"/>
          <c:max val="100"/>
        </c:scaling>
        <c:delete val="0"/>
        <c:axPos val="l"/>
        <c:numFmt formatCode="0" sourceLinked="1"/>
        <c:majorTickMark val="cross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551083008"/>
        <c:crosses val="autoZero"/>
        <c:crossBetween val="midCat"/>
      </c:valAx>
      <c:spPr>
        <a:noFill/>
        <a:ln>
          <a:solidFill>
            <a:sysClr val="windowText" lastClr="000000"/>
          </a:solidFill>
        </a:ln>
        <a:effectLst/>
      </c:spPr>
    </c:plotArea>
    <c:legend>
      <c:legendPos val="r"/>
      <c:layout>
        <c:manualLayout>
          <c:xMode val="edge"/>
          <c:yMode val="edge"/>
          <c:x val="0.19616370689539456"/>
          <c:y val="0.17484721594833663"/>
          <c:w val="0.61290755580611822"/>
          <c:h val="0.1570586590376218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8375817125062"/>
          <c:y val="0.14288983534934188"/>
          <c:w val="0.66131894387844137"/>
          <c:h val="0.67390254803406302"/>
        </c:manualLayout>
      </c:layout>
      <c:scatterChart>
        <c:scatterStyle val="lineMarker"/>
        <c:varyColors val="0"/>
        <c:ser>
          <c:idx val="1"/>
          <c:order val="0"/>
          <c:tx>
            <c:strRef>
              <c:f>'Ag 114-3 XPS Depth profile'!$K$6</c:f>
              <c:strCache>
                <c:ptCount val="1"/>
                <c:pt idx="0">
                  <c:v>After electrolysis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square"/>
            <c:size val="5"/>
            <c:spPr>
              <a:solidFill>
                <a:srgbClr val="F22E27"/>
              </a:solidFill>
              <a:ln w="12700">
                <a:solidFill>
                  <a:schemeClr val="tx1"/>
                </a:solidFill>
              </a:ln>
              <a:effectLst/>
            </c:spPr>
          </c:marker>
          <c:xVal>
            <c:numRef>
              <c:f>'Ag 114-3 XPS Depth profile'!$A$40:$A$59</c:f>
              <c:numCache>
                <c:formatCode>0.0</c:formatCode>
                <c:ptCount val="20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0.80001</c:v>
                </c:pt>
                <c:pt idx="9">
                  <c:v>0.90001000000000009</c:v>
                </c:pt>
                <c:pt idx="10">
                  <c:v>1.0000599999999999</c:v>
                </c:pt>
                <c:pt idx="11">
                  <c:v>1.10006</c:v>
                </c:pt>
                <c:pt idx="12">
                  <c:v>1.2000599999999999</c:v>
                </c:pt>
                <c:pt idx="13">
                  <c:v>1.30006</c:v>
                </c:pt>
                <c:pt idx="14">
                  <c:v>1.4000600000000001</c:v>
                </c:pt>
                <c:pt idx="15">
                  <c:v>1.5000899999999999</c:v>
                </c:pt>
                <c:pt idx="16">
                  <c:v>1.6000899999999998</c:v>
                </c:pt>
                <c:pt idx="17">
                  <c:v>1.7000899999999999</c:v>
                </c:pt>
                <c:pt idx="18">
                  <c:v>1.80009</c:v>
                </c:pt>
                <c:pt idx="19">
                  <c:v>1.9000899999999998</c:v>
                </c:pt>
              </c:numCache>
            </c:numRef>
          </c:xVal>
          <c:yVal>
            <c:numRef>
              <c:f>'Ag 114-3 XPS Depth profile'!$H$40:$H$59</c:f>
              <c:numCache>
                <c:formatCode>0</c:formatCode>
                <c:ptCount val="20"/>
                <c:pt idx="0">
                  <c:v>41.984000000000002</c:v>
                </c:pt>
                <c:pt idx="1">
                  <c:v>38.122</c:v>
                </c:pt>
                <c:pt idx="2">
                  <c:v>37.053999999999995</c:v>
                </c:pt>
                <c:pt idx="3">
                  <c:v>38.085000000000001</c:v>
                </c:pt>
                <c:pt idx="4">
                  <c:v>36.738999999999997</c:v>
                </c:pt>
                <c:pt idx="5">
                  <c:v>37.181999999999995</c:v>
                </c:pt>
                <c:pt idx="6">
                  <c:v>37.53</c:v>
                </c:pt>
                <c:pt idx="7">
                  <c:v>37.951000000000001</c:v>
                </c:pt>
                <c:pt idx="8">
                  <c:v>36.363</c:v>
                </c:pt>
                <c:pt idx="9">
                  <c:v>37.002000000000002</c:v>
                </c:pt>
                <c:pt idx="10">
                  <c:v>38.868000000000002</c:v>
                </c:pt>
                <c:pt idx="11">
                  <c:v>37.72</c:v>
                </c:pt>
                <c:pt idx="12">
                  <c:v>37.441000000000003</c:v>
                </c:pt>
                <c:pt idx="13">
                  <c:v>37.646000000000001</c:v>
                </c:pt>
                <c:pt idx="14">
                  <c:v>38.118000000000002</c:v>
                </c:pt>
                <c:pt idx="15">
                  <c:v>37.734999999999999</c:v>
                </c:pt>
                <c:pt idx="16">
                  <c:v>37.936999999999998</c:v>
                </c:pt>
                <c:pt idx="17">
                  <c:v>36.994</c:v>
                </c:pt>
                <c:pt idx="18">
                  <c:v>37.472999999999999</c:v>
                </c:pt>
                <c:pt idx="19">
                  <c:v>37.597000000000001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B47-4077-A682-64ECA7BCAB6D}"/>
            </c:ext>
          </c:extLst>
        </c:ser>
        <c:ser>
          <c:idx val="0"/>
          <c:order val="1"/>
          <c:tx>
            <c:strRef>
              <c:f>'Ag 114-3 XPS Depth profile'!$K$5</c:f>
              <c:strCache>
                <c:ptCount val="1"/>
                <c:pt idx="0">
                  <c:v>Fresh sample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tx1">
                  <a:lumMod val="75000"/>
                  <a:lumOff val="25000"/>
                </a:schemeClr>
              </a:solidFill>
              <a:ln w="12700">
                <a:solidFill>
                  <a:schemeClr val="tx1"/>
                </a:solidFill>
              </a:ln>
              <a:effectLst/>
            </c:spPr>
          </c:marker>
          <c:xVal>
            <c:numRef>
              <c:f>'Ag 114-3 XPS Depth profile'!$A$40:$A$59</c:f>
              <c:numCache>
                <c:formatCode>0.0</c:formatCode>
                <c:ptCount val="20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0.80001</c:v>
                </c:pt>
                <c:pt idx="9">
                  <c:v>0.90001000000000009</c:v>
                </c:pt>
                <c:pt idx="10">
                  <c:v>1.0000599999999999</c:v>
                </c:pt>
                <c:pt idx="11">
                  <c:v>1.10006</c:v>
                </c:pt>
                <c:pt idx="12">
                  <c:v>1.2000599999999999</c:v>
                </c:pt>
                <c:pt idx="13">
                  <c:v>1.30006</c:v>
                </c:pt>
                <c:pt idx="14">
                  <c:v>1.4000600000000001</c:v>
                </c:pt>
                <c:pt idx="15">
                  <c:v>1.5000899999999999</c:v>
                </c:pt>
                <c:pt idx="16">
                  <c:v>1.6000899999999998</c:v>
                </c:pt>
                <c:pt idx="17">
                  <c:v>1.7000899999999999</c:v>
                </c:pt>
                <c:pt idx="18">
                  <c:v>1.80009</c:v>
                </c:pt>
                <c:pt idx="19">
                  <c:v>1.9000899999999998</c:v>
                </c:pt>
              </c:numCache>
            </c:numRef>
          </c:xVal>
          <c:yVal>
            <c:numRef>
              <c:f>'Ag 114-3 XPS Depth profile'!$E$40:$E$59</c:f>
              <c:numCache>
                <c:formatCode>0</c:formatCode>
                <c:ptCount val="20"/>
                <c:pt idx="0">
                  <c:v>34.333999999999996</c:v>
                </c:pt>
                <c:pt idx="1">
                  <c:v>33.384</c:v>
                </c:pt>
                <c:pt idx="2">
                  <c:v>34.054000000000002</c:v>
                </c:pt>
                <c:pt idx="3">
                  <c:v>34.172999999999995</c:v>
                </c:pt>
                <c:pt idx="4">
                  <c:v>33.361000000000004</c:v>
                </c:pt>
                <c:pt idx="5">
                  <c:v>34.045999999999999</c:v>
                </c:pt>
                <c:pt idx="6">
                  <c:v>34.305999999999997</c:v>
                </c:pt>
                <c:pt idx="7">
                  <c:v>33.866</c:v>
                </c:pt>
                <c:pt idx="8">
                  <c:v>33.428999999999995</c:v>
                </c:pt>
                <c:pt idx="9">
                  <c:v>34.283999999999999</c:v>
                </c:pt>
                <c:pt idx="10">
                  <c:v>34.555</c:v>
                </c:pt>
                <c:pt idx="11">
                  <c:v>34.646999999999998</c:v>
                </c:pt>
                <c:pt idx="12">
                  <c:v>33.900999999999996</c:v>
                </c:pt>
                <c:pt idx="13">
                  <c:v>33.883000000000003</c:v>
                </c:pt>
                <c:pt idx="14">
                  <c:v>34.420999999999999</c:v>
                </c:pt>
                <c:pt idx="15">
                  <c:v>34.493000000000002</c:v>
                </c:pt>
                <c:pt idx="16">
                  <c:v>34.356999999999999</c:v>
                </c:pt>
                <c:pt idx="17">
                  <c:v>33.789000000000001</c:v>
                </c:pt>
                <c:pt idx="18">
                  <c:v>34.107999999999997</c:v>
                </c:pt>
                <c:pt idx="19">
                  <c:v>34.186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B47-4077-A682-64ECA7BCAB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1083008"/>
        <c:axId val="551092192"/>
      </c:scatterChart>
      <c:valAx>
        <c:axId val="551083008"/>
        <c:scaling>
          <c:orientation val="minMax"/>
          <c:min val="0"/>
        </c:scaling>
        <c:delete val="0"/>
        <c:axPos val="b"/>
        <c:numFmt formatCode="0.0" sourceLinked="1"/>
        <c:majorTickMark val="cross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551092192"/>
        <c:crosses val="autoZero"/>
        <c:crossBetween val="midCat"/>
        <c:majorUnit val="0.5"/>
      </c:valAx>
      <c:valAx>
        <c:axId val="551092192"/>
        <c:scaling>
          <c:orientation val="minMax"/>
          <c:max val="100"/>
        </c:scaling>
        <c:delete val="0"/>
        <c:axPos val="l"/>
        <c:numFmt formatCode="0" sourceLinked="1"/>
        <c:majorTickMark val="cross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551083008"/>
        <c:crosses val="autoZero"/>
        <c:crossBetween val="midCat"/>
      </c:valAx>
      <c:spPr>
        <a:noFill/>
        <a:ln>
          <a:solidFill>
            <a:sysClr val="windowText" lastClr="000000"/>
          </a:solidFill>
        </a:ln>
        <a:effectLst/>
      </c:spPr>
    </c:plotArea>
    <c:legend>
      <c:legendPos val="r"/>
      <c:layout>
        <c:manualLayout>
          <c:xMode val="edge"/>
          <c:yMode val="edge"/>
          <c:x val="0.20980147384528652"/>
          <c:y val="0.16725880196271042"/>
          <c:w val="0.58563202190633434"/>
          <c:h val="0.1570586590376218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8375817125062"/>
          <c:y val="0.14288983534934188"/>
          <c:w val="0.66131894387844137"/>
          <c:h val="0.67390254803406302"/>
        </c:manualLayout>
      </c:layout>
      <c:scatterChart>
        <c:scatterStyle val="lineMarker"/>
        <c:varyColors val="0"/>
        <c:ser>
          <c:idx val="1"/>
          <c:order val="0"/>
          <c:tx>
            <c:strRef>
              <c:f>'Ag 114-3 XPS Depth profile'!$K$6</c:f>
              <c:strCache>
                <c:ptCount val="1"/>
                <c:pt idx="0">
                  <c:v>After electrolysis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square"/>
            <c:size val="5"/>
            <c:spPr>
              <a:solidFill>
                <a:srgbClr val="F22E27"/>
              </a:solidFill>
              <a:ln w="12700">
                <a:solidFill>
                  <a:schemeClr val="tx1"/>
                </a:solidFill>
              </a:ln>
              <a:effectLst/>
            </c:spPr>
          </c:marker>
          <c:xVal>
            <c:numRef>
              <c:f>'Ag 114-3 XPS Depth profile'!$A$40:$A$59</c:f>
              <c:numCache>
                <c:formatCode>0.0</c:formatCode>
                <c:ptCount val="20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0.80001</c:v>
                </c:pt>
                <c:pt idx="9">
                  <c:v>0.90001000000000009</c:v>
                </c:pt>
                <c:pt idx="10">
                  <c:v>1.0000599999999999</c:v>
                </c:pt>
                <c:pt idx="11">
                  <c:v>1.10006</c:v>
                </c:pt>
                <c:pt idx="12">
                  <c:v>1.2000599999999999</c:v>
                </c:pt>
                <c:pt idx="13">
                  <c:v>1.30006</c:v>
                </c:pt>
                <c:pt idx="14">
                  <c:v>1.4000600000000001</c:v>
                </c:pt>
                <c:pt idx="15">
                  <c:v>1.5000899999999999</c:v>
                </c:pt>
                <c:pt idx="16">
                  <c:v>1.6000899999999998</c:v>
                </c:pt>
                <c:pt idx="17">
                  <c:v>1.7000899999999999</c:v>
                </c:pt>
                <c:pt idx="18">
                  <c:v>1.80009</c:v>
                </c:pt>
                <c:pt idx="19">
                  <c:v>1.9000899999999998</c:v>
                </c:pt>
              </c:numCache>
            </c:numRef>
          </c:xVal>
          <c:yVal>
            <c:numRef>
              <c:f>'Ag 114-3 XPS Depth profile'!$P$40:$P$59</c:f>
              <c:numCache>
                <c:formatCode>0</c:formatCode>
                <c:ptCount val="20"/>
                <c:pt idx="0">
                  <c:v>100</c:v>
                </c:pt>
                <c:pt idx="1">
                  <c:v>97.453999999999994</c:v>
                </c:pt>
                <c:pt idx="2">
                  <c:v>95.781000000000006</c:v>
                </c:pt>
                <c:pt idx="3">
                  <c:v>93.577999999999989</c:v>
                </c:pt>
                <c:pt idx="4">
                  <c:v>92.198000000000008</c:v>
                </c:pt>
                <c:pt idx="5">
                  <c:v>88.543000000000006</c:v>
                </c:pt>
                <c:pt idx="6">
                  <c:v>89.126999999999995</c:v>
                </c:pt>
                <c:pt idx="7">
                  <c:v>87.965999999999994</c:v>
                </c:pt>
                <c:pt idx="8">
                  <c:v>86.875</c:v>
                </c:pt>
                <c:pt idx="9">
                  <c:v>84.460000000000008</c:v>
                </c:pt>
                <c:pt idx="10">
                  <c:v>82.756</c:v>
                </c:pt>
                <c:pt idx="11">
                  <c:v>82.301000000000002</c:v>
                </c:pt>
                <c:pt idx="12">
                  <c:v>82.320000000000007</c:v>
                </c:pt>
                <c:pt idx="13">
                  <c:v>82.135000000000005</c:v>
                </c:pt>
                <c:pt idx="14">
                  <c:v>81.581000000000003</c:v>
                </c:pt>
                <c:pt idx="15">
                  <c:v>79.427999999999997</c:v>
                </c:pt>
                <c:pt idx="16">
                  <c:v>78.682000000000002</c:v>
                </c:pt>
                <c:pt idx="17">
                  <c:v>79.926000000000002</c:v>
                </c:pt>
                <c:pt idx="18">
                  <c:v>78.67</c:v>
                </c:pt>
                <c:pt idx="19">
                  <c:v>77.070000000000007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573-4181-B679-84B587538E4B}"/>
            </c:ext>
          </c:extLst>
        </c:ser>
        <c:ser>
          <c:idx val="0"/>
          <c:order val="1"/>
          <c:tx>
            <c:strRef>
              <c:f>'Ag 114-3 XPS Depth profile'!$K$5</c:f>
              <c:strCache>
                <c:ptCount val="1"/>
                <c:pt idx="0">
                  <c:v>Fresh sample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tx1">
                  <a:lumMod val="75000"/>
                  <a:lumOff val="25000"/>
                </a:schemeClr>
              </a:solidFill>
              <a:ln w="12700">
                <a:solidFill>
                  <a:schemeClr val="tx1"/>
                </a:solidFill>
              </a:ln>
              <a:effectLst/>
            </c:spPr>
          </c:marker>
          <c:xVal>
            <c:numRef>
              <c:f>'Ag 114-3 XPS Depth profile'!$A$40:$A$59</c:f>
              <c:numCache>
                <c:formatCode>0.0</c:formatCode>
                <c:ptCount val="20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0.80001</c:v>
                </c:pt>
                <c:pt idx="9">
                  <c:v>0.90001000000000009</c:v>
                </c:pt>
                <c:pt idx="10">
                  <c:v>1.0000599999999999</c:v>
                </c:pt>
                <c:pt idx="11">
                  <c:v>1.10006</c:v>
                </c:pt>
                <c:pt idx="12">
                  <c:v>1.2000599999999999</c:v>
                </c:pt>
                <c:pt idx="13">
                  <c:v>1.30006</c:v>
                </c:pt>
                <c:pt idx="14">
                  <c:v>1.4000600000000001</c:v>
                </c:pt>
                <c:pt idx="15">
                  <c:v>1.5000899999999999</c:v>
                </c:pt>
                <c:pt idx="16">
                  <c:v>1.6000899999999998</c:v>
                </c:pt>
                <c:pt idx="17">
                  <c:v>1.7000899999999999</c:v>
                </c:pt>
                <c:pt idx="18">
                  <c:v>1.80009</c:v>
                </c:pt>
                <c:pt idx="19">
                  <c:v>1.9000899999999998</c:v>
                </c:pt>
              </c:numCache>
            </c:numRef>
          </c:xVal>
          <c:yVal>
            <c:numRef>
              <c:f>'Ag 114-3 XPS Depth profile'!$M$40:$M$59</c:f>
              <c:numCache>
                <c:formatCode>0</c:formatCode>
                <c:ptCount val="20"/>
                <c:pt idx="0">
                  <c:v>100</c:v>
                </c:pt>
                <c:pt idx="1">
                  <c:v>97.724000000000004</c:v>
                </c:pt>
                <c:pt idx="2">
                  <c:v>93.65</c:v>
                </c:pt>
                <c:pt idx="3">
                  <c:v>90.614999999999995</c:v>
                </c:pt>
                <c:pt idx="4">
                  <c:v>88.81</c:v>
                </c:pt>
                <c:pt idx="5">
                  <c:v>87.408000000000001</c:v>
                </c:pt>
                <c:pt idx="6">
                  <c:v>85.841999999999999</c:v>
                </c:pt>
                <c:pt idx="7">
                  <c:v>84.152000000000001</c:v>
                </c:pt>
                <c:pt idx="8">
                  <c:v>81.887</c:v>
                </c:pt>
                <c:pt idx="9">
                  <c:v>80.605999999999995</c:v>
                </c:pt>
                <c:pt idx="10">
                  <c:v>79.765000000000001</c:v>
                </c:pt>
                <c:pt idx="11">
                  <c:v>77.183000000000007</c:v>
                </c:pt>
                <c:pt idx="12">
                  <c:v>78.832999999999998</c:v>
                </c:pt>
                <c:pt idx="13">
                  <c:v>77.828000000000003</c:v>
                </c:pt>
                <c:pt idx="14">
                  <c:v>75.661000000000001</c:v>
                </c:pt>
                <c:pt idx="15">
                  <c:v>75.004999999999995</c:v>
                </c:pt>
                <c:pt idx="16">
                  <c:v>72.795000000000002</c:v>
                </c:pt>
                <c:pt idx="17">
                  <c:v>73.070000000000007</c:v>
                </c:pt>
                <c:pt idx="18">
                  <c:v>72.41</c:v>
                </c:pt>
                <c:pt idx="19">
                  <c:v>72.192000000000007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573-4181-B679-84B587538E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1083008"/>
        <c:axId val="551092192"/>
      </c:scatterChart>
      <c:valAx>
        <c:axId val="551083008"/>
        <c:scaling>
          <c:orientation val="minMax"/>
          <c:min val="0"/>
        </c:scaling>
        <c:delete val="0"/>
        <c:axPos val="b"/>
        <c:numFmt formatCode="0.0" sourceLinked="1"/>
        <c:majorTickMark val="cross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551092192"/>
        <c:crosses val="autoZero"/>
        <c:crossBetween val="midCat"/>
        <c:majorUnit val="0.5"/>
      </c:valAx>
      <c:valAx>
        <c:axId val="551092192"/>
        <c:scaling>
          <c:orientation val="minMax"/>
          <c:max val="100"/>
        </c:scaling>
        <c:delete val="0"/>
        <c:axPos val="l"/>
        <c:numFmt formatCode="0" sourceLinked="1"/>
        <c:majorTickMark val="cross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551083008"/>
        <c:crosses val="autoZero"/>
        <c:crossBetween val="midCat"/>
      </c:valAx>
      <c:spPr>
        <a:noFill/>
        <a:ln>
          <a:solidFill>
            <a:sysClr val="windowText" lastClr="000000"/>
          </a:solidFill>
        </a:ln>
        <a:effectLst/>
      </c:spPr>
    </c:plotArea>
    <c:legend>
      <c:legendPos val="r"/>
      <c:layout>
        <c:manualLayout>
          <c:xMode val="edge"/>
          <c:yMode val="edge"/>
          <c:x val="0.19616367587146416"/>
          <c:y val="0.59979839914340549"/>
          <c:w val="0.61290755580611822"/>
          <c:h val="0.1570586590376218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8375817125062"/>
          <c:y val="0.14288983534934188"/>
          <c:w val="0.66131894387844137"/>
          <c:h val="0.67390254803406302"/>
        </c:manualLayout>
      </c:layout>
      <c:scatterChart>
        <c:scatterStyle val="lineMarker"/>
        <c:varyColors val="0"/>
        <c:ser>
          <c:idx val="1"/>
          <c:order val="0"/>
          <c:tx>
            <c:strRef>
              <c:f>'Ag 114-3 XPS Depth profile'!$K$6</c:f>
              <c:strCache>
                <c:ptCount val="1"/>
                <c:pt idx="0">
                  <c:v>After electrolysis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square"/>
            <c:size val="5"/>
            <c:spPr>
              <a:solidFill>
                <a:srgbClr val="F22E27"/>
              </a:solidFill>
              <a:ln w="12700">
                <a:solidFill>
                  <a:schemeClr val="tx1"/>
                </a:solidFill>
              </a:ln>
              <a:effectLst/>
            </c:spPr>
          </c:marker>
          <c:xVal>
            <c:numRef>
              <c:f>'Ag 114-3 XPS Depth profile'!$A$40:$A$59</c:f>
              <c:numCache>
                <c:formatCode>0.0</c:formatCode>
                <c:ptCount val="20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0.80001</c:v>
                </c:pt>
                <c:pt idx="9">
                  <c:v>0.90001000000000009</c:v>
                </c:pt>
                <c:pt idx="10">
                  <c:v>1.0000599999999999</c:v>
                </c:pt>
                <c:pt idx="11">
                  <c:v>1.10006</c:v>
                </c:pt>
                <c:pt idx="12">
                  <c:v>1.2000599999999999</c:v>
                </c:pt>
                <c:pt idx="13">
                  <c:v>1.30006</c:v>
                </c:pt>
                <c:pt idx="14">
                  <c:v>1.4000600000000001</c:v>
                </c:pt>
                <c:pt idx="15">
                  <c:v>1.5000899999999999</c:v>
                </c:pt>
                <c:pt idx="16">
                  <c:v>1.6000899999999998</c:v>
                </c:pt>
                <c:pt idx="17">
                  <c:v>1.7000899999999999</c:v>
                </c:pt>
                <c:pt idx="18">
                  <c:v>1.80009</c:v>
                </c:pt>
                <c:pt idx="19">
                  <c:v>1.9000899999999998</c:v>
                </c:pt>
              </c:numCache>
            </c:numRef>
          </c:xVal>
          <c:yVal>
            <c:numRef>
              <c:f>'Ag 114-3 XPS Depth profile'!$O$40:$O$59</c:f>
              <c:numCache>
                <c:formatCode>0</c:formatCode>
                <c:ptCount val="20"/>
                <c:pt idx="0">
                  <c:v>51.395000000000003</c:v>
                </c:pt>
                <c:pt idx="1">
                  <c:v>71.521999999999991</c:v>
                </c:pt>
                <c:pt idx="2">
                  <c:v>77.498000000000005</c:v>
                </c:pt>
                <c:pt idx="3">
                  <c:v>81.363</c:v>
                </c:pt>
                <c:pt idx="4">
                  <c:v>83.15</c:v>
                </c:pt>
                <c:pt idx="5">
                  <c:v>85.298000000000002</c:v>
                </c:pt>
                <c:pt idx="6">
                  <c:v>86.881</c:v>
                </c:pt>
                <c:pt idx="7">
                  <c:v>87.527000000000001</c:v>
                </c:pt>
                <c:pt idx="8">
                  <c:v>89.409000000000006</c:v>
                </c:pt>
                <c:pt idx="9">
                  <c:v>92.090999999999994</c:v>
                </c:pt>
                <c:pt idx="10">
                  <c:v>91.893000000000001</c:v>
                </c:pt>
                <c:pt idx="11">
                  <c:v>92.308999999999997</c:v>
                </c:pt>
                <c:pt idx="12">
                  <c:v>94.156999999999996</c:v>
                </c:pt>
                <c:pt idx="13">
                  <c:v>94.872</c:v>
                </c:pt>
                <c:pt idx="14">
                  <c:v>95.774000000000001</c:v>
                </c:pt>
                <c:pt idx="15">
                  <c:v>97.054000000000002</c:v>
                </c:pt>
                <c:pt idx="16">
                  <c:v>96.75</c:v>
                </c:pt>
                <c:pt idx="17">
                  <c:v>98.465000000000003</c:v>
                </c:pt>
                <c:pt idx="18">
                  <c:v>99.835999999999999</c:v>
                </c:pt>
                <c:pt idx="19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CCC-4325-BEE0-7ABCC011EB9E}"/>
            </c:ext>
          </c:extLst>
        </c:ser>
        <c:ser>
          <c:idx val="0"/>
          <c:order val="1"/>
          <c:tx>
            <c:strRef>
              <c:f>'Ag 114-3 XPS Depth profile'!$K$5</c:f>
              <c:strCache>
                <c:ptCount val="1"/>
                <c:pt idx="0">
                  <c:v>Fresh sample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tx1">
                  <a:lumMod val="75000"/>
                  <a:lumOff val="25000"/>
                </a:schemeClr>
              </a:solidFill>
              <a:ln w="12700">
                <a:solidFill>
                  <a:schemeClr val="tx1"/>
                </a:solidFill>
              </a:ln>
              <a:effectLst/>
            </c:spPr>
          </c:marker>
          <c:xVal>
            <c:numRef>
              <c:f>'Ag 114-3 XPS Depth profile'!$A$40:$A$59</c:f>
              <c:numCache>
                <c:formatCode>0.0</c:formatCode>
                <c:ptCount val="20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0.80001</c:v>
                </c:pt>
                <c:pt idx="9">
                  <c:v>0.90001000000000009</c:v>
                </c:pt>
                <c:pt idx="10">
                  <c:v>1.0000599999999999</c:v>
                </c:pt>
                <c:pt idx="11">
                  <c:v>1.10006</c:v>
                </c:pt>
                <c:pt idx="12">
                  <c:v>1.2000599999999999</c:v>
                </c:pt>
                <c:pt idx="13">
                  <c:v>1.30006</c:v>
                </c:pt>
                <c:pt idx="14">
                  <c:v>1.4000600000000001</c:v>
                </c:pt>
                <c:pt idx="15">
                  <c:v>1.5000899999999999</c:v>
                </c:pt>
                <c:pt idx="16">
                  <c:v>1.6000899999999998</c:v>
                </c:pt>
                <c:pt idx="17">
                  <c:v>1.7000899999999999</c:v>
                </c:pt>
                <c:pt idx="18">
                  <c:v>1.80009</c:v>
                </c:pt>
                <c:pt idx="19">
                  <c:v>1.9000899999999998</c:v>
                </c:pt>
              </c:numCache>
            </c:numRef>
          </c:xVal>
          <c:yVal>
            <c:numRef>
              <c:f>'Ag 114-3 XPS Depth profile'!$L$40:$L$59</c:f>
              <c:numCache>
                <c:formatCode>0</c:formatCode>
                <c:ptCount val="20"/>
                <c:pt idx="0">
                  <c:v>34.666000000000004</c:v>
                </c:pt>
                <c:pt idx="1">
                  <c:v>44.360999999999997</c:v>
                </c:pt>
                <c:pt idx="2">
                  <c:v>51.548999999999999</c:v>
                </c:pt>
                <c:pt idx="3">
                  <c:v>55.513999999999996</c:v>
                </c:pt>
                <c:pt idx="4">
                  <c:v>59.718000000000004</c:v>
                </c:pt>
                <c:pt idx="5">
                  <c:v>64.706000000000003</c:v>
                </c:pt>
                <c:pt idx="6">
                  <c:v>70.356999999999999</c:v>
                </c:pt>
                <c:pt idx="7">
                  <c:v>73.512</c:v>
                </c:pt>
                <c:pt idx="8">
                  <c:v>76.650999999999996</c:v>
                </c:pt>
                <c:pt idx="9">
                  <c:v>79.77300000000001</c:v>
                </c:pt>
                <c:pt idx="10">
                  <c:v>81.710999999999999</c:v>
                </c:pt>
                <c:pt idx="11">
                  <c:v>83.968000000000004</c:v>
                </c:pt>
                <c:pt idx="12">
                  <c:v>86.47399999999999</c:v>
                </c:pt>
                <c:pt idx="13">
                  <c:v>88.614000000000004</c:v>
                </c:pt>
                <c:pt idx="14">
                  <c:v>91.242999999999995</c:v>
                </c:pt>
                <c:pt idx="15">
                  <c:v>91.968000000000004</c:v>
                </c:pt>
                <c:pt idx="16">
                  <c:v>93.536000000000001</c:v>
                </c:pt>
                <c:pt idx="17">
                  <c:v>96.040999999999997</c:v>
                </c:pt>
                <c:pt idx="18">
                  <c:v>98.007999999999996</c:v>
                </c:pt>
                <c:pt idx="19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CCC-4325-BEE0-7ABCC011EB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1083008"/>
        <c:axId val="551092192"/>
      </c:scatterChart>
      <c:valAx>
        <c:axId val="551083008"/>
        <c:scaling>
          <c:orientation val="minMax"/>
          <c:min val="0"/>
        </c:scaling>
        <c:delete val="0"/>
        <c:axPos val="b"/>
        <c:numFmt formatCode="0.0" sourceLinked="1"/>
        <c:majorTickMark val="cross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551092192"/>
        <c:crosses val="autoZero"/>
        <c:crossBetween val="midCat"/>
        <c:majorUnit val="0.5"/>
      </c:valAx>
      <c:valAx>
        <c:axId val="551092192"/>
        <c:scaling>
          <c:orientation val="minMax"/>
          <c:max val="100"/>
        </c:scaling>
        <c:delete val="0"/>
        <c:axPos val="l"/>
        <c:numFmt formatCode="0" sourceLinked="1"/>
        <c:majorTickMark val="cross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551083008"/>
        <c:crosses val="autoZero"/>
        <c:crossBetween val="midCat"/>
      </c:valAx>
      <c:spPr>
        <a:noFill/>
        <a:ln>
          <a:solidFill>
            <a:sysClr val="windowText" lastClr="000000"/>
          </a:solidFill>
        </a:ln>
        <a:effectLst/>
      </c:spPr>
    </c:plotArea>
    <c:legend>
      <c:legendPos val="r"/>
      <c:layout>
        <c:manualLayout>
          <c:xMode val="edge"/>
          <c:yMode val="edge"/>
          <c:x val="0.24389590086327526"/>
          <c:y val="0.59220998515777923"/>
          <c:w val="0.54471872105665853"/>
          <c:h val="0.1570586590376218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8375817125062"/>
          <c:y val="0.14288983534934188"/>
          <c:w val="0.66131894387844137"/>
          <c:h val="0.67390254803406302"/>
        </c:manualLayout>
      </c:layout>
      <c:scatterChart>
        <c:scatterStyle val="lineMarker"/>
        <c:varyColors val="0"/>
        <c:ser>
          <c:idx val="1"/>
          <c:order val="0"/>
          <c:tx>
            <c:strRef>
              <c:f>'Ag 114-3 XPS Depth profile'!$K$6</c:f>
              <c:strCache>
                <c:ptCount val="1"/>
                <c:pt idx="0">
                  <c:v>After electrolysis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square"/>
            <c:size val="5"/>
            <c:spPr>
              <a:solidFill>
                <a:srgbClr val="F22E27"/>
              </a:solidFill>
              <a:ln w="12700">
                <a:solidFill>
                  <a:schemeClr val="tx1"/>
                </a:solidFill>
              </a:ln>
              <a:effectLst/>
            </c:spPr>
          </c:marker>
          <c:xVal>
            <c:numRef>
              <c:f>'Ag 114-3 XPS Depth profile'!$A$40:$A$59</c:f>
              <c:numCache>
                <c:formatCode>0.0</c:formatCode>
                <c:ptCount val="20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0.80001</c:v>
                </c:pt>
                <c:pt idx="9">
                  <c:v>0.90001000000000009</c:v>
                </c:pt>
                <c:pt idx="10">
                  <c:v>1.0000599999999999</c:v>
                </c:pt>
                <c:pt idx="11">
                  <c:v>1.10006</c:v>
                </c:pt>
                <c:pt idx="12">
                  <c:v>1.2000599999999999</c:v>
                </c:pt>
                <c:pt idx="13">
                  <c:v>1.30006</c:v>
                </c:pt>
                <c:pt idx="14">
                  <c:v>1.4000600000000001</c:v>
                </c:pt>
                <c:pt idx="15">
                  <c:v>1.5000899999999999</c:v>
                </c:pt>
                <c:pt idx="16">
                  <c:v>1.6000899999999998</c:v>
                </c:pt>
                <c:pt idx="17">
                  <c:v>1.7000899999999999</c:v>
                </c:pt>
                <c:pt idx="18">
                  <c:v>1.80009</c:v>
                </c:pt>
                <c:pt idx="19">
                  <c:v>1.9000899999999998</c:v>
                </c:pt>
              </c:numCache>
            </c:numRef>
          </c:xVal>
          <c:yVal>
            <c:numRef>
              <c:f>'Ag 114-3 XPS Depth profile'!$Q$40:$Q$59</c:f>
              <c:numCache>
                <c:formatCode>0</c:formatCode>
                <c:ptCount val="20"/>
                <c:pt idx="0">
                  <c:v>100</c:v>
                </c:pt>
                <c:pt idx="1">
                  <c:v>89.097999999999999</c:v>
                </c:pt>
                <c:pt idx="2">
                  <c:v>85.641999999999996</c:v>
                </c:pt>
                <c:pt idx="3">
                  <c:v>89.043999999999997</c:v>
                </c:pt>
                <c:pt idx="4">
                  <c:v>83.635000000000005</c:v>
                </c:pt>
                <c:pt idx="5">
                  <c:v>83.36</c:v>
                </c:pt>
                <c:pt idx="6">
                  <c:v>85.448999999999998</c:v>
                </c:pt>
                <c:pt idx="7">
                  <c:v>86.367999999999995</c:v>
                </c:pt>
                <c:pt idx="8">
                  <c:v>80.472999999999999</c:v>
                </c:pt>
                <c:pt idx="9">
                  <c:v>81.83</c:v>
                </c:pt>
                <c:pt idx="10">
                  <c:v>87.283999999999992</c:v>
                </c:pt>
                <c:pt idx="11">
                  <c:v>82.943999999999988</c:v>
                </c:pt>
                <c:pt idx="12">
                  <c:v>82.491</c:v>
                </c:pt>
                <c:pt idx="13">
                  <c:v>83.289000000000001</c:v>
                </c:pt>
                <c:pt idx="14">
                  <c:v>84.843000000000004</c:v>
                </c:pt>
                <c:pt idx="15">
                  <c:v>82.343000000000004</c:v>
                </c:pt>
                <c:pt idx="16">
                  <c:v>82.447000000000003</c:v>
                </c:pt>
                <c:pt idx="17">
                  <c:v>80.495000000000005</c:v>
                </c:pt>
                <c:pt idx="18">
                  <c:v>81.685000000000002</c:v>
                </c:pt>
                <c:pt idx="19">
                  <c:v>81.06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FFE-45C3-8181-FF9B8CA426B0}"/>
            </c:ext>
          </c:extLst>
        </c:ser>
        <c:ser>
          <c:idx val="0"/>
          <c:order val="1"/>
          <c:tx>
            <c:strRef>
              <c:f>'Ag 114-3 XPS Depth profile'!$K$5</c:f>
              <c:strCache>
                <c:ptCount val="1"/>
                <c:pt idx="0">
                  <c:v>Fresh sample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tx1">
                  <a:lumMod val="75000"/>
                  <a:lumOff val="25000"/>
                </a:schemeClr>
              </a:solidFill>
              <a:ln w="12700">
                <a:solidFill>
                  <a:schemeClr val="tx1"/>
                </a:solidFill>
              </a:ln>
              <a:effectLst/>
            </c:spPr>
          </c:marker>
          <c:xVal>
            <c:numRef>
              <c:f>'Ag 114-3 XPS Depth profile'!$A$40:$A$59</c:f>
              <c:numCache>
                <c:formatCode>0.0</c:formatCode>
                <c:ptCount val="20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0.80001</c:v>
                </c:pt>
                <c:pt idx="9">
                  <c:v>0.90001000000000009</c:v>
                </c:pt>
                <c:pt idx="10">
                  <c:v>1.0000599999999999</c:v>
                </c:pt>
                <c:pt idx="11">
                  <c:v>1.10006</c:v>
                </c:pt>
                <c:pt idx="12">
                  <c:v>1.2000599999999999</c:v>
                </c:pt>
                <c:pt idx="13">
                  <c:v>1.30006</c:v>
                </c:pt>
                <c:pt idx="14">
                  <c:v>1.4000600000000001</c:v>
                </c:pt>
                <c:pt idx="15">
                  <c:v>1.5000899999999999</c:v>
                </c:pt>
                <c:pt idx="16">
                  <c:v>1.6000899999999998</c:v>
                </c:pt>
                <c:pt idx="17">
                  <c:v>1.7000899999999999</c:v>
                </c:pt>
                <c:pt idx="18">
                  <c:v>1.80009</c:v>
                </c:pt>
                <c:pt idx="19">
                  <c:v>1.9000899999999998</c:v>
                </c:pt>
              </c:numCache>
            </c:numRef>
          </c:xVal>
          <c:yVal>
            <c:numRef>
              <c:f>'Ag 114-3 XPS Depth profile'!$N$40:$N$59</c:f>
              <c:numCache>
                <c:formatCode>0</c:formatCode>
                <c:ptCount val="20"/>
                <c:pt idx="0">
                  <c:v>100</c:v>
                </c:pt>
                <c:pt idx="1">
                  <c:v>95.021999999999991</c:v>
                </c:pt>
                <c:pt idx="2">
                  <c:v>95.04</c:v>
                </c:pt>
                <c:pt idx="3">
                  <c:v>93.203999999999994</c:v>
                </c:pt>
                <c:pt idx="4">
                  <c:v>88.778000000000006</c:v>
                </c:pt>
                <c:pt idx="5">
                  <c:v>90.888999999999996</c:v>
                </c:pt>
                <c:pt idx="6">
                  <c:v>91.215999999999994</c:v>
                </c:pt>
                <c:pt idx="7">
                  <c:v>88.287000000000006</c:v>
                </c:pt>
                <c:pt idx="8">
                  <c:v>84.911999999999992</c:v>
                </c:pt>
                <c:pt idx="9">
                  <c:v>87.416000000000011</c:v>
                </c:pt>
                <c:pt idx="10">
                  <c:v>87.929000000000002</c:v>
                </c:pt>
                <c:pt idx="11">
                  <c:v>86.100999999999999</c:v>
                </c:pt>
                <c:pt idx="12">
                  <c:v>85.17</c:v>
                </c:pt>
                <c:pt idx="13">
                  <c:v>84.445000000000007</c:v>
                </c:pt>
                <c:pt idx="14">
                  <c:v>84.772999999999996</c:v>
                </c:pt>
                <c:pt idx="15">
                  <c:v>84.515000000000001</c:v>
                </c:pt>
                <c:pt idx="16">
                  <c:v>82.11</c:v>
                </c:pt>
                <c:pt idx="17">
                  <c:v>80.647000000000006</c:v>
                </c:pt>
                <c:pt idx="18">
                  <c:v>81.442000000000007</c:v>
                </c:pt>
                <c:pt idx="19">
                  <c:v>81.786000000000001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FFE-45C3-8181-FF9B8CA426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1083008"/>
        <c:axId val="551092192"/>
      </c:scatterChart>
      <c:valAx>
        <c:axId val="551083008"/>
        <c:scaling>
          <c:orientation val="minMax"/>
          <c:min val="0"/>
        </c:scaling>
        <c:delete val="0"/>
        <c:axPos val="b"/>
        <c:numFmt formatCode="0.0" sourceLinked="1"/>
        <c:majorTickMark val="cross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551092192"/>
        <c:crosses val="autoZero"/>
        <c:crossBetween val="midCat"/>
        <c:majorUnit val="0.5"/>
      </c:valAx>
      <c:valAx>
        <c:axId val="551092192"/>
        <c:scaling>
          <c:orientation val="minMax"/>
          <c:max val="100"/>
        </c:scaling>
        <c:delete val="0"/>
        <c:axPos val="l"/>
        <c:numFmt formatCode="0" sourceLinked="1"/>
        <c:majorTickMark val="cross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551083008"/>
        <c:crosses val="autoZero"/>
        <c:crossBetween val="midCat"/>
      </c:valAx>
      <c:spPr>
        <a:noFill/>
        <a:ln>
          <a:solidFill>
            <a:sysClr val="windowText" lastClr="000000"/>
          </a:solidFill>
        </a:ln>
        <a:effectLst/>
      </c:spPr>
    </c:plotArea>
    <c:legend>
      <c:legendPos val="r"/>
      <c:layout>
        <c:manualLayout>
          <c:xMode val="edge"/>
          <c:yMode val="edge"/>
          <c:x val="0.20980141831756707"/>
          <c:y val="0.61497522711465802"/>
          <c:w val="0.58563202190633434"/>
          <c:h val="0.1570586590376218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98375817125062"/>
          <c:y val="0.14288983534934188"/>
          <c:w val="0.66131894387844137"/>
          <c:h val="0.67390254803406302"/>
        </c:manualLayout>
      </c:layout>
      <c:scatterChart>
        <c:scatterStyle val="lineMarker"/>
        <c:varyColors val="0"/>
        <c:ser>
          <c:idx val="1"/>
          <c:order val="1"/>
          <c:tx>
            <c:strRef>
              <c:f>'Ag 178-1 XPS Depth profile'!$K$5</c:f>
              <c:strCache>
                <c:ptCount val="1"/>
                <c:pt idx="0">
                  <c:v>-1.0 V vs. RHE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square"/>
            <c:size val="4"/>
            <c:spPr>
              <a:solidFill>
                <a:srgbClr val="F22E27"/>
              </a:solidFill>
              <a:ln w="12700">
                <a:solidFill>
                  <a:schemeClr val="tx1"/>
                </a:solidFill>
              </a:ln>
              <a:effectLst/>
            </c:spPr>
          </c:marker>
          <c:xVal>
            <c:numRef>
              <c:f>'Ag 178-1 XPS Depth profile'!$A$39:$A$58</c:f>
              <c:numCache>
                <c:formatCode>0.0</c:formatCode>
                <c:ptCount val="20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0.80001</c:v>
                </c:pt>
                <c:pt idx="9">
                  <c:v>0.90001000000000009</c:v>
                </c:pt>
                <c:pt idx="10">
                  <c:v>1.0000599999999999</c:v>
                </c:pt>
                <c:pt idx="11">
                  <c:v>1.10006</c:v>
                </c:pt>
                <c:pt idx="12">
                  <c:v>1.2000599999999999</c:v>
                </c:pt>
                <c:pt idx="13">
                  <c:v>1.30006</c:v>
                </c:pt>
                <c:pt idx="14">
                  <c:v>1.4000600000000001</c:v>
                </c:pt>
                <c:pt idx="15">
                  <c:v>1.5000899999999999</c:v>
                </c:pt>
                <c:pt idx="16">
                  <c:v>1.6000899999999998</c:v>
                </c:pt>
                <c:pt idx="17">
                  <c:v>1.7000899999999999</c:v>
                </c:pt>
                <c:pt idx="18">
                  <c:v>1.80009</c:v>
                </c:pt>
                <c:pt idx="19">
                  <c:v>1.9000899999999998</c:v>
                </c:pt>
              </c:numCache>
            </c:numRef>
          </c:xVal>
          <c:yVal>
            <c:numRef>
              <c:f>'Ag 178-1 XPS Depth profile'!$F$39:$F$58</c:f>
              <c:numCache>
                <c:formatCode>0</c:formatCode>
                <c:ptCount val="20"/>
                <c:pt idx="0">
                  <c:v>4.1101192571561462</c:v>
                </c:pt>
                <c:pt idx="1">
                  <c:v>4.0794584088611012</c:v>
                </c:pt>
                <c:pt idx="2">
                  <c:v>4.1560801852517004</c:v>
                </c:pt>
                <c:pt idx="3">
                  <c:v>4.2049024361961189</c:v>
                </c:pt>
                <c:pt idx="4">
                  <c:v>4.4115948096006354</c:v>
                </c:pt>
                <c:pt idx="5">
                  <c:v>4.2909992548287761</c:v>
                </c:pt>
                <c:pt idx="6">
                  <c:v>4.4523718705943836</c:v>
                </c:pt>
                <c:pt idx="7">
                  <c:v>4.4520134651259839</c:v>
                </c:pt>
                <c:pt idx="8">
                  <c:v>4.4775288211605231</c:v>
                </c:pt>
                <c:pt idx="9">
                  <c:v>4.4647844261944183</c:v>
                </c:pt>
                <c:pt idx="10">
                  <c:v>4.5258920738935497</c:v>
                </c:pt>
                <c:pt idx="11">
                  <c:v>4.5347506011534344</c:v>
                </c:pt>
                <c:pt idx="12">
                  <c:v>4.5628607782872495</c:v>
                </c:pt>
                <c:pt idx="13">
                  <c:v>4.5457415283266753</c:v>
                </c:pt>
                <c:pt idx="14">
                  <c:v>4.5619284356776983</c:v>
                </c:pt>
                <c:pt idx="15">
                  <c:v>4.5644449519408381</c:v>
                </c:pt>
                <c:pt idx="16">
                  <c:v>4.6589875626886803</c:v>
                </c:pt>
                <c:pt idx="17">
                  <c:v>4.6655059844692266</c:v>
                </c:pt>
                <c:pt idx="18">
                  <c:v>4.7364430679460972</c:v>
                </c:pt>
                <c:pt idx="19">
                  <c:v>4.6949034485622985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5E5-4A38-83DC-1BC69A8A93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1083008"/>
        <c:axId val="551092192"/>
        <c:extLst>
          <c:ext xmlns:c15="http://schemas.microsoft.com/office/drawing/2012/chart" uri="{02D57815-91ED-43cb-92C2-25804820EDAC}">
            <c15:filteredScatte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'Ag 178-1 XPS Depth profile'!$K$4</c15:sqref>
                        </c15:formulaRef>
                      </c:ext>
                    </c:extLst>
                    <c:strCache>
                      <c:ptCount val="1"/>
                      <c:pt idx="0">
                        <c:v>Under gasket</c:v>
                      </c:pt>
                    </c:strCache>
                  </c:strRef>
                </c:tx>
                <c:spPr>
                  <a:ln w="25400" cap="rnd">
                    <a:noFill/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tx1">
                        <a:lumMod val="75000"/>
                        <a:lumOff val="25000"/>
                      </a:schemeClr>
                    </a:solidFill>
                    <a:ln w="12700">
                      <a:solidFill>
                        <a:schemeClr val="tx1"/>
                      </a:solidFill>
                    </a:ln>
                    <a:effectLst/>
                  </c:spPr>
                </c:marker>
                <c:xVal>
                  <c:numRef>
                    <c:extLst>
                      <c:ext uri="{02D57815-91ED-43cb-92C2-25804820EDAC}">
                        <c15:formulaRef>
                          <c15:sqref>'Ag 178-1 XPS Depth profile'!$A$39:$A$58</c15:sqref>
                        </c15:formulaRef>
                      </c:ext>
                    </c:extLst>
                    <c:numCache>
                      <c:formatCode>0.0</c:formatCode>
                      <c:ptCount val="20"/>
                      <c:pt idx="0">
                        <c:v>0</c:v>
                      </c:pt>
                      <c:pt idx="1">
                        <c:v>0.1</c:v>
                      </c:pt>
                      <c:pt idx="2">
                        <c:v>0.2</c:v>
                      </c:pt>
                      <c:pt idx="3">
                        <c:v>0.3</c:v>
                      </c:pt>
                      <c:pt idx="4">
                        <c:v>0.4</c:v>
                      </c:pt>
                      <c:pt idx="5">
                        <c:v>0.5</c:v>
                      </c:pt>
                      <c:pt idx="6">
                        <c:v>0.6</c:v>
                      </c:pt>
                      <c:pt idx="7">
                        <c:v>0.7</c:v>
                      </c:pt>
                      <c:pt idx="8">
                        <c:v>0.80001</c:v>
                      </c:pt>
                      <c:pt idx="9">
                        <c:v>0.90001000000000009</c:v>
                      </c:pt>
                      <c:pt idx="10">
                        <c:v>1.0000599999999999</c:v>
                      </c:pt>
                      <c:pt idx="11">
                        <c:v>1.10006</c:v>
                      </c:pt>
                      <c:pt idx="12">
                        <c:v>1.2000599999999999</c:v>
                      </c:pt>
                      <c:pt idx="13">
                        <c:v>1.30006</c:v>
                      </c:pt>
                      <c:pt idx="14">
                        <c:v>1.4000600000000001</c:v>
                      </c:pt>
                      <c:pt idx="15">
                        <c:v>1.5000899999999999</c:v>
                      </c:pt>
                      <c:pt idx="16">
                        <c:v>1.6000899999999998</c:v>
                      </c:pt>
                      <c:pt idx="17">
                        <c:v>1.7000899999999999</c:v>
                      </c:pt>
                      <c:pt idx="18">
                        <c:v>1.80009</c:v>
                      </c:pt>
                      <c:pt idx="19">
                        <c:v>1.9000899999999998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'Ag 178-1 XPS Depth profile'!$C$39:$C$58</c15:sqref>
                        </c15:formulaRef>
                      </c:ext>
                    </c:extLst>
                    <c:numCache>
                      <c:formatCode>0</c:formatCode>
                      <c:ptCount val="20"/>
                      <c:pt idx="0">
                        <c:v>3.6605819732547284</c:v>
                      </c:pt>
                      <c:pt idx="1">
                        <c:v>3.8841560131313533</c:v>
                      </c:pt>
                      <c:pt idx="2">
                        <c:v>3.9082913680459694</c:v>
                      </c:pt>
                      <c:pt idx="3">
                        <c:v>3.9110249769967091</c:v>
                      </c:pt>
                      <c:pt idx="4">
                        <c:v>4.0255116015181756</c:v>
                      </c:pt>
                      <c:pt idx="5">
                        <c:v>4.0834212403995549</c:v>
                      </c:pt>
                      <c:pt idx="6">
                        <c:v>4.1193527732603794</c:v>
                      </c:pt>
                      <c:pt idx="7">
                        <c:v>4.1197615477282827</c:v>
                      </c:pt>
                      <c:pt idx="8">
                        <c:v>4.349299334485333</c:v>
                      </c:pt>
                      <c:pt idx="9">
                        <c:v>4.2556578524825293</c:v>
                      </c:pt>
                      <c:pt idx="10">
                        <c:v>4.2849081810991603</c:v>
                      </c:pt>
                      <c:pt idx="11">
                        <c:v>4.3833477157941525</c:v>
                      </c:pt>
                      <c:pt idx="12">
                        <c:v>4.3779953893353456</c:v>
                      </c:pt>
                      <c:pt idx="13">
                        <c:v>4.2687515389920172</c:v>
                      </c:pt>
                      <c:pt idx="14">
                        <c:v>4.4372078108253055</c:v>
                      </c:pt>
                      <c:pt idx="15">
                        <c:v>4.4588401692844579</c:v>
                      </c:pt>
                      <c:pt idx="16">
                        <c:v>4.4702202016416823</c:v>
                      </c:pt>
                      <c:pt idx="17">
                        <c:v>4.5016872730837054</c:v>
                      </c:pt>
                      <c:pt idx="18">
                        <c:v>4.53550311975222</c:v>
                      </c:pt>
                      <c:pt idx="19">
                        <c:v>4.4723743682273698</c:v>
                      </c:pt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1-C5E5-4A38-83DC-1BC69A8A93F0}"/>
                  </c:ext>
                </c:extLst>
              </c15:ser>
            </c15:filteredScatterSeries>
          </c:ext>
        </c:extLst>
      </c:scatterChart>
      <c:valAx>
        <c:axId val="551083008"/>
        <c:scaling>
          <c:orientation val="minMax"/>
          <c:min val="0"/>
        </c:scaling>
        <c:delete val="0"/>
        <c:axPos val="b"/>
        <c:numFmt formatCode="0.0" sourceLinked="1"/>
        <c:majorTickMark val="cross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551092192"/>
        <c:crosses val="autoZero"/>
        <c:crossBetween val="midCat"/>
        <c:majorUnit val="0.5"/>
      </c:valAx>
      <c:valAx>
        <c:axId val="551092192"/>
        <c:scaling>
          <c:orientation val="minMax"/>
          <c:max val="100"/>
        </c:scaling>
        <c:delete val="0"/>
        <c:axPos val="l"/>
        <c:numFmt formatCode="0" sourceLinked="1"/>
        <c:majorTickMark val="cross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551083008"/>
        <c:crosses val="autoZero"/>
        <c:crossBetween val="midCat"/>
      </c:valAx>
      <c:spPr>
        <a:noFill/>
        <a:ln>
          <a:solidFill>
            <a:sysClr val="windowText" lastClr="000000"/>
          </a:solidFill>
        </a:ln>
        <a:effectLst/>
      </c:spPr>
    </c:plotArea>
    <c:legend>
      <c:legendPos val="r"/>
      <c:layout>
        <c:manualLayout>
          <c:xMode val="edge"/>
          <c:yMode val="edge"/>
          <c:x val="0.22401260578364138"/>
          <c:y val="0.17484721594833663"/>
          <c:w val="0.53789983758171256"/>
          <c:h val="0.1570586590376218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98375817125062"/>
          <c:y val="0.14288983534934188"/>
          <c:w val="0.66131894387844137"/>
          <c:h val="0.67390254803406302"/>
        </c:manualLayout>
      </c:layout>
      <c:scatterChart>
        <c:scatterStyle val="lineMarker"/>
        <c:varyColors val="0"/>
        <c:ser>
          <c:idx val="1"/>
          <c:order val="1"/>
          <c:tx>
            <c:strRef>
              <c:f>'Ag 178-1 XPS Depth profile'!$K$5</c:f>
              <c:strCache>
                <c:ptCount val="1"/>
                <c:pt idx="0">
                  <c:v>-1.0 V vs. RHE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square"/>
            <c:size val="4"/>
            <c:spPr>
              <a:solidFill>
                <a:srgbClr val="F22E27"/>
              </a:solidFill>
              <a:ln w="12700">
                <a:solidFill>
                  <a:schemeClr val="tx1"/>
                </a:solidFill>
              </a:ln>
              <a:effectLst/>
            </c:spPr>
          </c:marker>
          <c:xVal>
            <c:numRef>
              <c:f>'Ag 178-1 XPS Depth profile'!$A$39:$A$58</c:f>
              <c:numCache>
                <c:formatCode>0.0</c:formatCode>
                <c:ptCount val="20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0.80001</c:v>
                </c:pt>
                <c:pt idx="9">
                  <c:v>0.90001000000000009</c:v>
                </c:pt>
                <c:pt idx="10">
                  <c:v>1.0000599999999999</c:v>
                </c:pt>
                <c:pt idx="11">
                  <c:v>1.10006</c:v>
                </c:pt>
                <c:pt idx="12">
                  <c:v>1.2000599999999999</c:v>
                </c:pt>
                <c:pt idx="13">
                  <c:v>1.30006</c:v>
                </c:pt>
                <c:pt idx="14">
                  <c:v>1.4000600000000001</c:v>
                </c:pt>
                <c:pt idx="15">
                  <c:v>1.5000899999999999</c:v>
                </c:pt>
                <c:pt idx="16">
                  <c:v>1.6000899999999998</c:v>
                </c:pt>
                <c:pt idx="17">
                  <c:v>1.7000899999999999</c:v>
                </c:pt>
                <c:pt idx="18">
                  <c:v>1.80009</c:v>
                </c:pt>
                <c:pt idx="19">
                  <c:v>1.9000899999999998</c:v>
                </c:pt>
              </c:numCache>
            </c:numRef>
          </c:xVal>
          <c:yVal>
            <c:numRef>
              <c:f>'Ag 178-1 XPS Depth profile'!$G$39:$G$58</c:f>
              <c:numCache>
                <c:formatCode>0</c:formatCode>
                <c:ptCount val="20"/>
                <c:pt idx="0">
                  <c:v>57.662925442338576</c:v>
                </c:pt>
                <c:pt idx="1">
                  <c:v>56.302107547133616</c:v>
                </c:pt>
                <c:pt idx="2">
                  <c:v>56.666297001908461</c:v>
                </c:pt>
                <c:pt idx="3">
                  <c:v>56.245124445240926</c:v>
                </c:pt>
                <c:pt idx="4">
                  <c:v>57.71988316572498</c:v>
                </c:pt>
                <c:pt idx="5">
                  <c:v>56.114690424220051</c:v>
                </c:pt>
                <c:pt idx="6">
                  <c:v>56.42281149547739</c:v>
                </c:pt>
                <c:pt idx="7">
                  <c:v>56.222564266446604</c:v>
                </c:pt>
                <c:pt idx="8">
                  <c:v>56.331932812577591</c:v>
                </c:pt>
                <c:pt idx="9">
                  <c:v>56.173946283436337</c:v>
                </c:pt>
                <c:pt idx="10">
                  <c:v>56.1845365297822</c:v>
                </c:pt>
                <c:pt idx="11">
                  <c:v>55.785425365212895</c:v>
                </c:pt>
                <c:pt idx="12">
                  <c:v>56.705659004769139</c:v>
                </c:pt>
                <c:pt idx="13">
                  <c:v>55.677424901467177</c:v>
                </c:pt>
                <c:pt idx="14">
                  <c:v>55.254338737259587</c:v>
                </c:pt>
                <c:pt idx="15">
                  <c:v>55.790608480712521</c:v>
                </c:pt>
                <c:pt idx="16">
                  <c:v>55.5830818738796</c:v>
                </c:pt>
                <c:pt idx="17">
                  <c:v>56.238530420853003</c:v>
                </c:pt>
                <c:pt idx="18">
                  <c:v>56.452198901269149</c:v>
                </c:pt>
                <c:pt idx="19">
                  <c:v>55.768064116609331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6AB-45E3-A22E-31AC67230E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1083008"/>
        <c:axId val="551092192"/>
        <c:extLst>
          <c:ext xmlns:c15="http://schemas.microsoft.com/office/drawing/2012/chart" uri="{02D57815-91ED-43cb-92C2-25804820EDAC}">
            <c15:filteredScatte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'Ag 178-1 XPS Depth profile'!$K$4</c15:sqref>
                        </c15:formulaRef>
                      </c:ext>
                    </c:extLst>
                    <c:strCache>
                      <c:ptCount val="1"/>
                      <c:pt idx="0">
                        <c:v>Under gasket</c:v>
                      </c:pt>
                    </c:strCache>
                  </c:strRef>
                </c:tx>
                <c:spPr>
                  <a:ln w="25400" cap="rnd">
                    <a:noFill/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tx1">
                        <a:lumMod val="75000"/>
                        <a:lumOff val="25000"/>
                      </a:schemeClr>
                    </a:solidFill>
                    <a:ln w="12700">
                      <a:solidFill>
                        <a:schemeClr val="tx1"/>
                      </a:solidFill>
                    </a:ln>
                    <a:effectLst/>
                  </c:spPr>
                </c:marker>
                <c:xVal>
                  <c:numRef>
                    <c:extLst>
                      <c:ext uri="{02D57815-91ED-43cb-92C2-25804820EDAC}">
                        <c15:formulaRef>
                          <c15:sqref>'Ag 178-1 XPS Depth profile'!$A$39:$A$58</c15:sqref>
                        </c15:formulaRef>
                      </c:ext>
                    </c:extLst>
                    <c:numCache>
                      <c:formatCode>0.0</c:formatCode>
                      <c:ptCount val="20"/>
                      <c:pt idx="0">
                        <c:v>0</c:v>
                      </c:pt>
                      <c:pt idx="1">
                        <c:v>0.1</c:v>
                      </c:pt>
                      <c:pt idx="2">
                        <c:v>0.2</c:v>
                      </c:pt>
                      <c:pt idx="3">
                        <c:v>0.3</c:v>
                      </c:pt>
                      <c:pt idx="4">
                        <c:v>0.4</c:v>
                      </c:pt>
                      <c:pt idx="5">
                        <c:v>0.5</c:v>
                      </c:pt>
                      <c:pt idx="6">
                        <c:v>0.6</c:v>
                      </c:pt>
                      <c:pt idx="7">
                        <c:v>0.7</c:v>
                      </c:pt>
                      <c:pt idx="8">
                        <c:v>0.80001</c:v>
                      </c:pt>
                      <c:pt idx="9">
                        <c:v>0.90001000000000009</c:v>
                      </c:pt>
                      <c:pt idx="10">
                        <c:v>1.0000599999999999</c:v>
                      </c:pt>
                      <c:pt idx="11">
                        <c:v>1.10006</c:v>
                      </c:pt>
                      <c:pt idx="12">
                        <c:v>1.2000599999999999</c:v>
                      </c:pt>
                      <c:pt idx="13">
                        <c:v>1.30006</c:v>
                      </c:pt>
                      <c:pt idx="14">
                        <c:v>1.4000600000000001</c:v>
                      </c:pt>
                      <c:pt idx="15">
                        <c:v>1.5000899999999999</c:v>
                      </c:pt>
                      <c:pt idx="16">
                        <c:v>1.6000899999999998</c:v>
                      </c:pt>
                      <c:pt idx="17">
                        <c:v>1.7000899999999999</c:v>
                      </c:pt>
                      <c:pt idx="18">
                        <c:v>1.80009</c:v>
                      </c:pt>
                      <c:pt idx="19">
                        <c:v>1.9000899999999998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'Ag 178-1 XPS Depth profile'!$D$39:$D$58</c15:sqref>
                        </c15:formulaRef>
                      </c:ext>
                    </c:extLst>
                    <c:numCache>
                      <c:formatCode>0</c:formatCode>
                      <c:ptCount val="20"/>
                      <c:pt idx="0">
                        <c:v>55.764501147230526</c:v>
                      </c:pt>
                      <c:pt idx="1">
                        <c:v>56.877423818097675</c:v>
                      </c:pt>
                      <c:pt idx="2">
                        <c:v>55.981661345410629</c:v>
                      </c:pt>
                      <c:pt idx="3">
                        <c:v>56.477540564150864</c:v>
                      </c:pt>
                      <c:pt idx="4">
                        <c:v>56.466330163947255</c:v>
                      </c:pt>
                      <c:pt idx="5">
                        <c:v>56.48602170482944</c:v>
                      </c:pt>
                      <c:pt idx="6">
                        <c:v>56.146282144640438</c:v>
                      </c:pt>
                      <c:pt idx="7">
                        <c:v>55.503587841494806</c:v>
                      </c:pt>
                      <c:pt idx="8">
                        <c:v>57.282013498407657</c:v>
                      </c:pt>
                      <c:pt idx="9">
                        <c:v>55.555577392409717</c:v>
                      </c:pt>
                      <c:pt idx="10">
                        <c:v>56.046958198686134</c:v>
                      </c:pt>
                      <c:pt idx="11">
                        <c:v>55.771445986030201</c:v>
                      </c:pt>
                      <c:pt idx="12">
                        <c:v>56.367511427771269</c:v>
                      </c:pt>
                      <c:pt idx="13">
                        <c:v>54.11613722784292</c:v>
                      </c:pt>
                      <c:pt idx="14">
                        <c:v>55.317201239407346</c:v>
                      </c:pt>
                      <c:pt idx="15">
                        <c:v>54.913600643148264</c:v>
                      </c:pt>
                      <c:pt idx="16">
                        <c:v>55.190052018950411</c:v>
                      </c:pt>
                      <c:pt idx="17">
                        <c:v>54.570182102178634</c:v>
                      </c:pt>
                      <c:pt idx="18">
                        <c:v>54.699681906068733</c:v>
                      </c:pt>
                      <c:pt idx="19">
                        <c:v>53.814374996572312</c:v>
                      </c:pt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1-C6AB-45E3-A22E-31AC67230E0B}"/>
                  </c:ext>
                </c:extLst>
              </c15:ser>
            </c15:filteredScatterSeries>
          </c:ext>
        </c:extLst>
      </c:scatterChart>
      <c:valAx>
        <c:axId val="551083008"/>
        <c:scaling>
          <c:orientation val="minMax"/>
          <c:min val="0"/>
        </c:scaling>
        <c:delete val="0"/>
        <c:axPos val="b"/>
        <c:numFmt formatCode="0.0" sourceLinked="1"/>
        <c:majorTickMark val="cross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551092192"/>
        <c:crosses val="autoZero"/>
        <c:crossBetween val="midCat"/>
        <c:majorUnit val="0.5"/>
      </c:valAx>
      <c:valAx>
        <c:axId val="551092192"/>
        <c:scaling>
          <c:orientation val="minMax"/>
          <c:max val="100"/>
        </c:scaling>
        <c:delete val="0"/>
        <c:axPos val="l"/>
        <c:numFmt formatCode="0" sourceLinked="1"/>
        <c:majorTickMark val="cross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551083008"/>
        <c:crosses val="autoZero"/>
        <c:crossBetween val="midCat"/>
      </c:valAx>
      <c:spPr>
        <a:noFill/>
        <a:ln>
          <a:solidFill>
            <a:sysClr val="windowText" lastClr="000000"/>
          </a:solidFill>
        </a:ln>
        <a:effectLst/>
      </c:spPr>
    </c:plotArea>
    <c:legend>
      <c:legendPos val="r"/>
      <c:layout>
        <c:manualLayout>
          <c:xMode val="edge"/>
          <c:yMode val="edge"/>
          <c:x val="0.24452147737052313"/>
          <c:y val="0.17484721594833663"/>
          <c:w val="0.49016765325709066"/>
          <c:h val="0.1570586590376218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98375817125062"/>
          <c:y val="0.14288983534934188"/>
          <c:w val="0.66131894387844137"/>
          <c:h val="0.67390254803406302"/>
        </c:manualLayout>
      </c:layout>
      <c:scatterChart>
        <c:scatterStyle val="lineMarker"/>
        <c:varyColors val="0"/>
        <c:ser>
          <c:idx val="1"/>
          <c:order val="1"/>
          <c:tx>
            <c:strRef>
              <c:f>'Ag 178-1 XPS Depth profile'!$K$5</c:f>
              <c:strCache>
                <c:ptCount val="1"/>
                <c:pt idx="0">
                  <c:v>-1.0 V vs. RHE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square"/>
            <c:size val="4"/>
            <c:spPr>
              <a:solidFill>
                <a:srgbClr val="F22E27"/>
              </a:solidFill>
              <a:ln w="12700">
                <a:solidFill>
                  <a:schemeClr val="tx1"/>
                </a:solidFill>
              </a:ln>
              <a:effectLst/>
            </c:spPr>
          </c:marker>
          <c:xVal>
            <c:numRef>
              <c:f>'Ag 178-1 XPS Depth profile'!$A$39:$A$58</c:f>
              <c:numCache>
                <c:formatCode>0.0</c:formatCode>
                <c:ptCount val="20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0.80001</c:v>
                </c:pt>
                <c:pt idx="9">
                  <c:v>0.90001000000000009</c:v>
                </c:pt>
                <c:pt idx="10">
                  <c:v>1.0000599999999999</c:v>
                </c:pt>
                <c:pt idx="11">
                  <c:v>1.10006</c:v>
                </c:pt>
                <c:pt idx="12">
                  <c:v>1.2000599999999999</c:v>
                </c:pt>
                <c:pt idx="13">
                  <c:v>1.30006</c:v>
                </c:pt>
                <c:pt idx="14">
                  <c:v>1.4000600000000001</c:v>
                </c:pt>
                <c:pt idx="15">
                  <c:v>1.5000899999999999</c:v>
                </c:pt>
                <c:pt idx="16">
                  <c:v>1.6000899999999998</c:v>
                </c:pt>
                <c:pt idx="17">
                  <c:v>1.7000899999999999</c:v>
                </c:pt>
                <c:pt idx="18">
                  <c:v>1.80009</c:v>
                </c:pt>
                <c:pt idx="19">
                  <c:v>1.9000899999999998</c:v>
                </c:pt>
              </c:numCache>
            </c:numRef>
          </c:xVal>
          <c:yVal>
            <c:numRef>
              <c:f>'Ag 178-1 XPS Depth profile'!$H$39:$H$58</c:f>
              <c:numCache>
                <c:formatCode>0</c:formatCode>
                <c:ptCount val="20"/>
                <c:pt idx="0">
                  <c:v>38.226955300505274</c:v>
                </c:pt>
                <c:pt idx="1">
                  <c:v>39.618434044005269</c:v>
                </c:pt>
                <c:pt idx="2">
                  <c:v>39.177622812839836</c:v>
                </c:pt>
                <c:pt idx="3">
                  <c:v>39.549973118562946</c:v>
                </c:pt>
                <c:pt idx="4">
                  <c:v>37.86852202467437</c:v>
                </c:pt>
                <c:pt idx="5">
                  <c:v>39.59431032095118</c:v>
                </c:pt>
                <c:pt idx="6">
                  <c:v>39.124816633928226</c:v>
                </c:pt>
                <c:pt idx="7">
                  <c:v>39.32542226842741</c:v>
                </c:pt>
                <c:pt idx="8">
                  <c:v>39.190538366261904</c:v>
                </c:pt>
                <c:pt idx="9">
                  <c:v>39.361269290369258</c:v>
                </c:pt>
                <c:pt idx="10">
                  <c:v>39.289571396324241</c:v>
                </c:pt>
                <c:pt idx="11">
                  <c:v>39.679824033633665</c:v>
                </c:pt>
                <c:pt idx="12">
                  <c:v>38.731480216943616</c:v>
                </c:pt>
                <c:pt idx="13">
                  <c:v>39.776833570206151</c:v>
                </c:pt>
                <c:pt idx="14">
                  <c:v>40.183732827062705</c:v>
                </c:pt>
                <c:pt idx="15">
                  <c:v>39.644946567346636</c:v>
                </c:pt>
                <c:pt idx="16">
                  <c:v>39.757930563431721</c:v>
                </c:pt>
                <c:pt idx="17">
                  <c:v>39.095963594677777</c:v>
                </c:pt>
                <c:pt idx="18">
                  <c:v>38.811358030784753</c:v>
                </c:pt>
                <c:pt idx="19">
                  <c:v>39.537032434828376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8C7-4DB3-91B2-9083091EE5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1083008"/>
        <c:axId val="551092192"/>
        <c:extLst>
          <c:ext xmlns:c15="http://schemas.microsoft.com/office/drawing/2012/chart" uri="{02D57815-91ED-43cb-92C2-25804820EDAC}">
            <c15:filteredScatte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'Ag 178-1 XPS Depth profile'!$K$4</c15:sqref>
                        </c15:formulaRef>
                      </c:ext>
                    </c:extLst>
                    <c:strCache>
                      <c:ptCount val="1"/>
                      <c:pt idx="0">
                        <c:v>Under gasket</c:v>
                      </c:pt>
                    </c:strCache>
                  </c:strRef>
                </c:tx>
                <c:spPr>
                  <a:ln w="25400" cap="rnd">
                    <a:noFill/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tx1">
                        <a:lumMod val="75000"/>
                        <a:lumOff val="25000"/>
                      </a:schemeClr>
                    </a:solidFill>
                    <a:ln w="12700">
                      <a:solidFill>
                        <a:schemeClr val="tx1"/>
                      </a:solidFill>
                    </a:ln>
                    <a:effectLst/>
                  </c:spPr>
                </c:marker>
                <c:xVal>
                  <c:numRef>
                    <c:extLst>
                      <c:ext uri="{02D57815-91ED-43cb-92C2-25804820EDAC}">
                        <c15:formulaRef>
                          <c15:sqref>'Ag 178-1 XPS Depth profile'!$A$39:$A$58</c15:sqref>
                        </c15:formulaRef>
                      </c:ext>
                    </c:extLst>
                    <c:numCache>
                      <c:formatCode>0.0</c:formatCode>
                      <c:ptCount val="20"/>
                      <c:pt idx="0">
                        <c:v>0</c:v>
                      </c:pt>
                      <c:pt idx="1">
                        <c:v>0.1</c:v>
                      </c:pt>
                      <c:pt idx="2">
                        <c:v>0.2</c:v>
                      </c:pt>
                      <c:pt idx="3">
                        <c:v>0.3</c:v>
                      </c:pt>
                      <c:pt idx="4">
                        <c:v>0.4</c:v>
                      </c:pt>
                      <c:pt idx="5">
                        <c:v>0.5</c:v>
                      </c:pt>
                      <c:pt idx="6">
                        <c:v>0.6</c:v>
                      </c:pt>
                      <c:pt idx="7">
                        <c:v>0.7</c:v>
                      </c:pt>
                      <c:pt idx="8">
                        <c:v>0.80001</c:v>
                      </c:pt>
                      <c:pt idx="9">
                        <c:v>0.90001000000000009</c:v>
                      </c:pt>
                      <c:pt idx="10">
                        <c:v>1.0000599999999999</c:v>
                      </c:pt>
                      <c:pt idx="11">
                        <c:v>1.10006</c:v>
                      </c:pt>
                      <c:pt idx="12">
                        <c:v>1.2000599999999999</c:v>
                      </c:pt>
                      <c:pt idx="13">
                        <c:v>1.30006</c:v>
                      </c:pt>
                      <c:pt idx="14">
                        <c:v>1.4000600000000001</c:v>
                      </c:pt>
                      <c:pt idx="15">
                        <c:v>1.5000899999999999</c:v>
                      </c:pt>
                      <c:pt idx="16">
                        <c:v>1.6000899999999998</c:v>
                      </c:pt>
                      <c:pt idx="17">
                        <c:v>1.7000899999999999</c:v>
                      </c:pt>
                      <c:pt idx="18">
                        <c:v>1.80009</c:v>
                      </c:pt>
                      <c:pt idx="19">
                        <c:v>1.9000899999999998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'Ag 178-1 XPS Depth profile'!$E$39:$E$58</c15:sqref>
                        </c15:formulaRef>
                      </c:ext>
                    </c:extLst>
                    <c:numCache>
                      <c:formatCode>0</c:formatCode>
                      <c:ptCount val="20"/>
                      <c:pt idx="0">
                        <c:v>40.574916879514753</c:v>
                      </c:pt>
                      <c:pt idx="1">
                        <c:v>39.238420168770979</c:v>
                      </c:pt>
                      <c:pt idx="2">
                        <c:v>40.110047286543399</c:v>
                      </c:pt>
                      <c:pt idx="3">
                        <c:v>39.611434458852422</c:v>
                      </c:pt>
                      <c:pt idx="4">
                        <c:v>39.508158234534569</c:v>
                      </c:pt>
                      <c:pt idx="5">
                        <c:v>39.430557054771</c:v>
                      </c:pt>
                      <c:pt idx="6">
                        <c:v>39.734365082099181</c:v>
                      </c:pt>
                      <c:pt idx="7">
                        <c:v>40.376650610776906</c:v>
                      </c:pt>
                      <c:pt idx="8">
                        <c:v>38.368687167107005</c:v>
                      </c:pt>
                      <c:pt idx="9">
                        <c:v>40.188764755107762</c:v>
                      </c:pt>
                      <c:pt idx="10">
                        <c:v>39.668133620214704</c:v>
                      </c:pt>
                      <c:pt idx="11">
                        <c:v>39.845206298175654</c:v>
                      </c:pt>
                      <c:pt idx="12">
                        <c:v>39.254493182893391</c:v>
                      </c:pt>
                      <c:pt idx="13">
                        <c:v>41.615111233165059</c:v>
                      </c:pt>
                      <c:pt idx="14">
                        <c:v>40.245590949767355</c:v>
                      </c:pt>
                      <c:pt idx="15">
                        <c:v>40.627559187567272</c:v>
                      </c:pt>
                      <c:pt idx="16">
                        <c:v>40.339727779407916</c:v>
                      </c:pt>
                      <c:pt idx="17">
                        <c:v>40.928130624737662</c:v>
                      </c:pt>
                      <c:pt idx="18">
                        <c:v>40.764814974179046</c:v>
                      </c:pt>
                      <c:pt idx="19">
                        <c:v>41.713250635200325</c:v>
                      </c:pt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1-D8C7-4DB3-91B2-9083091EE5A0}"/>
                  </c:ext>
                </c:extLst>
              </c15:ser>
            </c15:filteredScatterSeries>
          </c:ext>
        </c:extLst>
      </c:scatterChart>
      <c:valAx>
        <c:axId val="551083008"/>
        <c:scaling>
          <c:orientation val="minMax"/>
          <c:min val="0"/>
        </c:scaling>
        <c:delete val="0"/>
        <c:axPos val="b"/>
        <c:numFmt formatCode="0.0" sourceLinked="1"/>
        <c:majorTickMark val="cross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551092192"/>
        <c:crosses val="autoZero"/>
        <c:crossBetween val="midCat"/>
        <c:majorUnit val="0.5"/>
      </c:valAx>
      <c:valAx>
        <c:axId val="551092192"/>
        <c:scaling>
          <c:orientation val="minMax"/>
          <c:max val="100"/>
        </c:scaling>
        <c:delete val="0"/>
        <c:axPos val="l"/>
        <c:numFmt formatCode="0" sourceLinked="1"/>
        <c:majorTickMark val="cross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551083008"/>
        <c:crosses val="autoZero"/>
        <c:crossBetween val="midCat"/>
      </c:valAx>
      <c:spPr>
        <a:noFill/>
        <a:ln>
          <a:solidFill>
            <a:sysClr val="windowText" lastClr="000000"/>
          </a:solidFill>
        </a:ln>
        <a:effectLst/>
      </c:spPr>
    </c:plotArea>
    <c:legend>
      <c:legendPos val="r"/>
      <c:layout>
        <c:manualLayout>
          <c:xMode val="edge"/>
          <c:yMode val="edge"/>
          <c:x val="0.23756128930694692"/>
          <c:y val="0.16725880196271042"/>
          <c:w val="0.51062430368192857"/>
          <c:h val="0.1570586590376218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76200</xdr:colOff>
      <xdr:row>7</xdr:row>
      <xdr:rowOff>0</xdr:rowOff>
    </xdr:from>
    <xdr:ext cx="515719" cy="315856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B266D5EA-1C07-4779-84E5-92D7789F5631}"/>
                </a:ext>
              </a:extLst>
            </xdr:cNvPr>
            <xdr:cNvSpPr txBox="1"/>
          </xdr:nvSpPr>
          <xdr:spPr>
            <a:xfrm>
              <a:off x="5391150" y="1333500"/>
              <a:ext cx="515719" cy="31585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acc>
                      <m:accPr>
                        <m:chr m:val="̇"/>
                        <m:ctrlPr>
                          <a:rPr lang="en-GB" sz="1100" b="0" i="1"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r>
                          <a:rPr lang="en-GB" sz="1100" b="0" i="1">
                            <a:latin typeface="Cambria Math" panose="02040503050406030204" pitchFamily="18" charset="0"/>
                          </a:rPr>
                          <m:t>𝑁</m:t>
                        </m:r>
                      </m:e>
                    </m:acc>
                    <m:r>
                      <a:rPr lang="en-GB" sz="1100" b="0" i="1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en-GB" sz="11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GB" sz="1100" b="0" i="1">
                            <a:latin typeface="Cambria Math" panose="02040503050406030204" pitchFamily="18" charset="0"/>
                          </a:rPr>
                          <m:t>𝐼</m:t>
                        </m:r>
                      </m:num>
                      <m:den>
                        <m:r>
                          <a:rPr lang="en-GB" sz="1100" b="0" i="1">
                            <a:latin typeface="Cambria Math" panose="02040503050406030204" pitchFamily="18" charset="0"/>
                          </a:rPr>
                          <m:t>𝑧</m:t>
                        </m:r>
                        <m:r>
                          <a:rPr lang="en-GB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GB" sz="1100" b="0" i="1">
                            <a:latin typeface="Cambria Math" panose="02040503050406030204" pitchFamily="18" charset="0"/>
                          </a:rPr>
                          <m:t>𝐹</m:t>
                        </m:r>
                      </m:den>
                    </m:f>
                  </m:oMath>
                </m:oMathPara>
              </a14:m>
              <a:endParaRPr lang="nl-NL" sz="1100"/>
            </a:p>
          </xdr:txBody>
        </xdr:sp>
      </mc:Choice>
      <mc:Fallback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B266D5EA-1C07-4779-84E5-92D7789F5631}"/>
                </a:ext>
              </a:extLst>
            </xdr:cNvPr>
            <xdr:cNvSpPr txBox="1"/>
          </xdr:nvSpPr>
          <xdr:spPr>
            <a:xfrm>
              <a:off x="5391150" y="1333500"/>
              <a:ext cx="515719" cy="31585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GB" sz="1100" b="0" i="0">
                  <a:latin typeface="Cambria Math" panose="02040503050406030204" pitchFamily="18" charset="0"/>
                </a:rPr>
                <a:t>𝑁 ̇=𝐼/(𝑧 𝐹)</a:t>
              </a:r>
              <a:endParaRPr lang="nl-NL" sz="1100"/>
            </a:p>
          </xdr:txBody>
        </xdr:sp>
      </mc:Fallback>
    </mc:AlternateContent>
    <xdr:clientData/>
  </xdr:oneCellAnchor>
  <xdr:oneCellAnchor>
    <xdr:from>
      <xdr:col>5</xdr:col>
      <xdr:colOff>361950</xdr:colOff>
      <xdr:row>6</xdr:row>
      <xdr:rowOff>171450</xdr:rowOff>
    </xdr:from>
    <xdr:ext cx="592022" cy="374013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3" name="TextBox 2">
              <a:extLst>
                <a:ext uri="{FF2B5EF4-FFF2-40B4-BE49-F238E27FC236}">
                  <a16:creationId xmlns:a16="http://schemas.microsoft.com/office/drawing/2014/main" id="{57E22421-66ED-4792-8094-16B2FB0C5AA5}"/>
                </a:ext>
              </a:extLst>
            </xdr:cNvPr>
            <xdr:cNvSpPr txBox="1"/>
          </xdr:nvSpPr>
          <xdr:spPr>
            <a:xfrm>
              <a:off x="6534150" y="1314450"/>
              <a:ext cx="592022" cy="37401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acc>
                      <m:accPr>
                        <m:chr m:val="̇"/>
                        <m:ctrlPr>
                          <a:rPr lang="en-GB" sz="1100" b="0" i="1"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r>
                          <a:rPr lang="en-GB" sz="1100" b="0" i="1">
                            <a:latin typeface="Cambria Math" panose="02040503050406030204" pitchFamily="18" charset="0"/>
                          </a:rPr>
                          <m:t>𝑉</m:t>
                        </m:r>
                      </m:e>
                    </m:acc>
                    <m:r>
                      <a:rPr lang="en-GB" sz="1100" b="0" i="1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en-GB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acc>
                          <m:accPr>
                            <m:chr m:val="̇"/>
                            <m:ctrlPr>
                              <a:rPr lang="en-GB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accPr>
                          <m:e>
                            <m:r>
                              <a:rPr lang="en-GB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𝑁</m:t>
                            </m:r>
                          </m:e>
                        </m:acc>
                        <m:r>
                          <a:rPr lang="en-GB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𝑅𝑇</m:t>
                        </m:r>
                      </m:num>
                      <m:den>
                        <m:r>
                          <a:rPr lang="en-GB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𝑝</m:t>
                        </m:r>
                      </m:den>
                    </m:f>
                  </m:oMath>
                </m:oMathPara>
              </a14:m>
              <a:endParaRPr lang="nl-NL" sz="1100"/>
            </a:p>
          </xdr:txBody>
        </xdr:sp>
      </mc:Choice>
      <mc:Fallback>
        <xdr:sp macro="" textlink="">
          <xdr:nvSpPr>
            <xdr:cNvPr id="3" name="TextBox 2">
              <a:extLst>
                <a:ext uri="{FF2B5EF4-FFF2-40B4-BE49-F238E27FC236}">
                  <a16:creationId xmlns:a16="http://schemas.microsoft.com/office/drawing/2014/main" id="{57E22421-66ED-4792-8094-16B2FB0C5AA5}"/>
                </a:ext>
              </a:extLst>
            </xdr:cNvPr>
            <xdr:cNvSpPr txBox="1"/>
          </xdr:nvSpPr>
          <xdr:spPr>
            <a:xfrm>
              <a:off x="6534150" y="1314450"/>
              <a:ext cx="592022" cy="37401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GB" sz="1100" b="0" i="0">
                  <a:latin typeface="Cambria Math" panose="02040503050406030204" pitchFamily="18" charset="0"/>
                </a:rPr>
                <a:t>𝑉 ̇=</a:t>
              </a:r>
              <a:r>
                <a:rPr lang="en-GB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(𝑁 ̇𝑅𝑇)/𝑝</a:t>
              </a:r>
              <a:endParaRPr lang="nl-NL" sz="1100"/>
            </a:p>
          </xdr:txBody>
        </xdr:sp>
      </mc:Fallback>
    </mc:AlternateContent>
    <xdr:clientData/>
  </xdr:oneCellAnchor>
  <xdr:oneCellAnchor>
    <xdr:from>
      <xdr:col>7</xdr:col>
      <xdr:colOff>485775</xdr:colOff>
      <xdr:row>15</xdr:row>
      <xdr:rowOff>9525</xdr:rowOff>
    </xdr:from>
    <xdr:ext cx="2270878" cy="240515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4" name="TextBox 3">
              <a:extLst>
                <a:ext uri="{FF2B5EF4-FFF2-40B4-BE49-F238E27FC236}">
                  <a16:creationId xmlns:a16="http://schemas.microsoft.com/office/drawing/2014/main" id="{874CF9B5-F989-498A-8A1A-5B8E1FF37BD0}"/>
                </a:ext>
              </a:extLst>
            </xdr:cNvPr>
            <xdr:cNvSpPr txBox="1"/>
          </xdr:nvSpPr>
          <xdr:spPr>
            <a:xfrm>
              <a:off x="7877175" y="2867025"/>
              <a:ext cx="2270878" cy="24051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14:m>
                <m:oMath xmlns:m="http://schemas.openxmlformats.org/officeDocument/2006/math">
                  <m:func>
                    <m:funcPr>
                      <m:ctrlPr>
                        <a:rPr lang="en-GB" sz="1100" b="0" i="1">
                          <a:latin typeface="Cambria Math" panose="02040503050406030204" pitchFamily="18" charset="0"/>
                        </a:rPr>
                      </m:ctrlPr>
                    </m:funcPr>
                    <m:fName>
                      <m:r>
                        <m:rPr>
                          <m:sty m:val="p"/>
                        </m:rPr>
                        <a:rPr lang="en-GB" sz="1100" b="0" i="0">
                          <a:latin typeface="Cambria Math" panose="02040503050406030204" pitchFamily="18" charset="0"/>
                        </a:rPr>
                        <m:t>ln</m:t>
                      </m:r>
                    </m:fName>
                    <m:e>
                      <m:sSub>
                        <m:sSubPr>
                          <m:ctrlPr>
                            <a:rPr lang="en-GB" sz="1100" b="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</m:ctrlPr>
                        </m:sSubPr>
                        <m:e>
                          <m:r>
                            <a:rPr lang="en-GB" sz="1100" b="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𝑝</m:t>
                          </m:r>
                        </m:e>
                        <m:sub>
                          <m:sSub>
                            <m:sSubPr>
                              <m:ctrlPr>
                                <a:rPr lang="en-GB" sz="1100" b="0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</m:ctrlPr>
                            </m:sSubPr>
                            <m:e>
                              <m:r>
                                <a:rPr lang="en-GB" sz="1100" b="0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𝐻</m:t>
                              </m:r>
                            </m:e>
                            <m:sub>
                              <m:r>
                                <a:rPr lang="en-GB" sz="1100" b="0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2</m:t>
                              </m:r>
                            </m:sub>
                          </m:sSub>
                          <m:r>
                            <a:rPr lang="en-GB" sz="1100" b="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𝑂</m:t>
                          </m:r>
                        </m:sub>
                      </m:sSub>
                    </m:e>
                  </m:func>
                  <m:r>
                    <a:rPr lang="en-GB" sz="1100" b="0" i="1">
                      <a:latin typeface="Cambria Math" panose="02040503050406030204" pitchFamily="18" charset="0"/>
                    </a:rPr>
                    <m:t>=</m:t>
                  </m:r>
                  <m:r>
                    <a:rPr lang="en-GB" sz="1100" b="0" i="1">
                      <a:latin typeface="Cambria Math" panose="02040503050406030204" pitchFamily="18" charset="0"/>
                    </a:rPr>
                    <m:t>𝐴</m:t>
                  </m:r>
                  <m:r>
                    <a:rPr lang="en-GB" sz="1100" b="0" i="1">
                      <a:latin typeface="Cambria Math" panose="02040503050406030204" pitchFamily="18" charset="0"/>
                    </a:rPr>
                    <m:t>−</m:t>
                  </m:r>
                  <m:f>
                    <m:fPr>
                      <m:ctrlPr>
                        <a:rPr lang="en-GB" sz="1100" b="0" i="1">
                          <a:latin typeface="Cambria Math" panose="02040503050406030204" pitchFamily="18" charset="0"/>
                        </a:rPr>
                      </m:ctrlPr>
                    </m:fPr>
                    <m:num>
                      <m:r>
                        <a:rPr lang="en-GB" sz="1100" b="0" i="1">
                          <a:latin typeface="Cambria Math" panose="02040503050406030204" pitchFamily="18" charset="0"/>
                        </a:rPr>
                        <m:t>𝐵</m:t>
                      </m:r>
                    </m:num>
                    <m:den>
                      <m:r>
                        <a:rPr lang="en-GB" sz="1100" b="0" i="1">
                          <a:latin typeface="Cambria Math" panose="02040503050406030204" pitchFamily="18" charset="0"/>
                        </a:rPr>
                        <m:t>𝐶</m:t>
                      </m:r>
                      <m:r>
                        <a:rPr lang="en-GB" sz="1100" b="0" i="1">
                          <a:latin typeface="Cambria Math" panose="02040503050406030204" pitchFamily="18" charset="0"/>
                        </a:rPr>
                        <m:t>+</m:t>
                      </m:r>
                      <m:r>
                        <a:rPr lang="en-GB" sz="1100" b="0" i="1">
                          <a:latin typeface="Cambria Math" panose="02040503050406030204" pitchFamily="18" charset="0"/>
                        </a:rPr>
                        <m:t>𝑇</m:t>
                      </m:r>
                    </m:den>
                  </m:f>
                </m:oMath>
              </a14:m>
              <a:r>
                <a:rPr lang="nl-NL" sz="1100"/>
                <a:t>  p_H2O in bar, T in K</a:t>
              </a:r>
            </a:p>
          </xdr:txBody>
        </xdr:sp>
      </mc:Choice>
      <mc:Fallback>
        <xdr:sp macro="" textlink="">
          <xdr:nvSpPr>
            <xdr:cNvPr id="4" name="TextBox 3">
              <a:extLst>
                <a:ext uri="{FF2B5EF4-FFF2-40B4-BE49-F238E27FC236}">
                  <a16:creationId xmlns:a16="http://schemas.microsoft.com/office/drawing/2014/main" id="{874CF9B5-F989-498A-8A1A-5B8E1FF37BD0}"/>
                </a:ext>
              </a:extLst>
            </xdr:cNvPr>
            <xdr:cNvSpPr txBox="1"/>
          </xdr:nvSpPr>
          <xdr:spPr>
            <a:xfrm>
              <a:off x="7877175" y="2867025"/>
              <a:ext cx="2270878" cy="24051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GB" sz="1100" b="0" i="0">
                  <a:latin typeface="Cambria Math" panose="02040503050406030204" pitchFamily="18" charset="0"/>
                </a:rPr>
                <a:t>ln⁡〖</a:t>
              </a:r>
              <a:r>
                <a:rPr lang="en-GB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𝑝_(𝐻_2 𝑂) 〗</a:t>
              </a:r>
              <a:r>
                <a:rPr lang="en-GB" sz="1100" b="0" i="0">
                  <a:latin typeface="Cambria Math" panose="02040503050406030204" pitchFamily="18" charset="0"/>
                </a:rPr>
                <a:t>=𝐴−𝐵/(𝐶+𝑇)</a:t>
              </a:r>
              <a:r>
                <a:rPr lang="nl-NL" sz="1100"/>
                <a:t>  p_H2O in bar, T in K</a:t>
              </a:r>
            </a:p>
          </xdr:txBody>
        </xdr:sp>
      </mc:Fallback>
    </mc:AlternateContent>
    <xdr:clientData/>
  </xdr:oneCellAnchor>
  <xdr:oneCellAnchor>
    <xdr:from>
      <xdr:col>7</xdr:col>
      <xdr:colOff>485775</xdr:colOff>
      <xdr:row>16</xdr:row>
      <xdr:rowOff>171450</xdr:rowOff>
    </xdr:from>
    <xdr:ext cx="2465483" cy="240515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5" name="TextBox 4">
              <a:extLst>
                <a:ext uri="{FF2B5EF4-FFF2-40B4-BE49-F238E27FC236}">
                  <a16:creationId xmlns:a16="http://schemas.microsoft.com/office/drawing/2014/main" id="{B4E619F7-9C24-447D-8889-3D77CA08372D}"/>
                </a:ext>
              </a:extLst>
            </xdr:cNvPr>
            <xdr:cNvSpPr txBox="1"/>
          </xdr:nvSpPr>
          <xdr:spPr>
            <a:xfrm>
              <a:off x="7877175" y="3219450"/>
              <a:ext cx="2465483" cy="24051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14:m>
                <m:oMath xmlns:m="http://schemas.openxmlformats.org/officeDocument/2006/math">
                  <m:sSub>
                    <m:sSubPr>
                      <m:ctrlPr>
                        <a:rPr lang="en-GB" sz="11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sSubPr>
                    <m:e>
                      <m:r>
                        <a:rPr lang="en-GB" sz="11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𝑝</m:t>
                      </m:r>
                    </m:e>
                    <m:sub>
                      <m:sSub>
                        <m:sSubPr>
                          <m:ctrlPr>
                            <a:rPr lang="en-GB" sz="1100" b="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</m:ctrlPr>
                        </m:sSubPr>
                        <m:e>
                          <m:r>
                            <a:rPr lang="en-GB" sz="1100" b="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𝐻</m:t>
                          </m:r>
                        </m:e>
                        <m:sub>
                          <m:r>
                            <a:rPr lang="en-GB" sz="1100" b="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2</m:t>
                          </m:r>
                        </m:sub>
                      </m:sSub>
                      <m:r>
                        <a:rPr lang="en-GB" sz="11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𝑂</m:t>
                      </m:r>
                    </m:sub>
                  </m:sSub>
                  <m:r>
                    <a:rPr lang="en-GB" sz="1100" b="0" i="1">
                      <a:latin typeface="Cambria Math" panose="02040503050406030204" pitchFamily="18" charset="0"/>
                    </a:rPr>
                    <m:t>=</m:t>
                  </m:r>
                  <m:r>
                    <m:rPr>
                      <m:sty m:val="p"/>
                    </m:rPr>
                    <a:rPr lang="en-GB" sz="1100" b="0" i="0">
                      <a:latin typeface="Cambria Math" panose="02040503050406030204" pitchFamily="18" charset="0"/>
                    </a:rPr>
                    <m:t>exp</m:t>
                  </m:r>
                  <m:r>
                    <a:rPr lang="en-GB" sz="1100" b="0" i="1">
                      <a:latin typeface="Cambria Math" panose="02040503050406030204" pitchFamily="18" charset="0"/>
                    </a:rPr>
                    <m:t>⁡(</m:t>
                  </m:r>
                  <m:r>
                    <a:rPr lang="en-GB" sz="1100" b="0" i="1">
                      <a:latin typeface="Cambria Math" panose="02040503050406030204" pitchFamily="18" charset="0"/>
                    </a:rPr>
                    <m:t>𝐴</m:t>
                  </m:r>
                  <m:r>
                    <a:rPr lang="en-GB" sz="1100" b="0" i="1">
                      <a:latin typeface="Cambria Math" panose="02040503050406030204" pitchFamily="18" charset="0"/>
                    </a:rPr>
                    <m:t>−</m:t>
                  </m:r>
                  <m:f>
                    <m:fPr>
                      <m:ctrlPr>
                        <a:rPr lang="en-GB" sz="1100" b="0" i="1">
                          <a:latin typeface="Cambria Math" panose="02040503050406030204" pitchFamily="18" charset="0"/>
                        </a:rPr>
                      </m:ctrlPr>
                    </m:fPr>
                    <m:num>
                      <m:r>
                        <a:rPr lang="en-GB" sz="1100" b="0" i="1">
                          <a:latin typeface="Cambria Math" panose="02040503050406030204" pitchFamily="18" charset="0"/>
                        </a:rPr>
                        <m:t>𝐵</m:t>
                      </m:r>
                    </m:num>
                    <m:den>
                      <m:r>
                        <a:rPr lang="en-GB" sz="1100" b="0" i="1">
                          <a:latin typeface="Cambria Math" panose="02040503050406030204" pitchFamily="18" charset="0"/>
                        </a:rPr>
                        <m:t>𝐶</m:t>
                      </m:r>
                      <m:r>
                        <a:rPr lang="en-GB" sz="1100" b="0" i="1">
                          <a:latin typeface="Cambria Math" panose="02040503050406030204" pitchFamily="18" charset="0"/>
                        </a:rPr>
                        <m:t>+</m:t>
                      </m:r>
                      <m:r>
                        <a:rPr lang="en-GB" sz="1100" b="0" i="1">
                          <a:latin typeface="Cambria Math" panose="02040503050406030204" pitchFamily="18" charset="0"/>
                        </a:rPr>
                        <m:t>𝑇</m:t>
                      </m:r>
                    </m:den>
                  </m:f>
                  <m:r>
                    <a:rPr lang="en-GB" sz="1100" b="0" i="1">
                      <a:latin typeface="Cambria Math" panose="02040503050406030204" pitchFamily="18" charset="0"/>
                    </a:rPr>
                    <m:t>)</m:t>
                  </m:r>
                </m:oMath>
              </a14:m>
              <a:r>
                <a:rPr lang="nl-NL" sz="1100"/>
                <a:t>  p_H2O in bar, T in K</a:t>
              </a:r>
            </a:p>
          </xdr:txBody>
        </xdr:sp>
      </mc:Choice>
      <mc:Fallback>
        <xdr:sp macro="" textlink="">
          <xdr:nvSpPr>
            <xdr:cNvPr id="5" name="TextBox 4">
              <a:extLst>
                <a:ext uri="{FF2B5EF4-FFF2-40B4-BE49-F238E27FC236}">
                  <a16:creationId xmlns:a16="http://schemas.microsoft.com/office/drawing/2014/main" id="{B4E619F7-9C24-447D-8889-3D77CA08372D}"/>
                </a:ext>
              </a:extLst>
            </xdr:cNvPr>
            <xdr:cNvSpPr txBox="1"/>
          </xdr:nvSpPr>
          <xdr:spPr>
            <a:xfrm>
              <a:off x="7877175" y="3219450"/>
              <a:ext cx="2465483" cy="24051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GB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𝑝_(𝐻_2 𝑂)</a:t>
              </a:r>
              <a:r>
                <a:rPr lang="en-GB" sz="1100" b="0" i="0">
                  <a:latin typeface="Cambria Math" panose="02040503050406030204" pitchFamily="18" charset="0"/>
                </a:rPr>
                <a:t>=exp⁡(𝐴−𝐵/(𝐶+𝑇))</a:t>
              </a:r>
              <a:r>
                <a:rPr lang="nl-NL" sz="1100"/>
                <a:t>  p_H2O in bar, T in K</a:t>
              </a:r>
            </a:p>
          </xdr:txBody>
        </xdr:sp>
      </mc:Fallback>
    </mc:AlternateContent>
    <xdr:clientData/>
  </xdr:one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5.3692E-7</cdr:x>
      <cdr:y>0.06403</cdr:y>
    </cdr:from>
    <cdr:to>
      <cdr:x>0.1343</cdr:x>
      <cdr:y>0.8506</cdr:y>
    </cdr:to>
    <cdr:sp macro="" textlink="">
      <cdr:nvSpPr>
        <cdr:cNvPr id="2" name="TextBox 1"/>
        <cdr:cNvSpPr txBox="1"/>
      </cdr:nvSpPr>
      <cdr:spPr>
        <a:xfrm xmlns:a="http://schemas.openxmlformats.org/drawingml/2006/main" rot="16200000">
          <a:off x="-533141" y="640300"/>
          <a:ext cx="1316417" cy="25013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36000" rtlCol="0">
          <a:noAutofit/>
        </a:bodyPr>
        <a:lstStyle xmlns:a="http://schemas.openxmlformats.org/drawingml/2006/main"/>
        <a:p xmlns:a="http://schemas.openxmlformats.org/drawingml/2006/main">
          <a:r>
            <a:rPr lang="en-US" sz="1000" b="1">
              <a:latin typeface="Arial" panose="020B0604020202020204" pitchFamily="34" charset="0"/>
              <a:cs typeface="Arial" panose="020B0604020202020204" pitchFamily="34" charset="0"/>
            </a:rPr>
            <a:t>Concentration [at.%]</a:t>
          </a:r>
        </a:p>
      </cdr:txBody>
    </cdr:sp>
  </cdr:relSizeAnchor>
  <cdr:relSizeAnchor xmlns:cdr="http://schemas.openxmlformats.org/drawingml/2006/chartDrawing">
    <cdr:from>
      <cdr:x>0.22697</cdr:x>
      <cdr:y>0.91188</cdr:y>
    </cdr:from>
    <cdr:to>
      <cdr:x>0.97492</cdr:x>
      <cdr:y>1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422724" y="1526128"/>
          <a:ext cx="1393031" cy="14747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>
          <a:spAutoFit/>
        </a:bodyPr>
        <a:lstStyle xmlns:a="http://schemas.openxmlformats.org/drawingml/2006/main"/>
        <a:p xmlns:a="http://schemas.openxmlformats.org/drawingml/2006/main">
          <a:r>
            <a:rPr lang="en-US" sz="1000" b="1">
              <a:latin typeface="Arial" panose="020B0604020202020204" pitchFamily="34" charset="0"/>
              <a:cs typeface="Arial" panose="020B0604020202020204" pitchFamily="34" charset="0"/>
            </a:rPr>
            <a:t>Depth</a:t>
          </a:r>
          <a:r>
            <a:rPr lang="en-US" sz="1000" b="1" baseline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n-US" sz="1000" b="1">
              <a:latin typeface="Arial" panose="020B0604020202020204" pitchFamily="34" charset="0"/>
              <a:cs typeface="Arial" panose="020B0604020202020204" pitchFamily="34" charset="0"/>
            </a:rPr>
            <a:t>[nm] (vs. Ta</a:t>
          </a:r>
          <a:r>
            <a:rPr lang="en-US" sz="1000" b="1" baseline="-25000">
              <a:latin typeface="Arial" panose="020B0604020202020204" pitchFamily="34" charset="0"/>
              <a:cs typeface="Arial" panose="020B0604020202020204" pitchFamily="34" charset="0"/>
            </a:rPr>
            <a:t>2</a:t>
          </a:r>
          <a:r>
            <a:rPr lang="en-US" sz="1000" b="1">
              <a:latin typeface="Arial" panose="020B0604020202020204" pitchFamily="34" charset="0"/>
              <a:cs typeface="Arial" panose="020B0604020202020204" pitchFamily="34" charset="0"/>
            </a:rPr>
            <a:t>O</a:t>
          </a:r>
          <a:r>
            <a:rPr lang="en-US" sz="1000" b="1" baseline="-25000">
              <a:latin typeface="Arial" panose="020B0604020202020204" pitchFamily="34" charset="0"/>
              <a:cs typeface="Arial" panose="020B0604020202020204" pitchFamily="34" charset="0"/>
            </a:rPr>
            <a:t>5</a:t>
          </a:r>
          <a:r>
            <a:rPr lang="en-US" sz="1000" b="1">
              <a:latin typeface="Arial" panose="020B0604020202020204" pitchFamily="34" charset="0"/>
              <a:cs typeface="Arial" panose="020B0604020202020204" pitchFamily="34" charset="0"/>
            </a:rPr>
            <a:t>)</a:t>
          </a:r>
        </a:p>
      </cdr:txBody>
    </cdr:sp>
  </cdr:relSizeAnchor>
  <cdr:relSizeAnchor xmlns:cdr="http://schemas.openxmlformats.org/drawingml/2006/chartDrawing">
    <cdr:from>
      <cdr:x>0.74293</cdr:x>
      <cdr:y>0.16004</cdr:y>
    </cdr:from>
    <cdr:to>
      <cdr:x>0.90459</cdr:x>
      <cdr:y>0.34906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1383695" y="267841"/>
          <a:ext cx="301089" cy="316342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75000"/>
          </a:schemeClr>
        </a:solidFill>
        <a:ln xmlns:a="http://schemas.openxmlformats.org/drawingml/2006/main">
          <a:solidFill>
            <a:sysClr val="windowText" lastClr="000000"/>
          </a:solidFill>
        </a:ln>
      </cdr:spPr>
      <cdr:txBody>
        <a:bodyPr xmlns:a="http://schemas.openxmlformats.org/drawingml/2006/main" vertOverflow="clip" wrap="square" lIns="0" tIns="36000" rIns="0" bIns="36000" rtlCol="0" anchor="ctr" anchorCtr="0">
          <a:noAutofit/>
        </a:bodyPr>
        <a:lstStyle xmlns:a="http://schemas.openxmlformats.org/drawingml/2006/main"/>
        <a:p xmlns:a="http://schemas.openxmlformats.org/drawingml/2006/main">
          <a:pPr algn="ctr"/>
          <a:r>
            <a:rPr lang="en-US" sz="10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Ag</a:t>
          </a:r>
        </a:p>
      </cdr:txBody>
    </cdr:sp>
  </cdr:relSizeAnchor>
  <cdr:relSizeAnchor xmlns:cdr="http://schemas.openxmlformats.org/drawingml/2006/chartDrawing">
    <cdr:from>
      <cdr:x>0</cdr:x>
      <cdr:y>0</cdr:y>
    </cdr:from>
    <cdr:to>
      <cdr:x>0.10228</cdr:x>
      <cdr:y>0.08812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0" y="0"/>
          <a:ext cx="190500" cy="14747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>
          <a:spAutoFit/>
        </a:bodyPr>
        <a:lstStyle xmlns:a="http://schemas.openxmlformats.org/drawingml/2006/main"/>
        <a:p xmlns:a="http://schemas.openxmlformats.org/drawingml/2006/main">
          <a:r>
            <a:rPr lang="en-US" sz="1000" b="1">
              <a:latin typeface="Arial" panose="020B0604020202020204" pitchFamily="34" charset="0"/>
              <a:cs typeface="Arial" panose="020B0604020202020204" pitchFamily="34" charset="0"/>
            </a:rPr>
            <a:t>(b)</a:t>
          </a: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5.3692E-7</cdr:x>
      <cdr:y>0.06403</cdr:y>
    </cdr:from>
    <cdr:to>
      <cdr:x>0.1343</cdr:x>
      <cdr:y>0.8506</cdr:y>
    </cdr:to>
    <cdr:sp macro="" textlink="">
      <cdr:nvSpPr>
        <cdr:cNvPr id="2" name="TextBox 1"/>
        <cdr:cNvSpPr txBox="1"/>
      </cdr:nvSpPr>
      <cdr:spPr>
        <a:xfrm xmlns:a="http://schemas.openxmlformats.org/drawingml/2006/main" rot="16200000">
          <a:off x="-533141" y="640300"/>
          <a:ext cx="1316417" cy="25013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36000" rtlCol="0">
          <a:noAutofit/>
        </a:bodyPr>
        <a:lstStyle xmlns:a="http://schemas.openxmlformats.org/drawingml/2006/main"/>
        <a:p xmlns:a="http://schemas.openxmlformats.org/drawingml/2006/main">
          <a:r>
            <a:rPr lang="en-US" sz="1000" b="1">
              <a:latin typeface="Arial" panose="020B0604020202020204" pitchFamily="34" charset="0"/>
              <a:cs typeface="Arial" panose="020B0604020202020204" pitchFamily="34" charset="0"/>
            </a:rPr>
            <a:t>Concentration [at.%]</a:t>
          </a:r>
        </a:p>
      </cdr:txBody>
    </cdr:sp>
  </cdr:relSizeAnchor>
  <cdr:relSizeAnchor xmlns:cdr="http://schemas.openxmlformats.org/drawingml/2006/chartDrawing">
    <cdr:from>
      <cdr:x>0.22697</cdr:x>
      <cdr:y>0.91188</cdr:y>
    </cdr:from>
    <cdr:to>
      <cdr:x>0.97492</cdr:x>
      <cdr:y>1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422724" y="1526128"/>
          <a:ext cx="1393031" cy="14747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>
          <a:spAutoFit/>
        </a:bodyPr>
        <a:lstStyle xmlns:a="http://schemas.openxmlformats.org/drawingml/2006/main"/>
        <a:p xmlns:a="http://schemas.openxmlformats.org/drawingml/2006/main">
          <a:r>
            <a:rPr lang="en-US" sz="1000" b="1">
              <a:latin typeface="Arial" panose="020B0604020202020204" pitchFamily="34" charset="0"/>
              <a:cs typeface="Arial" panose="020B0604020202020204" pitchFamily="34" charset="0"/>
            </a:rPr>
            <a:t>Depth</a:t>
          </a:r>
          <a:r>
            <a:rPr lang="en-US" sz="1000" b="1" baseline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n-US" sz="1000" b="1">
              <a:latin typeface="Arial" panose="020B0604020202020204" pitchFamily="34" charset="0"/>
              <a:cs typeface="Arial" panose="020B0604020202020204" pitchFamily="34" charset="0"/>
            </a:rPr>
            <a:t>[nm] (vs. Ta</a:t>
          </a:r>
          <a:r>
            <a:rPr lang="en-US" sz="1000" b="1" baseline="-25000">
              <a:latin typeface="Arial" panose="020B0604020202020204" pitchFamily="34" charset="0"/>
              <a:cs typeface="Arial" panose="020B0604020202020204" pitchFamily="34" charset="0"/>
            </a:rPr>
            <a:t>2</a:t>
          </a:r>
          <a:r>
            <a:rPr lang="en-US" sz="1000" b="1">
              <a:latin typeface="Arial" panose="020B0604020202020204" pitchFamily="34" charset="0"/>
              <a:cs typeface="Arial" panose="020B0604020202020204" pitchFamily="34" charset="0"/>
            </a:rPr>
            <a:t>O</a:t>
          </a:r>
          <a:r>
            <a:rPr lang="en-US" sz="1000" b="1" baseline="-25000">
              <a:latin typeface="Arial" panose="020B0604020202020204" pitchFamily="34" charset="0"/>
              <a:cs typeface="Arial" panose="020B0604020202020204" pitchFamily="34" charset="0"/>
            </a:rPr>
            <a:t>5</a:t>
          </a:r>
          <a:r>
            <a:rPr lang="en-US" sz="1000" b="1">
              <a:latin typeface="Arial" panose="020B0604020202020204" pitchFamily="34" charset="0"/>
              <a:cs typeface="Arial" panose="020B0604020202020204" pitchFamily="34" charset="0"/>
            </a:rPr>
            <a:t>)</a:t>
          </a:r>
        </a:p>
      </cdr:txBody>
    </cdr:sp>
  </cdr:relSizeAnchor>
  <cdr:relSizeAnchor xmlns:cdr="http://schemas.openxmlformats.org/drawingml/2006/chartDrawing">
    <cdr:from>
      <cdr:x>0.74293</cdr:x>
      <cdr:y>0.16004</cdr:y>
    </cdr:from>
    <cdr:to>
      <cdr:x>0.90459</cdr:x>
      <cdr:y>0.34906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1383695" y="267841"/>
          <a:ext cx="301089" cy="316342"/>
        </a:xfrm>
        <a:prstGeom xmlns:a="http://schemas.openxmlformats.org/drawingml/2006/main" prst="rect">
          <a:avLst/>
        </a:prstGeom>
        <a:solidFill xmlns:a="http://schemas.openxmlformats.org/drawingml/2006/main">
          <a:srgbClr val="83F504"/>
        </a:solidFill>
        <a:ln xmlns:a="http://schemas.openxmlformats.org/drawingml/2006/main">
          <a:solidFill>
            <a:sysClr val="windowText" lastClr="000000"/>
          </a:solidFill>
        </a:ln>
      </cdr:spPr>
      <cdr:txBody>
        <a:bodyPr xmlns:a="http://schemas.openxmlformats.org/drawingml/2006/main" vertOverflow="clip" wrap="square" lIns="0" tIns="36000" rIns="0" bIns="36000" rtlCol="0" anchor="ctr" anchorCtr="0">
          <a:noAutofit/>
        </a:bodyPr>
        <a:lstStyle xmlns:a="http://schemas.openxmlformats.org/drawingml/2006/main"/>
        <a:p xmlns:a="http://schemas.openxmlformats.org/drawingml/2006/main">
          <a:pPr algn="ctr"/>
          <a:r>
            <a:rPr lang="en-US" sz="10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F</a:t>
          </a:r>
        </a:p>
      </cdr:txBody>
    </cdr:sp>
  </cdr:relSizeAnchor>
  <cdr:relSizeAnchor xmlns:cdr="http://schemas.openxmlformats.org/drawingml/2006/chartDrawing">
    <cdr:from>
      <cdr:x>0</cdr:x>
      <cdr:y>0</cdr:y>
    </cdr:from>
    <cdr:to>
      <cdr:x>0.10228</cdr:x>
      <cdr:y>0.08812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0" y="0"/>
          <a:ext cx="190500" cy="14747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>
          <a:spAutoFit/>
        </a:bodyPr>
        <a:lstStyle xmlns:a="http://schemas.openxmlformats.org/drawingml/2006/main"/>
        <a:p xmlns:a="http://schemas.openxmlformats.org/drawingml/2006/main">
          <a:r>
            <a:rPr lang="en-US" sz="1000" b="1">
              <a:latin typeface="Arial" panose="020B0604020202020204" pitchFamily="34" charset="0"/>
              <a:cs typeface="Arial" panose="020B0604020202020204" pitchFamily="34" charset="0"/>
            </a:rPr>
            <a:t>(a)</a:t>
          </a: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5.3692E-7</cdr:x>
      <cdr:y>0.06403</cdr:y>
    </cdr:from>
    <cdr:to>
      <cdr:x>0.1343</cdr:x>
      <cdr:y>0.8506</cdr:y>
    </cdr:to>
    <cdr:sp macro="" textlink="">
      <cdr:nvSpPr>
        <cdr:cNvPr id="2" name="TextBox 1"/>
        <cdr:cNvSpPr txBox="1"/>
      </cdr:nvSpPr>
      <cdr:spPr>
        <a:xfrm xmlns:a="http://schemas.openxmlformats.org/drawingml/2006/main" rot="16200000">
          <a:off x="-533141" y="640300"/>
          <a:ext cx="1316417" cy="25013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36000" rtlCol="0">
          <a:noAutofit/>
        </a:bodyPr>
        <a:lstStyle xmlns:a="http://schemas.openxmlformats.org/drawingml/2006/main"/>
        <a:p xmlns:a="http://schemas.openxmlformats.org/drawingml/2006/main">
          <a:r>
            <a:rPr lang="en-US" sz="1000" b="1">
              <a:latin typeface="Arial" panose="020B0604020202020204" pitchFamily="34" charset="0"/>
              <a:cs typeface="Arial" panose="020B0604020202020204" pitchFamily="34" charset="0"/>
            </a:rPr>
            <a:t>Concentration [at.%]</a:t>
          </a:r>
        </a:p>
      </cdr:txBody>
    </cdr:sp>
  </cdr:relSizeAnchor>
  <cdr:relSizeAnchor xmlns:cdr="http://schemas.openxmlformats.org/drawingml/2006/chartDrawing">
    <cdr:from>
      <cdr:x>0.22697</cdr:x>
      <cdr:y>0.91188</cdr:y>
    </cdr:from>
    <cdr:to>
      <cdr:x>0.97492</cdr:x>
      <cdr:y>1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422724" y="1526128"/>
          <a:ext cx="1393031" cy="14747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>
          <a:spAutoFit/>
        </a:bodyPr>
        <a:lstStyle xmlns:a="http://schemas.openxmlformats.org/drawingml/2006/main"/>
        <a:p xmlns:a="http://schemas.openxmlformats.org/drawingml/2006/main">
          <a:r>
            <a:rPr lang="en-US" sz="1000" b="1">
              <a:latin typeface="Arial" panose="020B0604020202020204" pitchFamily="34" charset="0"/>
              <a:cs typeface="Arial" panose="020B0604020202020204" pitchFamily="34" charset="0"/>
            </a:rPr>
            <a:t>Depth</a:t>
          </a:r>
          <a:r>
            <a:rPr lang="en-US" sz="1000" b="1" baseline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n-US" sz="1000" b="1">
              <a:latin typeface="Arial" panose="020B0604020202020204" pitchFamily="34" charset="0"/>
              <a:cs typeface="Arial" panose="020B0604020202020204" pitchFamily="34" charset="0"/>
            </a:rPr>
            <a:t>[nm] (vs. Ta</a:t>
          </a:r>
          <a:r>
            <a:rPr lang="en-US" sz="1000" b="1" baseline="-25000">
              <a:latin typeface="Arial" panose="020B0604020202020204" pitchFamily="34" charset="0"/>
              <a:cs typeface="Arial" panose="020B0604020202020204" pitchFamily="34" charset="0"/>
            </a:rPr>
            <a:t>2</a:t>
          </a:r>
          <a:r>
            <a:rPr lang="en-US" sz="1000" b="1">
              <a:latin typeface="Arial" panose="020B0604020202020204" pitchFamily="34" charset="0"/>
              <a:cs typeface="Arial" panose="020B0604020202020204" pitchFamily="34" charset="0"/>
            </a:rPr>
            <a:t>O</a:t>
          </a:r>
          <a:r>
            <a:rPr lang="en-US" sz="1000" b="1" baseline="-25000">
              <a:latin typeface="Arial" panose="020B0604020202020204" pitchFamily="34" charset="0"/>
              <a:cs typeface="Arial" panose="020B0604020202020204" pitchFamily="34" charset="0"/>
            </a:rPr>
            <a:t>5</a:t>
          </a:r>
          <a:r>
            <a:rPr lang="en-US" sz="1000" b="1">
              <a:latin typeface="Arial" panose="020B0604020202020204" pitchFamily="34" charset="0"/>
              <a:cs typeface="Arial" panose="020B0604020202020204" pitchFamily="34" charset="0"/>
            </a:rPr>
            <a:t>)</a:t>
          </a:r>
        </a:p>
      </cdr:txBody>
    </cdr:sp>
  </cdr:relSizeAnchor>
  <cdr:relSizeAnchor xmlns:cdr="http://schemas.openxmlformats.org/drawingml/2006/chartDrawing">
    <cdr:from>
      <cdr:x>0.74293</cdr:x>
      <cdr:y>0.16004</cdr:y>
    </cdr:from>
    <cdr:to>
      <cdr:x>0.90459</cdr:x>
      <cdr:y>0.34906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1383695" y="267841"/>
          <a:ext cx="301089" cy="316342"/>
        </a:xfrm>
        <a:prstGeom xmlns:a="http://schemas.openxmlformats.org/drawingml/2006/main" prst="rect">
          <a:avLst/>
        </a:prstGeom>
        <a:solidFill xmlns:a="http://schemas.openxmlformats.org/drawingml/2006/main">
          <a:schemeClr val="tx1">
            <a:lumMod val="75000"/>
            <a:lumOff val="25000"/>
          </a:schemeClr>
        </a:solidFill>
        <a:ln xmlns:a="http://schemas.openxmlformats.org/drawingml/2006/main">
          <a:solidFill>
            <a:sysClr val="windowText" lastClr="000000"/>
          </a:solidFill>
        </a:ln>
      </cdr:spPr>
      <cdr:txBody>
        <a:bodyPr xmlns:a="http://schemas.openxmlformats.org/drawingml/2006/main" vertOverflow="clip" wrap="square" lIns="0" tIns="36000" rIns="0" bIns="36000" rtlCol="0" anchor="ctr" anchorCtr="0">
          <a:noAutofit/>
        </a:bodyPr>
        <a:lstStyle xmlns:a="http://schemas.openxmlformats.org/drawingml/2006/main"/>
        <a:p xmlns:a="http://schemas.openxmlformats.org/drawingml/2006/main">
          <a:pPr algn="ctr"/>
          <a:r>
            <a:rPr lang="en-US" sz="10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C</a:t>
          </a:r>
        </a:p>
      </cdr:txBody>
    </cdr:sp>
  </cdr:relSizeAnchor>
  <cdr:relSizeAnchor xmlns:cdr="http://schemas.openxmlformats.org/drawingml/2006/chartDrawing">
    <cdr:from>
      <cdr:x>0</cdr:x>
      <cdr:y>0</cdr:y>
    </cdr:from>
    <cdr:to>
      <cdr:x>0.10228</cdr:x>
      <cdr:y>0.08812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0" y="0"/>
          <a:ext cx="190500" cy="14747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>
          <a:spAutoFit/>
        </a:bodyPr>
        <a:lstStyle xmlns:a="http://schemas.openxmlformats.org/drawingml/2006/main"/>
        <a:p xmlns:a="http://schemas.openxmlformats.org/drawingml/2006/main">
          <a:r>
            <a:rPr lang="en-US" sz="1000" b="1">
              <a:latin typeface="Arial" panose="020B0604020202020204" pitchFamily="34" charset="0"/>
              <a:cs typeface="Arial" panose="020B0604020202020204" pitchFamily="34" charset="0"/>
            </a:rPr>
            <a:t>(c)</a:t>
          </a:r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515230</xdr:colOff>
      <xdr:row>1</xdr:row>
      <xdr:rowOff>34166</xdr:rowOff>
    </xdr:from>
    <xdr:to>
      <xdr:col>6</xdr:col>
      <xdr:colOff>556048</xdr:colOff>
      <xdr:row>9</xdr:row>
      <xdr:rowOff>183770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202750</xdr:colOff>
      <xdr:row>1</xdr:row>
      <xdr:rowOff>34166</xdr:rowOff>
    </xdr:from>
    <xdr:to>
      <xdr:col>3</xdr:col>
      <xdr:colOff>243569</xdr:colOff>
      <xdr:row>9</xdr:row>
      <xdr:rowOff>183770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193865</xdr:colOff>
      <xdr:row>1</xdr:row>
      <xdr:rowOff>34166</xdr:rowOff>
    </xdr:from>
    <xdr:to>
      <xdr:col>9</xdr:col>
      <xdr:colOff>210871</xdr:colOff>
      <xdr:row>9</xdr:row>
      <xdr:rowOff>183770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330030</xdr:colOff>
      <xdr:row>1</xdr:row>
      <xdr:rowOff>28990</xdr:rowOff>
    </xdr:from>
    <xdr:to>
      <xdr:col>15</xdr:col>
      <xdr:colOff>370849</xdr:colOff>
      <xdr:row>9</xdr:row>
      <xdr:rowOff>178594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15</xdr:col>
      <xdr:colOff>536138</xdr:colOff>
      <xdr:row>1</xdr:row>
      <xdr:rowOff>28990</xdr:rowOff>
    </xdr:from>
    <xdr:to>
      <xdr:col>18</xdr:col>
      <xdr:colOff>576957</xdr:colOff>
      <xdr:row>9</xdr:row>
      <xdr:rowOff>178594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19</xdr:col>
      <xdr:colOff>173617</xdr:colOff>
      <xdr:row>1</xdr:row>
      <xdr:rowOff>28990</xdr:rowOff>
    </xdr:from>
    <xdr:to>
      <xdr:col>22</xdr:col>
      <xdr:colOff>207189</xdr:colOff>
      <xdr:row>9</xdr:row>
      <xdr:rowOff>178594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</cdr:x>
      <cdr:y>0.10547</cdr:y>
    </cdr:from>
    <cdr:to>
      <cdr:x>0.1343</cdr:x>
      <cdr:y>0.89204</cdr:y>
    </cdr:to>
    <cdr:sp macro="" textlink="">
      <cdr:nvSpPr>
        <cdr:cNvPr id="2" name="TextBox 1"/>
        <cdr:cNvSpPr txBox="1"/>
      </cdr:nvSpPr>
      <cdr:spPr>
        <a:xfrm xmlns:a="http://schemas.openxmlformats.org/drawingml/2006/main" rot="16200000">
          <a:off x="-503787" y="672436"/>
          <a:ext cx="1257773" cy="2501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36000" rtlCol="0">
          <a:noAutofit/>
        </a:bodyPr>
        <a:lstStyle xmlns:a="http://schemas.openxmlformats.org/drawingml/2006/main"/>
        <a:p xmlns:a="http://schemas.openxmlformats.org/drawingml/2006/main">
          <a:r>
            <a:rPr lang="en-US" sz="1000" b="1">
              <a:latin typeface="Arial" panose="020B0604020202020204" pitchFamily="34" charset="0"/>
              <a:cs typeface="Arial" panose="020B0604020202020204" pitchFamily="34" charset="0"/>
            </a:rPr>
            <a:t>Concentration [at.%]</a:t>
          </a:r>
        </a:p>
      </cdr:txBody>
    </cdr:sp>
  </cdr:relSizeAnchor>
  <cdr:relSizeAnchor xmlns:cdr="http://schemas.openxmlformats.org/drawingml/2006/chartDrawing">
    <cdr:from>
      <cdr:x>0.22697</cdr:x>
      <cdr:y>0.91188</cdr:y>
    </cdr:from>
    <cdr:to>
      <cdr:x>0.97492</cdr:x>
      <cdr:y>1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422724" y="1526128"/>
          <a:ext cx="1393031" cy="14747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>
          <a:spAutoFit/>
        </a:bodyPr>
        <a:lstStyle xmlns:a="http://schemas.openxmlformats.org/drawingml/2006/main"/>
        <a:p xmlns:a="http://schemas.openxmlformats.org/drawingml/2006/main">
          <a:r>
            <a:rPr lang="en-US" sz="1000" b="1">
              <a:latin typeface="Arial" panose="020B0604020202020204" pitchFamily="34" charset="0"/>
              <a:cs typeface="Arial" panose="020B0604020202020204" pitchFamily="34" charset="0"/>
            </a:rPr>
            <a:t>Depth</a:t>
          </a:r>
          <a:r>
            <a:rPr lang="en-US" sz="1000" b="1" baseline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n-US" sz="1000" b="1">
              <a:latin typeface="Arial" panose="020B0604020202020204" pitchFamily="34" charset="0"/>
              <a:cs typeface="Arial" panose="020B0604020202020204" pitchFamily="34" charset="0"/>
            </a:rPr>
            <a:t>[nm] (vs. Ta</a:t>
          </a:r>
          <a:r>
            <a:rPr lang="en-US" sz="1000" b="1" baseline="-25000">
              <a:latin typeface="Arial" panose="020B0604020202020204" pitchFamily="34" charset="0"/>
              <a:cs typeface="Arial" panose="020B0604020202020204" pitchFamily="34" charset="0"/>
            </a:rPr>
            <a:t>2</a:t>
          </a:r>
          <a:r>
            <a:rPr lang="en-US" sz="1000" b="1">
              <a:latin typeface="Arial" panose="020B0604020202020204" pitchFamily="34" charset="0"/>
              <a:cs typeface="Arial" panose="020B0604020202020204" pitchFamily="34" charset="0"/>
            </a:rPr>
            <a:t>O</a:t>
          </a:r>
          <a:r>
            <a:rPr lang="en-US" sz="1000" b="1" baseline="-25000">
              <a:latin typeface="Arial" panose="020B0604020202020204" pitchFamily="34" charset="0"/>
              <a:cs typeface="Arial" panose="020B0604020202020204" pitchFamily="34" charset="0"/>
            </a:rPr>
            <a:t>5</a:t>
          </a:r>
          <a:r>
            <a:rPr lang="en-US" sz="1000" b="1">
              <a:latin typeface="Arial" panose="020B0604020202020204" pitchFamily="34" charset="0"/>
              <a:cs typeface="Arial" panose="020B0604020202020204" pitchFamily="34" charset="0"/>
            </a:rPr>
            <a:t>)</a:t>
          </a:r>
        </a:p>
      </cdr:txBody>
    </cdr:sp>
  </cdr:relSizeAnchor>
  <cdr:relSizeAnchor xmlns:cdr="http://schemas.openxmlformats.org/drawingml/2006/chartDrawing">
    <cdr:from>
      <cdr:x>0.74293</cdr:x>
      <cdr:y>0.16004</cdr:y>
    </cdr:from>
    <cdr:to>
      <cdr:x>0.90459</cdr:x>
      <cdr:y>0.34906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1383695" y="267841"/>
          <a:ext cx="301089" cy="316342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75000"/>
          </a:schemeClr>
        </a:solidFill>
        <a:ln xmlns:a="http://schemas.openxmlformats.org/drawingml/2006/main">
          <a:solidFill>
            <a:sysClr val="windowText" lastClr="000000"/>
          </a:solidFill>
        </a:ln>
      </cdr:spPr>
      <cdr:txBody>
        <a:bodyPr xmlns:a="http://schemas.openxmlformats.org/drawingml/2006/main" vertOverflow="clip" wrap="square" lIns="0" tIns="36000" rIns="0" bIns="36000" rtlCol="0" anchor="ctr" anchorCtr="0">
          <a:noAutofit/>
        </a:bodyPr>
        <a:lstStyle xmlns:a="http://schemas.openxmlformats.org/drawingml/2006/main"/>
        <a:p xmlns:a="http://schemas.openxmlformats.org/drawingml/2006/main">
          <a:pPr algn="ctr"/>
          <a:r>
            <a:rPr lang="en-US" sz="10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Ag</a:t>
          </a:r>
        </a:p>
      </cdr:txBody>
    </cdr:sp>
  </cdr:relSizeAnchor>
  <cdr:relSizeAnchor xmlns:cdr="http://schemas.openxmlformats.org/drawingml/2006/chartDrawing">
    <cdr:from>
      <cdr:x>0</cdr:x>
      <cdr:y>0</cdr:y>
    </cdr:from>
    <cdr:to>
      <cdr:x>0.10228</cdr:x>
      <cdr:y>0.08812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0" y="0"/>
          <a:ext cx="190500" cy="14747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>
          <a:spAutoFit/>
        </a:bodyPr>
        <a:lstStyle xmlns:a="http://schemas.openxmlformats.org/drawingml/2006/main"/>
        <a:p xmlns:a="http://schemas.openxmlformats.org/drawingml/2006/main">
          <a:r>
            <a:rPr lang="en-US" sz="1000" b="1">
              <a:latin typeface="Arial" panose="020B0604020202020204" pitchFamily="34" charset="0"/>
              <a:cs typeface="Arial" panose="020B0604020202020204" pitchFamily="34" charset="0"/>
            </a:rPr>
            <a:t>(b)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</cdr:x>
      <cdr:y>0.09856</cdr:y>
    </cdr:from>
    <cdr:to>
      <cdr:x>0.1343</cdr:x>
      <cdr:y>0.88513</cdr:y>
    </cdr:to>
    <cdr:sp macro="" textlink="">
      <cdr:nvSpPr>
        <cdr:cNvPr id="2" name="TextBox 1"/>
        <cdr:cNvSpPr txBox="1"/>
      </cdr:nvSpPr>
      <cdr:spPr>
        <a:xfrm xmlns:a="http://schemas.openxmlformats.org/drawingml/2006/main" rot="16200000">
          <a:off x="-503787" y="661392"/>
          <a:ext cx="1257773" cy="2501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36000" rtlCol="0">
          <a:noAutofit/>
        </a:bodyPr>
        <a:lstStyle xmlns:a="http://schemas.openxmlformats.org/drawingml/2006/main"/>
        <a:p xmlns:a="http://schemas.openxmlformats.org/drawingml/2006/main">
          <a:r>
            <a:rPr lang="en-US" sz="1000" b="1">
              <a:latin typeface="Arial" panose="020B0604020202020204" pitchFamily="34" charset="0"/>
              <a:cs typeface="Arial" panose="020B0604020202020204" pitchFamily="34" charset="0"/>
            </a:rPr>
            <a:t>Concentration [at.%]</a:t>
          </a:r>
        </a:p>
      </cdr:txBody>
    </cdr:sp>
  </cdr:relSizeAnchor>
  <cdr:relSizeAnchor xmlns:cdr="http://schemas.openxmlformats.org/drawingml/2006/chartDrawing">
    <cdr:from>
      <cdr:x>0.22697</cdr:x>
      <cdr:y>0.91188</cdr:y>
    </cdr:from>
    <cdr:to>
      <cdr:x>0.97492</cdr:x>
      <cdr:y>1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422724" y="1526128"/>
          <a:ext cx="1393031" cy="14747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>
          <a:spAutoFit/>
        </a:bodyPr>
        <a:lstStyle xmlns:a="http://schemas.openxmlformats.org/drawingml/2006/main"/>
        <a:p xmlns:a="http://schemas.openxmlformats.org/drawingml/2006/main">
          <a:r>
            <a:rPr lang="en-US" sz="1000" b="1">
              <a:latin typeface="Arial" panose="020B0604020202020204" pitchFamily="34" charset="0"/>
              <a:cs typeface="Arial" panose="020B0604020202020204" pitchFamily="34" charset="0"/>
            </a:rPr>
            <a:t>Depth</a:t>
          </a:r>
          <a:r>
            <a:rPr lang="en-US" sz="1000" b="1" baseline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n-US" sz="1000" b="1">
              <a:latin typeface="Arial" panose="020B0604020202020204" pitchFamily="34" charset="0"/>
              <a:cs typeface="Arial" panose="020B0604020202020204" pitchFamily="34" charset="0"/>
            </a:rPr>
            <a:t>[nm] (vs. Ta</a:t>
          </a:r>
          <a:r>
            <a:rPr lang="en-US" sz="1000" b="1" baseline="-25000">
              <a:latin typeface="Arial" panose="020B0604020202020204" pitchFamily="34" charset="0"/>
              <a:cs typeface="Arial" panose="020B0604020202020204" pitchFamily="34" charset="0"/>
            </a:rPr>
            <a:t>2</a:t>
          </a:r>
          <a:r>
            <a:rPr lang="en-US" sz="1000" b="1">
              <a:latin typeface="Arial" panose="020B0604020202020204" pitchFamily="34" charset="0"/>
              <a:cs typeface="Arial" panose="020B0604020202020204" pitchFamily="34" charset="0"/>
            </a:rPr>
            <a:t>O</a:t>
          </a:r>
          <a:r>
            <a:rPr lang="en-US" sz="1000" b="1" baseline="-25000">
              <a:latin typeface="Arial" panose="020B0604020202020204" pitchFamily="34" charset="0"/>
              <a:cs typeface="Arial" panose="020B0604020202020204" pitchFamily="34" charset="0"/>
            </a:rPr>
            <a:t>5</a:t>
          </a:r>
          <a:r>
            <a:rPr lang="en-US" sz="1000" b="1">
              <a:latin typeface="Arial" panose="020B0604020202020204" pitchFamily="34" charset="0"/>
              <a:cs typeface="Arial" panose="020B0604020202020204" pitchFamily="34" charset="0"/>
            </a:rPr>
            <a:t>)</a:t>
          </a:r>
        </a:p>
      </cdr:txBody>
    </cdr:sp>
  </cdr:relSizeAnchor>
  <cdr:relSizeAnchor xmlns:cdr="http://schemas.openxmlformats.org/drawingml/2006/chartDrawing">
    <cdr:from>
      <cdr:x>0.74293</cdr:x>
      <cdr:y>0.16004</cdr:y>
    </cdr:from>
    <cdr:to>
      <cdr:x>0.90459</cdr:x>
      <cdr:y>0.34906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1383695" y="267841"/>
          <a:ext cx="301089" cy="316342"/>
        </a:xfrm>
        <a:prstGeom xmlns:a="http://schemas.openxmlformats.org/drawingml/2006/main" prst="rect">
          <a:avLst/>
        </a:prstGeom>
        <a:solidFill xmlns:a="http://schemas.openxmlformats.org/drawingml/2006/main">
          <a:srgbClr val="83F504"/>
        </a:solidFill>
        <a:ln xmlns:a="http://schemas.openxmlformats.org/drawingml/2006/main">
          <a:solidFill>
            <a:sysClr val="windowText" lastClr="000000"/>
          </a:solidFill>
        </a:ln>
      </cdr:spPr>
      <cdr:txBody>
        <a:bodyPr xmlns:a="http://schemas.openxmlformats.org/drawingml/2006/main" vertOverflow="clip" wrap="square" lIns="0" tIns="36000" rIns="0" bIns="36000" rtlCol="0" anchor="ctr" anchorCtr="0">
          <a:noAutofit/>
        </a:bodyPr>
        <a:lstStyle xmlns:a="http://schemas.openxmlformats.org/drawingml/2006/main"/>
        <a:p xmlns:a="http://schemas.openxmlformats.org/drawingml/2006/main">
          <a:pPr algn="ctr"/>
          <a:r>
            <a:rPr lang="en-US" sz="10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F</a:t>
          </a:r>
        </a:p>
      </cdr:txBody>
    </cdr:sp>
  </cdr:relSizeAnchor>
  <cdr:relSizeAnchor xmlns:cdr="http://schemas.openxmlformats.org/drawingml/2006/chartDrawing">
    <cdr:from>
      <cdr:x>0</cdr:x>
      <cdr:y>0</cdr:y>
    </cdr:from>
    <cdr:to>
      <cdr:x>0.10228</cdr:x>
      <cdr:y>0.08812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0" y="0"/>
          <a:ext cx="190500" cy="14747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>
          <a:spAutoFit/>
        </a:bodyPr>
        <a:lstStyle xmlns:a="http://schemas.openxmlformats.org/drawingml/2006/main"/>
        <a:p xmlns:a="http://schemas.openxmlformats.org/drawingml/2006/main">
          <a:r>
            <a:rPr lang="en-US" sz="1000" b="1">
              <a:latin typeface="Arial" panose="020B0604020202020204" pitchFamily="34" charset="0"/>
              <a:cs typeface="Arial" panose="020B0604020202020204" pitchFamily="34" charset="0"/>
            </a:rPr>
            <a:t>(a)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5.2029E-7</cdr:x>
      <cdr:y>0.09511</cdr:y>
    </cdr:from>
    <cdr:to>
      <cdr:x>0.1343</cdr:x>
      <cdr:y>0.88168</cdr:y>
    </cdr:to>
    <cdr:sp macro="" textlink="">
      <cdr:nvSpPr>
        <cdr:cNvPr id="2" name="TextBox 1"/>
        <cdr:cNvSpPr txBox="1"/>
      </cdr:nvSpPr>
      <cdr:spPr>
        <a:xfrm xmlns:a="http://schemas.openxmlformats.org/drawingml/2006/main" rot="16200000">
          <a:off x="-499824" y="651909"/>
          <a:ext cx="1257773" cy="2581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36000" rtlCol="0">
          <a:noAutofit/>
        </a:bodyPr>
        <a:lstStyle xmlns:a="http://schemas.openxmlformats.org/drawingml/2006/main"/>
        <a:p xmlns:a="http://schemas.openxmlformats.org/drawingml/2006/main">
          <a:r>
            <a:rPr lang="en-US" sz="1000" b="1">
              <a:latin typeface="Arial" panose="020B0604020202020204" pitchFamily="34" charset="0"/>
              <a:cs typeface="Arial" panose="020B0604020202020204" pitchFamily="34" charset="0"/>
            </a:rPr>
            <a:t>Concentration [at.%]</a:t>
          </a:r>
        </a:p>
      </cdr:txBody>
    </cdr:sp>
  </cdr:relSizeAnchor>
  <cdr:relSizeAnchor xmlns:cdr="http://schemas.openxmlformats.org/drawingml/2006/chartDrawing">
    <cdr:from>
      <cdr:x>0.22697</cdr:x>
      <cdr:y>0.91188</cdr:y>
    </cdr:from>
    <cdr:to>
      <cdr:x>0.97492</cdr:x>
      <cdr:y>1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422724" y="1526128"/>
          <a:ext cx="1393031" cy="14747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>
          <a:spAutoFit/>
        </a:bodyPr>
        <a:lstStyle xmlns:a="http://schemas.openxmlformats.org/drawingml/2006/main"/>
        <a:p xmlns:a="http://schemas.openxmlformats.org/drawingml/2006/main">
          <a:r>
            <a:rPr lang="en-US" sz="1000" b="1">
              <a:latin typeface="Arial" panose="020B0604020202020204" pitchFamily="34" charset="0"/>
              <a:cs typeface="Arial" panose="020B0604020202020204" pitchFamily="34" charset="0"/>
            </a:rPr>
            <a:t>Depth</a:t>
          </a:r>
          <a:r>
            <a:rPr lang="en-US" sz="1000" b="1" baseline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n-US" sz="1000" b="1">
              <a:latin typeface="Arial" panose="020B0604020202020204" pitchFamily="34" charset="0"/>
              <a:cs typeface="Arial" panose="020B0604020202020204" pitchFamily="34" charset="0"/>
            </a:rPr>
            <a:t>[nm] (vs. Ta</a:t>
          </a:r>
          <a:r>
            <a:rPr lang="en-US" sz="1000" b="1" baseline="-25000">
              <a:latin typeface="Arial" panose="020B0604020202020204" pitchFamily="34" charset="0"/>
              <a:cs typeface="Arial" panose="020B0604020202020204" pitchFamily="34" charset="0"/>
            </a:rPr>
            <a:t>2</a:t>
          </a:r>
          <a:r>
            <a:rPr lang="en-US" sz="1000" b="1">
              <a:latin typeface="Arial" panose="020B0604020202020204" pitchFamily="34" charset="0"/>
              <a:cs typeface="Arial" panose="020B0604020202020204" pitchFamily="34" charset="0"/>
            </a:rPr>
            <a:t>O</a:t>
          </a:r>
          <a:r>
            <a:rPr lang="en-US" sz="1000" b="1" baseline="-25000">
              <a:latin typeface="Arial" panose="020B0604020202020204" pitchFamily="34" charset="0"/>
              <a:cs typeface="Arial" panose="020B0604020202020204" pitchFamily="34" charset="0"/>
            </a:rPr>
            <a:t>5</a:t>
          </a:r>
          <a:r>
            <a:rPr lang="en-US" sz="1000" b="1">
              <a:latin typeface="Arial" panose="020B0604020202020204" pitchFamily="34" charset="0"/>
              <a:cs typeface="Arial" panose="020B0604020202020204" pitchFamily="34" charset="0"/>
            </a:rPr>
            <a:t>)</a:t>
          </a:r>
        </a:p>
      </cdr:txBody>
    </cdr:sp>
  </cdr:relSizeAnchor>
  <cdr:relSizeAnchor xmlns:cdr="http://schemas.openxmlformats.org/drawingml/2006/chartDrawing">
    <cdr:from>
      <cdr:x>0.74293</cdr:x>
      <cdr:y>0.16004</cdr:y>
    </cdr:from>
    <cdr:to>
      <cdr:x>0.90459</cdr:x>
      <cdr:y>0.34906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1383695" y="267841"/>
          <a:ext cx="301089" cy="316342"/>
        </a:xfrm>
        <a:prstGeom xmlns:a="http://schemas.openxmlformats.org/drawingml/2006/main" prst="rect">
          <a:avLst/>
        </a:prstGeom>
        <a:solidFill xmlns:a="http://schemas.openxmlformats.org/drawingml/2006/main">
          <a:schemeClr val="tx1">
            <a:lumMod val="75000"/>
            <a:lumOff val="25000"/>
          </a:schemeClr>
        </a:solidFill>
        <a:ln xmlns:a="http://schemas.openxmlformats.org/drawingml/2006/main">
          <a:solidFill>
            <a:sysClr val="windowText" lastClr="000000"/>
          </a:solidFill>
        </a:ln>
      </cdr:spPr>
      <cdr:txBody>
        <a:bodyPr xmlns:a="http://schemas.openxmlformats.org/drawingml/2006/main" vertOverflow="clip" wrap="square" lIns="0" tIns="36000" rIns="0" bIns="36000" rtlCol="0" anchor="ctr" anchorCtr="0">
          <a:noAutofit/>
        </a:bodyPr>
        <a:lstStyle xmlns:a="http://schemas.openxmlformats.org/drawingml/2006/main"/>
        <a:p xmlns:a="http://schemas.openxmlformats.org/drawingml/2006/main">
          <a:pPr algn="ctr"/>
          <a:r>
            <a:rPr lang="en-US" sz="10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C</a:t>
          </a:r>
        </a:p>
      </cdr:txBody>
    </cdr:sp>
  </cdr:relSizeAnchor>
  <cdr:relSizeAnchor xmlns:cdr="http://schemas.openxmlformats.org/drawingml/2006/chartDrawing">
    <cdr:from>
      <cdr:x>0</cdr:x>
      <cdr:y>0</cdr:y>
    </cdr:from>
    <cdr:to>
      <cdr:x>0.10228</cdr:x>
      <cdr:y>0.08812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0" y="0"/>
          <a:ext cx="190500" cy="14747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>
          <a:spAutoFit/>
        </a:bodyPr>
        <a:lstStyle xmlns:a="http://schemas.openxmlformats.org/drawingml/2006/main"/>
        <a:p xmlns:a="http://schemas.openxmlformats.org/drawingml/2006/main">
          <a:r>
            <a:rPr lang="en-US" sz="1000" b="1">
              <a:latin typeface="Arial" panose="020B0604020202020204" pitchFamily="34" charset="0"/>
              <a:cs typeface="Arial" panose="020B0604020202020204" pitchFamily="34" charset="0"/>
            </a:rPr>
            <a:t>(c)</a:t>
          </a: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</cdr:x>
      <cdr:y>0.09856</cdr:y>
    </cdr:from>
    <cdr:to>
      <cdr:x>0.1343</cdr:x>
      <cdr:y>0.93269</cdr:y>
    </cdr:to>
    <cdr:sp macro="" textlink="">
      <cdr:nvSpPr>
        <cdr:cNvPr id="2" name="TextBox 1"/>
        <cdr:cNvSpPr txBox="1"/>
      </cdr:nvSpPr>
      <cdr:spPr>
        <a:xfrm xmlns:a="http://schemas.openxmlformats.org/drawingml/2006/main" rot="16200000">
          <a:off x="-572751" y="737700"/>
          <a:ext cx="1396002" cy="2504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36000" rtlCol="0">
          <a:noAutofit/>
        </a:bodyPr>
        <a:lstStyle xmlns:a="http://schemas.openxmlformats.org/drawingml/2006/main"/>
        <a:p xmlns:a="http://schemas.openxmlformats.org/drawingml/2006/main">
          <a:r>
            <a:rPr lang="en-US" sz="1000" b="1">
              <a:latin typeface="Arial" panose="020B0604020202020204" pitchFamily="34" charset="0"/>
              <a:cs typeface="Arial" panose="020B0604020202020204" pitchFamily="34" charset="0"/>
            </a:rPr>
            <a:t>Rel. concentration [%]</a:t>
          </a:r>
        </a:p>
      </cdr:txBody>
    </cdr:sp>
  </cdr:relSizeAnchor>
  <cdr:relSizeAnchor xmlns:cdr="http://schemas.openxmlformats.org/drawingml/2006/chartDrawing">
    <cdr:from>
      <cdr:x>0.22697</cdr:x>
      <cdr:y>0.91188</cdr:y>
    </cdr:from>
    <cdr:to>
      <cdr:x>0.97492</cdr:x>
      <cdr:y>1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422724" y="1526128"/>
          <a:ext cx="1393031" cy="14747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>
          <a:spAutoFit/>
        </a:bodyPr>
        <a:lstStyle xmlns:a="http://schemas.openxmlformats.org/drawingml/2006/main"/>
        <a:p xmlns:a="http://schemas.openxmlformats.org/drawingml/2006/main">
          <a:r>
            <a:rPr lang="en-US" sz="1000" b="1">
              <a:latin typeface="Arial" panose="020B0604020202020204" pitchFamily="34" charset="0"/>
              <a:cs typeface="Arial" panose="020B0604020202020204" pitchFamily="34" charset="0"/>
            </a:rPr>
            <a:t>Depth</a:t>
          </a:r>
          <a:r>
            <a:rPr lang="en-US" sz="1000" b="1" baseline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n-US" sz="1000" b="1">
              <a:latin typeface="Arial" panose="020B0604020202020204" pitchFamily="34" charset="0"/>
              <a:cs typeface="Arial" panose="020B0604020202020204" pitchFamily="34" charset="0"/>
            </a:rPr>
            <a:t>[nm] (vs. Ta</a:t>
          </a:r>
          <a:r>
            <a:rPr lang="en-US" sz="1000" b="1" baseline="-25000">
              <a:latin typeface="Arial" panose="020B0604020202020204" pitchFamily="34" charset="0"/>
              <a:cs typeface="Arial" panose="020B0604020202020204" pitchFamily="34" charset="0"/>
            </a:rPr>
            <a:t>2</a:t>
          </a:r>
          <a:r>
            <a:rPr lang="en-US" sz="1000" b="1">
              <a:latin typeface="Arial" panose="020B0604020202020204" pitchFamily="34" charset="0"/>
              <a:cs typeface="Arial" panose="020B0604020202020204" pitchFamily="34" charset="0"/>
            </a:rPr>
            <a:t>O</a:t>
          </a:r>
          <a:r>
            <a:rPr lang="en-US" sz="1000" b="1" baseline="-25000">
              <a:latin typeface="Arial" panose="020B0604020202020204" pitchFamily="34" charset="0"/>
              <a:cs typeface="Arial" panose="020B0604020202020204" pitchFamily="34" charset="0"/>
            </a:rPr>
            <a:t>5</a:t>
          </a:r>
          <a:r>
            <a:rPr lang="en-US" sz="1000" b="1">
              <a:latin typeface="Arial" panose="020B0604020202020204" pitchFamily="34" charset="0"/>
              <a:cs typeface="Arial" panose="020B0604020202020204" pitchFamily="34" charset="0"/>
            </a:rPr>
            <a:t>)</a:t>
          </a:r>
        </a:p>
      </cdr:txBody>
    </cdr:sp>
  </cdr:relSizeAnchor>
  <cdr:relSizeAnchor xmlns:cdr="http://schemas.openxmlformats.org/drawingml/2006/chartDrawing">
    <cdr:from>
      <cdr:x>0.74293</cdr:x>
      <cdr:y>0.57157</cdr:y>
    </cdr:from>
    <cdr:to>
      <cdr:x>0.90459</cdr:x>
      <cdr:y>0.76059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1385730" y="956575"/>
          <a:ext cx="301532" cy="316344"/>
        </a:xfrm>
        <a:prstGeom xmlns:a="http://schemas.openxmlformats.org/drawingml/2006/main" prst="rect">
          <a:avLst/>
        </a:prstGeom>
        <a:solidFill xmlns:a="http://schemas.openxmlformats.org/drawingml/2006/main">
          <a:srgbClr val="83F504"/>
        </a:solidFill>
        <a:ln xmlns:a="http://schemas.openxmlformats.org/drawingml/2006/main">
          <a:solidFill>
            <a:sysClr val="windowText" lastClr="000000"/>
          </a:solidFill>
        </a:ln>
      </cdr:spPr>
      <cdr:txBody>
        <a:bodyPr xmlns:a="http://schemas.openxmlformats.org/drawingml/2006/main" vertOverflow="clip" wrap="square" lIns="0" tIns="36000" rIns="0" bIns="36000" rtlCol="0" anchor="ctr" anchorCtr="0">
          <a:noAutofit/>
        </a:bodyPr>
        <a:lstStyle xmlns:a="http://schemas.openxmlformats.org/drawingml/2006/main"/>
        <a:p xmlns:a="http://schemas.openxmlformats.org/drawingml/2006/main">
          <a:pPr algn="ctr"/>
          <a:r>
            <a:rPr lang="en-US" sz="10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F</a:t>
          </a:r>
        </a:p>
      </cdr:txBody>
    </cdr:sp>
  </cdr:relSizeAnchor>
  <cdr:relSizeAnchor xmlns:cdr="http://schemas.openxmlformats.org/drawingml/2006/chartDrawing">
    <cdr:from>
      <cdr:x>0</cdr:x>
      <cdr:y>0</cdr:y>
    </cdr:from>
    <cdr:to>
      <cdr:x>0.10228</cdr:x>
      <cdr:y>0.08812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0" y="0"/>
          <a:ext cx="190500" cy="14747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>
          <a:spAutoFit/>
        </a:bodyPr>
        <a:lstStyle xmlns:a="http://schemas.openxmlformats.org/drawingml/2006/main"/>
        <a:p xmlns:a="http://schemas.openxmlformats.org/drawingml/2006/main">
          <a:r>
            <a:rPr lang="en-US" sz="1000" b="1">
              <a:latin typeface="Arial" panose="020B0604020202020204" pitchFamily="34" charset="0"/>
              <a:cs typeface="Arial" panose="020B0604020202020204" pitchFamily="34" charset="0"/>
            </a:rPr>
            <a:t>(d)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</cdr:x>
      <cdr:y>0.10547</cdr:y>
    </cdr:from>
    <cdr:to>
      <cdr:x>0.1343</cdr:x>
      <cdr:y>0.93688</cdr:y>
    </cdr:to>
    <cdr:sp macro="" textlink="">
      <cdr:nvSpPr>
        <cdr:cNvPr id="2" name="TextBox 1"/>
        <cdr:cNvSpPr txBox="1"/>
      </cdr:nvSpPr>
      <cdr:spPr>
        <a:xfrm xmlns:a="http://schemas.openxmlformats.org/drawingml/2006/main" rot="16200000">
          <a:off x="-570473" y="746987"/>
          <a:ext cx="1391446" cy="2504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36000" rtlCol="0">
          <a:noAutofit/>
        </a:bodyPr>
        <a:lstStyle xmlns:a="http://schemas.openxmlformats.org/drawingml/2006/main"/>
        <a:p xmlns:a="http://schemas.openxmlformats.org/drawingml/2006/main">
          <a:r>
            <a:rPr lang="en-US" sz="1000" b="1">
              <a:latin typeface="Arial" panose="020B0604020202020204" pitchFamily="34" charset="0"/>
              <a:cs typeface="Arial" panose="020B0604020202020204" pitchFamily="34" charset="0"/>
            </a:rPr>
            <a:t>Rel. concentration [%]</a:t>
          </a:r>
        </a:p>
      </cdr:txBody>
    </cdr:sp>
  </cdr:relSizeAnchor>
  <cdr:relSizeAnchor xmlns:cdr="http://schemas.openxmlformats.org/drawingml/2006/chartDrawing">
    <cdr:from>
      <cdr:x>0.22697</cdr:x>
      <cdr:y>0.91188</cdr:y>
    </cdr:from>
    <cdr:to>
      <cdr:x>0.97492</cdr:x>
      <cdr:y>1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422724" y="1526128"/>
          <a:ext cx="1393031" cy="14747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>
          <a:spAutoFit/>
        </a:bodyPr>
        <a:lstStyle xmlns:a="http://schemas.openxmlformats.org/drawingml/2006/main"/>
        <a:p xmlns:a="http://schemas.openxmlformats.org/drawingml/2006/main">
          <a:r>
            <a:rPr lang="en-US" sz="1000" b="1">
              <a:latin typeface="Arial" panose="020B0604020202020204" pitchFamily="34" charset="0"/>
              <a:cs typeface="Arial" panose="020B0604020202020204" pitchFamily="34" charset="0"/>
            </a:rPr>
            <a:t>Depth</a:t>
          </a:r>
          <a:r>
            <a:rPr lang="en-US" sz="1000" b="1" baseline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n-US" sz="1000" b="1">
              <a:latin typeface="Arial" panose="020B0604020202020204" pitchFamily="34" charset="0"/>
              <a:cs typeface="Arial" panose="020B0604020202020204" pitchFamily="34" charset="0"/>
            </a:rPr>
            <a:t>[nm] (vs. Ta</a:t>
          </a:r>
          <a:r>
            <a:rPr lang="en-US" sz="1000" b="1" baseline="-25000">
              <a:latin typeface="Arial" panose="020B0604020202020204" pitchFamily="34" charset="0"/>
              <a:cs typeface="Arial" panose="020B0604020202020204" pitchFamily="34" charset="0"/>
            </a:rPr>
            <a:t>2</a:t>
          </a:r>
          <a:r>
            <a:rPr lang="en-US" sz="1000" b="1">
              <a:latin typeface="Arial" panose="020B0604020202020204" pitchFamily="34" charset="0"/>
              <a:cs typeface="Arial" panose="020B0604020202020204" pitchFamily="34" charset="0"/>
            </a:rPr>
            <a:t>O</a:t>
          </a:r>
          <a:r>
            <a:rPr lang="en-US" sz="1000" b="1" baseline="-25000">
              <a:latin typeface="Arial" panose="020B0604020202020204" pitchFamily="34" charset="0"/>
              <a:cs typeface="Arial" panose="020B0604020202020204" pitchFamily="34" charset="0"/>
            </a:rPr>
            <a:t>5</a:t>
          </a:r>
          <a:r>
            <a:rPr lang="en-US" sz="1000" b="1">
              <a:latin typeface="Arial" panose="020B0604020202020204" pitchFamily="34" charset="0"/>
              <a:cs typeface="Arial" panose="020B0604020202020204" pitchFamily="34" charset="0"/>
            </a:rPr>
            <a:t>)</a:t>
          </a:r>
        </a:p>
      </cdr:txBody>
    </cdr:sp>
  </cdr:relSizeAnchor>
  <cdr:relSizeAnchor xmlns:cdr="http://schemas.openxmlformats.org/drawingml/2006/chartDrawing">
    <cdr:from>
      <cdr:x>0.74293</cdr:x>
      <cdr:y>0.57594</cdr:y>
    </cdr:from>
    <cdr:to>
      <cdr:x>0.90459</cdr:x>
      <cdr:y>0.76496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1385729" y="963902"/>
          <a:ext cx="301532" cy="316344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75000"/>
          </a:schemeClr>
        </a:solidFill>
        <a:ln xmlns:a="http://schemas.openxmlformats.org/drawingml/2006/main">
          <a:solidFill>
            <a:sysClr val="windowText" lastClr="000000"/>
          </a:solidFill>
        </a:ln>
      </cdr:spPr>
      <cdr:txBody>
        <a:bodyPr xmlns:a="http://schemas.openxmlformats.org/drawingml/2006/main" vertOverflow="clip" wrap="square" lIns="0" tIns="36000" rIns="0" bIns="36000" rtlCol="0" anchor="ctr" anchorCtr="0">
          <a:noAutofit/>
        </a:bodyPr>
        <a:lstStyle xmlns:a="http://schemas.openxmlformats.org/drawingml/2006/main"/>
        <a:p xmlns:a="http://schemas.openxmlformats.org/drawingml/2006/main">
          <a:pPr algn="ctr"/>
          <a:r>
            <a:rPr lang="en-US" sz="10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Ag</a:t>
          </a:r>
        </a:p>
      </cdr:txBody>
    </cdr:sp>
  </cdr:relSizeAnchor>
  <cdr:relSizeAnchor xmlns:cdr="http://schemas.openxmlformats.org/drawingml/2006/chartDrawing">
    <cdr:from>
      <cdr:x>0</cdr:x>
      <cdr:y>0</cdr:y>
    </cdr:from>
    <cdr:to>
      <cdr:x>0.10228</cdr:x>
      <cdr:y>0.08812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0" y="0"/>
          <a:ext cx="190500" cy="14747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>
          <a:spAutoFit/>
        </a:bodyPr>
        <a:lstStyle xmlns:a="http://schemas.openxmlformats.org/drawingml/2006/main"/>
        <a:p xmlns:a="http://schemas.openxmlformats.org/drawingml/2006/main">
          <a:r>
            <a:rPr lang="en-US" sz="1000" b="1">
              <a:latin typeface="Arial" panose="020B0604020202020204" pitchFamily="34" charset="0"/>
              <a:cs typeface="Arial" panose="020B0604020202020204" pitchFamily="34" charset="0"/>
            </a:rPr>
            <a:t>(e)</a:t>
          </a: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5.3822E-7</cdr:x>
      <cdr:y>0.09511</cdr:y>
    </cdr:from>
    <cdr:to>
      <cdr:x>0.1343</cdr:x>
      <cdr:y>0.91708</cdr:y>
    </cdr:to>
    <cdr:sp macro="" textlink="">
      <cdr:nvSpPr>
        <cdr:cNvPr id="2" name="TextBox 1"/>
        <cdr:cNvSpPr txBox="1"/>
      </cdr:nvSpPr>
      <cdr:spPr>
        <a:xfrm xmlns:a="http://schemas.openxmlformats.org/drawingml/2006/main" rot="16200000">
          <a:off x="-563063" y="722239"/>
          <a:ext cx="1375654" cy="2495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36000" rtlCol="0">
          <a:noAutofit/>
        </a:bodyPr>
        <a:lstStyle xmlns:a="http://schemas.openxmlformats.org/drawingml/2006/main"/>
        <a:p xmlns:a="http://schemas.openxmlformats.org/drawingml/2006/main">
          <a:r>
            <a:rPr lang="en-US" sz="1000" b="1">
              <a:latin typeface="Arial" panose="020B0604020202020204" pitchFamily="34" charset="0"/>
              <a:cs typeface="Arial" panose="020B0604020202020204" pitchFamily="34" charset="0"/>
            </a:rPr>
            <a:t>Rel. concentration [%]</a:t>
          </a:r>
        </a:p>
      </cdr:txBody>
    </cdr:sp>
  </cdr:relSizeAnchor>
  <cdr:relSizeAnchor xmlns:cdr="http://schemas.openxmlformats.org/drawingml/2006/chartDrawing">
    <cdr:from>
      <cdr:x>0.22697</cdr:x>
      <cdr:y>0.91188</cdr:y>
    </cdr:from>
    <cdr:to>
      <cdr:x>0.97492</cdr:x>
      <cdr:y>1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422724" y="1526128"/>
          <a:ext cx="1393031" cy="14747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>
          <a:spAutoFit/>
        </a:bodyPr>
        <a:lstStyle xmlns:a="http://schemas.openxmlformats.org/drawingml/2006/main"/>
        <a:p xmlns:a="http://schemas.openxmlformats.org/drawingml/2006/main">
          <a:r>
            <a:rPr lang="en-US" sz="1000" b="1">
              <a:latin typeface="Arial" panose="020B0604020202020204" pitchFamily="34" charset="0"/>
              <a:cs typeface="Arial" panose="020B0604020202020204" pitchFamily="34" charset="0"/>
            </a:rPr>
            <a:t>Depth</a:t>
          </a:r>
          <a:r>
            <a:rPr lang="en-US" sz="1000" b="1" baseline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n-US" sz="1000" b="1">
              <a:latin typeface="Arial" panose="020B0604020202020204" pitchFamily="34" charset="0"/>
              <a:cs typeface="Arial" panose="020B0604020202020204" pitchFamily="34" charset="0"/>
            </a:rPr>
            <a:t>[nm] (vs. Ta</a:t>
          </a:r>
          <a:r>
            <a:rPr lang="en-US" sz="1000" b="1" baseline="-25000">
              <a:latin typeface="Arial" panose="020B0604020202020204" pitchFamily="34" charset="0"/>
              <a:cs typeface="Arial" panose="020B0604020202020204" pitchFamily="34" charset="0"/>
            </a:rPr>
            <a:t>2</a:t>
          </a:r>
          <a:r>
            <a:rPr lang="en-US" sz="1000" b="1">
              <a:latin typeface="Arial" panose="020B0604020202020204" pitchFamily="34" charset="0"/>
              <a:cs typeface="Arial" panose="020B0604020202020204" pitchFamily="34" charset="0"/>
            </a:rPr>
            <a:t>O</a:t>
          </a:r>
          <a:r>
            <a:rPr lang="en-US" sz="1000" b="1" baseline="-25000">
              <a:latin typeface="Arial" panose="020B0604020202020204" pitchFamily="34" charset="0"/>
              <a:cs typeface="Arial" panose="020B0604020202020204" pitchFamily="34" charset="0"/>
            </a:rPr>
            <a:t>5</a:t>
          </a:r>
          <a:r>
            <a:rPr lang="en-US" sz="1000" b="1">
              <a:latin typeface="Arial" panose="020B0604020202020204" pitchFamily="34" charset="0"/>
              <a:cs typeface="Arial" panose="020B0604020202020204" pitchFamily="34" charset="0"/>
            </a:rPr>
            <a:t>)</a:t>
          </a:r>
        </a:p>
      </cdr:txBody>
    </cdr:sp>
  </cdr:relSizeAnchor>
  <cdr:relSizeAnchor xmlns:cdr="http://schemas.openxmlformats.org/drawingml/2006/chartDrawing">
    <cdr:from>
      <cdr:x>0.74293</cdr:x>
      <cdr:y>0.59346</cdr:y>
    </cdr:from>
    <cdr:to>
      <cdr:x>0.90459</cdr:x>
      <cdr:y>0.78247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1380346" y="993209"/>
          <a:ext cx="300361" cy="316344"/>
        </a:xfrm>
        <a:prstGeom xmlns:a="http://schemas.openxmlformats.org/drawingml/2006/main" prst="rect">
          <a:avLst/>
        </a:prstGeom>
        <a:solidFill xmlns:a="http://schemas.openxmlformats.org/drawingml/2006/main">
          <a:schemeClr val="tx1">
            <a:lumMod val="75000"/>
            <a:lumOff val="25000"/>
          </a:schemeClr>
        </a:solidFill>
        <a:ln xmlns:a="http://schemas.openxmlformats.org/drawingml/2006/main">
          <a:solidFill>
            <a:sysClr val="windowText" lastClr="000000"/>
          </a:solidFill>
        </a:ln>
      </cdr:spPr>
      <cdr:txBody>
        <a:bodyPr xmlns:a="http://schemas.openxmlformats.org/drawingml/2006/main" vertOverflow="clip" wrap="square" lIns="0" tIns="36000" rIns="0" bIns="36000" rtlCol="0" anchor="ctr" anchorCtr="0">
          <a:noAutofit/>
        </a:bodyPr>
        <a:lstStyle xmlns:a="http://schemas.openxmlformats.org/drawingml/2006/main"/>
        <a:p xmlns:a="http://schemas.openxmlformats.org/drawingml/2006/main">
          <a:pPr algn="ctr"/>
          <a:r>
            <a:rPr lang="en-US" sz="10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C</a:t>
          </a:r>
        </a:p>
      </cdr:txBody>
    </cdr:sp>
  </cdr:relSizeAnchor>
  <cdr:relSizeAnchor xmlns:cdr="http://schemas.openxmlformats.org/drawingml/2006/chartDrawing">
    <cdr:from>
      <cdr:x>0</cdr:x>
      <cdr:y>0</cdr:y>
    </cdr:from>
    <cdr:to>
      <cdr:x>0.10228</cdr:x>
      <cdr:y>0.08812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0" y="0"/>
          <a:ext cx="190500" cy="14747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>
          <a:spAutoFit/>
        </a:bodyPr>
        <a:lstStyle xmlns:a="http://schemas.openxmlformats.org/drawingml/2006/main"/>
        <a:p xmlns:a="http://schemas.openxmlformats.org/drawingml/2006/main">
          <a:r>
            <a:rPr lang="en-US" sz="1000" b="1">
              <a:latin typeface="Arial" panose="020B0604020202020204" pitchFamily="34" charset="0"/>
              <a:cs typeface="Arial" panose="020B0604020202020204" pitchFamily="34" charset="0"/>
            </a:rPr>
            <a:t>(f)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482100</xdr:colOff>
      <xdr:row>0</xdr:row>
      <xdr:rowOff>133083</xdr:rowOff>
    </xdr:from>
    <xdr:to>
      <xdr:col>6</xdr:col>
      <xdr:colOff>522918</xdr:colOff>
      <xdr:row>9</xdr:row>
      <xdr:rowOff>92187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158183</xdr:colOff>
      <xdr:row>0</xdr:row>
      <xdr:rowOff>100426</xdr:rowOff>
    </xdr:from>
    <xdr:to>
      <xdr:col>3</xdr:col>
      <xdr:colOff>199002</xdr:colOff>
      <xdr:row>9</xdr:row>
      <xdr:rowOff>59530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160735</xdr:colOff>
      <xdr:row>0</xdr:row>
      <xdr:rowOff>100426</xdr:rowOff>
    </xdr:from>
    <xdr:to>
      <xdr:col>9</xdr:col>
      <xdr:colOff>177741</xdr:colOff>
      <xdr:row>9</xdr:row>
      <xdr:rowOff>59530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7B1EF6-FDE4-41CA-B132-249E46E597F1}">
  <dimension ref="A1:G30"/>
  <sheetViews>
    <sheetView tabSelected="1" workbookViewId="0">
      <selection activeCell="K9" sqref="K9"/>
    </sheetView>
  </sheetViews>
  <sheetFormatPr defaultRowHeight="15" x14ac:dyDescent="0.25"/>
  <cols>
    <col min="1" max="1" width="20.7109375" customWidth="1"/>
    <col min="2" max="2" width="11.42578125" customWidth="1"/>
    <col min="3" max="3" width="34.5703125" customWidth="1"/>
    <col min="4" max="4" width="13" customWidth="1"/>
    <col min="5" max="5" width="12.85546875" customWidth="1"/>
  </cols>
  <sheetData>
    <row r="1" spans="1:7" x14ac:dyDescent="0.25">
      <c r="A1" s="2" t="s">
        <v>348</v>
      </c>
    </row>
    <row r="2" spans="1:7" x14ac:dyDescent="0.25">
      <c r="A2" t="s">
        <v>349</v>
      </c>
      <c r="B2" t="s">
        <v>350</v>
      </c>
      <c r="C2" t="s">
        <v>351</v>
      </c>
      <c r="D2" t="s">
        <v>352</v>
      </c>
      <c r="E2" t="s">
        <v>51</v>
      </c>
    </row>
    <row r="3" spans="1:7" x14ac:dyDescent="0.25">
      <c r="A3" t="s">
        <v>353</v>
      </c>
      <c r="B3" t="s">
        <v>354</v>
      </c>
      <c r="C3" s="13">
        <v>8.3145000000000007</v>
      </c>
    </row>
    <row r="4" spans="1:7" x14ac:dyDescent="0.25">
      <c r="A4" t="s">
        <v>355</v>
      </c>
      <c r="B4" t="s">
        <v>356</v>
      </c>
      <c r="C4" s="3">
        <v>96485.3321</v>
      </c>
    </row>
    <row r="5" spans="1:7" x14ac:dyDescent="0.25">
      <c r="A5" t="s">
        <v>357</v>
      </c>
      <c r="B5" t="s">
        <v>358</v>
      </c>
      <c r="C5">
        <v>273.14999999999998</v>
      </c>
    </row>
    <row r="6" spans="1:7" x14ac:dyDescent="0.25">
      <c r="A6" t="s">
        <v>359</v>
      </c>
      <c r="B6" t="s">
        <v>360</v>
      </c>
      <c r="C6">
        <v>101325</v>
      </c>
    </row>
    <row r="8" spans="1:7" x14ac:dyDescent="0.25">
      <c r="A8" s="2" t="s">
        <v>361</v>
      </c>
    </row>
    <row r="9" spans="1:7" x14ac:dyDescent="0.25">
      <c r="A9" t="s">
        <v>362</v>
      </c>
      <c r="B9" t="s">
        <v>363</v>
      </c>
      <c r="C9">
        <v>3.8</v>
      </c>
    </row>
    <row r="10" spans="1:7" x14ac:dyDescent="0.25">
      <c r="A10" t="s">
        <v>364</v>
      </c>
      <c r="B10" t="s">
        <v>365</v>
      </c>
      <c r="C10">
        <v>20</v>
      </c>
    </row>
    <row r="11" spans="1:7" x14ac:dyDescent="0.25">
      <c r="A11" t="s">
        <v>392</v>
      </c>
      <c r="B11" t="s">
        <v>360</v>
      </c>
      <c r="C11">
        <f>1.4*10^5</f>
        <v>140000</v>
      </c>
    </row>
    <row r="12" spans="1:7" x14ac:dyDescent="0.25">
      <c r="A12" t="s">
        <v>367</v>
      </c>
      <c r="B12" t="s">
        <v>368</v>
      </c>
      <c r="C12">
        <v>50</v>
      </c>
    </row>
    <row r="14" spans="1:7" x14ac:dyDescent="0.25">
      <c r="A14" s="2" t="s">
        <v>369</v>
      </c>
      <c r="E14" t="s">
        <v>370</v>
      </c>
    </row>
    <row r="15" spans="1:7" x14ac:dyDescent="0.25">
      <c r="A15" t="s">
        <v>349</v>
      </c>
      <c r="B15" t="s">
        <v>350</v>
      </c>
      <c r="C15" t="s">
        <v>351</v>
      </c>
      <c r="E15" t="s">
        <v>349</v>
      </c>
      <c r="F15" t="s">
        <v>350</v>
      </c>
      <c r="G15" t="s">
        <v>351</v>
      </c>
    </row>
    <row r="16" spans="1:7" x14ac:dyDescent="0.25">
      <c r="A16" t="s">
        <v>364</v>
      </c>
      <c r="B16" t="s">
        <v>365</v>
      </c>
      <c r="C16">
        <f>C10</f>
        <v>20</v>
      </c>
      <c r="E16" t="s">
        <v>371</v>
      </c>
      <c r="F16" t="s">
        <v>372</v>
      </c>
      <c r="G16">
        <v>11.683400000000001</v>
      </c>
    </row>
    <row r="17" spans="1:7" x14ac:dyDescent="0.25">
      <c r="A17" t="s">
        <v>373</v>
      </c>
      <c r="B17" t="s">
        <v>374</v>
      </c>
      <c r="C17" s="13">
        <f>G22</f>
        <v>2.3132352893727483E-2</v>
      </c>
      <c r="E17" t="s">
        <v>375</v>
      </c>
      <c r="F17" t="s">
        <v>372</v>
      </c>
      <c r="G17">
        <v>3816.44</v>
      </c>
    </row>
    <row r="18" spans="1:7" x14ac:dyDescent="0.25">
      <c r="A18" t="s">
        <v>376</v>
      </c>
      <c r="B18" t="s">
        <v>377</v>
      </c>
      <c r="C18" s="8">
        <v>0.85</v>
      </c>
      <c r="E18" t="s">
        <v>168</v>
      </c>
      <c r="F18" t="s">
        <v>372</v>
      </c>
      <c r="G18">
        <v>-46.13</v>
      </c>
    </row>
    <row r="19" spans="1:7" x14ac:dyDescent="0.25">
      <c r="A19" t="s">
        <v>378</v>
      </c>
      <c r="B19" t="s">
        <v>374</v>
      </c>
      <c r="C19" s="67">
        <f>C18*C17</f>
        <v>1.9662499959668359E-2</v>
      </c>
      <c r="E19" t="s">
        <v>379</v>
      </c>
      <c r="F19" t="s">
        <v>365</v>
      </c>
      <c r="G19">
        <v>11</v>
      </c>
    </row>
    <row r="20" spans="1:7" x14ac:dyDescent="0.25">
      <c r="A20" t="s">
        <v>380</v>
      </c>
      <c r="B20" t="s">
        <v>381</v>
      </c>
      <c r="C20" s="17">
        <f>C19/(C11*10^-5)</f>
        <v>1.4044642828334541E-2</v>
      </c>
      <c r="E20" t="s">
        <v>382</v>
      </c>
      <c r="F20" t="s">
        <v>365</v>
      </c>
      <c r="G20">
        <v>170</v>
      </c>
    </row>
    <row r="21" spans="1:7" x14ac:dyDescent="0.25">
      <c r="A21" t="s">
        <v>383</v>
      </c>
      <c r="B21" t="s">
        <v>384</v>
      </c>
      <c r="C21" s="1">
        <f>C20*C12/(1+C20)</f>
        <v>0.69250614002366606</v>
      </c>
      <c r="E21" t="s">
        <v>364</v>
      </c>
      <c r="F21" t="s">
        <v>365</v>
      </c>
      <c r="G21">
        <f>C16</f>
        <v>20</v>
      </c>
    </row>
    <row r="22" spans="1:7" x14ac:dyDescent="0.25">
      <c r="E22" t="s">
        <v>366</v>
      </c>
      <c r="F22" t="s">
        <v>374</v>
      </c>
      <c r="G22" s="13">
        <f>EXP(G16-(G17)/(G18+G21+273.15))</f>
        <v>2.3132352893727483E-2</v>
      </c>
    </row>
    <row r="24" spans="1:7" x14ac:dyDescent="0.25">
      <c r="A24" s="2" t="s">
        <v>385</v>
      </c>
    </row>
    <row r="25" spans="1:7" x14ac:dyDescent="0.25">
      <c r="A25" t="s">
        <v>386</v>
      </c>
      <c r="B25" t="s">
        <v>387</v>
      </c>
      <c r="C25" t="s">
        <v>388</v>
      </c>
      <c r="D25" t="s">
        <v>389</v>
      </c>
      <c r="E25" t="s">
        <v>390</v>
      </c>
    </row>
    <row r="26" spans="1:7" x14ac:dyDescent="0.25">
      <c r="A26" t="s">
        <v>391</v>
      </c>
      <c r="B26" t="s">
        <v>371</v>
      </c>
      <c r="C26" t="s">
        <v>368</v>
      </c>
      <c r="D26" t="s">
        <v>372</v>
      </c>
    </row>
    <row r="27" spans="1:7" x14ac:dyDescent="0.25">
      <c r="A27">
        <v>10</v>
      </c>
      <c r="B27">
        <f>A27*$C$9*0.001</f>
        <v>3.7999999999999999E-2</v>
      </c>
      <c r="C27" s="4">
        <f>B27/2/$C$4*$C$3*($C$5)/$C$6*60*10^6</f>
        <v>0.26482823457931942</v>
      </c>
      <c r="D27" s="1">
        <f>$C$12/C27</f>
        <v>188.80162109385796</v>
      </c>
      <c r="E27" s="1">
        <f>$C$21/C27</f>
        <v>2.6149256370783669</v>
      </c>
    </row>
    <row r="28" spans="1:7" x14ac:dyDescent="0.25">
      <c r="A28">
        <v>50</v>
      </c>
      <c r="B28">
        <f>A28*$C$9*0.001</f>
        <v>0.19</v>
      </c>
      <c r="C28" s="4">
        <f t="shared" ref="C28:C30" si="0">B28/2/$C$4*$C$3*($C$5)/$C$6*60*10^6</f>
        <v>1.3241411728965973</v>
      </c>
      <c r="D28" s="1">
        <f t="shared" ref="D28:D30" si="1">$C$12/C28</f>
        <v>37.760324218771586</v>
      </c>
      <c r="E28" s="1">
        <f t="shared" ref="E28:E30" si="2">$C$21/C28</f>
        <v>0.52298512741567338</v>
      </c>
    </row>
    <row r="29" spans="1:7" x14ac:dyDescent="0.25">
      <c r="A29">
        <v>100</v>
      </c>
      <c r="B29">
        <f>A29*$C$9*0.001</f>
        <v>0.38</v>
      </c>
      <c r="C29" s="4">
        <f t="shared" si="0"/>
        <v>2.6482823457931945</v>
      </c>
      <c r="D29" s="1">
        <f t="shared" si="1"/>
        <v>18.880162109385793</v>
      </c>
      <c r="E29" s="1">
        <f t="shared" si="2"/>
        <v>0.26149256370783669</v>
      </c>
    </row>
    <row r="30" spans="1:7" x14ac:dyDescent="0.25">
      <c r="A30">
        <v>200</v>
      </c>
      <c r="B30">
        <f>A30*$C$9*0.001</f>
        <v>0.76</v>
      </c>
      <c r="C30" s="4">
        <f t="shared" si="0"/>
        <v>5.2965646915863891</v>
      </c>
      <c r="D30" s="1">
        <f t="shared" si="1"/>
        <v>9.4400810546928966</v>
      </c>
      <c r="E30" s="1">
        <f t="shared" si="2"/>
        <v>0.13074628185391834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2"/>
  <sheetViews>
    <sheetView workbookViewId="0">
      <selection activeCell="B14" sqref="B14"/>
    </sheetView>
  </sheetViews>
  <sheetFormatPr defaultRowHeight="15" x14ac:dyDescent="0.25"/>
  <cols>
    <col min="1" max="1" width="25.42578125" customWidth="1"/>
    <col min="2" max="2" width="33.5703125" customWidth="1"/>
    <col min="3" max="3" width="13.5703125" customWidth="1"/>
    <col min="4" max="4" width="12" customWidth="1"/>
    <col min="5" max="5" width="24.85546875" customWidth="1"/>
    <col min="6" max="6" width="32.7109375" customWidth="1"/>
    <col min="7" max="7" width="21.5703125" customWidth="1"/>
    <col min="8" max="8" width="9.5703125" bestFit="1" customWidth="1"/>
    <col min="9" max="10" width="9.28515625" bestFit="1" customWidth="1"/>
    <col min="15" max="15" width="20.7109375" customWidth="1"/>
  </cols>
  <sheetData>
    <row r="1" spans="1:9" x14ac:dyDescent="0.25">
      <c r="A1" t="s">
        <v>175</v>
      </c>
    </row>
    <row r="2" spans="1:9" x14ac:dyDescent="0.25">
      <c r="A2" t="s">
        <v>232</v>
      </c>
    </row>
    <row r="3" spans="1:9" x14ac:dyDescent="0.25">
      <c r="A3" t="s">
        <v>226</v>
      </c>
      <c r="B3" s="2" t="s">
        <v>177</v>
      </c>
      <c r="C3" t="s">
        <v>171</v>
      </c>
      <c r="D3" s="2" t="s">
        <v>174</v>
      </c>
    </row>
    <row r="4" spans="1:9" x14ac:dyDescent="0.25">
      <c r="A4" t="s">
        <v>235</v>
      </c>
      <c r="B4" s="11">
        <f>F23</f>
        <v>149.28</v>
      </c>
      <c r="C4" s="1">
        <f>G23</f>
        <v>2.5013996082193701</v>
      </c>
      <c r="D4" s="12">
        <f>H23</f>
        <v>1.1186599125739707</v>
      </c>
    </row>
    <row r="5" spans="1:9" x14ac:dyDescent="0.25">
      <c r="A5" t="s">
        <v>236</v>
      </c>
      <c r="B5" s="11">
        <f>F18</f>
        <v>152.88</v>
      </c>
      <c r="C5" s="1">
        <f>G18</f>
        <v>1.9318385025669174</v>
      </c>
      <c r="D5" s="12">
        <f>H18</f>
        <v>0.8639444426582058</v>
      </c>
    </row>
    <row r="6" spans="1:9" x14ac:dyDescent="0.25">
      <c r="A6" t="s">
        <v>237</v>
      </c>
      <c r="B6" s="11">
        <f>F28</f>
        <v>122.86000000000001</v>
      </c>
      <c r="C6" s="1">
        <f>G28</f>
        <v>3.2631273343220877</v>
      </c>
      <c r="D6" s="12">
        <f>H28</f>
        <v>1.4593149077563741</v>
      </c>
    </row>
    <row r="7" spans="1:9" x14ac:dyDescent="0.25">
      <c r="A7" t="s">
        <v>225</v>
      </c>
      <c r="B7" s="11">
        <f>F37</f>
        <v>140.98000000000002</v>
      </c>
      <c r="C7" s="1">
        <f>G37</f>
        <v>2.8934408582170796</v>
      </c>
      <c r="D7" s="12">
        <f>H37</f>
        <v>1.2939860895697441</v>
      </c>
    </row>
    <row r="8" spans="1:9" x14ac:dyDescent="0.25">
      <c r="C8" s="3"/>
      <c r="D8" s="1"/>
      <c r="E8" s="1"/>
    </row>
    <row r="9" spans="1:9" x14ac:dyDescent="0.25">
      <c r="A9" t="s">
        <v>231</v>
      </c>
      <c r="E9" s="1"/>
    </row>
    <row r="10" spans="1:9" x14ac:dyDescent="0.25">
      <c r="A10" t="s">
        <v>226</v>
      </c>
      <c r="B10" s="2" t="s">
        <v>178</v>
      </c>
      <c r="C10" t="s">
        <v>171</v>
      </c>
      <c r="D10" s="2" t="s">
        <v>174</v>
      </c>
      <c r="E10" s="1"/>
    </row>
    <row r="11" spans="1:9" x14ac:dyDescent="0.25">
      <c r="A11" t="s">
        <v>233</v>
      </c>
      <c r="B11" s="11">
        <f>F45</f>
        <v>111.12</v>
      </c>
      <c r="C11" s="1">
        <f>G45</f>
        <v>9.503525661563712</v>
      </c>
      <c r="D11" s="12">
        <f>H45</f>
        <v>4.250105881034024</v>
      </c>
      <c r="E11" s="1"/>
    </row>
    <row r="12" spans="1:9" x14ac:dyDescent="0.25">
      <c r="A12" t="s">
        <v>234</v>
      </c>
      <c r="B12" s="11">
        <f>F53</f>
        <v>132.28</v>
      </c>
      <c r="C12" s="1">
        <f>G53</f>
        <v>5.9263629468484122</v>
      </c>
      <c r="D12" s="12">
        <f>H53</f>
        <v>1.8740805152868378</v>
      </c>
      <c r="E12" s="1"/>
    </row>
    <row r="13" spans="1:9" x14ac:dyDescent="0.25">
      <c r="C13" s="3"/>
      <c r="D13" s="1"/>
      <c r="E13" s="1"/>
    </row>
    <row r="14" spans="1:9" x14ac:dyDescent="0.25">
      <c r="A14" s="7"/>
      <c r="F14" s="7"/>
      <c r="H14" s="1"/>
      <c r="I14" s="1"/>
    </row>
    <row r="15" spans="1:9" x14ac:dyDescent="0.25">
      <c r="A15" s="6" t="s">
        <v>224</v>
      </c>
    </row>
    <row r="16" spans="1:9" s="9" customFormat="1" ht="15.75" thickBot="1" x14ac:dyDescent="0.3">
      <c r="A16" s="9" t="s">
        <v>230</v>
      </c>
    </row>
    <row r="17" spans="1:8" x14ac:dyDescent="0.25">
      <c r="A17" t="s">
        <v>176</v>
      </c>
      <c r="B17" t="s">
        <v>182</v>
      </c>
      <c r="C17" s="2" t="s">
        <v>183</v>
      </c>
      <c r="D17" t="s">
        <v>184</v>
      </c>
      <c r="E17" t="s">
        <v>185</v>
      </c>
      <c r="F17" t="s">
        <v>186</v>
      </c>
      <c r="G17" s="10" t="s">
        <v>171</v>
      </c>
      <c r="H17" s="10" t="s">
        <v>187</v>
      </c>
    </row>
    <row r="18" spans="1:8" x14ac:dyDescent="0.25">
      <c r="A18">
        <v>13</v>
      </c>
      <c r="B18" t="s">
        <v>188</v>
      </c>
      <c r="C18">
        <v>27.6</v>
      </c>
      <c r="D18">
        <f>180-C18</f>
        <v>152.4</v>
      </c>
      <c r="E18" t="s">
        <v>180</v>
      </c>
      <c r="F18" s="1">
        <f>AVERAGE(D18:D22)</f>
        <v>152.88</v>
      </c>
      <c r="G18" s="1">
        <f>_xlfn.STDEV.S(D18:D22)</f>
        <v>1.9318385025669174</v>
      </c>
      <c r="H18" s="1">
        <f>G18/SQRT(COUNT(D18:D22))</f>
        <v>0.8639444426582058</v>
      </c>
    </row>
    <row r="19" spans="1:8" x14ac:dyDescent="0.25">
      <c r="A19">
        <v>14</v>
      </c>
      <c r="B19" t="s">
        <v>189</v>
      </c>
      <c r="C19">
        <v>24.8</v>
      </c>
      <c r="D19">
        <f t="shared" ref="D19:D32" si="0">180-C19</f>
        <v>155.19999999999999</v>
      </c>
      <c r="E19" t="s">
        <v>180</v>
      </c>
      <c r="F19" s="1"/>
      <c r="G19" s="1"/>
      <c r="H19" s="1"/>
    </row>
    <row r="20" spans="1:8" x14ac:dyDescent="0.25">
      <c r="A20">
        <v>15</v>
      </c>
      <c r="B20" t="s">
        <v>190</v>
      </c>
      <c r="C20">
        <v>29</v>
      </c>
      <c r="D20">
        <f t="shared" si="0"/>
        <v>151</v>
      </c>
      <c r="E20" t="s">
        <v>180</v>
      </c>
      <c r="F20" s="1"/>
      <c r="G20" s="1"/>
      <c r="H20" s="1"/>
    </row>
    <row r="21" spans="1:8" x14ac:dyDescent="0.25">
      <c r="A21">
        <v>17</v>
      </c>
      <c r="B21" t="s">
        <v>191</v>
      </c>
      <c r="C21">
        <v>28.8</v>
      </c>
      <c r="D21">
        <f t="shared" si="0"/>
        <v>151.19999999999999</v>
      </c>
      <c r="E21" t="s">
        <v>180</v>
      </c>
      <c r="F21" s="1"/>
      <c r="G21" s="1"/>
      <c r="H21" s="1"/>
    </row>
    <row r="22" spans="1:8" x14ac:dyDescent="0.25">
      <c r="A22">
        <v>18</v>
      </c>
      <c r="B22" t="s">
        <v>192</v>
      </c>
      <c r="C22">
        <v>25.4</v>
      </c>
      <c r="D22">
        <f t="shared" si="0"/>
        <v>154.6</v>
      </c>
      <c r="E22" t="s">
        <v>180</v>
      </c>
      <c r="F22" s="1"/>
      <c r="G22" s="1"/>
      <c r="H22" s="1"/>
    </row>
    <row r="23" spans="1:8" x14ac:dyDescent="0.25">
      <c r="A23">
        <v>19</v>
      </c>
      <c r="B23" t="s">
        <v>193</v>
      </c>
      <c r="C23">
        <v>27.6</v>
      </c>
      <c r="D23">
        <f t="shared" si="0"/>
        <v>152.4</v>
      </c>
      <c r="E23" t="s">
        <v>179</v>
      </c>
      <c r="F23" s="1">
        <f>AVERAGE(D23:D27)</f>
        <v>149.28</v>
      </c>
      <c r="G23" s="1">
        <f>_xlfn.STDEV.S(D23:D27)</f>
        <v>2.5013996082193701</v>
      </c>
      <c r="H23" s="1">
        <f>G23/SQRT(COUNT(D23:D27))</f>
        <v>1.1186599125739707</v>
      </c>
    </row>
    <row r="24" spans="1:8" x14ac:dyDescent="0.25">
      <c r="A24">
        <v>20</v>
      </c>
      <c r="B24" t="s">
        <v>194</v>
      </c>
      <c r="C24">
        <v>29.1</v>
      </c>
      <c r="D24">
        <f t="shared" si="0"/>
        <v>150.9</v>
      </c>
      <c r="E24" t="s">
        <v>179</v>
      </c>
      <c r="F24" s="1"/>
      <c r="G24" s="1"/>
      <c r="H24" s="1"/>
    </row>
    <row r="25" spans="1:8" x14ac:dyDescent="0.25">
      <c r="A25">
        <v>21</v>
      </c>
      <c r="B25" t="s">
        <v>195</v>
      </c>
      <c r="C25">
        <v>32.799999999999997</v>
      </c>
      <c r="D25">
        <f t="shared" si="0"/>
        <v>147.19999999999999</v>
      </c>
      <c r="E25" t="s">
        <v>179</v>
      </c>
      <c r="F25" s="1"/>
      <c r="G25" s="1"/>
      <c r="H25" s="1"/>
    </row>
    <row r="26" spans="1:8" x14ac:dyDescent="0.25">
      <c r="A26">
        <v>22</v>
      </c>
      <c r="B26" t="s">
        <v>196</v>
      </c>
      <c r="C26">
        <v>30.5</v>
      </c>
      <c r="D26">
        <f t="shared" si="0"/>
        <v>149.5</v>
      </c>
      <c r="E26" t="s">
        <v>179</v>
      </c>
      <c r="F26" s="1"/>
      <c r="G26" s="1"/>
      <c r="H26" s="1"/>
    </row>
    <row r="27" spans="1:8" x14ac:dyDescent="0.25">
      <c r="A27">
        <v>23</v>
      </c>
      <c r="B27" t="s">
        <v>197</v>
      </c>
      <c r="C27">
        <v>33.6</v>
      </c>
      <c r="D27">
        <f t="shared" si="0"/>
        <v>146.4</v>
      </c>
      <c r="E27" t="s">
        <v>179</v>
      </c>
      <c r="F27" s="1"/>
      <c r="G27" s="1"/>
      <c r="H27" s="1"/>
    </row>
    <row r="28" spans="1:8" x14ac:dyDescent="0.25">
      <c r="A28">
        <v>1</v>
      </c>
      <c r="B28" t="s">
        <v>198</v>
      </c>
      <c r="C28">
        <v>54.4</v>
      </c>
      <c r="D28">
        <f t="shared" si="0"/>
        <v>125.6</v>
      </c>
      <c r="E28" t="s">
        <v>181</v>
      </c>
      <c r="F28" s="1">
        <f>AVERAGE(D28:D32)</f>
        <v>122.86000000000001</v>
      </c>
      <c r="G28" s="1">
        <f>_xlfn.STDEV.S(D28:D32)</f>
        <v>3.2631273343220877</v>
      </c>
      <c r="H28" s="1">
        <f>G28/SQRT(COUNT(D28:D32))</f>
        <v>1.4593149077563741</v>
      </c>
    </row>
    <row r="29" spans="1:8" x14ac:dyDescent="0.25">
      <c r="A29">
        <v>2</v>
      </c>
      <c r="B29" t="s">
        <v>199</v>
      </c>
      <c r="C29">
        <v>58.8</v>
      </c>
      <c r="D29">
        <f t="shared" si="0"/>
        <v>121.2</v>
      </c>
      <c r="E29" t="s">
        <v>181</v>
      </c>
      <c r="F29" s="1"/>
      <c r="G29" s="1"/>
      <c r="H29" s="1"/>
    </row>
    <row r="30" spans="1:8" x14ac:dyDescent="0.25">
      <c r="A30">
        <v>3</v>
      </c>
      <c r="B30" t="s">
        <v>200</v>
      </c>
      <c r="C30">
        <v>61.1</v>
      </c>
      <c r="D30">
        <f t="shared" si="0"/>
        <v>118.9</v>
      </c>
      <c r="E30" t="s">
        <v>181</v>
      </c>
      <c r="F30" s="1"/>
      <c r="G30" s="1"/>
      <c r="H30" s="1"/>
    </row>
    <row r="31" spans="1:8" x14ac:dyDescent="0.25">
      <c r="A31">
        <v>4</v>
      </c>
      <c r="B31" t="s">
        <v>201</v>
      </c>
      <c r="C31">
        <v>53.2</v>
      </c>
      <c r="D31">
        <f t="shared" si="0"/>
        <v>126.8</v>
      </c>
      <c r="E31" t="s">
        <v>181</v>
      </c>
      <c r="F31" s="1"/>
      <c r="G31" s="1"/>
      <c r="H31" s="1"/>
    </row>
    <row r="32" spans="1:8" x14ac:dyDescent="0.25">
      <c r="A32">
        <v>5</v>
      </c>
      <c r="B32" t="s">
        <v>202</v>
      </c>
      <c r="C32">
        <v>58.2</v>
      </c>
      <c r="D32">
        <f t="shared" si="0"/>
        <v>121.8</v>
      </c>
      <c r="E32" t="s">
        <v>181</v>
      </c>
      <c r="F32" s="1"/>
      <c r="G32" s="1"/>
      <c r="H32" s="1"/>
    </row>
    <row r="34" spans="1:8" s="9" customFormat="1" ht="15.75" thickBot="1" x14ac:dyDescent="0.3">
      <c r="A34" s="9" t="s">
        <v>344</v>
      </c>
    </row>
    <row r="35" spans="1:8" s="6" customFormat="1" x14ac:dyDescent="0.25">
      <c r="A35" s="6" t="s">
        <v>229</v>
      </c>
    </row>
    <row r="36" spans="1:8" x14ac:dyDescent="0.25">
      <c r="A36" t="s">
        <v>213</v>
      </c>
      <c r="B36" t="s">
        <v>182</v>
      </c>
      <c r="C36" t="s">
        <v>183</v>
      </c>
      <c r="D36" t="s">
        <v>184</v>
      </c>
      <c r="E36" t="s">
        <v>185</v>
      </c>
      <c r="F36" t="s">
        <v>186</v>
      </c>
      <c r="G36" s="10" t="s">
        <v>171</v>
      </c>
      <c r="H36" s="10" t="s">
        <v>187</v>
      </c>
    </row>
    <row r="37" spans="1:8" x14ac:dyDescent="0.25">
      <c r="A37">
        <v>1</v>
      </c>
      <c r="B37" t="s">
        <v>203</v>
      </c>
      <c r="C37">
        <v>43.7</v>
      </c>
      <c r="D37">
        <f t="shared" ref="D37:D41" si="1">180-C37</f>
        <v>136.30000000000001</v>
      </c>
      <c r="E37" t="s">
        <v>238</v>
      </c>
      <c r="F37" s="1">
        <f>AVERAGE(D37:D41)</f>
        <v>140.98000000000002</v>
      </c>
      <c r="G37" s="1">
        <f>_xlfn.STDEV.S(D37:D41)</f>
        <v>2.8934408582170796</v>
      </c>
      <c r="H37" s="1">
        <f>G37/SQRT(COUNT(D37:D41))</f>
        <v>1.2939860895697441</v>
      </c>
    </row>
    <row r="38" spans="1:8" x14ac:dyDescent="0.25">
      <c r="A38">
        <v>2</v>
      </c>
      <c r="B38" t="s">
        <v>204</v>
      </c>
      <c r="C38">
        <v>39.6</v>
      </c>
      <c r="D38">
        <f t="shared" si="1"/>
        <v>140.4</v>
      </c>
      <c r="E38" t="s">
        <v>238</v>
      </c>
      <c r="F38" s="1"/>
      <c r="G38" s="1"/>
      <c r="H38" s="1"/>
    </row>
    <row r="39" spans="1:8" x14ac:dyDescent="0.25">
      <c r="A39">
        <v>3</v>
      </c>
      <c r="B39" t="s">
        <v>205</v>
      </c>
      <c r="C39">
        <v>37.4</v>
      </c>
      <c r="D39">
        <f t="shared" si="1"/>
        <v>142.6</v>
      </c>
      <c r="E39" t="s">
        <v>238</v>
      </c>
      <c r="F39" s="1"/>
      <c r="G39" s="1"/>
      <c r="H39" s="1"/>
    </row>
    <row r="40" spans="1:8" x14ac:dyDescent="0.25">
      <c r="A40">
        <v>4</v>
      </c>
      <c r="B40" t="s">
        <v>206</v>
      </c>
      <c r="C40">
        <v>38.200000000000003</v>
      </c>
      <c r="D40">
        <f t="shared" si="1"/>
        <v>141.80000000000001</v>
      </c>
      <c r="E40" t="s">
        <v>238</v>
      </c>
      <c r="F40" s="1"/>
      <c r="G40" s="1"/>
      <c r="H40" s="1"/>
    </row>
    <row r="41" spans="1:8" x14ac:dyDescent="0.25">
      <c r="A41">
        <v>5</v>
      </c>
      <c r="B41" t="s">
        <v>207</v>
      </c>
      <c r="C41">
        <v>36.200000000000003</v>
      </c>
      <c r="D41">
        <f t="shared" si="1"/>
        <v>143.80000000000001</v>
      </c>
      <c r="E41" t="s">
        <v>238</v>
      </c>
      <c r="F41" s="1"/>
      <c r="G41" s="1"/>
      <c r="H41" s="1"/>
    </row>
    <row r="43" spans="1:8" x14ac:dyDescent="0.25">
      <c r="A43" s="6" t="s">
        <v>228</v>
      </c>
    </row>
    <row r="44" spans="1:8" x14ac:dyDescent="0.25">
      <c r="A44" t="s">
        <v>213</v>
      </c>
      <c r="B44" t="s">
        <v>182</v>
      </c>
      <c r="C44" t="s">
        <v>183</v>
      </c>
      <c r="D44" t="s">
        <v>184</v>
      </c>
      <c r="E44" t="s">
        <v>185</v>
      </c>
      <c r="F44" t="s">
        <v>186</v>
      </c>
      <c r="G44" s="10" t="s">
        <v>171</v>
      </c>
      <c r="H44" s="10" t="s">
        <v>187</v>
      </c>
    </row>
    <row r="45" spans="1:8" x14ac:dyDescent="0.25">
      <c r="A45">
        <v>1</v>
      </c>
      <c r="B45" t="s">
        <v>208</v>
      </c>
      <c r="C45">
        <v>54</v>
      </c>
      <c r="D45">
        <f t="shared" ref="D45:D49" si="2">180-C45</f>
        <v>126</v>
      </c>
      <c r="E45" t="s">
        <v>238</v>
      </c>
      <c r="F45" s="1">
        <f>AVERAGE(D45:D49)</f>
        <v>111.12</v>
      </c>
      <c r="G45" s="1">
        <f>_xlfn.STDEV.S(D45:D49)</f>
        <v>9.503525661563712</v>
      </c>
      <c r="H45" s="1">
        <f>G45/SQRT(COUNT(D45:D49))</f>
        <v>4.250105881034024</v>
      </c>
    </row>
    <row r="46" spans="1:8" x14ac:dyDescent="0.25">
      <c r="A46">
        <v>2</v>
      </c>
      <c r="B46" t="s">
        <v>209</v>
      </c>
      <c r="C46">
        <v>69.900000000000006</v>
      </c>
      <c r="D46">
        <f t="shared" si="2"/>
        <v>110.1</v>
      </c>
      <c r="E46" t="s">
        <v>238</v>
      </c>
    </row>
    <row r="47" spans="1:8" x14ac:dyDescent="0.25">
      <c r="A47">
        <v>3</v>
      </c>
      <c r="B47" t="s">
        <v>210</v>
      </c>
      <c r="C47">
        <v>69.2</v>
      </c>
      <c r="D47">
        <f t="shared" si="2"/>
        <v>110.8</v>
      </c>
      <c r="E47" t="s">
        <v>238</v>
      </c>
    </row>
    <row r="48" spans="1:8" x14ac:dyDescent="0.25">
      <c r="A48">
        <v>4</v>
      </c>
      <c r="B48" t="s">
        <v>211</v>
      </c>
      <c r="C48">
        <v>80.5</v>
      </c>
      <c r="D48">
        <f t="shared" si="2"/>
        <v>99.5</v>
      </c>
      <c r="E48" t="s">
        <v>238</v>
      </c>
    </row>
    <row r="49" spans="1:8" x14ac:dyDescent="0.25">
      <c r="A49">
        <v>5</v>
      </c>
      <c r="B49" t="s">
        <v>212</v>
      </c>
      <c r="C49">
        <v>70.8</v>
      </c>
      <c r="D49">
        <f t="shared" si="2"/>
        <v>109.2</v>
      </c>
      <c r="E49" t="s">
        <v>238</v>
      </c>
    </row>
    <row r="51" spans="1:8" s="6" customFormat="1" x14ac:dyDescent="0.25">
      <c r="A51" s="6" t="s">
        <v>227</v>
      </c>
    </row>
    <row r="52" spans="1:8" x14ac:dyDescent="0.25">
      <c r="A52" t="s">
        <v>213</v>
      </c>
      <c r="B52" t="s">
        <v>182</v>
      </c>
      <c r="C52" t="s">
        <v>183</v>
      </c>
      <c r="D52" t="s">
        <v>184</v>
      </c>
      <c r="E52" t="s">
        <v>185</v>
      </c>
      <c r="F52" t="s">
        <v>186</v>
      </c>
      <c r="G52" s="10" t="s">
        <v>171</v>
      </c>
      <c r="H52" s="10" t="s">
        <v>187</v>
      </c>
    </row>
    <row r="53" spans="1:8" x14ac:dyDescent="0.25">
      <c r="A53">
        <v>1</v>
      </c>
      <c r="B53" t="s">
        <v>214</v>
      </c>
      <c r="C53" s="1">
        <v>43</v>
      </c>
      <c r="D53">
        <f t="shared" ref="D53:D62" si="3">180-C53</f>
        <v>137</v>
      </c>
      <c r="E53" t="s">
        <v>238</v>
      </c>
      <c r="F53" s="1">
        <f>AVERAGE(D53:D62)</f>
        <v>132.28</v>
      </c>
      <c r="G53" s="1">
        <f>_xlfn.STDEV.S(D53:D62)</f>
        <v>5.9263629468484122</v>
      </c>
      <c r="H53" s="1">
        <f>G53/SQRT(COUNT(D53:D62))</f>
        <v>1.8740805152868378</v>
      </c>
    </row>
    <row r="54" spans="1:8" x14ac:dyDescent="0.25">
      <c r="A54">
        <v>2</v>
      </c>
      <c r="B54" t="s">
        <v>215</v>
      </c>
      <c r="C54" s="1">
        <v>44</v>
      </c>
      <c r="D54">
        <f t="shared" si="3"/>
        <v>136</v>
      </c>
      <c r="E54" t="s">
        <v>238</v>
      </c>
      <c r="F54" s="1"/>
      <c r="G54" s="1"/>
      <c r="H54" s="1"/>
    </row>
    <row r="55" spans="1:8" x14ac:dyDescent="0.25">
      <c r="A55">
        <v>3</v>
      </c>
      <c r="B55" t="s">
        <v>216</v>
      </c>
      <c r="C55" s="1">
        <v>62</v>
      </c>
      <c r="D55">
        <f t="shared" si="3"/>
        <v>118</v>
      </c>
      <c r="E55" t="s">
        <v>238</v>
      </c>
    </row>
    <row r="56" spans="1:8" x14ac:dyDescent="0.25">
      <c r="A56">
        <v>4</v>
      </c>
      <c r="B56" t="s">
        <v>217</v>
      </c>
      <c r="C56" s="1">
        <v>44.2</v>
      </c>
      <c r="D56">
        <f t="shared" si="3"/>
        <v>135.80000000000001</v>
      </c>
      <c r="E56" t="s">
        <v>238</v>
      </c>
    </row>
    <row r="57" spans="1:8" x14ac:dyDescent="0.25">
      <c r="A57">
        <v>5</v>
      </c>
      <c r="B57" t="s">
        <v>218</v>
      </c>
      <c r="C57" s="1">
        <v>42.2</v>
      </c>
      <c r="D57">
        <f t="shared" si="3"/>
        <v>137.80000000000001</v>
      </c>
      <c r="E57" t="s">
        <v>238</v>
      </c>
    </row>
    <row r="58" spans="1:8" x14ac:dyDescent="0.25">
      <c r="A58">
        <v>6</v>
      </c>
      <c r="B58" t="s">
        <v>219</v>
      </c>
      <c r="C58" s="1">
        <v>51.8</v>
      </c>
      <c r="D58">
        <f t="shared" si="3"/>
        <v>128.19999999999999</v>
      </c>
      <c r="E58" t="s">
        <v>238</v>
      </c>
    </row>
    <row r="59" spans="1:8" x14ac:dyDescent="0.25">
      <c r="A59">
        <v>7</v>
      </c>
      <c r="B59" t="s">
        <v>220</v>
      </c>
      <c r="C59" s="1">
        <v>49.8</v>
      </c>
      <c r="D59">
        <f t="shared" si="3"/>
        <v>130.19999999999999</v>
      </c>
      <c r="E59" t="s">
        <v>238</v>
      </c>
    </row>
    <row r="60" spans="1:8" x14ac:dyDescent="0.25">
      <c r="A60">
        <v>8</v>
      </c>
      <c r="B60" t="s">
        <v>221</v>
      </c>
      <c r="C60" s="1">
        <v>49.2</v>
      </c>
      <c r="D60">
        <f t="shared" si="3"/>
        <v>130.80000000000001</v>
      </c>
      <c r="E60" t="s">
        <v>238</v>
      </c>
    </row>
    <row r="61" spans="1:8" x14ac:dyDescent="0.25">
      <c r="A61">
        <v>9</v>
      </c>
      <c r="B61" t="s">
        <v>222</v>
      </c>
      <c r="C61" s="1">
        <v>45.2</v>
      </c>
      <c r="D61">
        <f t="shared" si="3"/>
        <v>134.80000000000001</v>
      </c>
      <c r="E61" t="s">
        <v>238</v>
      </c>
    </row>
    <row r="62" spans="1:8" x14ac:dyDescent="0.25">
      <c r="A62">
        <v>10</v>
      </c>
      <c r="B62" t="s">
        <v>223</v>
      </c>
      <c r="C62" s="1">
        <v>45.8</v>
      </c>
      <c r="D62">
        <f t="shared" si="3"/>
        <v>134.19999999999999</v>
      </c>
      <c r="E62" t="s">
        <v>238</v>
      </c>
    </row>
  </sheetData>
  <pageMargins left="0.7" right="0.7" top="0.75" bottom="0.75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C69"/>
  <sheetViews>
    <sheetView zoomScaleNormal="100" workbookViewId="0">
      <selection activeCell="A43" sqref="A43"/>
    </sheetView>
  </sheetViews>
  <sheetFormatPr defaultColWidth="8.85546875" defaultRowHeight="15" x14ac:dyDescent="0.25"/>
  <cols>
    <col min="1" max="1" width="19.42578125" customWidth="1"/>
    <col min="9" max="9" width="14.5703125" customWidth="1"/>
    <col min="11" max="11" width="14.7109375" customWidth="1"/>
  </cols>
  <sheetData>
    <row r="1" spans="1:28" x14ac:dyDescent="0.25">
      <c r="A1" s="2" t="s">
        <v>345</v>
      </c>
    </row>
    <row r="2" spans="1:28" x14ac:dyDescent="0.25">
      <c r="A2" s="10" t="s">
        <v>241</v>
      </c>
    </row>
    <row r="3" spans="1:28" x14ac:dyDescent="0.25">
      <c r="A3" t="s">
        <v>244</v>
      </c>
      <c r="C3" s="1"/>
    </row>
    <row r="4" spans="1:28" x14ac:dyDescent="0.25">
      <c r="A4" t="s">
        <v>240</v>
      </c>
      <c r="C4" s="1"/>
    </row>
    <row r="5" spans="1:28" x14ac:dyDescent="0.25">
      <c r="A5" t="s">
        <v>21</v>
      </c>
      <c r="C5" t="s">
        <v>22</v>
      </c>
      <c r="D5" t="s">
        <v>23</v>
      </c>
      <c r="E5" t="s">
        <v>24</v>
      </c>
      <c r="F5" t="s">
        <v>23</v>
      </c>
      <c r="G5" t="s">
        <v>28</v>
      </c>
      <c r="H5" t="s">
        <v>29</v>
      </c>
      <c r="I5" t="s">
        <v>25</v>
      </c>
      <c r="J5" t="s">
        <v>27</v>
      </c>
      <c r="K5" t="s">
        <v>30</v>
      </c>
      <c r="L5" t="s">
        <v>31</v>
      </c>
    </row>
    <row r="6" spans="1:28" x14ac:dyDescent="0.25">
      <c r="A6">
        <v>-10</v>
      </c>
      <c r="B6" s="1"/>
      <c r="C6" s="1">
        <f>AVERAGE(U14:U15)</f>
        <v>77.621122512382044</v>
      </c>
      <c r="D6" s="1">
        <f>AVERAGE(V14:V15)/SQRT(2)</f>
        <v>4.0005207170688566</v>
      </c>
      <c r="E6" s="1">
        <f>AVERAGE(W14:W15)</f>
        <v>0</v>
      </c>
      <c r="F6" s="1">
        <f>AVERAGE(X14:X15)/SQRT(2)</f>
        <v>0</v>
      </c>
      <c r="G6" s="1" t="str">
        <f>ROUND(C6,0)&amp;" ± " &amp;ROUND(D6,0) &amp; "%"</f>
        <v>78 ± 4%</v>
      </c>
      <c r="I6" s="1">
        <f>AVERAGE(AA14:AA15)</f>
        <v>-0.70482773866105608</v>
      </c>
      <c r="J6" s="4">
        <f>AVERAGE(K14:K15)/SQRT(2)</f>
        <v>8.1179150335605309E-3</v>
      </c>
      <c r="K6" s="1">
        <f>AVERAGE(J14:J15)</f>
        <v>-1.1508677386610562</v>
      </c>
      <c r="L6" s="4">
        <f>J6</f>
        <v>8.1179150335605309E-3</v>
      </c>
    </row>
    <row r="7" spans="1:28" x14ac:dyDescent="0.25">
      <c r="A7">
        <v>-100</v>
      </c>
      <c r="B7" s="1"/>
      <c r="C7" s="1">
        <f>AVERAGE(U17:U18)</f>
        <v>86.886637615942234</v>
      </c>
      <c r="D7" s="1">
        <f>AVERAGE(V17:V18)/SQRT(2)</f>
        <v>7.0754770560161351</v>
      </c>
      <c r="E7" s="1">
        <f>AVERAGE(W17:W18)</f>
        <v>0</v>
      </c>
      <c r="F7" s="1">
        <f>AVERAGE(X17:X18)/SQRT(2)</f>
        <v>0</v>
      </c>
      <c r="G7" s="1" t="str">
        <f>ROUND(C7,0)&amp;" ± " &amp;ROUND(D7,0) &amp; "%"</f>
        <v>87 ± 7%</v>
      </c>
      <c r="I7" s="1">
        <f>AVERAGE(AA17:AA18)</f>
        <v>-1.0836814882948833</v>
      </c>
      <c r="J7" s="4">
        <f>AVERAGE(K17:K18)/SQRT(2)</f>
        <v>3.9875972432859737E-2</v>
      </c>
      <c r="K7" s="1">
        <f>AVERAGE(J17:J18)</f>
        <v>-1.5297214882948833</v>
      </c>
      <c r="L7" s="4">
        <f t="shared" ref="L7:L8" si="0">J7</f>
        <v>3.9875972432859737E-2</v>
      </c>
      <c r="AA7" s="2"/>
    </row>
    <row r="8" spans="1:28" x14ac:dyDescent="0.25">
      <c r="A8">
        <v>-200</v>
      </c>
      <c r="B8" s="1"/>
      <c r="C8" s="1">
        <f>AVERAGE(U21:U22)</f>
        <v>35.381152808204902</v>
      </c>
      <c r="D8" s="1">
        <f>AVERAGE(V21:V22)/SQRT(2)</f>
        <v>3.6151141645832698</v>
      </c>
      <c r="E8" s="1">
        <f>AVERAGE(W21:W22)</f>
        <v>50.430132994861573</v>
      </c>
      <c r="F8" s="1">
        <f>AVERAGE(X21:X22)/SQRT(2)</f>
        <v>3.6151141645832698</v>
      </c>
      <c r="G8" s="1" t="str">
        <f>ROUND(C8,0)&amp;" ± " &amp;ROUND(D8,0) &amp; "%"</f>
        <v>35 ± 4%</v>
      </c>
      <c r="H8" s="1" t="str">
        <f>ROUND(E8,0)&amp;" ± " &amp;ROUND(F8,0) &amp; "%"</f>
        <v>50 ± 4%</v>
      </c>
      <c r="I8" s="1">
        <f>AVERAGE(AA21:AA22)</f>
        <v>-1.7027602724456865</v>
      </c>
      <c r="J8" s="4">
        <f>AVERAGE(K21:K22)/SQRT(2)</f>
        <v>0.13590376907183185</v>
      </c>
      <c r="K8" s="1">
        <f>AVERAGE(J21:J22)</f>
        <v>-2.1488002724456865</v>
      </c>
      <c r="L8" s="4">
        <f t="shared" si="0"/>
        <v>0.13590376907183185</v>
      </c>
      <c r="AA8" s="3"/>
      <c r="AB8" s="1"/>
    </row>
    <row r="9" spans="1:28" x14ac:dyDescent="0.25">
      <c r="AA9" s="3"/>
      <c r="AB9" s="1"/>
    </row>
    <row r="10" spans="1:28" x14ac:dyDescent="0.25">
      <c r="A10" s="10" t="s">
        <v>239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</row>
    <row r="11" spans="1:28" x14ac:dyDescent="0.25">
      <c r="A11" s="10" t="s">
        <v>166</v>
      </c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</row>
    <row r="12" spans="1:28" x14ac:dyDescent="0.25">
      <c r="A12" t="s">
        <v>110</v>
      </c>
      <c r="B12" t="s">
        <v>33</v>
      </c>
      <c r="C12" t="s">
        <v>34</v>
      </c>
      <c r="D12" t="s">
        <v>35</v>
      </c>
      <c r="E12" t="s">
        <v>114</v>
      </c>
      <c r="F12" t="s">
        <v>17</v>
      </c>
      <c r="G12" t="s">
        <v>36</v>
      </c>
      <c r="H12" t="s">
        <v>37</v>
      </c>
      <c r="I12" t="s">
        <v>38</v>
      </c>
      <c r="J12" t="s">
        <v>39</v>
      </c>
      <c r="K12" t="s">
        <v>40</v>
      </c>
      <c r="L12" t="s">
        <v>18</v>
      </c>
      <c r="M12" t="s">
        <v>41</v>
      </c>
      <c r="N12" t="s">
        <v>42</v>
      </c>
      <c r="O12" t="s">
        <v>43</v>
      </c>
      <c r="P12" t="s">
        <v>44</v>
      </c>
      <c r="Q12" t="s">
        <v>45</v>
      </c>
      <c r="R12" t="s">
        <v>46</v>
      </c>
      <c r="S12" t="s">
        <v>47</v>
      </c>
      <c r="T12" t="s">
        <v>48</v>
      </c>
      <c r="U12" t="s">
        <v>32</v>
      </c>
      <c r="V12" t="s">
        <v>19</v>
      </c>
      <c r="W12" t="s">
        <v>49</v>
      </c>
      <c r="X12" t="s">
        <v>20</v>
      </c>
      <c r="Y12" t="s">
        <v>50</v>
      </c>
      <c r="Z12" t="s">
        <v>26</v>
      </c>
      <c r="AA12" t="s">
        <v>25</v>
      </c>
      <c r="AB12" s="10" t="s">
        <v>51</v>
      </c>
    </row>
    <row r="13" spans="1:28" x14ac:dyDescent="0.25">
      <c r="A13" t="s">
        <v>52</v>
      </c>
      <c r="B13" t="s">
        <v>53</v>
      </c>
      <c r="C13" s="3">
        <v>215.32842783465355</v>
      </c>
      <c r="D13" s="3">
        <f>C13/60</f>
        <v>3.5888071305775591</v>
      </c>
      <c r="E13" s="3">
        <f>C13-23</f>
        <v>192.32842783465355</v>
      </c>
      <c r="F13" s="3">
        <v>-9.9947455848924669</v>
      </c>
      <c r="G13" s="4">
        <v>1.3848264067539871E-3</v>
      </c>
      <c r="H13" s="1">
        <v>-1.1510149501661178</v>
      </c>
      <c r="I13" s="4">
        <v>2.933014618243079E-4</v>
      </c>
      <c r="J13" s="1">
        <v>-1.1445248556304672</v>
      </c>
      <c r="K13" s="4">
        <v>2.9317687100606228E-4</v>
      </c>
      <c r="L13" s="1">
        <v>-2.1469302325581379</v>
      </c>
      <c r="M13" s="4">
        <v>4.3884450107530282E-3</v>
      </c>
      <c r="N13" s="4">
        <v>1.0212238633599999</v>
      </c>
      <c r="O13" s="3">
        <v>83.483629744046695</v>
      </c>
      <c r="P13" s="3">
        <v>2.1806440455920737</v>
      </c>
      <c r="Q13" s="4">
        <v>-7.3089660675009105</v>
      </c>
      <c r="R13" s="4">
        <v>10.156055254838851</v>
      </c>
      <c r="S13" s="4">
        <v>0.14187</v>
      </c>
      <c r="T13" s="4">
        <v>0</v>
      </c>
      <c r="U13" s="4">
        <v>44.746015434237144</v>
      </c>
      <c r="V13" s="4">
        <v>3.9778208980770962</v>
      </c>
      <c r="W13" s="4">
        <v>0</v>
      </c>
      <c r="X13" s="4">
        <v>0</v>
      </c>
      <c r="Y13" s="4">
        <v>157.70076631506714</v>
      </c>
      <c r="Z13">
        <v>7.56</v>
      </c>
      <c r="AA13">
        <f t="shared" ref="AA13:AA22" si="1">J13+0.059*$Z$13</f>
        <v>-0.69848485563046725</v>
      </c>
    </row>
    <row r="14" spans="1:28" x14ac:dyDescent="0.25">
      <c r="A14" t="s">
        <v>54</v>
      </c>
      <c r="B14" t="s">
        <v>55</v>
      </c>
      <c r="C14" s="3">
        <v>431.32980541549387</v>
      </c>
      <c r="D14" s="3">
        <f t="shared" ref="D14:D22" si="2">C14/60</f>
        <v>7.1888300902582314</v>
      </c>
      <c r="E14" s="3">
        <f t="shared" ref="E14:E15" si="3">C14-23</f>
        <v>408.32980541549387</v>
      </c>
      <c r="F14" s="3">
        <v>-9.9946336772163047</v>
      </c>
      <c r="G14" s="4">
        <v>1.5038992765856306E-3</v>
      </c>
      <c r="H14" s="1">
        <v>-1.1575647840531504</v>
      </c>
      <c r="I14" s="4">
        <v>1.3746679806528269E-2</v>
      </c>
      <c r="J14" s="1">
        <v>-1.151074762184831</v>
      </c>
      <c r="K14" s="4">
        <v>1.3746510837934942E-2</v>
      </c>
      <c r="L14" s="1">
        <v>-2.1480996677740878</v>
      </c>
      <c r="M14" s="4">
        <v>1.2721505409709137E-2</v>
      </c>
      <c r="N14" s="4">
        <v>1.0218181957299999</v>
      </c>
      <c r="O14" s="3">
        <v>82.121453410494098</v>
      </c>
      <c r="P14" s="3">
        <v>3.4189788664130387</v>
      </c>
      <c r="Q14" s="4">
        <v>-2.4129927263778495</v>
      </c>
      <c r="R14" s="4">
        <v>13.483908175738588</v>
      </c>
      <c r="S14" s="4">
        <v>0.24915999999999999</v>
      </c>
      <c r="T14" s="4">
        <v>0</v>
      </c>
      <c r="U14" s="4">
        <v>77.304057220786078</v>
      </c>
      <c r="V14" s="4">
        <v>5.1316137379589319</v>
      </c>
      <c r="W14" s="4">
        <v>0</v>
      </c>
      <c r="X14" s="4">
        <v>0</v>
      </c>
      <c r="Y14" s="4">
        <v>155.12934905439494</v>
      </c>
      <c r="AA14">
        <f t="shared" si="1"/>
        <v>-0.70503476218483097</v>
      </c>
      <c r="AB14" s="5" t="s">
        <v>245</v>
      </c>
    </row>
    <row r="15" spans="1:28" x14ac:dyDescent="0.25">
      <c r="A15" t="s">
        <v>56</v>
      </c>
      <c r="B15" t="s">
        <v>57</v>
      </c>
      <c r="C15" s="3">
        <v>648.33119403066587</v>
      </c>
      <c r="D15" s="3">
        <f t="shared" si="2"/>
        <v>10.805519900511097</v>
      </c>
      <c r="E15" s="3">
        <f t="shared" si="3"/>
        <v>625.33119403066587</v>
      </c>
      <c r="F15" s="3">
        <v>-9.9952893862563315</v>
      </c>
      <c r="G15" s="4">
        <v>3.2122872894769036E-4</v>
      </c>
      <c r="H15" s="1">
        <v>-1.1571511627906985</v>
      </c>
      <c r="I15" s="4">
        <v>9.2144130022885316E-3</v>
      </c>
      <c r="J15" s="1">
        <v>-1.1506607151372812</v>
      </c>
      <c r="K15" s="4">
        <v>9.2144202393725418E-3</v>
      </c>
      <c r="L15" s="1">
        <v>-2.4095747508305636</v>
      </c>
      <c r="M15" s="4">
        <v>7.5361209476014324E-2</v>
      </c>
      <c r="N15" s="4">
        <v>1.0223915535999999</v>
      </c>
      <c r="O15" s="3">
        <v>80.352797959050889</v>
      </c>
      <c r="P15" s="3">
        <v>4.3447388384621162</v>
      </c>
      <c r="Q15" s="4">
        <v>3.2416627193448178</v>
      </c>
      <c r="R15" s="4">
        <v>16.835074629584103</v>
      </c>
      <c r="S15" s="4">
        <v>0.25674999999999998</v>
      </c>
      <c r="T15" s="4">
        <v>0</v>
      </c>
      <c r="U15" s="4">
        <v>77.938187803977996</v>
      </c>
      <c r="V15" s="4">
        <v>6.1835675713077034</v>
      </c>
      <c r="W15" s="4">
        <v>0</v>
      </c>
      <c r="X15" s="4">
        <v>0</v>
      </c>
      <c r="Y15" s="4">
        <v>151.77835989090164</v>
      </c>
      <c r="AA15">
        <f t="shared" si="1"/>
        <v>-0.70462071513728119</v>
      </c>
      <c r="AB15" s="5" t="s">
        <v>245</v>
      </c>
    </row>
    <row r="16" spans="1:28" x14ac:dyDescent="0.25">
      <c r="A16" t="s">
        <v>58</v>
      </c>
      <c r="B16" t="s">
        <v>59</v>
      </c>
      <c r="C16" s="3">
        <v>1146.3343857661448</v>
      </c>
      <c r="D16" s="3">
        <f t="shared" si="2"/>
        <v>19.105573096102415</v>
      </c>
      <c r="E16" s="3">
        <f>C16-777</f>
        <v>369.33438576614481</v>
      </c>
      <c r="F16" s="3">
        <v>-100.168231334149</v>
      </c>
      <c r="G16" s="4">
        <v>2.0095194492111057E-2</v>
      </c>
      <c r="H16" s="1">
        <v>-1.5996694352159446</v>
      </c>
      <c r="I16" s="4">
        <v>6.194271167253354E-2</v>
      </c>
      <c r="J16" s="1">
        <v>-1.5346251291548103</v>
      </c>
      <c r="K16" s="4">
        <v>6.1938088229565917E-2</v>
      </c>
      <c r="L16" s="1">
        <v>-5.1143488372093042</v>
      </c>
      <c r="M16" s="4">
        <v>1.1483084964854994E-2</v>
      </c>
      <c r="N16" s="4">
        <v>1.03175373673</v>
      </c>
      <c r="O16" s="3">
        <v>83.616012649569583</v>
      </c>
      <c r="P16" s="3">
        <v>9.954603572846068</v>
      </c>
      <c r="Q16" s="4">
        <v>3.1690476502678977</v>
      </c>
      <c r="R16" s="4">
        <v>33.407352569389282</v>
      </c>
      <c r="S16" s="4">
        <v>2.6932</v>
      </c>
      <c r="T16" s="4">
        <v>0</v>
      </c>
      <c r="U16" s="4">
        <v>84.891122023688681</v>
      </c>
      <c r="V16" s="4">
        <v>12.277327343700518</v>
      </c>
      <c r="W16" s="4">
        <v>0</v>
      </c>
      <c r="X16" s="4">
        <v>0</v>
      </c>
      <c r="Y16" s="4">
        <v>15.760270686114783</v>
      </c>
      <c r="AA16">
        <f t="shared" si="1"/>
        <v>-1.0885851291548103</v>
      </c>
    </row>
    <row r="17" spans="1:54" x14ac:dyDescent="0.25">
      <c r="A17" t="s">
        <v>60</v>
      </c>
      <c r="B17" t="s">
        <v>61</v>
      </c>
      <c r="C17" s="3">
        <v>1362.3357633469852</v>
      </c>
      <c r="D17" s="3">
        <f t="shared" si="2"/>
        <v>22.705596055783086</v>
      </c>
      <c r="E17" s="3">
        <f t="shared" ref="E17:E18" si="4">C17-777</f>
        <v>585.33576334698523</v>
      </c>
      <c r="F17" s="3">
        <v>-100.15652911348107</v>
      </c>
      <c r="G17" s="4">
        <v>1.6051238118841963E-2</v>
      </c>
      <c r="H17" s="1">
        <v>-1.5947142857142858</v>
      </c>
      <c r="I17" s="4">
        <v>5.6489528633527263E-2</v>
      </c>
      <c r="J17" s="1">
        <v>-1.529677578497739</v>
      </c>
      <c r="K17" s="4">
        <v>5.6488247362181887E-2</v>
      </c>
      <c r="L17" s="1">
        <v>-5.1179999999999959</v>
      </c>
      <c r="M17" s="4">
        <v>4.4482874276842444E-15</v>
      </c>
      <c r="N17" s="4">
        <v>1.03201488784</v>
      </c>
      <c r="O17" s="3">
        <v>84.188878033392584</v>
      </c>
      <c r="P17" s="3">
        <v>8.6678712537625291</v>
      </c>
      <c r="Q17" s="4">
        <v>1.4121793949397832</v>
      </c>
      <c r="R17" s="4">
        <v>28.852163041803415</v>
      </c>
      <c r="S17" s="4">
        <v>2.7888000000000002</v>
      </c>
      <c r="T17" s="4">
        <v>0</v>
      </c>
      <c r="U17" s="4">
        <v>88.517073178038913</v>
      </c>
      <c r="V17" s="4">
        <v>10.723926462926688</v>
      </c>
      <c r="W17" s="4">
        <v>0</v>
      </c>
      <c r="X17" s="4">
        <v>0</v>
      </c>
      <c r="Y17" s="4">
        <v>15.870100612815353</v>
      </c>
      <c r="AA17">
        <f t="shared" si="1"/>
        <v>-1.083637578497739</v>
      </c>
      <c r="AB17" s="5" t="s">
        <v>245</v>
      </c>
    </row>
    <row r="18" spans="1:54" x14ac:dyDescent="0.25">
      <c r="A18" t="s">
        <v>62</v>
      </c>
      <c r="B18" t="s">
        <v>63</v>
      </c>
      <c r="C18" s="3">
        <v>1579.3371519621571</v>
      </c>
      <c r="D18" s="3">
        <f t="shared" si="2"/>
        <v>26.322285866035951</v>
      </c>
      <c r="E18" s="3">
        <f t="shared" si="4"/>
        <v>802.33715196215712</v>
      </c>
      <c r="F18" s="3">
        <v>-100.15814740339182</v>
      </c>
      <c r="G18" s="4">
        <v>1.8527060401670119E-2</v>
      </c>
      <c r="H18" s="1">
        <v>-1.5948031561461793</v>
      </c>
      <c r="I18" s="4">
        <v>5.6299382752734273E-2</v>
      </c>
      <c r="J18" s="1">
        <v>-1.5297653980920276</v>
      </c>
      <c r="K18" s="4">
        <v>5.6298034692549938E-2</v>
      </c>
      <c r="L18" s="1">
        <v>-5.1179999999999959</v>
      </c>
      <c r="M18" s="4">
        <v>4.4482874276842444E-15</v>
      </c>
      <c r="N18" s="4">
        <v>1.03201360282</v>
      </c>
      <c r="O18" s="3">
        <v>82.487814076430567</v>
      </c>
      <c r="P18" s="3">
        <v>7.2512710582064264</v>
      </c>
      <c r="Q18" s="4">
        <v>6.3873251445945245</v>
      </c>
      <c r="R18" s="4">
        <v>25.825566434939507</v>
      </c>
      <c r="S18" s="4">
        <v>2.7414999999999998</v>
      </c>
      <c r="T18" s="4">
        <v>0</v>
      </c>
      <c r="U18" s="4">
        <v>85.256202053845556</v>
      </c>
      <c r="V18" s="4">
        <v>9.2885447628286677</v>
      </c>
      <c r="W18" s="4">
        <v>0</v>
      </c>
      <c r="X18" s="4">
        <v>0</v>
      </c>
      <c r="Y18" s="4">
        <v>15.549188775094935</v>
      </c>
      <c r="AA18">
        <f t="shared" si="1"/>
        <v>-1.0837253980920276</v>
      </c>
      <c r="AB18" s="5" t="s">
        <v>245</v>
      </c>
    </row>
    <row r="19" spans="1:54" x14ac:dyDescent="0.25">
      <c r="A19" t="s">
        <v>64</v>
      </c>
      <c r="B19" t="s">
        <v>65</v>
      </c>
      <c r="C19" s="3">
        <v>1996.3398220756469</v>
      </c>
      <c r="D19" s="3">
        <f t="shared" si="2"/>
        <v>33.272330367927445</v>
      </c>
      <c r="E19" s="3">
        <f>C19-1628</f>
        <v>368.33982207564691</v>
      </c>
      <c r="F19" s="3">
        <v>-199.89527539779564</v>
      </c>
      <c r="G19" s="4">
        <v>0.76870577958364072</v>
      </c>
      <c r="H19" s="1">
        <v>-1.8836719269102993</v>
      </c>
      <c r="I19" s="4">
        <v>6.3103210174084171E-2</v>
      </c>
      <c r="J19" s="1">
        <v>-1.7538698000286126</v>
      </c>
      <c r="K19" s="4">
        <v>6.3237290787170372E-2</v>
      </c>
      <c r="L19" s="1">
        <v>-8.2078538205980056</v>
      </c>
      <c r="M19" s="4">
        <v>0.11230300631337099</v>
      </c>
      <c r="N19" s="4">
        <v>1.0429456396600001</v>
      </c>
      <c r="O19" s="3">
        <v>85.627438312443118</v>
      </c>
      <c r="P19" s="3">
        <v>9.7824795211180096</v>
      </c>
      <c r="Q19" s="4">
        <v>7.7863665347706945</v>
      </c>
      <c r="R19" s="4">
        <v>33.159483809260252</v>
      </c>
      <c r="S19" s="4">
        <v>4.8883000000000001</v>
      </c>
      <c r="T19" s="4">
        <v>0.57245999999999997</v>
      </c>
      <c r="U19" s="4">
        <v>79.068316671488304</v>
      </c>
      <c r="V19" s="4">
        <v>11.818052176354792</v>
      </c>
      <c r="W19" s="4">
        <v>9.2595480150073008</v>
      </c>
      <c r="X19" s="4">
        <v>11.818052176354792</v>
      </c>
      <c r="Y19" s="4">
        <v>8.0875065637837587</v>
      </c>
      <c r="AA19">
        <f t="shared" si="1"/>
        <v>-1.3078298000286126</v>
      </c>
    </row>
    <row r="20" spans="1:54" x14ac:dyDescent="0.25">
      <c r="A20" t="s">
        <v>66</v>
      </c>
      <c r="B20" t="s">
        <v>67</v>
      </c>
      <c r="C20" s="3">
        <v>2213.341210690819</v>
      </c>
      <c r="D20" s="3">
        <f t="shared" si="2"/>
        <v>36.889020178180317</v>
      </c>
      <c r="E20" s="3">
        <f t="shared" ref="E20:E22" si="5">C20-1628</f>
        <v>585.34121069081903</v>
      </c>
      <c r="F20" s="3">
        <v>-199.96381972372669</v>
      </c>
      <c r="G20" s="4">
        <v>1.1637582624643837E-2</v>
      </c>
      <c r="H20" s="1">
        <v>-1.9568646179401998</v>
      </c>
      <c r="I20" s="4">
        <v>0.11369763330402652</v>
      </c>
      <c r="J20" s="1">
        <v>-1.8270179817559604</v>
      </c>
      <c r="K20" s="4">
        <v>0.11369447863355077</v>
      </c>
      <c r="L20" s="1">
        <v>-8.2986378737541493</v>
      </c>
      <c r="M20" s="4">
        <v>0.16637749775975522</v>
      </c>
      <c r="N20" s="4">
        <v>1.0425970142650001</v>
      </c>
      <c r="O20" s="3">
        <v>86.393464979332677</v>
      </c>
      <c r="P20" s="3">
        <v>12.892116661453276</v>
      </c>
      <c r="Q20" s="4">
        <v>5.6119563283756113</v>
      </c>
      <c r="R20" s="4">
        <v>42.095428260702136</v>
      </c>
      <c r="S20" s="4">
        <v>4.5885999999999996</v>
      </c>
      <c r="T20" s="4">
        <v>0.80859000000000003</v>
      </c>
      <c r="U20" s="4">
        <v>74.858977200384075</v>
      </c>
      <c r="V20" s="4">
        <v>15.221131078276262</v>
      </c>
      <c r="W20" s="4">
        <v>13.191435377775045</v>
      </c>
      <c r="X20" s="4">
        <v>15.22113107827626</v>
      </c>
      <c r="Y20" s="4">
        <v>8.1570606721422738</v>
      </c>
      <c r="AA20">
        <f t="shared" si="1"/>
        <v>-1.3809779817559604</v>
      </c>
    </row>
    <row r="21" spans="1:54" x14ac:dyDescent="0.25">
      <c r="A21" t="s">
        <v>68</v>
      </c>
      <c r="B21" t="s">
        <v>69</v>
      </c>
      <c r="C21" s="3">
        <v>3777.3512263749885</v>
      </c>
      <c r="D21" s="3">
        <f t="shared" si="2"/>
        <v>62.955853772916477</v>
      </c>
      <c r="E21" s="3">
        <f t="shared" si="5"/>
        <v>2149.3512263749885</v>
      </c>
      <c r="F21" s="3">
        <v>-199.96057877251167</v>
      </c>
      <c r="G21" s="4">
        <v>1.8932084721911654E-2</v>
      </c>
      <c r="H21" s="1">
        <v>-2.2823338870431895</v>
      </c>
      <c r="I21" s="4">
        <v>0.21800112438052666</v>
      </c>
      <c r="J21" s="1">
        <v>-2.1524893553727273</v>
      </c>
      <c r="K21" s="4">
        <v>0.21799766651718755</v>
      </c>
      <c r="L21" s="1">
        <v>-8.1630265780730937</v>
      </c>
      <c r="M21" s="4">
        <v>0.12810440777448434</v>
      </c>
      <c r="N21" s="4">
        <v>1.0400595351849999</v>
      </c>
      <c r="O21" s="3">
        <v>96.949590254914028</v>
      </c>
      <c r="P21" s="3">
        <v>4.3537210826420942</v>
      </c>
      <c r="Q21" s="4">
        <v>-28.967938492447832</v>
      </c>
      <c r="R21" s="4">
        <v>12.380026531523107</v>
      </c>
      <c r="S21" s="4">
        <v>2.0034000000000001</v>
      </c>
      <c r="T21" s="4">
        <v>2.6694</v>
      </c>
      <c r="U21" s="4">
        <v>36.677817227602468</v>
      </c>
      <c r="V21" s="4">
        <v>5.4006046114096407</v>
      </c>
      <c r="W21" s="4">
        <v>48.870802289788365</v>
      </c>
      <c r="X21" s="4">
        <v>5.4006046114096407</v>
      </c>
      <c r="Y21" s="4">
        <v>9.1538926893287567</v>
      </c>
      <c r="AA21">
        <f t="shared" si="1"/>
        <v>-1.7064493553727274</v>
      </c>
      <c r="AB21" s="5" t="s">
        <v>245</v>
      </c>
    </row>
    <row r="22" spans="1:54" x14ac:dyDescent="0.25">
      <c r="A22" t="s">
        <v>70</v>
      </c>
      <c r="B22" t="s">
        <v>71</v>
      </c>
      <c r="C22" s="3">
        <v>3993.3526039558287</v>
      </c>
      <c r="D22" s="3">
        <f t="shared" si="2"/>
        <v>66.555876732597142</v>
      </c>
      <c r="E22" s="3">
        <f t="shared" si="5"/>
        <v>2365.3526039558287</v>
      </c>
      <c r="F22" s="3">
        <v>-199.963535583143</v>
      </c>
      <c r="G22" s="4">
        <v>1.7600666713788966E-2</v>
      </c>
      <c r="H22" s="1">
        <v>-2.2749576411960146</v>
      </c>
      <c r="I22" s="4">
        <v>0.16639742859016027</v>
      </c>
      <c r="J22" s="1">
        <v>-2.1451111895186457</v>
      </c>
      <c r="K22" s="4">
        <v>0.16639624028082406</v>
      </c>
      <c r="L22" s="1">
        <v>-8.217993355481731</v>
      </c>
      <c r="M22" s="4">
        <v>0.13195731616335846</v>
      </c>
      <c r="N22" s="4">
        <v>1.04068933039</v>
      </c>
      <c r="O22" s="3">
        <v>93.333887103087861</v>
      </c>
      <c r="P22" s="3">
        <v>3.5264344526289415</v>
      </c>
      <c r="Q22" s="4">
        <v>-17.340106414375398</v>
      </c>
      <c r="R22" s="4">
        <v>11.677635001286566</v>
      </c>
      <c r="S22" s="4">
        <v>1.9339</v>
      </c>
      <c r="T22" s="4">
        <v>2.9498000000000002</v>
      </c>
      <c r="U22" s="4">
        <v>34.084488388807337</v>
      </c>
      <c r="V22" s="4">
        <v>4.8244823507518424</v>
      </c>
      <c r="W22" s="4">
        <v>51.989463699934781</v>
      </c>
      <c r="X22" s="4">
        <v>4.8244823507518442</v>
      </c>
      <c r="Y22" s="4">
        <v>8.8123709573419884</v>
      </c>
      <c r="AA22">
        <f t="shared" si="1"/>
        <v>-1.6990711895186457</v>
      </c>
      <c r="AB22" s="5" t="s">
        <v>245</v>
      </c>
    </row>
    <row r="24" spans="1:54" x14ac:dyDescent="0.25">
      <c r="A24" s="2" t="s">
        <v>346</v>
      </c>
    </row>
    <row r="25" spans="1:54" x14ac:dyDescent="0.25">
      <c r="A25" s="10" t="s">
        <v>241</v>
      </c>
    </row>
    <row r="26" spans="1:54" x14ac:dyDescent="0.25">
      <c r="A26" s="10" t="s">
        <v>239</v>
      </c>
    </row>
    <row r="27" spans="1:54" x14ac:dyDescent="0.25">
      <c r="A27" s="10" t="s">
        <v>166</v>
      </c>
    </row>
    <row r="28" spans="1:54" x14ac:dyDescent="0.25">
      <c r="A28" t="s">
        <v>110</v>
      </c>
      <c r="B28" t="s">
        <v>109</v>
      </c>
      <c r="C28" t="s">
        <v>34</v>
      </c>
      <c r="D28" t="s">
        <v>111</v>
      </c>
      <c r="E28" t="s">
        <v>0</v>
      </c>
      <c r="F28" t="s">
        <v>1</v>
      </c>
      <c r="G28" t="s">
        <v>108</v>
      </c>
      <c r="H28" t="s">
        <v>107</v>
      </c>
      <c r="I28" t="s">
        <v>106</v>
      </c>
      <c r="J28" t="s">
        <v>105</v>
      </c>
      <c r="K28" t="s">
        <v>104</v>
      </c>
      <c r="L28" t="s">
        <v>2</v>
      </c>
      <c r="M28" t="s">
        <v>3</v>
      </c>
      <c r="N28" t="s">
        <v>4</v>
      </c>
      <c r="O28" t="s">
        <v>5</v>
      </c>
      <c r="P28" t="s">
        <v>6</v>
      </c>
      <c r="Q28" t="s">
        <v>7</v>
      </c>
      <c r="R28" t="s">
        <v>8</v>
      </c>
      <c r="S28" t="s">
        <v>103</v>
      </c>
      <c r="T28" t="s">
        <v>102</v>
      </c>
      <c r="U28" t="s">
        <v>17</v>
      </c>
      <c r="V28" t="s">
        <v>36</v>
      </c>
      <c r="W28" t="s">
        <v>101</v>
      </c>
      <c r="X28" t="s">
        <v>100</v>
      </c>
      <c r="Y28" t="s">
        <v>39</v>
      </c>
      <c r="Z28" t="s">
        <v>40</v>
      </c>
      <c r="AA28" t="s">
        <v>18</v>
      </c>
      <c r="AB28" t="s">
        <v>41</v>
      </c>
      <c r="AC28" t="s">
        <v>9</v>
      </c>
      <c r="AD28" t="s">
        <v>10</v>
      </c>
      <c r="AE28" t="s">
        <v>11</v>
      </c>
      <c r="AF28" t="s">
        <v>12</v>
      </c>
      <c r="AG28" t="s">
        <v>13</v>
      </c>
      <c r="AH28" t="s">
        <v>14</v>
      </c>
      <c r="AI28" t="s">
        <v>15</v>
      </c>
      <c r="AJ28" t="s">
        <v>16</v>
      </c>
      <c r="AK28" t="s">
        <v>99</v>
      </c>
      <c r="AL28" t="s">
        <v>98</v>
      </c>
      <c r="AM28" t="s">
        <v>42</v>
      </c>
      <c r="AN28" t="s">
        <v>43</v>
      </c>
      <c r="AO28" t="s">
        <v>44</v>
      </c>
      <c r="AP28" t="s">
        <v>45</v>
      </c>
      <c r="AQ28" t="s">
        <v>46</v>
      </c>
      <c r="AR28" t="s">
        <v>47</v>
      </c>
      <c r="AS28" t="s">
        <v>48</v>
      </c>
      <c r="AT28" t="s">
        <v>32</v>
      </c>
      <c r="AU28" t="s">
        <v>19</v>
      </c>
      <c r="AV28" t="s">
        <v>49</v>
      </c>
      <c r="AW28" t="s">
        <v>20</v>
      </c>
      <c r="AX28" t="s">
        <v>97</v>
      </c>
      <c r="AY28" t="s">
        <v>96</v>
      </c>
      <c r="AZ28" t="s">
        <v>26</v>
      </c>
      <c r="BA28" t="s">
        <v>112</v>
      </c>
      <c r="BB28" t="s">
        <v>113</v>
      </c>
    </row>
    <row r="29" spans="1:54" x14ac:dyDescent="0.25">
      <c r="A29" t="s">
        <v>95</v>
      </c>
      <c r="B29" t="s">
        <v>94</v>
      </c>
      <c r="C29" s="3">
        <v>621.5045422266777</v>
      </c>
      <c r="D29" s="3">
        <f>C29-6.5</f>
        <v>615.0045422266777</v>
      </c>
      <c r="E29">
        <v>20</v>
      </c>
      <c r="F29" s="1">
        <v>499.97998046875</v>
      </c>
      <c r="G29" s="1">
        <v>500.2624004501385</v>
      </c>
      <c r="H29" s="1">
        <v>10.968748956018272</v>
      </c>
      <c r="I29" s="1">
        <v>0.29090109793598301</v>
      </c>
      <c r="J29" s="1">
        <v>3.5331925913554274E-2</v>
      </c>
      <c r="K29" s="1">
        <v>-17.743786527977392</v>
      </c>
      <c r="L29" s="1">
        <v>3.8483769265160781</v>
      </c>
      <c r="M29" s="1">
        <v>492.63486471276201</v>
      </c>
      <c r="N29" s="1">
        <v>0.44665072504344444</v>
      </c>
      <c r="O29">
        <v>19</v>
      </c>
      <c r="P29">
        <v>0</v>
      </c>
      <c r="Q29">
        <v>88</v>
      </c>
      <c r="R29">
        <v>0</v>
      </c>
      <c r="S29" s="3">
        <v>-38.007977839335176</v>
      </c>
      <c r="T29" s="3">
        <v>1.4352489400282147E-2</v>
      </c>
      <c r="U29" s="3">
        <v>-10.002099431403995</v>
      </c>
      <c r="V29" s="3">
        <v>3.7769708948110917E-3</v>
      </c>
      <c r="W29" s="4">
        <v>-1.1515623268698074</v>
      </c>
      <c r="X29" s="4">
        <v>1.5684366291075196E-3</v>
      </c>
      <c r="Y29" s="4">
        <v>-1.1450674571091524</v>
      </c>
      <c r="Z29" s="4">
        <v>1.5681943736262536E-3</v>
      </c>
      <c r="AA29" s="4">
        <v>-2.7526315789473665</v>
      </c>
      <c r="AB29" s="4">
        <v>5.6749938815433935E-3</v>
      </c>
      <c r="AC29" s="1">
        <v>50</v>
      </c>
      <c r="AD29" s="1">
        <v>0</v>
      </c>
      <c r="AE29" s="1">
        <v>50.001052021650068</v>
      </c>
      <c r="AF29" s="1">
        <v>1.1733358533049715E-2</v>
      </c>
      <c r="AG29" s="1">
        <v>80</v>
      </c>
      <c r="AH29" s="1">
        <v>0</v>
      </c>
      <c r="AI29" s="1">
        <v>80.001887419217184</v>
      </c>
      <c r="AJ29" s="1">
        <v>1.8093886484648644E-2</v>
      </c>
      <c r="AK29" s="1">
        <v>131.71922112039582</v>
      </c>
      <c r="AL29" s="1">
        <v>2.334493323042909</v>
      </c>
      <c r="AM29" s="1">
        <v>1.0153129121628</v>
      </c>
      <c r="AN29" s="1">
        <v>133.73622598356485</v>
      </c>
      <c r="AO29" s="1">
        <v>3.58117154771793</v>
      </c>
      <c r="AP29">
        <v>-0.18088716031841034</v>
      </c>
      <c r="AQ29">
        <v>10.443642973884256</v>
      </c>
      <c r="AR29">
        <v>0.16166</v>
      </c>
      <c r="AS29">
        <v>6.9267E-3</v>
      </c>
      <c r="AT29" s="1">
        <v>81.619642830170307</v>
      </c>
      <c r="AU29" s="1">
        <v>4.0214388304306201</v>
      </c>
      <c r="AV29" s="1">
        <v>3.4971840900144788</v>
      </c>
      <c r="AW29" s="1">
        <v>4.0214388304306192</v>
      </c>
      <c r="AX29" s="1">
        <v>32.939680425126625</v>
      </c>
      <c r="AY29" s="1">
        <v>4.0214388304306192</v>
      </c>
      <c r="AZ29">
        <v>7.44</v>
      </c>
      <c r="BA29" s="4">
        <f>Y29+0.059*$AZ$3</f>
        <v>-1.1450674571091524</v>
      </c>
      <c r="BB29" s="4">
        <f>Z29</f>
        <v>1.5681943736262536E-3</v>
      </c>
    </row>
    <row r="30" spans="1:54" x14ac:dyDescent="0.25">
      <c r="A30" t="s">
        <v>93</v>
      </c>
      <c r="B30" t="s">
        <v>92</v>
      </c>
      <c r="C30" s="3">
        <v>837.50592986586616</v>
      </c>
      <c r="D30" s="3">
        <f t="shared" ref="D30:D31" si="6">C30-6.5</f>
        <v>831.00592986586616</v>
      </c>
      <c r="E30">
        <v>20</v>
      </c>
      <c r="F30" s="1">
        <v>499.97998046875</v>
      </c>
      <c r="G30" s="1">
        <v>500.17675364714813</v>
      </c>
      <c r="H30" s="1">
        <v>11.643926296756545</v>
      </c>
      <c r="I30" s="1">
        <v>0.34034539007874914</v>
      </c>
      <c r="J30" s="1">
        <v>2.2986996720709273E-2</v>
      </c>
      <c r="K30" s="1">
        <v>-14.365412273213813</v>
      </c>
      <c r="L30" s="1">
        <v>5.7179513778495883</v>
      </c>
      <c r="M30" s="1">
        <v>495.79750016013656</v>
      </c>
      <c r="N30" s="1">
        <v>3.8835581846459362</v>
      </c>
      <c r="O30">
        <v>19</v>
      </c>
      <c r="P30">
        <v>0</v>
      </c>
      <c r="Q30">
        <v>88</v>
      </c>
      <c r="R30">
        <v>0</v>
      </c>
      <c r="S30" s="3">
        <v>-38.010828254847674</v>
      </c>
      <c r="T30" s="3">
        <v>1.4119662393720211E-2</v>
      </c>
      <c r="U30" s="3">
        <v>-10.002849540749388</v>
      </c>
      <c r="V30" s="3">
        <v>3.7157006299263716E-3</v>
      </c>
      <c r="W30" s="4">
        <v>-1.1542818559556813</v>
      </c>
      <c r="X30" s="4">
        <v>1.2513977257780663E-3</v>
      </c>
      <c r="Y30" s="4">
        <v>-1.1477864991110365</v>
      </c>
      <c r="Z30" s="4">
        <v>1.2513133853797754E-3</v>
      </c>
      <c r="AA30" s="4">
        <v>-2.7575401662049819</v>
      </c>
      <c r="AB30" s="4">
        <v>4.77018156829709E-3</v>
      </c>
      <c r="AC30" s="1">
        <v>50</v>
      </c>
      <c r="AD30" s="1">
        <v>0</v>
      </c>
      <c r="AE30" s="1">
        <v>50.001493937457838</v>
      </c>
      <c r="AF30" s="1">
        <v>8.9914830038700534E-3</v>
      </c>
      <c r="AG30" s="1">
        <v>80</v>
      </c>
      <c r="AH30" s="1">
        <v>0</v>
      </c>
      <c r="AI30" s="1">
        <v>80.000805421792037</v>
      </c>
      <c r="AJ30" s="1">
        <v>1.1260955040515065E-2</v>
      </c>
      <c r="AK30" s="1">
        <v>130.37064603842734</v>
      </c>
      <c r="AL30" s="1">
        <v>4.8632983045824059</v>
      </c>
      <c r="AM30" s="1">
        <v>1.0153394493268</v>
      </c>
      <c r="AN30" s="1">
        <v>132.37045995703596</v>
      </c>
      <c r="AO30" s="1">
        <v>5.5567181442920059</v>
      </c>
      <c r="AP30">
        <v>1.5321685268741558</v>
      </c>
      <c r="AQ30">
        <v>13.543368608834747</v>
      </c>
      <c r="AR30">
        <v>0.16588</v>
      </c>
      <c r="AS30">
        <v>8.1116999999999995E-3</v>
      </c>
      <c r="AT30" s="1">
        <v>82.888749562458003</v>
      </c>
      <c r="AU30" s="1">
        <v>5.1597824437012356</v>
      </c>
      <c r="AV30" s="1">
        <v>4.0533438016987606</v>
      </c>
      <c r="AW30" s="1">
        <v>5.1597824437012392</v>
      </c>
      <c r="AX30" s="1">
        <v>39.876344300598461</v>
      </c>
      <c r="AY30" s="1">
        <v>5.1597824437012383</v>
      </c>
      <c r="BA30" s="4">
        <f t="shared" ref="BA30:BA40" si="7">Y30+0.059*$AZ$3</f>
        <v>-1.1477864991110365</v>
      </c>
      <c r="BB30" s="4">
        <f t="shared" ref="BB30:BB40" si="8">Z30</f>
        <v>1.2513133853797754E-3</v>
      </c>
    </row>
    <row r="31" spans="1:54" x14ac:dyDescent="0.25">
      <c r="A31" t="s">
        <v>91</v>
      </c>
      <c r="B31" t="s">
        <v>90</v>
      </c>
      <c r="C31" s="3">
        <v>1054.5073184810383</v>
      </c>
      <c r="D31" s="3">
        <f t="shared" si="6"/>
        <v>1048.0073184810383</v>
      </c>
      <c r="E31">
        <v>20</v>
      </c>
      <c r="F31" s="1">
        <v>499.97998046875</v>
      </c>
      <c r="G31" s="1">
        <v>500.23592570100323</v>
      </c>
      <c r="H31" s="1">
        <v>11.903307294218342</v>
      </c>
      <c r="I31" s="1">
        <v>0.36765439804217942</v>
      </c>
      <c r="J31" s="1">
        <v>1.7802608712645804E-2</v>
      </c>
      <c r="K31" s="1">
        <v>-10.37422670930029</v>
      </c>
      <c r="L31" s="1">
        <v>4.890636899519583</v>
      </c>
      <c r="M31" s="1">
        <v>499.59817039003912</v>
      </c>
      <c r="N31" s="1">
        <v>1.6735883979237032</v>
      </c>
      <c r="O31">
        <v>19</v>
      </c>
      <c r="P31">
        <v>0</v>
      </c>
      <c r="Q31">
        <v>88</v>
      </c>
      <c r="R31">
        <v>0</v>
      </c>
      <c r="S31" s="3">
        <v>-38.011858725761883</v>
      </c>
      <c r="T31" s="3">
        <v>1.3115067142396708E-2</v>
      </c>
      <c r="U31" s="3">
        <v>-10.003120717305759</v>
      </c>
      <c r="V31" s="3">
        <v>3.4513334585254498E-3</v>
      </c>
      <c r="W31" s="4">
        <v>-1.1565831024930766</v>
      </c>
      <c r="X31" s="4">
        <v>1.5310507695404476E-3</v>
      </c>
      <c r="Y31" s="4">
        <v>-1.150087569559763</v>
      </c>
      <c r="Z31" s="4">
        <v>1.5307312666376525E-3</v>
      </c>
      <c r="AA31" s="4">
        <v>-2.7610886426592787</v>
      </c>
      <c r="AB31" s="4">
        <v>5.5755327186693855E-3</v>
      </c>
      <c r="AC31" s="1">
        <v>50</v>
      </c>
      <c r="AD31" s="1">
        <v>0</v>
      </c>
      <c r="AE31" s="1">
        <v>50.000740795082372</v>
      </c>
      <c r="AF31" s="1">
        <v>9.6296166444391311E-3</v>
      </c>
      <c r="AG31" s="1">
        <v>80</v>
      </c>
      <c r="AH31" s="1">
        <v>0</v>
      </c>
      <c r="AI31" s="1">
        <v>80.00223012090062</v>
      </c>
      <c r="AJ31" s="1">
        <v>1.4597279866091004E-2</v>
      </c>
      <c r="AK31" s="1">
        <v>130.83556746373932</v>
      </c>
      <c r="AL31" s="1">
        <v>5.0747886338604618</v>
      </c>
      <c r="AM31" s="1">
        <v>1.0156172180595999</v>
      </c>
      <c r="AN31" s="1">
        <v>132.87885505077205</v>
      </c>
      <c r="AO31" s="1">
        <v>5.7479142528583393</v>
      </c>
      <c r="AP31">
        <v>0.38935512680111639</v>
      </c>
      <c r="AQ31">
        <v>13.719862617276876</v>
      </c>
      <c r="AR31">
        <v>0.16641</v>
      </c>
      <c r="AS31">
        <v>8.7548999999999995E-3</v>
      </c>
      <c r="AT31" s="1">
        <v>83.470690822762933</v>
      </c>
      <c r="AU31" s="1">
        <v>5.2642852471807613</v>
      </c>
      <c r="AV31" s="1">
        <v>4.3914281057881563</v>
      </c>
      <c r="AW31" s="1">
        <v>5.2642852471807613</v>
      </c>
      <c r="AX31" s="1">
        <v>130.03390354481741</v>
      </c>
      <c r="AY31" s="1">
        <v>5.2642852471807613</v>
      </c>
      <c r="BA31" s="4">
        <f t="shared" si="7"/>
        <v>-1.150087569559763</v>
      </c>
      <c r="BB31" s="4">
        <f t="shared" si="8"/>
        <v>1.5307312666376525E-3</v>
      </c>
    </row>
    <row r="32" spans="1:54" x14ac:dyDescent="0.25">
      <c r="A32" t="s">
        <v>89</v>
      </c>
      <c r="B32" t="s">
        <v>88</v>
      </c>
      <c r="C32" s="3">
        <v>1990.513311467492</v>
      </c>
      <c r="D32" s="3">
        <f>C32-1380</f>
        <v>610.51331146749203</v>
      </c>
      <c r="E32">
        <v>20</v>
      </c>
      <c r="F32" s="1">
        <v>499.97998046875</v>
      </c>
      <c r="G32" s="1">
        <v>500.55845375800726</v>
      </c>
      <c r="H32" s="1">
        <v>30.941729960444984</v>
      </c>
      <c r="I32" s="1">
        <v>0.40298698202724931</v>
      </c>
      <c r="J32" s="1">
        <v>1.639955341500663E-2</v>
      </c>
      <c r="K32" s="1">
        <v>-23.037149982152705</v>
      </c>
      <c r="L32" s="1">
        <v>13.403322102491765</v>
      </c>
      <c r="M32" s="1">
        <v>490.06742233586533</v>
      </c>
      <c r="N32" s="1">
        <v>0.27362478236055421</v>
      </c>
      <c r="O32">
        <v>19</v>
      </c>
      <c r="P32">
        <v>0</v>
      </c>
      <c r="Q32">
        <v>88</v>
      </c>
      <c r="R32">
        <v>0</v>
      </c>
      <c r="S32" s="3">
        <v>-189.81587534626152</v>
      </c>
      <c r="T32" s="3">
        <v>2.20099340312567E-2</v>
      </c>
      <c r="U32" s="3">
        <v>-49.951546143753035</v>
      </c>
      <c r="V32" s="3">
        <v>5.7920879029622896E-3</v>
      </c>
      <c r="W32" s="4">
        <v>-1.4252347645429349</v>
      </c>
      <c r="X32" s="4">
        <v>6.8706887906741102E-3</v>
      </c>
      <c r="Y32" s="4">
        <v>-1.3927986956184206</v>
      </c>
      <c r="Z32" s="4">
        <v>6.8705693969315371E-3</v>
      </c>
      <c r="AA32" s="4">
        <v>-4.564412742382272</v>
      </c>
      <c r="AB32" s="4">
        <v>2.6428493744916938E-2</v>
      </c>
      <c r="AC32" s="1">
        <v>50</v>
      </c>
      <c r="AD32" s="1">
        <v>0</v>
      </c>
      <c r="AE32" s="1">
        <v>49.997782413979316</v>
      </c>
      <c r="AF32" s="1">
        <v>8.8920196122220518E-3</v>
      </c>
      <c r="AG32" s="1">
        <v>80</v>
      </c>
      <c r="AH32" s="1">
        <v>0</v>
      </c>
      <c r="AI32" s="1">
        <v>79.999701861859691</v>
      </c>
      <c r="AJ32" s="1">
        <v>1.2107481105437074E-2</v>
      </c>
      <c r="AK32" s="1">
        <v>131.85251410317883</v>
      </c>
      <c r="AL32" s="1">
        <v>3.527498372344263</v>
      </c>
      <c r="AM32" s="1">
        <v>1.018121913676</v>
      </c>
      <c r="AN32" s="1">
        <v>134.24193398172022</v>
      </c>
      <c r="AO32" s="1">
        <v>4.4626482344161085</v>
      </c>
      <c r="AP32">
        <v>1.3022280411823184</v>
      </c>
      <c r="AQ32">
        <v>11.737236087585579</v>
      </c>
      <c r="AR32">
        <v>0.84077000000000002</v>
      </c>
      <c r="AS32">
        <v>1.418E-2</v>
      </c>
      <c r="AT32" s="1">
        <v>85.319969512262958</v>
      </c>
      <c r="AU32" s="1">
        <v>4.4778701406561723</v>
      </c>
      <c r="AV32" s="1">
        <v>1.4389632927957565</v>
      </c>
      <c r="AW32" s="1">
        <v>4.4778701406561741</v>
      </c>
      <c r="AX32" s="1">
        <v>75.88349584533222</v>
      </c>
      <c r="AY32" s="1">
        <v>4.4778701406561723</v>
      </c>
      <c r="BA32" s="4">
        <f t="shared" si="7"/>
        <v>-1.3927986956184206</v>
      </c>
      <c r="BB32" s="4">
        <f t="shared" si="8"/>
        <v>6.8705693969315371E-3</v>
      </c>
    </row>
    <row r="33" spans="1:55" x14ac:dyDescent="0.25">
      <c r="A33" t="s">
        <v>87</v>
      </c>
      <c r="B33" t="s">
        <v>86</v>
      </c>
      <c r="C33" s="3">
        <v>2206.514689048332</v>
      </c>
      <c r="D33" s="3">
        <f t="shared" ref="D33:D40" si="9">C33-1380</f>
        <v>826.514689048332</v>
      </c>
      <c r="E33">
        <v>20</v>
      </c>
      <c r="F33" s="1">
        <v>499.97998046875</v>
      </c>
      <c r="G33" s="1">
        <v>500.65887484986365</v>
      </c>
      <c r="H33" s="1">
        <v>28.034911251637634</v>
      </c>
      <c r="I33" s="1">
        <v>0.41032129922401872</v>
      </c>
      <c r="J33" s="1">
        <v>1.5934378378323559E-2</v>
      </c>
      <c r="K33" s="1">
        <v>-20.066855704082528</v>
      </c>
      <c r="L33" s="1">
        <v>12.33094364477334</v>
      </c>
      <c r="M33" s="1">
        <v>492.90464376545009</v>
      </c>
      <c r="N33" s="1">
        <v>3.2116118782439074</v>
      </c>
      <c r="O33">
        <v>19</v>
      </c>
      <c r="P33">
        <v>0</v>
      </c>
      <c r="Q33">
        <v>88</v>
      </c>
      <c r="R33">
        <v>0</v>
      </c>
      <c r="S33" s="3">
        <v>-189.81664265928097</v>
      </c>
      <c r="T33" s="3">
        <v>2.2734512618915379E-2</v>
      </c>
      <c r="U33" s="3">
        <v>-49.951748068231836</v>
      </c>
      <c r="V33" s="3">
        <v>5.9827664786619422E-3</v>
      </c>
      <c r="W33" s="4">
        <v>-1.4240761772853188</v>
      </c>
      <c r="X33" s="4">
        <v>6.0281527308339222E-3</v>
      </c>
      <c r="Y33" s="4">
        <v>-1.3916399772410128</v>
      </c>
      <c r="Z33" s="4">
        <v>6.0278470111038256E-3</v>
      </c>
      <c r="AA33" s="4">
        <v>-4.5793074792243749</v>
      </c>
      <c r="AB33" s="4">
        <v>2.6005174154285243E-2</v>
      </c>
      <c r="AC33" s="1">
        <v>50</v>
      </c>
      <c r="AD33" s="1">
        <v>0</v>
      </c>
      <c r="AE33" s="1">
        <v>49.999282329696698</v>
      </c>
      <c r="AF33" s="1">
        <v>9.0396933448598418E-3</v>
      </c>
      <c r="AG33" s="1">
        <v>80</v>
      </c>
      <c r="AH33" s="1">
        <v>0</v>
      </c>
      <c r="AI33" s="1">
        <v>79.999778430547735</v>
      </c>
      <c r="AJ33" s="1">
        <v>1.2399747343796152E-2</v>
      </c>
      <c r="AK33" s="1">
        <v>131.00746533084774</v>
      </c>
      <c r="AL33" s="1">
        <v>5.9165373260663543</v>
      </c>
      <c r="AM33" s="1">
        <v>1.0184851936588</v>
      </c>
      <c r="AN33" s="1">
        <v>133.42916369823698</v>
      </c>
      <c r="AO33" s="1">
        <v>6.5109494372326981</v>
      </c>
      <c r="AP33">
        <v>2.1617714854188286</v>
      </c>
      <c r="AQ33">
        <v>15.095750986127934</v>
      </c>
      <c r="AR33">
        <v>0.86736999999999997</v>
      </c>
      <c r="AS33">
        <v>9.9597000000000002E-3</v>
      </c>
      <c r="AT33" s="1">
        <v>87.486026059853089</v>
      </c>
      <c r="AU33" s="1">
        <v>5.7281465893242265</v>
      </c>
      <c r="AV33" s="1">
        <v>1.0045707987921175</v>
      </c>
      <c r="AW33" s="1">
        <v>5.7281465893242265</v>
      </c>
      <c r="AX33" s="1">
        <v>96.39126977455895</v>
      </c>
      <c r="AY33" s="1">
        <v>5.7281465893242274</v>
      </c>
      <c r="BA33" s="4">
        <f t="shared" si="7"/>
        <v>-1.3916399772410128</v>
      </c>
      <c r="BB33" s="4">
        <f t="shared" si="8"/>
        <v>6.0278470111038256E-3</v>
      </c>
    </row>
    <row r="34" spans="1:55" x14ac:dyDescent="0.25">
      <c r="A34" t="s">
        <v>85</v>
      </c>
      <c r="B34" t="s">
        <v>84</v>
      </c>
      <c r="C34" s="3">
        <v>2423.5160776635043</v>
      </c>
      <c r="D34" s="3">
        <f t="shared" si="9"/>
        <v>1043.5160776635043</v>
      </c>
      <c r="E34">
        <v>20</v>
      </c>
      <c r="F34" s="1">
        <v>499.97998046875</v>
      </c>
      <c r="G34" s="1">
        <v>500.06074126427916</v>
      </c>
      <c r="H34" s="1">
        <v>29.224049840762362</v>
      </c>
      <c r="I34" s="1">
        <v>0.4093665000604314</v>
      </c>
      <c r="J34" s="1">
        <v>1.4920648337811369E-2</v>
      </c>
      <c r="K34" s="1">
        <v>-16.223314453267275</v>
      </c>
      <c r="L34" s="1">
        <v>12.009332435704321</v>
      </c>
      <c r="M34" s="1">
        <v>495.90860311712396</v>
      </c>
      <c r="N34" s="1">
        <v>1.5679263816879554</v>
      </c>
      <c r="O34">
        <v>19</v>
      </c>
      <c r="P34">
        <v>0</v>
      </c>
      <c r="Q34">
        <v>88</v>
      </c>
      <c r="R34">
        <v>0</v>
      </c>
      <c r="S34" s="3">
        <v>-189.81500840336247</v>
      </c>
      <c r="T34" s="3">
        <v>2.1725365410477964E-2</v>
      </c>
      <c r="U34" s="3">
        <v>-49.951318000884861</v>
      </c>
      <c r="V34" s="3">
        <v>5.7172014238099905E-3</v>
      </c>
      <c r="W34" s="4">
        <v>-1.4237303921568625</v>
      </c>
      <c r="X34" s="4">
        <v>4.5454903398919081E-3</v>
      </c>
      <c r="Y34" s="4">
        <v>-1.3912944713770672</v>
      </c>
      <c r="Z34" s="4">
        <v>4.5455977655157126E-3</v>
      </c>
      <c r="AA34" s="4">
        <v>-4.5936162464986019</v>
      </c>
      <c r="AB34" s="4">
        <v>2.4689102004361443E-2</v>
      </c>
      <c r="AC34" s="1">
        <v>50</v>
      </c>
      <c r="AD34" s="1">
        <v>0</v>
      </c>
      <c r="AE34" s="1">
        <v>50.000860080665568</v>
      </c>
      <c r="AF34" s="1">
        <v>7.778396867756515E-3</v>
      </c>
      <c r="AG34" s="1">
        <v>80</v>
      </c>
      <c r="AH34" s="1">
        <v>0</v>
      </c>
      <c r="AI34" s="1">
        <v>79.999608400489109</v>
      </c>
      <c r="AJ34" s="1">
        <v>1.3909602968592113E-2</v>
      </c>
      <c r="AK34" s="1">
        <v>131.2203056057628</v>
      </c>
      <c r="AL34" s="1">
        <v>5.4597044736677143</v>
      </c>
      <c r="AM34" s="1">
        <v>1.0187230947320001</v>
      </c>
      <c r="AN34" s="1">
        <v>133.67715581838149</v>
      </c>
      <c r="AO34" s="1">
        <v>6.1013416999311172</v>
      </c>
      <c r="AP34">
        <v>1.7901119907093976</v>
      </c>
      <c r="AQ34">
        <v>14.359990916164515</v>
      </c>
      <c r="AR34">
        <v>0.87280999999999997</v>
      </c>
      <c r="AS34">
        <v>1.3863E-2</v>
      </c>
      <c r="AT34" s="1">
        <v>88.199104974358121</v>
      </c>
      <c r="AU34" s="1">
        <v>5.4619032336806193</v>
      </c>
      <c r="AV34" s="1">
        <v>1.4008824283171901</v>
      </c>
      <c r="AW34" s="1">
        <v>5.4619032336806193</v>
      </c>
      <c r="AX34" s="1">
        <v>111.22782145630316</v>
      </c>
      <c r="AY34" s="1">
        <v>5.4619032336806201</v>
      </c>
      <c r="BA34" s="4">
        <f t="shared" si="7"/>
        <v>-1.3912944713770672</v>
      </c>
      <c r="BB34" s="4">
        <f t="shared" si="8"/>
        <v>4.5455977655157126E-3</v>
      </c>
    </row>
    <row r="35" spans="1:55" x14ac:dyDescent="0.25">
      <c r="A35" t="s">
        <v>83</v>
      </c>
      <c r="B35" t="s">
        <v>82</v>
      </c>
      <c r="C35" s="3">
        <v>2643.5174893233234</v>
      </c>
      <c r="D35" s="3">
        <f t="shared" si="9"/>
        <v>1263.5174893233234</v>
      </c>
      <c r="E35">
        <v>20</v>
      </c>
      <c r="F35" s="1">
        <v>499.97998046875</v>
      </c>
      <c r="G35" s="1">
        <v>500.80314986898293</v>
      </c>
      <c r="H35" s="1">
        <v>29.533022393281055</v>
      </c>
      <c r="I35" s="1">
        <v>0.41490730587740121</v>
      </c>
      <c r="J35" s="1">
        <v>1.6444924938172945E-2</v>
      </c>
      <c r="K35" s="1">
        <v>-16.382367019627914</v>
      </c>
      <c r="L35" s="1">
        <v>12.225670638381773</v>
      </c>
      <c r="M35" s="1">
        <v>496.85522544846833</v>
      </c>
      <c r="N35" s="1">
        <v>0.817472462642436</v>
      </c>
      <c r="O35">
        <v>19</v>
      </c>
      <c r="P35">
        <v>0</v>
      </c>
      <c r="Q35">
        <v>88</v>
      </c>
      <c r="R35">
        <v>0</v>
      </c>
      <c r="S35" s="3">
        <v>-189.81616770186326</v>
      </c>
      <c r="T35" s="3">
        <v>2.3130400997614892E-2</v>
      </c>
      <c r="U35" s="3">
        <v>-49.951623079437702</v>
      </c>
      <c r="V35" s="3">
        <v>6.0869476309512874E-3</v>
      </c>
      <c r="W35" s="4">
        <v>-1.4234425465838512</v>
      </c>
      <c r="X35" s="4">
        <v>2.9320759027315038E-3</v>
      </c>
      <c r="Y35" s="4">
        <v>-1.3910064277010987</v>
      </c>
      <c r="Z35" s="4">
        <v>2.9315823970836635E-3</v>
      </c>
      <c r="AA35" s="4">
        <v>-4.6163291925465844</v>
      </c>
      <c r="AB35" s="4">
        <v>2.7653611065626547E-2</v>
      </c>
      <c r="AC35" s="1">
        <v>50</v>
      </c>
      <c r="AD35" s="1">
        <v>0</v>
      </c>
      <c r="AE35" s="1">
        <v>50.000518324952687</v>
      </c>
      <c r="AF35" s="1">
        <v>6.2912251507216202E-3</v>
      </c>
      <c r="AG35" s="1">
        <v>80</v>
      </c>
      <c r="AH35" s="1">
        <v>0</v>
      </c>
      <c r="AI35" s="1">
        <v>80.000782984384102</v>
      </c>
      <c r="AJ35" s="1">
        <v>1.1159175477859077E-2</v>
      </c>
      <c r="AK35" s="1">
        <v>131.81765017302141</v>
      </c>
      <c r="AL35" s="1">
        <v>4.8086713931703242</v>
      </c>
      <c r="AM35" s="1">
        <v>1.0184149059679999</v>
      </c>
      <c r="AN35" s="1">
        <v>134.24505980588029</v>
      </c>
      <c r="AO35" s="1">
        <v>5.5317225519832514</v>
      </c>
      <c r="AP35">
        <v>-0.19868796073418959</v>
      </c>
      <c r="AQ35">
        <v>13.236027030891298</v>
      </c>
      <c r="AR35">
        <v>0.86633000000000004</v>
      </c>
      <c r="AS35">
        <v>1.1206000000000001E-2</v>
      </c>
      <c r="AT35" s="1">
        <v>87.915668324667436</v>
      </c>
      <c r="AU35" s="1">
        <v>5.0970206416244555</v>
      </c>
      <c r="AV35" s="1">
        <v>1.1371913465379513</v>
      </c>
      <c r="AW35" s="1">
        <v>5.0970206416244546</v>
      </c>
      <c r="AX35" s="1">
        <v>92.73701054080324</v>
      </c>
      <c r="AY35" s="1">
        <v>5.0970206416244572</v>
      </c>
      <c r="BA35" s="4">
        <f t="shared" si="7"/>
        <v>-1.3910064277010987</v>
      </c>
      <c r="BB35" s="4">
        <f t="shared" si="8"/>
        <v>2.9315823970836635E-3</v>
      </c>
    </row>
    <row r="36" spans="1:55" x14ac:dyDescent="0.25">
      <c r="A36" t="s">
        <v>81</v>
      </c>
      <c r="B36" t="s">
        <v>80</v>
      </c>
      <c r="C36" s="3">
        <v>2861.518878914479</v>
      </c>
      <c r="D36" s="3">
        <f t="shared" si="9"/>
        <v>1481.518878914479</v>
      </c>
      <c r="E36">
        <v>20</v>
      </c>
      <c r="F36" s="1">
        <v>499.97998046875</v>
      </c>
      <c r="G36" s="1">
        <v>499.74817807522504</v>
      </c>
      <c r="H36" s="1">
        <v>35.54273000160606</v>
      </c>
      <c r="I36" s="1">
        <v>0.42102251108993782</v>
      </c>
      <c r="J36" s="1">
        <v>1.7153644673134141E-2</v>
      </c>
      <c r="K36" s="1">
        <v>-15.734166849528679</v>
      </c>
      <c r="L36" s="1">
        <v>13.806487904376954</v>
      </c>
      <c r="M36" s="1">
        <v>496.23225654381406</v>
      </c>
      <c r="N36" s="1">
        <v>1.7055658530305982</v>
      </c>
      <c r="O36">
        <v>19</v>
      </c>
      <c r="P36">
        <v>0</v>
      </c>
      <c r="Q36">
        <v>88</v>
      </c>
      <c r="R36">
        <v>0</v>
      </c>
      <c r="S36" s="3">
        <v>-189.81461495844979</v>
      </c>
      <c r="T36" s="3">
        <v>2.1434621476606446E-2</v>
      </c>
      <c r="U36" s="3">
        <v>-49.951214462749945</v>
      </c>
      <c r="V36" s="3">
        <v>5.6406898622648549E-3</v>
      </c>
      <c r="W36" s="4">
        <v>-1.4254875346260378</v>
      </c>
      <c r="X36" s="4">
        <v>9.4425262782879549E-3</v>
      </c>
      <c r="Y36" s="4">
        <v>-1.3930516810787983</v>
      </c>
      <c r="Z36" s="4">
        <v>9.442296687663037E-3</v>
      </c>
      <c r="AA36" s="4">
        <v>-4.6267257617728523</v>
      </c>
      <c r="AB36" s="4">
        <v>2.9841611999182553E-2</v>
      </c>
      <c r="AC36" s="1">
        <v>50</v>
      </c>
      <c r="AD36" s="1">
        <v>0</v>
      </c>
      <c r="AE36" s="1">
        <v>49.999195722331628</v>
      </c>
      <c r="AF36" s="1">
        <v>7.6291908166956374E-3</v>
      </c>
      <c r="AG36" s="1">
        <v>80</v>
      </c>
      <c r="AH36" s="1">
        <v>0</v>
      </c>
      <c r="AI36" s="1">
        <v>79.998988291563421</v>
      </c>
      <c r="AJ36" s="1">
        <v>1.2149701374279512E-2</v>
      </c>
      <c r="AK36" s="1">
        <v>131.8341171814134</v>
      </c>
      <c r="AL36" s="1">
        <v>6.2826617713053805</v>
      </c>
      <c r="AM36" s="1">
        <v>1.0185387525159999</v>
      </c>
      <c r="AN36" s="1">
        <v>134.27815725300496</v>
      </c>
      <c r="AO36" s="1">
        <v>6.8522973736403419</v>
      </c>
      <c r="AP36">
        <v>-0.30560451138079703</v>
      </c>
      <c r="AQ36">
        <v>15.362031243529778</v>
      </c>
      <c r="AR36">
        <v>0.86629</v>
      </c>
      <c r="AS36">
        <v>1.5771E-2</v>
      </c>
      <c r="AT36" s="1">
        <v>87.93400259049028</v>
      </c>
      <c r="AU36" s="1">
        <v>5.9195749377624898</v>
      </c>
      <c r="AV36" s="1">
        <v>1.6008578592095282</v>
      </c>
      <c r="AW36" s="1">
        <v>5.9195749377624898</v>
      </c>
      <c r="AX36" s="1">
        <v>100.60707999346469</v>
      </c>
      <c r="AY36" s="1">
        <v>5.9195749377624916</v>
      </c>
      <c r="BA36" s="4">
        <f t="shared" si="7"/>
        <v>-1.3930516810787983</v>
      </c>
      <c r="BB36" s="4">
        <f t="shared" si="8"/>
        <v>9.442296687663037E-3</v>
      </c>
    </row>
    <row r="37" spans="1:55" x14ac:dyDescent="0.25">
      <c r="A37" t="s">
        <v>79</v>
      </c>
      <c r="B37" t="s">
        <v>78</v>
      </c>
      <c r="C37" s="3">
        <v>3077.5202665536676</v>
      </c>
      <c r="D37" s="3">
        <f t="shared" si="9"/>
        <v>1697.5202665536676</v>
      </c>
      <c r="E37">
        <v>20</v>
      </c>
      <c r="F37" s="1">
        <v>499.97998046875</v>
      </c>
      <c r="G37" s="1">
        <v>500.70350502861868</v>
      </c>
      <c r="H37" s="1">
        <v>36.730245602243997</v>
      </c>
      <c r="I37" s="1">
        <v>0.42547396057181885</v>
      </c>
      <c r="J37" s="1">
        <v>1.3857922601787805E-2</v>
      </c>
      <c r="K37" s="1">
        <v>-15.159765940258268</v>
      </c>
      <c r="L37" s="1">
        <v>14.158985813443515</v>
      </c>
      <c r="M37" s="1">
        <v>496.12093128720147</v>
      </c>
      <c r="N37" s="1">
        <v>1.6456164503896902</v>
      </c>
      <c r="O37">
        <v>19</v>
      </c>
      <c r="P37">
        <v>0</v>
      </c>
      <c r="Q37">
        <v>88</v>
      </c>
      <c r="R37">
        <v>0</v>
      </c>
      <c r="S37" s="3">
        <v>-189.81587534626132</v>
      </c>
      <c r="T37" s="3">
        <v>2.3186046485241567E-2</v>
      </c>
      <c r="U37" s="3">
        <v>-49.951546143752985</v>
      </c>
      <c r="V37" s="3">
        <v>6.1015911803267283E-3</v>
      </c>
      <c r="W37" s="4">
        <v>-1.4261966759002769</v>
      </c>
      <c r="X37" s="4">
        <v>6.1916242733139103E-3</v>
      </c>
      <c r="Y37" s="4">
        <v>-1.3937606069757627</v>
      </c>
      <c r="Z37" s="4">
        <v>6.1913881211302594E-3</v>
      </c>
      <c r="AA37" s="4">
        <v>-4.6366343490304738</v>
      </c>
      <c r="AB37" s="4">
        <v>2.8638927183120177E-2</v>
      </c>
      <c r="AC37" s="1">
        <v>50</v>
      </c>
      <c r="AD37" s="1">
        <v>0</v>
      </c>
      <c r="AE37" s="1">
        <v>49.998335329691571</v>
      </c>
      <c r="AF37" s="1">
        <v>1.0502140088480718E-2</v>
      </c>
      <c r="AG37" s="1">
        <v>80</v>
      </c>
      <c r="AH37" s="1">
        <v>0</v>
      </c>
      <c r="AI37" s="1">
        <v>79.998268890380857</v>
      </c>
      <c r="AJ37" s="1">
        <v>1.5486572887078781E-2</v>
      </c>
      <c r="AK37" s="1">
        <v>131.75628267923992</v>
      </c>
      <c r="AL37" s="1">
        <v>5.7600929152118665</v>
      </c>
      <c r="AM37" s="1">
        <v>1.018170994024</v>
      </c>
      <c r="AN37" s="1">
        <v>134.15042530442884</v>
      </c>
      <c r="AO37" s="1">
        <v>6.3750443876051914</v>
      </c>
      <c r="AP37">
        <v>-1.8756314464396517E-2</v>
      </c>
      <c r="AQ37">
        <v>14.610085219137355</v>
      </c>
      <c r="AR37">
        <v>0.86199000000000003</v>
      </c>
      <c r="AS37">
        <v>1.2888999999999999E-2</v>
      </c>
      <c r="AT37" s="1">
        <v>87.413712595128771</v>
      </c>
      <c r="AU37" s="1">
        <v>5.6198918813301946</v>
      </c>
      <c r="AV37" s="1">
        <v>1.3070631232828858</v>
      </c>
      <c r="AW37" s="1">
        <v>5.6198918813301946</v>
      </c>
      <c r="AX37" s="1">
        <v>76.448336264879828</v>
      </c>
      <c r="AY37" s="1">
        <v>5.6198918813301946</v>
      </c>
      <c r="BA37" s="4">
        <f t="shared" si="7"/>
        <v>-1.3937606069757627</v>
      </c>
      <c r="BB37" s="4">
        <f t="shared" si="8"/>
        <v>6.1913881211302594E-3</v>
      </c>
    </row>
    <row r="38" spans="1:55" x14ac:dyDescent="0.25">
      <c r="A38" t="s">
        <v>77</v>
      </c>
      <c r="B38" t="s">
        <v>76</v>
      </c>
      <c r="C38" s="3">
        <v>4283.5279815161712</v>
      </c>
      <c r="D38" s="3">
        <f t="shared" si="9"/>
        <v>2903.5279815161712</v>
      </c>
      <c r="E38">
        <v>20</v>
      </c>
      <c r="F38" s="1">
        <v>499.97998046875</v>
      </c>
      <c r="G38" s="1">
        <v>501.10626093898782</v>
      </c>
      <c r="H38" s="1">
        <v>32.417510365376316</v>
      </c>
      <c r="I38" s="1">
        <v>0.43193017478794932</v>
      </c>
      <c r="J38" s="1">
        <v>1.5983736338065671E-2</v>
      </c>
      <c r="K38" s="1">
        <v>-20.444433367410987</v>
      </c>
      <c r="L38" s="1">
        <v>14.391783569586929</v>
      </c>
      <c r="M38" s="1">
        <v>490.46710189998254</v>
      </c>
      <c r="N38" s="1">
        <v>0.29472484683082328</v>
      </c>
      <c r="O38">
        <v>19</v>
      </c>
      <c r="P38">
        <v>0</v>
      </c>
      <c r="Q38">
        <v>88</v>
      </c>
      <c r="R38">
        <v>0</v>
      </c>
      <c r="S38" s="3">
        <v>-189.81693905817266</v>
      </c>
      <c r="T38" s="3">
        <v>2.4254017953487857E-2</v>
      </c>
      <c r="U38" s="3">
        <v>-49.951826067940175</v>
      </c>
      <c r="V38" s="3">
        <v>6.3826363035494361E-3</v>
      </c>
      <c r="W38" s="4">
        <v>-1.468005540166206</v>
      </c>
      <c r="X38" s="4">
        <v>8.3119916585863932E-3</v>
      </c>
      <c r="Y38" s="4">
        <v>-1.4355692894727361</v>
      </c>
      <c r="Z38" s="4">
        <v>8.3118335694999795E-3</v>
      </c>
      <c r="AA38" s="4">
        <v>-4.7557922437673152</v>
      </c>
      <c r="AB38" s="4">
        <v>2.9330559446616822E-2</v>
      </c>
      <c r="AC38" s="1">
        <v>50</v>
      </c>
      <c r="AD38" s="1">
        <v>0</v>
      </c>
      <c r="AE38" s="1">
        <v>50.001624522116707</v>
      </c>
      <c r="AF38" s="1">
        <v>8.4276611091305895E-3</v>
      </c>
      <c r="AG38" s="1">
        <v>80</v>
      </c>
      <c r="AH38" s="1">
        <v>0</v>
      </c>
      <c r="AI38" s="1">
        <v>80.001749942177227</v>
      </c>
      <c r="AJ38" s="1">
        <v>1.2968156014442581E-2</v>
      </c>
      <c r="AK38" s="1">
        <v>132.05095066059991</v>
      </c>
      <c r="AL38" s="1">
        <v>3.8640304207259071</v>
      </c>
      <c r="AM38" s="1">
        <v>1.0182109504079999</v>
      </c>
      <c r="AN38" s="1">
        <v>134.45572397440932</v>
      </c>
      <c r="AO38" s="1">
        <v>4.7358045773401898</v>
      </c>
      <c r="AP38">
        <v>1.3294896700978831</v>
      </c>
      <c r="AQ38">
        <v>12.128945261492108</v>
      </c>
      <c r="AR38">
        <v>0.82096000000000002</v>
      </c>
      <c r="AS38">
        <v>3.2105000000000002E-2</v>
      </c>
      <c r="AT38" s="1">
        <v>83.441892090572807</v>
      </c>
      <c r="AU38" s="1">
        <v>4.6266707961941735</v>
      </c>
      <c r="AV38" s="1">
        <v>3.2631333384913286</v>
      </c>
      <c r="AW38" s="1">
        <v>4.62667079619417</v>
      </c>
      <c r="AX38" s="1">
        <v>84.895335689402458</v>
      </c>
      <c r="AY38" s="1">
        <v>4.6266707961941727</v>
      </c>
      <c r="BA38" s="4">
        <f t="shared" si="7"/>
        <v>-1.4355692894727361</v>
      </c>
      <c r="BB38" s="4">
        <f t="shared" si="8"/>
        <v>8.3118335694999795E-3</v>
      </c>
    </row>
    <row r="39" spans="1:55" x14ac:dyDescent="0.25">
      <c r="A39" t="s">
        <v>75</v>
      </c>
      <c r="B39" t="s">
        <v>74</v>
      </c>
      <c r="C39" s="3">
        <v>5492.5357195233228</v>
      </c>
      <c r="D39" s="3">
        <f t="shared" si="9"/>
        <v>4112.5357195233228</v>
      </c>
      <c r="E39">
        <v>20</v>
      </c>
      <c r="F39" s="1">
        <v>499.97998046875</v>
      </c>
      <c r="G39" s="1">
        <v>499.99114068789493</v>
      </c>
      <c r="H39" s="1">
        <v>29.637436631862666</v>
      </c>
      <c r="I39" s="1">
        <v>0.43965914374903631</v>
      </c>
      <c r="J39" s="1">
        <v>1.5145230328238547E-2</v>
      </c>
      <c r="K39" s="1">
        <v>-17.931999748528508</v>
      </c>
      <c r="L39" s="1">
        <v>11.896944159678883</v>
      </c>
      <c r="M39" s="1">
        <v>491.20274220490944</v>
      </c>
      <c r="N39" s="1">
        <v>0.37431622168299511</v>
      </c>
      <c r="O39">
        <v>19</v>
      </c>
      <c r="P39">
        <v>0</v>
      </c>
      <c r="Q39">
        <v>88</v>
      </c>
      <c r="R39">
        <v>0</v>
      </c>
      <c r="S39" s="3">
        <v>-189.8159390581728</v>
      </c>
      <c r="T39" s="3">
        <v>2.1533221057482173E-2</v>
      </c>
      <c r="U39" s="3">
        <v>-49.951562910045475</v>
      </c>
      <c r="V39" s="3">
        <v>5.6666371203900456E-3</v>
      </c>
      <c r="W39" s="4">
        <v>-1.5106170360110807</v>
      </c>
      <c r="X39" s="4">
        <v>1.5671255786487573E-3</v>
      </c>
      <c r="Y39" s="4">
        <v>-1.4781809561993637</v>
      </c>
      <c r="Z39" s="4">
        <v>1.5673728523957669E-3</v>
      </c>
      <c r="AA39" s="4">
        <v>-4.8480000000000025</v>
      </c>
      <c r="AB39" s="4">
        <v>2.6411066704024717E-2</v>
      </c>
      <c r="AC39" s="1">
        <v>50</v>
      </c>
      <c r="AD39" s="1">
        <v>0</v>
      </c>
      <c r="AE39" s="1">
        <v>50.000119523658647</v>
      </c>
      <c r="AF39" s="1">
        <v>7.6800561348888165E-3</v>
      </c>
      <c r="AG39" s="1">
        <v>80</v>
      </c>
      <c r="AH39" s="1">
        <v>0</v>
      </c>
      <c r="AI39" s="1">
        <v>79.999124648498366</v>
      </c>
      <c r="AJ39" s="1">
        <v>1.0960724088534627E-2</v>
      </c>
      <c r="AK39" s="1">
        <v>131.88964167460179</v>
      </c>
      <c r="AL39" s="1">
        <v>2.3186190267022582</v>
      </c>
      <c r="AM39" s="1">
        <v>1.0180338139399998</v>
      </c>
      <c r="AN39" s="1">
        <v>134.26811493317481</v>
      </c>
      <c r="AO39" s="1">
        <v>3.5846338574912049</v>
      </c>
      <c r="AP39">
        <v>1.8003619516421709</v>
      </c>
      <c r="AQ39">
        <v>10.55909326213701</v>
      </c>
      <c r="AR39">
        <v>0.77325999999999995</v>
      </c>
      <c r="AS39">
        <v>6.4780000000000004E-2</v>
      </c>
      <c r="AT39" s="1">
        <v>78.484442074024102</v>
      </c>
      <c r="AU39" s="1">
        <v>4.015935375302754</v>
      </c>
      <c r="AV39" s="1">
        <v>6.575048699732668</v>
      </c>
      <c r="AW39" s="1">
        <v>4.015935375302754</v>
      </c>
      <c r="AX39" s="1">
        <v>74.909678023320453</v>
      </c>
      <c r="AY39" s="1">
        <v>4.015935375302754</v>
      </c>
      <c r="BA39" s="4">
        <f t="shared" si="7"/>
        <v>-1.4781809561993637</v>
      </c>
      <c r="BB39" s="4">
        <f t="shared" si="8"/>
        <v>1.5673728523957669E-3</v>
      </c>
    </row>
    <row r="40" spans="1:55" x14ac:dyDescent="0.25">
      <c r="A40" t="s">
        <v>73</v>
      </c>
      <c r="B40" t="s">
        <v>72</v>
      </c>
      <c r="C40" s="3">
        <v>6699.5434455201585</v>
      </c>
      <c r="D40" s="3">
        <f t="shared" si="9"/>
        <v>5319.5434455201585</v>
      </c>
      <c r="E40">
        <v>20</v>
      </c>
      <c r="F40" s="1">
        <v>499.97998046875</v>
      </c>
      <c r="G40" s="1">
        <v>500.945212313441</v>
      </c>
      <c r="H40" s="1">
        <v>28.71565037917426</v>
      </c>
      <c r="I40" s="1">
        <v>0.45197288362251942</v>
      </c>
      <c r="J40" s="1">
        <v>1.5327930869111248E-2</v>
      </c>
      <c r="K40" s="1">
        <v>-2.8256137650474513</v>
      </c>
      <c r="L40" s="1">
        <v>11.40975731987022</v>
      </c>
      <c r="M40" s="1">
        <v>506.44169965865979</v>
      </c>
      <c r="N40" s="1">
        <v>2.3987425062963084</v>
      </c>
      <c r="O40">
        <v>19</v>
      </c>
      <c r="P40">
        <v>0</v>
      </c>
      <c r="Q40">
        <v>88</v>
      </c>
      <c r="R40">
        <v>0</v>
      </c>
      <c r="S40" s="3">
        <v>-189.81865083798976</v>
      </c>
      <c r="T40" s="3">
        <v>2.3304905937425763E-2</v>
      </c>
      <c r="U40" s="3">
        <v>-49.9522765363131</v>
      </c>
      <c r="V40" s="3">
        <v>6.1328699835330961E-3</v>
      </c>
      <c r="W40" s="4">
        <v>-1.5280474860335198</v>
      </c>
      <c r="X40" s="4">
        <v>7.4914877441168287E-3</v>
      </c>
      <c r="Y40" s="4">
        <v>-1.4956109428281223</v>
      </c>
      <c r="Z40" s="4">
        <v>7.4915538823592878E-3</v>
      </c>
      <c r="AA40" s="4">
        <v>-4.9225726256983249</v>
      </c>
      <c r="AB40" s="4">
        <v>3.1775191234048393E-2</v>
      </c>
      <c r="AC40" s="1">
        <v>50</v>
      </c>
      <c r="AD40" s="1">
        <v>0</v>
      </c>
      <c r="AE40" s="1">
        <v>50.000552254898544</v>
      </c>
      <c r="AF40" s="1">
        <v>7.7107474992964544E-3</v>
      </c>
      <c r="AG40" s="1">
        <v>80</v>
      </c>
      <c r="AH40" s="1">
        <v>0</v>
      </c>
      <c r="AI40" s="1">
        <v>80.000977310479854</v>
      </c>
      <c r="AJ40" s="1">
        <v>9.6385033698723668E-3</v>
      </c>
      <c r="AK40" s="1">
        <v>131.35826991318987</v>
      </c>
      <c r="AL40" s="1">
        <v>3.1571253263125603</v>
      </c>
      <c r="AM40" s="1">
        <v>1.01827762638</v>
      </c>
      <c r="AN40" s="1">
        <v>133.75918729258635</v>
      </c>
      <c r="AO40" s="1">
        <v>4.1698981806348581</v>
      </c>
      <c r="AP40">
        <v>2.6722897708343241</v>
      </c>
      <c r="AQ40">
        <v>11.438966248194864</v>
      </c>
      <c r="AR40">
        <v>0.72933999999999999</v>
      </c>
      <c r="AS40">
        <v>0.12182</v>
      </c>
      <c r="AT40" s="1">
        <v>73.745001398611933</v>
      </c>
      <c r="AU40" s="1">
        <v>4.326517032757077</v>
      </c>
      <c r="AV40" s="1">
        <v>12.317459717523931</v>
      </c>
      <c r="AW40" s="1">
        <v>4.3265170327570779</v>
      </c>
      <c r="AX40" s="1">
        <v>90.319274891441694</v>
      </c>
      <c r="AY40" s="1">
        <v>4.3265170327570779</v>
      </c>
      <c r="BA40" s="4">
        <f t="shared" si="7"/>
        <v>-1.4956109428281223</v>
      </c>
      <c r="BB40" s="4">
        <f t="shared" si="8"/>
        <v>7.4915538823592878E-3</v>
      </c>
    </row>
    <row r="42" spans="1:55" x14ac:dyDescent="0.25">
      <c r="A42" s="2" t="s">
        <v>347</v>
      </c>
    </row>
    <row r="43" spans="1:55" x14ac:dyDescent="0.25">
      <c r="A43" t="s">
        <v>242</v>
      </c>
    </row>
    <row r="44" spans="1:55" x14ac:dyDescent="0.25">
      <c r="A44" s="10" t="s">
        <v>243</v>
      </c>
    </row>
    <row r="45" spans="1:55" x14ac:dyDescent="0.25">
      <c r="A45" s="10" t="s">
        <v>166</v>
      </c>
    </row>
    <row r="46" spans="1:55" x14ac:dyDescent="0.25">
      <c r="A46" t="s">
        <v>110</v>
      </c>
      <c r="B46" t="s">
        <v>109</v>
      </c>
      <c r="C46" t="s">
        <v>34</v>
      </c>
      <c r="D46" t="s">
        <v>138</v>
      </c>
      <c r="E46" t="s">
        <v>0</v>
      </c>
      <c r="F46" t="s">
        <v>1</v>
      </c>
      <c r="G46" t="s">
        <v>108</v>
      </c>
      <c r="H46" t="s">
        <v>107</v>
      </c>
      <c r="I46" t="s">
        <v>106</v>
      </c>
      <c r="J46" t="s">
        <v>105</v>
      </c>
      <c r="K46" t="s">
        <v>104</v>
      </c>
      <c r="L46" t="s">
        <v>2</v>
      </c>
      <c r="M46" t="s">
        <v>3</v>
      </c>
      <c r="N46" t="s">
        <v>4</v>
      </c>
      <c r="O46" t="s">
        <v>5</v>
      </c>
      <c r="P46" t="s">
        <v>6</v>
      </c>
      <c r="Q46" t="s">
        <v>7</v>
      </c>
      <c r="R46" t="s">
        <v>8</v>
      </c>
      <c r="S46" t="s">
        <v>103</v>
      </c>
      <c r="T46" t="s">
        <v>102</v>
      </c>
      <c r="U46" t="s">
        <v>17</v>
      </c>
      <c r="V46" t="s">
        <v>36</v>
      </c>
      <c r="W46" t="s">
        <v>101</v>
      </c>
      <c r="X46" t="s">
        <v>100</v>
      </c>
      <c r="Y46" t="s">
        <v>39</v>
      </c>
      <c r="Z46" t="s">
        <v>40</v>
      </c>
      <c r="AA46" t="s">
        <v>18</v>
      </c>
      <c r="AB46" t="s">
        <v>41</v>
      </c>
      <c r="AC46" t="s">
        <v>9</v>
      </c>
      <c r="AD46" t="s">
        <v>10</v>
      </c>
      <c r="AE46" t="s">
        <v>11</v>
      </c>
      <c r="AF46" t="s">
        <v>12</v>
      </c>
      <c r="AG46" t="s">
        <v>13</v>
      </c>
      <c r="AH46" t="s">
        <v>14</v>
      </c>
      <c r="AI46" t="s">
        <v>15</v>
      </c>
      <c r="AJ46" t="s">
        <v>16</v>
      </c>
      <c r="AK46" t="s">
        <v>99</v>
      </c>
      <c r="AL46" t="s">
        <v>98</v>
      </c>
      <c r="AM46" t="s">
        <v>42</v>
      </c>
      <c r="AN46" t="s">
        <v>43</v>
      </c>
      <c r="AO46" t="s">
        <v>44</v>
      </c>
      <c r="AP46" t="s">
        <v>45</v>
      </c>
      <c r="AQ46" t="s">
        <v>46</v>
      </c>
      <c r="AR46" t="s">
        <v>47</v>
      </c>
      <c r="AS46" t="s">
        <v>48</v>
      </c>
      <c r="AT46" t="s">
        <v>32</v>
      </c>
      <c r="AU46" t="s">
        <v>19</v>
      </c>
      <c r="AV46" t="s">
        <v>49</v>
      </c>
      <c r="AW46" t="s">
        <v>20</v>
      </c>
      <c r="AX46" t="s">
        <v>50</v>
      </c>
      <c r="AY46" t="s">
        <v>97</v>
      </c>
      <c r="AZ46" t="s">
        <v>96</v>
      </c>
      <c r="BA46" t="s">
        <v>26</v>
      </c>
      <c r="BB46" t="s">
        <v>164</v>
      </c>
      <c r="BC46" t="s">
        <v>165</v>
      </c>
    </row>
    <row r="47" spans="1:55" x14ac:dyDescent="0.25">
      <c r="A47" t="s">
        <v>139</v>
      </c>
      <c r="B47" t="s">
        <v>115</v>
      </c>
      <c r="C47" s="3">
        <v>176.0657536001512</v>
      </c>
      <c r="D47" s="3">
        <f>C47-5</f>
        <v>171.0657536001512</v>
      </c>
      <c r="E47" s="3">
        <v>20</v>
      </c>
      <c r="F47" s="3">
        <v>0</v>
      </c>
      <c r="G47" s="3">
        <v>117.74899768829346</v>
      </c>
      <c r="H47" s="3">
        <v>7.5324051914200467</v>
      </c>
      <c r="I47" s="3">
        <v>117.74899768829346</v>
      </c>
      <c r="J47" s="3">
        <v>7.5324051914200467</v>
      </c>
      <c r="K47" s="3">
        <v>46.900189964678631</v>
      </c>
      <c r="L47" s="3">
        <v>1.9881368465575782</v>
      </c>
      <c r="M47" s="3">
        <v>193.06952168758835</v>
      </c>
      <c r="N47" s="3">
        <v>1.5843441792112043</v>
      </c>
      <c r="O47" s="3">
        <v>19.089285714285715</v>
      </c>
      <c r="P47" s="3">
        <v>0.2864373091032868</v>
      </c>
      <c r="Q47" s="3">
        <v>85</v>
      </c>
      <c r="R47" s="3">
        <v>0</v>
      </c>
      <c r="S47" s="3">
        <v>-751.98472202165726</v>
      </c>
      <c r="T47" s="3">
        <v>30.873520481721112</v>
      </c>
      <c r="U47" s="3">
        <v>-197.89071632148875</v>
      </c>
      <c r="V47" s="3">
        <v>8.1246106530845044</v>
      </c>
      <c r="W47" s="4">
        <v>-2.3555076714801459</v>
      </c>
      <c r="X47" s="4">
        <v>0.17684837553477251</v>
      </c>
      <c r="Y47" s="4">
        <v>-2.2270072063363222</v>
      </c>
      <c r="Z47" s="4">
        <v>0.17563882563851946</v>
      </c>
      <c r="AA47" s="4">
        <v>-9.1070830324909782</v>
      </c>
      <c r="AB47" s="4">
        <v>0.39419669542559393</v>
      </c>
      <c r="AC47" s="3">
        <v>50</v>
      </c>
      <c r="AD47" s="3">
        <v>0</v>
      </c>
      <c r="AE47" s="3">
        <v>49.999679224831716</v>
      </c>
      <c r="AF47" s="3">
        <v>1.6026915284291642E-2</v>
      </c>
      <c r="AG47" s="3">
        <v>80</v>
      </c>
      <c r="AH47" s="3">
        <v>0</v>
      </c>
      <c r="AI47" s="3">
        <v>79.998184408460347</v>
      </c>
      <c r="AJ47" s="3">
        <v>2.7558777390023832E-2</v>
      </c>
      <c r="AK47" s="3">
        <v>131.53080769947596</v>
      </c>
      <c r="AL47" s="3">
        <v>1.8187336777379879</v>
      </c>
      <c r="AM47" s="3">
        <v>1.0280118898719999</v>
      </c>
      <c r="AN47" s="3">
        <v>135.21523419952888</v>
      </c>
      <c r="AO47" s="3">
        <v>3.3221244957635139</v>
      </c>
      <c r="AP47" s="3">
        <v>3.6906725307037092</v>
      </c>
      <c r="AQ47" s="3">
        <v>10.121395895570167</v>
      </c>
      <c r="AR47" s="3">
        <v>2.2806000000000002</v>
      </c>
      <c r="AS47" s="3">
        <v>0.83160000000000001</v>
      </c>
      <c r="AT47" s="3">
        <v>58.690782207576255</v>
      </c>
      <c r="AU47" s="3">
        <v>4.2988616605756285</v>
      </c>
      <c r="AV47" s="3">
        <v>21.401058705525035</v>
      </c>
      <c r="AW47" s="3">
        <v>4.2988616605756302</v>
      </c>
      <c r="AX47" s="3">
        <v>12.867399414096342</v>
      </c>
      <c r="AY47">
        <v>88.187388561428662</v>
      </c>
      <c r="AZ47">
        <v>5.6473379377573885</v>
      </c>
      <c r="BA47" s="2">
        <v>7.57</v>
      </c>
      <c r="BB47" s="4">
        <f>Y47+0.059*$Z$2</f>
        <v>-2.2270072063363222</v>
      </c>
      <c r="BC47" s="1">
        <f>Z47</f>
        <v>0.17563882563851946</v>
      </c>
    </row>
    <row r="48" spans="1:55" x14ac:dyDescent="0.25">
      <c r="A48" t="s">
        <v>140</v>
      </c>
      <c r="B48" t="s">
        <v>116</v>
      </c>
      <c r="C48" s="3">
        <v>479.0676888339267</v>
      </c>
      <c r="D48" s="3">
        <f t="shared" ref="D48:D69" si="10">C48-5</f>
        <v>474.0676888339267</v>
      </c>
      <c r="E48" s="3">
        <v>20</v>
      </c>
      <c r="F48" s="3">
        <v>0</v>
      </c>
      <c r="G48" s="3">
        <v>127.66199332343207</v>
      </c>
      <c r="H48" s="3">
        <v>10.629552477962193</v>
      </c>
      <c r="I48" s="3">
        <v>127.66199332343207</v>
      </c>
      <c r="J48" s="3">
        <v>10.629552477962193</v>
      </c>
      <c r="K48" s="3">
        <v>50.998916690036538</v>
      </c>
      <c r="L48" s="3">
        <v>3.0560528237501297</v>
      </c>
      <c r="M48" s="3">
        <v>207.37258178645203</v>
      </c>
      <c r="N48" s="3">
        <v>10.013724589099686</v>
      </c>
      <c r="O48" s="3">
        <v>19</v>
      </c>
      <c r="P48" s="3">
        <v>0</v>
      </c>
      <c r="Q48" s="3">
        <v>85</v>
      </c>
      <c r="R48" s="3">
        <v>0</v>
      </c>
      <c r="S48" s="3">
        <v>-758.55706329817826</v>
      </c>
      <c r="T48" s="3">
        <v>7.408025172472831</v>
      </c>
      <c r="U48" s="3">
        <v>-199.62027981531008</v>
      </c>
      <c r="V48" s="3">
        <v>1.9494803085454819</v>
      </c>
      <c r="W48" s="4">
        <v>-2.3495324819544625</v>
      </c>
      <c r="X48" s="4">
        <v>0.22281639906958464</v>
      </c>
      <c r="Y48" s="4">
        <v>-2.2199089236328406</v>
      </c>
      <c r="Z48" s="4">
        <v>0.22279916372541611</v>
      </c>
      <c r="AA48" s="4">
        <v>-8.9839844530816144</v>
      </c>
      <c r="AB48" s="4">
        <v>0.23182096248408599</v>
      </c>
      <c r="AC48" s="3">
        <v>50</v>
      </c>
      <c r="AD48" s="3">
        <v>0</v>
      </c>
      <c r="AE48" s="3">
        <v>49.997889582316084</v>
      </c>
      <c r="AF48" s="3">
        <v>1.6189306894681229E-2</v>
      </c>
      <c r="AG48" s="3">
        <v>80</v>
      </c>
      <c r="AH48" s="3">
        <v>0</v>
      </c>
      <c r="AI48" s="3">
        <v>79.997637112935379</v>
      </c>
      <c r="AJ48" s="3">
        <v>2.8984969594639576E-2</v>
      </c>
      <c r="AK48" s="3">
        <v>128.32912453545464</v>
      </c>
      <c r="AL48" s="3">
        <v>2.0683978747160627</v>
      </c>
      <c r="AM48" s="3">
        <v>1.0295951975199999</v>
      </c>
      <c r="AN48" s="3">
        <v>132.12705032365008</v>
      </c>
      <c r="AO48" s="3">
        <v>3.4177093041228543</v>
      </c>
      <c r="AP48" s="3">
        <v>13.131534368614084</v>
      </c>
      <c r="AQ48" s="3">
        <v>10.692155377868438</v>
      </c>
      <c r="AR48" s="3">
        <v>2.5767000000000002</v>
      </c>
      <c r="AS48" s="3">
        <v>0.90920999999999996</v>
      </c>
      <c r="AT48" s="3">
        <v>63.544298698660882</v>
      </c>
      <c r="AU48" s="3">
        <v>3.7624228639388564</v>
      </c>
      <c r="AV48" s="3">
        <v>22.422133667019626</v>
      </c>
      <c r="AW48" s="3">
        <v>3.7624228639388559</v>
      </c>
      <c r="AX48" s="3">
        <v>12.330558213734797</v>
      </c>
      <c r="AY48">
        <v>95.783815048486105</v>
      </c>
      <c r="AZ48">
        <v>4.0797880714812269</v>
      </c>
      <c r="BA48" t="s">
        <v>163</v>
      </c>
      <c r="BB48" s="4">
        <f t="shared" ref="BB48:BB69" si="11">Y48+0.059*$Z$2</f>
        <v>-2.2199089236328406</v>
      </c>
      <c r="BC48" s="1">
        <f t="shared" ref="BC48:BC69" si="12">Z48</f>
        <v>0.22279916372541611</v>
      </c>
    </row>
    <row r="49" spans="1:55" x14ac:dyDescent="0.25">
      <c r="A49" t="s">
        <v>141</v>
      </c>
      <c r="B49" t="s">
        <v>117</v>
      </c>
      <c r="C49" s="3">
        <v>695.06907647311516</v>
      </c>
      <c r="D49" s="3">
        <f t="shared" si="10"/>
        <v>690.06907647311516</v>
      </c>
      <c r="E49" s="3">
        <v>20</v>
      </c>
      <c r="F49" s="3">
        <v>0</v>
      </c>
      <c r="G49" s="3">
        <v>149.18962289487885</v>
      </c>
      <c r="H49" s="3">
        <v>14.740199636595984</v>
      </c>
      <c r="I49" s="3">
        <v>149.18962289487885</v>
      </c>
      <c r="J49" s="3">
        <v>14.740199636595984</v>
      </c>
      <c r="K49" s="3">
        <v>57.124061997888852</v>
      </c>
      <c r="L49" s="3">
        <v>4.3504871198276795</v>
      </c>
      <c r="M49" s="3">
        <v>233.8037467755145</v>
      </c>
      <c r="N49" s="3">
        <v>15.434844280892682</v>
      </c>
      <c r="O49" s="3">
        <v>19.069252077562325</v>
      </c>
      <c r="P49" s="3">
        <v>0.25423467975770925</v>
      </c>
      <c r="Q49" s="3">
        <v>85</v>
      </c>
      <c r="R49" s="3">
        <v>0</v>
      </c>
      <c r="S49" s="3">
        <v>-759.96910105498159</v>
      </c>
      <c r="T49" s="3">
        <v>0.90676615373535141</v>
      </c>
      <c r="U49" s="3">
        <v>-199.99186869867938</v>
      </c>
      <c r="V49" s="3">
        <v>0.23862267203561879</v>
      </c>
      <c r="W49" s="4">
        <v>-2.3289457245974434</v>
      </c>
      <c r="X49" s="4">
        <v>0.22673388020868965</v>
      </c>
      <c r="Y49" s="4">
        <v>-2.1990808747931139</v>
      </c>
      <c r="Z49" s="4">
        <v>0.22673971093798415</v>
      </c>
      <c r="AA49" s="4">
        <v>-8.9402853970016807</v>
      </c>
      <c r="AB49" s="4">
        <v>0.16102732222607649</v>
      </c>
      <c r="AC49" s="3">
        <v>50</v>
      </c>
      <c r="AD49" s="3">
        <v>0</v>
      </c>
      <c r="AE49" s="3">
        <v>49.998884671282568</v>
      </c>
      <c r="AF49" s="3">
        <v>1.5991503453547579E-2</v>
      </c>
      <c r="AG49" s="3">
        <v>80</v>
      </c>
      <c r="AH49" s="3">
        <v>0</v>
      </c>
      <c r="AI49" s="3">
        <v>79.99702102787937</v>
      </c>
      <c r="AJ49" s="3">
        <v>2.5767645367004714E-2</v>
      </c>
      <c r="AK49" s="3">
        <v>125.25774432153253</v>
      </c>
      <c r="AL49" s="3">
        <v>1.6900246181096497</v>
      </c>
      <c r="AM49" s="3">
        <v>1.03007023238</v>
      </c>
      <c r="AN49" s="3">
        <v>129.02427380067564</v>
      </c>
      <c r="AO49" s="3">
        <v>3.1498538487740051</v>
      </c>
      <c r="AP49" s="3">
        <v>17.04164925741296</v>
      </c>
      <c r="AQ49" s="3">
        <v>10.980482733668181</v>
      </c>
      <c r="AR49" s="3">
        <v>2.5089999999999999</v>
      </c>
      <c r="AS49" s="3">
        <v>1.1104000000000001</v>
      </c>
      <c r="AT49" s="3">
        <v>60.92206509746164</v>
      </c>
      <c r="AU49" s="3">
        <v>3.7512921179306158</v>
      </c>
      <c r="AV49" s="3">
        <v>26.9620809422963</v>
      </c>
      <c r="AW49" s="3">
        <v>3.7512921179306158</v>
      </c>
      <c r="AX49" s="3">
        <v>12.140706476178091</v>
      </c>
      <c r="AY49">
        <v>95.319324185302051</v>
      </c>
      <c r="AZ49">
        <v>3.8696411267819122</v>
      </c>
      <c r="BB49" s="4">
        <f t="shared" si="11"/>
        <v>-2.1990808747931139</v>
      </c>
      <c r="BC49" s="1">
        <f t="shared" si="12"/>
        <v>0.22673971093798415</v>
      </c>
    </row>
    <row r="50" spans="1:55" x14ac:dyDescent="0.25">
      <c r="A50" t="s">
        <v>142</v>
      </c>
      <c r="B50" t="s">
        <v>118</v>
      </c>
      <c r="C50" s="3">
        <v>911.07045405395547</v>
      </c>
      <c r="D50" s="3">
        <f t="shared" si="10"/>
        <v>906.07045405395547</v>
      </c>
      <c r="E50" s="3">
        <v>20</v>
      </c>
      <c r="F50" s="3">
        <v>0</v>
      </c>
      <c r="G50" s="3">
        <v>173.74102346632216</v>
      </c>
      <c r="H50" s="3">
        <v>12.861815175282686</v>
      </c>
      <c r="I50" s="3">
        <v>173.74102346632216</v>
      </c>
      <c r="J50" s="3">
        <v>12.861815175282686</v>
      </c>
      <c r="K50" s="3">
        <v>66.988189230460478</v>
      </c>
      <c r="L50" s="3">
        <v>6.0962328660618397</v>
      </c>
      <c r="M50" s="3">
        <v>267.83575805014226</v>
      </c>
      <c r="N50" s="3">
        <v>17.277536739184384</v>
      </c>
      <c r="O50" s="3">
        <v>19.288888888888888</v>
      </c>
      <c r="P50" s="3">
        <v>0.45387700208738424</v>
      </c>
      <c r="Q50" s="3">
        <v>84.777777777777771</v>
      </c>
      <c r="R50" s="3">
        <v>0.41631833164688165</v>
      </c>
      <c r="S50" s="3">
        <v>-759.91721765686827</v>
      </c>
      <c r="T50" s="3">
        <v>1.1711569509294226</v>
      </c>
      <c r="U50" s="3">
        <v>-199.97821517286008</v>
      </c>
      <c r="V50" s="3">
        <v>0.30819919761300596</v>
      </c>
      <c r="W50" s="4">
        <v>-2.3028976957246012</v>
      </c>
      <c r="X50" s="4">
        <v>0.20718138887476409</v>
      </c>
      <c r="Y50" s="4">
        <v>-2.1730417118461167</v>
      </c>
      <c r="Z50" s="4">
        <v>0.20721729047977025</v>
      </c>
      <c r="AA50" s="4">
        <v>-8.8740405330372045</v>
      </c>
      <c r="AB50" s="4">
        <v>0.13740221986135029</v>
      </c>
      <c r="AC50" s="3">
        <v>50</v>
      </c>
      <c r="AD50" s="3">
        <v>0</v>
      </c>
      <c r="AE50" s="3">
        <v>50.000824504428437</v>
      </c>
      <c r="AF50" s="3">
        <v>1.6849766543965288E-2</v>
      </c>
      <c r="AG50" s="3">
        <v>80</v>
      </c>
      <c r="AH50" s="3">
        <v>0</v>
      </c>
      <c r="AI50" s="3">
        <v>79.999921184115934</v>
      </c>
      <c r="AJ50" s="3">
        <v>2.7981315026234837E-2</v>
      </c>
      <c r="AK50" s="3">
        <v>123.89802850087484</v>
      </c>
      <c r="AL50" s="3">
        <v>1.2665694159431513</v>
      </c>
      <c r="AM50" s="3">
        <v>1.0300537782879999</v>
      </c>
      <c r="AN50" s="3">
        <v>127.62163237976043</v>
      </c>
      <c r="AO50" s="3">
        <v>2.9183197964730314</v>
      </c>
      <c r="AP50" s="3">
        <v>17.233280640951275</v>
      </c>
      <c r="AQ50" s="3">
        <v>10.847752767445657</v>
      </c>
      <c r="AR50" s="3">
        <v>2.3031999999999999</v>
      </c>
      <c r="AS50" s="3">
        <v>1.2828999999999999</v>
      </c>
      <c r="AT50" s="3">
        <v>55.760461540412912</v>
      </c>
      <c r="AU50" s="3">
        <v>3.6990659694919672</v>
      </c>
      <c r="AV50" s="3">
        <v>31.059003173930062</v>
      </c>
      <c r="AW50" s="3">
        <v>3.6990659694919672</v>
      </c>
      <c r="AX50" s="3">
        <v>12.104997729335905</v>
      </c>
      <c r="AY50">
        <v>95.667920481170441</v>
      </c>
      <c r="AZ50">
        <v>3.7752793487564973</v>
      </c>
      <c r="BB50" s="4">
        <f t="shared" si="11"/>
        <v>-2.1730417118461167</v>
      </c>
      <c r="BC50" s="1">
        <f t="shared" si="12"/>
        <v>0.20721729047977025</v>
      </c>
    </row>
    <row r="51" spans="1:55" x14ac:dyDescent="0.25">
      <c r="A51" t="s">
        <v>143</v>
      </c>
      <c r="B51" t="s">
        <v>119</v>
      </c>
      <c r="C51" s="3">
        <v>1128.0718426691276</v>
      </c>
      <c r="D51" s="3">
        <f t="shared" si="10"/>
        <v>1123.0718426691276</v>
      </c>
      <c r="E51" s="3">
        <v>20</v>
      </c>
      <c r="F51" s="3">
        <v>0</v>
      </c>
      <c r="G51" s="3">
        <v>193.33408690558539</v>
      </c>
      <c r="H51" s="3">
        <v>9.9669466597381167</v>
      </c>
      <c r="I51" s="3">
        <v>193.33408690558539</v>
      </c>
      <c r="J51" s="3">
        <v>9.9669466597381167</v>
      </c>
      <c r="K51" s="3">
        <v>81.035287139044826</v>
      </c>
      <c r="L51" s="3">
        <v>8.2958866103733406</v>
      </c>
      <c r="M51" s="3">
        <v>301.69566695932963</v>
      </c>
      <c r="N51" s="3">
        <v>14.952735290280586</v>
      </c>
      <c r="O51" s="3">
        <v>19.411111111111111</v>
      </c>
      <c r="P51" s="3">
        <v>0.49272013887423244</v>
      </c>
      <c r="Q51" s="3">
        <v>84.174999999999997</v>
      </c>
      <c r="R51" s="3">
        <v>0.38049593792099112</v>
      </c>
      <c r="S51" s="3">
        <v>-759.99643753471548</v>
      </c>
      <c r="T51" s="3">
        <v>0.5972288828054485</v>
      </c>
      <c r="U51" s="3">
        <v>-199.99906250913565</v>
      </c>
      <c r="V51" s="3">
        <v>0.15716549547511804</v>
      </c>
      <c r="W51" s="4">
        <v>-2.2717878956135453</v>
      </c>
      <c r="X51" s="4">
        <v>0.21832991994930326</v>
      </c>
      <c r="Y51" s="4">
        <v>-2.1419183745037227</v>
      </c>
      <c r="Z51" s="4">
        <v>0.21833904099515122</v>
      </c>
      <c r="AA51" s="4">
        <v>-8.8315580233203814</v>
      </c>
      <c r="AB51" s="4">
        <v>0.12629219687904306</v>
      </c>
      <c r="AC51" s="3">
        <v>50</v>
      </c>
      <c r="AD51" s="3">
        <v>0</v>
      </c>
      <c r="AE51" s="3">
        <v>49.999470763736298</v>
      </c>
      <c r="AF51" s="3">
        <v>1.5760379087482325E-2</v>
      </c>
      <c r="AG51" s="3">
        <v>80</v>
      </c>
      <c r="AH51" s="3">
        <v>0</v>
      </c>
      <c r="AI51" s="3">
        <v>79.998843299018006</v>
      </c>
      <c r="AJ51" s="3">
        <v>2.828266359738037E-2</v>
      </c>
      <c r="AK51" s="3">
        <v>124.60507214864096</v>
      </c>
      <c r="AL51" s="3">
        <v>1.4565312412054385</v>
      </c>
      <c r="AM51" s="3">
        <v>1.0272486167999999</v>
      </c>
      <c r="AN51" s="3">
        <v>128.00038801095562</v>
      </c>
      <c r="AO51" s="3">
        <v>3.0061843285948906</v>
      </c>
      <c r="AP51" s="3">
        <v>12.99381244804959</v>
      </c>
      <c r="AQ51" s="3">
        <v>10.529936437761908</v>
      </c>
      <c r="AR51" s="3">
        <v>2.0832000000000002</v>
      </c>
      <c r="AS51" s="3">
        <v>2.6078000000000001</v>
      </c>
      <c r="AT51" s="3">
        <v>51.266537453297225</v>
      </c>
      <c r="AU51" s="3">
        <v>3.7089500570979643</v>
      </c>
      <c r="AV51" s="3">
        <v>64.176687965969904</v>
      </c>
      <c r="AW51" s="3">
        <v>3.708950057097963</v>
      </c>
      <c r="AX51" s="3">
        <v>12.304756493206897</v>
      </c>
      <c r="AY51" t="s">
        <v>144</v>
      </c>
      <c r="BB51" s="4">
        <f t="shared" si="11"/>
        <v>-2.1419183745037227</v>
      </c>
      <c r="BC51" s="1">
        <f t="shared" si="12"/>
        <v>0.21833904099515122</v>
      </c>
    </row>
    <row r="52" spans="1:55" x14ac:dyDescent="0.25">
      <c r="A52" t="s">
        <v>145</v>
      </c>
      <c r="B52" t="s">
        <v>120</v>
      </c>
      <c r="C52" s="3">
        <v>1344.0732303083159</v>
      </c>
      <c r="D52" s="3">
        <f t="shared" si="10"/>
        <v>1339.0732303083159</v>
      </c>
      <c r="E52" s="3">
        <v>20</v>
      </c>
      <c r="F52" s="3">
        <v>0</v>
      </c>
      <c r="G52" s="3">
        <v>205.43904574491972</v>
      </c>
      <c r="H52" s="3">
        <v>8.8128751326274344</v>
      </c>
      <c r="I52" s="3">
        <v>205.43904574491972</v>
      </c>
      <c r="J52" s="3">
        <v>8.8128751326274344</v>
      </c>
      <c r="K52" s="3">
        <v>95.950676087219762</v>
      </c>
      <c r="L52" s="3">
        <v>6.6981880459504222</v>
      </c>
      <c r="M52" s="3">
        <v>329.29039774240334</v>
      </c>
      <c r="N52" s="3">
        <v>12.042795356571972</v>
      </c>
      <c r="O52" s="3">
        <v>19.368421052631579</v>
      </c>
      <c r="P52" s="3">
        <v>0.48304589153964822</v>
      </c>
      <c r="Q52" s="3">
        <v>84</v>
      </c>
      <c r="R52" s="3">
        <v>0</v>
      </c>
      <c r="S52" s="3">
        <v>-760.00776124376659</v>
      </c>
      <c r="T52" s="3">
        <v>0.34412567902409341</v>
      </c>
      <c r="U52" s="3">
        <v>-200.00204243257016</v>
      </c>
      <c r="V52" s="3">
        <v>9.0559389216866695E-2</v>
      </c>
      <c r="W52" s="4">
        <v>-2.223418239866739</v>
      </c>
      <c r="X52" s="4">
        <v>0.18363073854329465</v>
      </c>
      <c r="Y52" s="4">
        <v>-2.0935467837416994</v>
      </c>
      <c r="Z52" s="4">
        <v>0.18363041872988164</v>
      </c>
      <c r="AA52" s="4">
        <v>-8.8040055524708496</v>
      </c>
      <c r="AB52" s="4">
        <v>0.11542793313115655</v>
      </c>
      <c r="AC52" s="3">
        <v>50</v>
      </c>
      <c r="AD52" s="3">
        <v>0</v>
      </c>
      <c r="AE52" s="3">
        <v>49.998291406605055</v>
      </c>
      <c r="AF52" s="3">
        <v>1.6629981880761469E-2</v>
      </c>
      <c r="AG52" s="3">
        <v>80</v>
      </c>
      <c r="AH52" s="3">
        <v>0</v>
      </c>
      <c r="AI52" s="3">
        <v>79.999984212859516</v>
      </c>
      <c r="AJ52" s="3">
        <v>3.0343635978131701E-2</v>
      </c>
      <c r="AK52" s="3">
        <v>126.11292621897859</v>
      </c>
      <c r="AL52" s="3">
        <v>1.3435843627056836</v>
      </c>
      <c r="AM52" s="3">
        <v>1.029763080116</v>
      </c>
      <c r="AN52" s="3">
        <v>129.86643534569725</v>
      </c>
      <c r="AO52" s="3">
        <v>2.993139112040502</v>
      </c>
      <c r="AP52" s="3">
        <v>10.752420548480179</v>
      </c>
      <c r="AQ52" s="3">
        <v>10.280070362340254</v>
      </c>
      <c r="AR52" s="3">
        <v>1.9007000000000001</v>
      </c>
      <c r="AS52" s="3">
        <v>1.6444000000000001</v>
      </c>
      <c r="AT52" s="3">
        <v>47.13882123719381</v>
      </c>
      <c r="AU52" s="3">
        <v>3.6810056921417691</v>
      </c>
      <c r="AV52" s="3">
        <v>40.782384196580978</v>
      </c>
      <c r="AW52" s="3">
        <v>3.6810056921417709</v>
      </c>
      <c r="AX52" s="3">
        <v>12.400384394484611</v>
      </c>
      <c r="AY52">
        <v>94.24972418378016</v>
      </c>
      <c r="AZ52">
        <v>3.7833944311632339</v>
      </c>
      <c r="BB52" s="4">
        <f t="shared" si="11"/>
        <v>-2.0935467837416994</v>
      </c>
      <c r="BC52" s="1">
        <f t="shared" si="12"/>
        <v>0.18363041872988164</v>
      </c>
    </row>
    <row r="53" spans="1:55" x14ac:dyDescent="0.25">
      <c r="A53" t="s">
        <v>146</v>
      </c>
      <c r="B53" t="s">
        <v>121</v>
      </c>
      <c r="C53" s="3">
        <v>1561.0746189234881</v>
      </c>
      <c r="D53" s="3">
        <f t="shared" si="10"/>
        <v>1556.0746189234881</v>
      </c>
      <c r="E53" s="3">
        <v>20</v>
      </c>
      <c r="F53" s="3">
        <v>0</v>
      </c>
      <c r="G53" s="3">
        <v>218.38075640987492</v>
      </c>
      <c r="H53" s="3">
        <v>9.3505066707119386</v>
      </c>
      <c r="I53" s="3">
        <v>218.38075640987492</v>
      </c>
      <c r="J53" s="3">
        <v>9.3505066707119386</v>
      </c>
      <c r="K53" s="3">
        <v>107.40798428108661</v>
      </c>
      <c r="L53" s="3">
        <v>5.2735221029621417</v>
      </c>
      <c r="M53" s="3">
        <v>352.58496829986854</v>
      </c>
      <c r="N53" s="3">
        <v>10.615985268654068</v>
      </c>
      <c r="O53" s="3">
        <v>19.40443213296399</v>
      </c>
      <c r="P53" s="3">
        <v>0.49146297641513759</v>
      </c>
      <c r="Q53" s="3">
        <v>84</v>
      </c>
      <c r="R53" s="3">
        <v>0</v>
      </c>
      <c r="S53" s="3">
        <v>-760.01219044976347</v>
      </c>
      <c r="T53" s="3">
        <v>8.1610830149140556E-2</v>
      </c>
      <c r="U53" s="3">
        <v>-200.00320801309564</v>
      </c>
      <c r="V53" s="3">
        <v>2.1476534249773832E-2</v>
      </c>
      <c r="W53" s="4">
        <v>-2.1947842865074962</v>
      </c>
      <c r="X53" s="4">
        <v>0.20936164543852506</v>
      </c>
      <c r="Y53" s="4">
        <v>-2.0649120735119815</v>
      </c>
      <c r="Z53" s="4">
        <v>0.20935829646076629</v>
      </c>
      <c r="AA53" s="4">
        <v>-8.7658695169350409</v>
      </c>
      <c r="AB53" s="4">
        <v>0.10485298792033577</v>
      </c>
      <c r="AC53" s="3">
        <v>50</v>
      </c>
      <c r="AD53" s="3">
        <v>0</v>
      </c>
      <c r="AE53" s="3">
        <v>49.999767916354443</v>
      </c>
      <c r="AF53" s="3">
        <v>1.5272460938110445E-2</v>
      </c>
      <c r="AG53" s="3">
        <v>80</v>
      </c>
      <c r="AH53" s="3">
        <v>0</v>
      </c>
      <c r="AI53" s="3">
        <v>80.002088087087188</v>
      </c>
      <c r="AJ53" s="3">
        <v>3.0471644396241237E-2</v>
      </c>
      <c r="AK53" s="3">
        <v>126.97726751100323</v>
      </c>
      <c r="AL53" s="3">
        <v>1.209512853023792</v>
      </c>
      <c r="AM53" s="3">
        <v>1.029788558668</v>
      </c>
      <c r="AN53" s="3">
        <v>130.7597372937571</v>
      </c>
      <c r="AO53" s="3">
        <v>2.9522357926696685</v>
      </c>
      <c r="AP53" s="3">
        <v>9.7858379764496188</v>
      </c>
      <c r="AQ53" s="3">
        <v>10.316538411792116</v>
      </c>
      <c r="AR53" s="3">
        <v>1.7471000000000001</v>
      </c>
      <c r="AS53" s="3">
        <v>1.8125</v>
      </c>
      <c r="AT53" s="3">
        <v>43.522810016569835</v>
      </c>
      <c r="AU53" s="3">
        <v>3.7196660177282972</v>
      </c>
      <c r="AV53" s="3">
        <v>45.152019435082615</v>
      </c>
      <c r="AW53" s="3">
        <v>3.7196660177282959</v>
      </c>
      <c r="AX53" s="3">
        <v>12.455729499333135</v>
      </c>
      <c r="AY53">
        <v>94.616045506846262</v>
      </c>
      <c r="AZ53">
        <v>3.7546740720606397</v>
      </c>
      <c r="BB53" s="4">
        <f t="shared" si="11"/>
        <v>-2.0649120735119815</v>
      </c>
      <c r="BC53" s="1">
        <f t="shared" si="12"/>
        <v>0.20935829646076629</v>
      </c>
    </row>
    <row r="54" spans="1:55" x14ac:dyDescent="0.25">
      <c r="A54" t="s">
        <v>147</v>
      </c>
      <c r="B54" t="s">
        <v>122</v>
      </c>
      <c r="C54" s="3">
        <v>1777.0759965043283</v>
      </c>
      <c r="D54" s="3">
        <f t="shared" si="10"/>
        <v>1772.0759965043283</v>
      </c>
      <c r="E54" s="3">
        <v>20</v>
      </c>
      <c r="F54" s="3">
        <v>0</v>
      </c>
      <c r="G54" s="3">
        <v>230.49506671937218</v>
      </c>
      <c r="H54" s="3">
        <v>9.0542295397889578</v>
      </c>
      <c r="I54" s="3">
        <v>230.49506671937218</v>
      </c>
      <c r="J54" s="3">
        <v>9.0542295397889578</v>
      </c>
      <c r="K54" s="3">
        <v>115.74304709489198</v>
      </c>
      <c r="L54" s="3">
        <v>3.8571616206236303</v>
      </c>
      <c r="M54" s="3">
        <v>373.51188799112549</v>
      </c>
      <c r="N54" s="3">
        <v>9.7643118955280812</v>
      </c>
      <c r="O54" s="3">
        <v>19.332409972299168</v>
      </c>
      <c r="P54" s="3">
        <v>0.4717308652543406</v>
      </c>
      <c r="Q54" s="3">
        <v>84</v>
      </c>
      <c r="R54" s="3">
        <v>0</v>
      </c>
      <c r="S54" s="3">
        <v>-759.93280011106674</v>
      </c>
      <c r="T54" s="3">
        <v>2.9152070412503348</v>
      </c>
      <c r="U54" s="3">
        <v>-199.98231581870178</v>
      </c>
      <c r="V54" s="3">
        <v>0.76715974769745654</v>
      </c>
      <c r="W54" s="4">
        <v>-2.1744747362576322</v>
      </c>
      <c r="X54" s="4">
        <v>0.20201930528692277</v>
      </c>
      <c r="Y54" s="4">
        <v>-2.0446160896221137</v>
      </c>
      <c r="Z54" s="4">
        <v>0.20200577764430461</v>
      </c>
      <c r="AA54" s="4">
        <v>-8.7410738478623049</v>
      </c>
      <c r="AB54" s="4">
        <v>0.13014036263937476</v>
      </c>
      <c r="AC54" s="3">
        <v>50</v>
      </c>
      <c r="AD54" s="3">
        <v>0</v>
      </c>
      <c r="AE54" s="3">
        <v>50.000024409835689</v>
      </c>
      <c r="AF54" s="3">
        <v>1.6165979152150206E-2</v>
      </c>
      <c r="AG54" s="3">
        <v>80</v>
      </c>
      <c r="AH54" s="3">
        <v>0</v>
      </c>
      <c r="AI54" s="3">
        <v>80.00134666210397</v>
      </c>
      <c r="AJ54" s="3">
        <v>3.2280076104239629E-2</v>
      </c>
      <c r="AK54" s="3">
        <v>127.33810181763033</v>
      </c>
      <c r="AL54" s="3">
        <v>1.1195969417623517</v>
      </c>
      <c r="AM54" s="3">
        <v>1.0300153890920001</v>
      </c>
      <c r="AN54" s="3">
        <v>131.16020448992322</v>
      </c>
      <c r="AO54" s="3">
        <v>2.9247188269054414</v>
      </c>
      <c r="AP54" s="3">
        <v>8.8076241763008767</v>
      </c>
      <c r="AQ54" s="3">
        <v>10.22416116885813</v>
      </c>
      <c r="AR54" s="3">
        <v>1.605</v>
      </c>
      <c r="AS54" s="3">
        <v>2.0009999999999999</v>
      </c>
      <c r="AT54" s="3">
        <v>40.162467509390751</v>
      </c>
      <c r="AU54" s="3">
        <v>3.8285487900766357</v>
      </c>
      <c r="AV54" s="3">
        <v>50.071711829464725</v>
      </c>
      <c r="AW54" s="3">
        <v>3.8285487900766357</v>
      </c>
      <c r="AX54" s="3">
        <v>12.511672121305534</v>
      </c>
      <c r="AY54">
        <v>96.649308657077242</v>
      </c>
      <c r="AZ54">
        <v>3.7575972107717321</v>
      </c>
      <c r="BB54" s="4">
        <f t="shared" si="11"/>
        <v>-2.0446160896221137</v>
      </c>
      <c r="BC54" s="1">
        <f t="shared" si="12"/>
        <v>0.20200577764430461</v>
      </c>
    </row>
    <row r="55" spans="1:55" x14ac:dyDescent="0.25">
      <c r="A55" t="s">
        <v>148</v>
      </c>
      <c r="B55" t="s">
        <v>123</v>
      </c>
      <c r="C55" s="3">
        <v>1994.0773851195004</v>
      </c>
      <c r="D55" s="3">
        <f t="shared" si="10"/>
        <v>1989.0773851195004</v>
      </c>
      <c r="E55" s="3">
        <v>20</v>
      </c>
      <c r="F55" s="3">
        <v>0</v>
      </c>
      <c r="G55" s="3">
        <v>243.5708601679498</v>
      </c>
      <c r="H55" s="3">
        <v>8.5003716513680398</v>
      </c>
      <c r="I55" s="3">
        <v>243.5708601679498</v>
      </c>
      <c r="J55" s="3">
        <v>8.5003716513680398</v>
      </c>
      <c r="K55" s="3">
        <v>121.90971168634873</v>
      </c>
      <c r="L55" s="3">
        <v>4.4188970296685444</v>
      </c>
      <c r="M55" s="3">
        <v>392.71608321649444</v>
      </c>
      <c r="N55" s="3">
        <v>8.5041876179984595</v>
      </c>
      <c r="O55" s="3">
        <v>19.443213296398891</v>
      </c>
      <c r="P55" s="3">
        <v>0.49745427644764245</v>
      </c>
      <c r="Q55" s="3">
        <v>84</v>
      </c>
      <c r="R55" s="3">
        <v>0</v>
      </c>
      <c r="S55" s="3">
        <v>-759.90081343699183</v>
      </c>
      <c r="T55" s="3">
        <v>2.9146124832294862</v>
      </c>
      <c r="U55" s="3">
        <v>-199.9738982728926</v>
      </c>
      <c r="V55" s="3">
        <v>0.76700328506039117</v>
      </c>
      <c r="W55" s="4">
        <v>-2.1509083842309851</v>
      </c>
      <c r="X55" s="4">
        <v>0.16593883705617113</v>
      </c>
      <c r="Y55" s="4">
        <v>-2.021055203534305</v>
      </c>
      <c r="Z55" s="4">
        <v>0.1659253078064471</v>
      </c>
      <c r="AA55" s="4">
        <v>-8.6598350916157756</v>
      </c>
      <c r="AB55" s="4">
        <v>0.14183409326512023</v>
      </c>
      <c r="AC55" s="3">
        <v>50</v>
      </c>
      <c r="AD55" s="3">
        <v>0</v>
      </c>
      <c r="AE55" s="3">
        <v>49.997999101464437</v>
      </c>
      <c r="AF55" s="3">
        <v>1.7805090013614969E-2</v>
      </c>
      <c r="AG55" s="3">
        <v>80</v>
      </c>
      <c r="AH55" s="3">
        <v>0</v>
      </c>
      <c r="AI55" s="3">
        <v>79.997832660199535</v>
      </c>
      <c r="AJ55" s="3">
        <v>3.6431786757905121E-2</v>
      </c>
      <c r="AK55" s="3">
        <v>128.18173209319815</v>
      </c>
      <c r="AL55" s="3">
        <v>1.5974458377163847</v>
      </c>
      <c r="AM55" s="3">
        <v>1.0296464476080001</v>
      </c>
      <c r="AN55" s="3">
        <v>131.98186509800186</v>
      </c>
      <c r="AO55" s="3">
        <v>3.152582511697648</v>
      </c>
      <c r="AP55" s="3">
        <v>4.3198846319589146</v>
      </c>
      <c r="AQ55" s="3">
        <v>10.283004124516772</v>
      </c>
      <c r="AR55" s="3">
        <v>1.4706999999999999</v>
      </c>
      <c r="AS55" s="3">
        <v>2.0579000000000001</v>
      </c>
      <c r="AT55" s="3">
        <v>37.425397456684898</v>
      </c>
      <c r="AU55" s="3">
        <v>3.8480244084865438</v>
      </c>
      <c r="AV55" s="3">
        <v>52.368073316184024</v>
      </c>
      <c r="AW55" s="3">
        <v>3.848024408486546</v>
      </c>
      <c r="AX55" s="3">
        <v>12.723668136494492</v>
      </c>
      <c r="AY55">
        <v>94.54241785909322</v>
      </c>
      <c r="AZ55">
        <v>3.8539268766919821</v>
      </c>
      <c r="BB55" s="4">
        <f t="shared" si="11"/>
        <v>-2.021055203534305</v>
      </c>
      <c r="BC55" s="1">
        <f t="shared" si="12"/>
        <v>0.1659253078064471</v>
      </c>
    </row>
    <row r="56" spans="1:55" x14ac:dyDescent="0.25">
      <c r="A56" t="s">
        <v>149</v>
      </c>
      <c r="B56" t="s">
        <v>124</v>
      </c>
      <c r="C56" s="3">
        <v>2211.0787737346723</v>
      </c>
      <c r="D56" s="3">
        <f t="shared" si="10"/>
        <v>2206.0787737346723</v>
      </c>
      <c r="E56" s="3">
        <v>20</v>
      </c>
      <c r="F56" s="3">
        <v>0</v>
      </c>
      <c r="G56" s="3">
        <v>242.09011891542048</v>
      </c>
      <c r="H56" s="3">
        <v>9.520594484467015</v>
      </c>
      <c r="I56" s="3">
        <v>242.09011891542048</v>
      </c>
      <c r="J56" s="3">
        <v>9.520594484467015</v>
      </c>
      <c r="K56" s="3">
        <v>133.43135682288144</v>
      </c>
      <c r="L56" s="3">
        <v>8.4351391481713289</v>
      </c>
      <c r="M56" s="3">
        <v>404.04964336320234</v>
      </c>
      <c r="N56" s="3">
        <v>2.8456238450051159</v>
      </c>
      <c r="O56" s="3">
        <v>19.639889196675899</v>
      </c>
      <c r="P56" s="3">
        <v>0.48069855294106278</v>
      </c>
      <c r="Q56" s="3">
        <v>84</v>
      </c>
      <c r="R56" s="3">
        <v>0</v>
      </c>
      <c r="S56" s="3">
        <v>-759.97900721822714</v>
      </c>
      <c r="T56" s="3">
        <v>8.8480791720155355E-2</v>
      </c>
      <c r="U56" s="3">
        <v>-199.99447558374399</v>
      </c>
      <c r="V56" s="3">
        <v>2.3284418873725093E-2</v>
      </c>
      <c r="W56" s="4">
        <v>-2.1459676568573007</v>
      </c>
      <c r="X56" s="4">
        <v>0.17240007440464988</v>
      </c>
      <c r="Y56" s="4">
        <v>-2.0161011142704539</v>
      </c>
      <c r="Z56" s="4">
        <v>0.17239658980648878</v>
      </c>
      <c r="AA56" s="4">
        <v>-8.6616329816768456</v>
      </c>
      <c r="AB56" s="4">
        <v>0.10902688353716651</v>
      </c>
      <c r="AC56" s="3">
        <v>50</v>
      </c>
      <c r="AD56" s="3">
        <v>0</v>
      </c>
      <c r="AE56" s="3">
        <v>49.998451465384782</v>
      </c>
      <c r="AF56" s="3">
        <v>1.5195612675526257E-2</v>
      </c>
      <c r="AG56" s="3">
        <v>80</v>
      </c>
      <c r="AH56" s="3">
        <v>0</v>
      </c>
      <c r="AI56" s="3">
        <v>79.99771126617685</v>
      </c>
      <c r="AJ56" s="3">
        <v>3.4444396878505049E-2</v>
      </c>
      <c r="AK56" s="3">
        <v>130.82774441790383</v>
      </c>
      <c r="AL56" s="3">
        <v>3.255018788073385</v>
      </c>
      <c r="AM56" s="3">
        <v>1.0293459731679999</v>
      </c>
      <c r="AN56" s="3">
        <v>134.66701189522158</v>
      </c>
      <c r="AO56" s="3">
        <v>4.2756557663779713</v>
      </c>
      <c r="AP56" s="3">
        <v>4.2122158386719839</v>
      </c>
      <c r="AQ56" s="3">
        <v>9.8899622623511974</v>
      </c>
      <c r="AR56" s="3">
        <v>1.3058000000000001</v>
      </c>
      <c r="AS56" s="3">
        <v>2.1528999999999998</v>
      </c>
      <c r="AT56" s="3">
        <v>33.161596916900834</v>
      </c>
      <c r="AU56" s="3">
        <v>3.7040194743113894</v>
      </c>
      <c r="AV56" s="3">
        <v>54.674224232191612</v>
      </c>
      <c r="AW56" s="3">
        <v>3.704019474311389</v>
      </c>
      <c r="AX56" s="3">
        <v>12.697808591247068</v>
      </c>
      <c r="AY56">
        <v>94.482885785270966</v>
      </c>
      <c r="AZ56">
        <v>4.3681411911101771</v>
      </c>
      <c r="BB56" s="4">
        <f t="shared" si="11"/>
        <v>-2.0161011142704539</v>
      </c>
      <c r="BC56" s="1">
        <f t="shared" si="12"/>
        <v>0.17239658980648878</v>
      </c>
    </row>
    <row r="57" spans="1:55" x14ac:dyDescent="0.25">
      <c r="A57" t="s">
        <v>150</v>
      </c>
      <c r="B57" t="s">
        <v>125</v>
      </c>
      <c r="C57" s="3">
        <v>2428.0801623498446</v>
      </c>
      <c r="D57" s="3">
        <f t="shared" si="10"/>
        <v>2423.0801623498446</v>
      </c>
      <c r="E57" s="3">
        <v>20</v>
      </c>
      <c r="F57" s="3">
        <v>0</v>
      </c>
      <c r="G57" s="3">
        <v>245.76993761564555</v>
      </c>
      <c r="H57" s="3">
        <v>9.8733380042339522</v>
      </c>
      <c r="I57" s="3">
        <v>245.76993761564555</v>
      </c>
      <c r="J57" s="3">
        <v>9.8733380042339522</v>
      </c>
      <c r="K57" s="3">
        <v>136.95360495942106</v>
      </c>
      <c r="L57" s="3">
        <v>4.243419728701916</v>
      </c>
      <c r="M57" s="3">
        <v>411.02638959324753</v>
      </c>
      <c r="N57" s="3">
        <v>5.559607271862288</v>
      </c>
      <c r="O57" s="3">
        <v>19.889196675900276</v>
      </c>
      <c r="P57" s="3">
        <v>0.3143240853889287</v>
      </c>
      <c r="Q57" s="3">
        <v>84</v>
      </c>
      <c r="R57" s="3">
        <v>0</v>
      </c>
      <c r="S57" s="3">
        <v>-759.96872515270854</v>
      </c>
      <c r="T57" s="3">
        <v>9.1732464114661419E-2</v>
      </c>
      <c r="U57" s="3">
        <v>-199.99176977702857</v>
      </c>
      <c r="V57" s="3">
        <v>2.4140122135437217E-2</v>
      </c>
      <c r="W57" s="4">
        <v>-2.1360953636868447</v>
      </c>
      <c r="X57" s="4">
        <v>0.17031959429063365</v>
      </c>
      <c r="Y57" s="4">
        <v>-2.0062305781173424</v>
      </c>
      <c r="Z57" s="4">
        <v>0.17031657202865974</v>
      </c>
      <c r="AA57" s="4">
        <v>-8.6504219877845845</v>
      </c>
      <c r="AB57" s="4">
        <v>0.10674669729286895</v>
      </c>
      <c r="AC57" s="3">
        <v>50</v>
      </c>
      <c r="AD57" s="3">
        <v>0</v>
      </c>
      <c r="AE57" s="3">
        <v>50.000532472562924</v>
      </c>
      <c r="AF57" s="3">
        <v>1.5363002510933862E-2</v>
      </c>
      <c r="AG57" s="3">
        <v>80</v>
      </c>
      <c r="AH57" s="3">
        <v>0</v>
      </c>
      <c r="AI57" s="3">
        <v>79.999451993905282</v>
      </c>
      <c r="AJ57" s="3">
        <v>3.2580549641590829E-2</v>
      </c>
      <c r="AK57" s="3">
        <v>130.55145787796485</v>
      </c>
      <c r="AL57" s="3">
        <v>1.5290183283579764</v>
      </c>
      <c r="AM57" s="3">
        <v>1.0295692712</v>
      </c>
      <c r="AN57" s="3">
        <v>134.41176934151378</v>
      </c>
      <c r="AO57" s="3">
        <v>3.1619924450002284</v>
      </c>
      <c r="AP57" s="3">
        <v>3.1711577521024714</v>
      </c>
      <c r="AQ57" s="3">
        <v>9.9297634151021157</v>
      </c>
      <c r="AR57" s="3">
        <v>1.2022999999999999</v>
      </c>
      <c r="AS57" s="3">
        <v>2.3315000000000001</v>
      </c>
      <c r="AT57" s="3">
        <v>30.715706992646297</v>
      </c>
      <c r="AU57" s="3">
        <v>3.7438744100274963</v>
      </c>
      <c r="AV57" s="3">
        <v>59.563894912546644</v>
      </c>
      <c r="AW57" s="3">
        <v>3.7438744100274981</v>
      </c>
      <c r="AX57" s="3">
        <v>12.773728267756088</v>
      </c>
      <c r="AY57">
        <v>94.579166197281822</v>
      </c>
      <c r="AZ57">
        <v>3.8123806773935143</v>
      </c>
      <c r="BB57" s="4">
        <f t="shared" si="11"/>
        <v>-2.0062305781173424</v>
      </c>
      <c r="BC57" s="1">
        <f t="shared" si="12"/>
        <v>0.17031657202865974</v>
      </c>
    </row>
    <row r="58" spans="1:55" x14ac:dyDescent="0.25">
      <c r="A58" t="s">
        <v>151</v>
      </c>
      <c r="B58" t="s">
        <v>126</v>
      </c>
      <c r="C58" s="3">
        <v>2643.081538954701</v>
      </c>
      <c r="D58" s="3">
        <f t="shared" si="10"/>
        <v>2638.081538954701</v>
      </c>
      <c r="E58" s="3">
        <v>20</v>
      </c>
      <c r="F58" s="3">
        <v>0</v>
      </c>
      <c r="G58" s="3">
        <v>235.26964085121895</v>
      </c>
      <c r="H58" s="3">
        <v>28.469082482314896</v>
      </c>
      <c r="I58" s="3">
        <v>235.26964085121895</v>
      </c>
      <c r="J58" s="3">
        <v>28.469082482314896</v>
      </c>
      <c r="K58" s="3">
        <v>150.96032367038325</v>
      </c>
      <c r="L58" s="3">
        <v>21.406866584387949</v>
      </c>
      <c r="M58" s="3">
        <v>415.56232325657362</v>
      </c>
      <c r="N58" s="3">
        <v>7.8795151374153924</v>
      </c>
      <c r="O58" s="3">
        <v>19.97229916897507</v>
      </c>
      <c r="P58" s="3">
        <v>0.16434205258943105</v>
      </c>
      <c r="Q58" s="3">
        <v>84</v>
      </c>
      <c r="R58" s="3">
        <v>0</v>
      </c>
      <c r="S58" s="3">
        <v>-759.94916268741099</v>
      </c>
      <c r="T58" s="3">
        <v>9.0790018212342338E-2</v>
      </c>
      <c r="U58" s="3">
        <v>-199.98662175984501</v>
      </c>
      <c r="V58" s="3">
        <v>2.3892110055879563E-2</v>
      </c>
      <c r="W58" s="4">
        <v>-2.107150471960022</v>
      </c>
      <c r="X58" s="4">
        <v>0.13779014785393925</v>
      </c>
      <c r="Y58" s="4">
        <v>-1.9772890292588265</v>
      </c>
      <c r="Z58" s="4">
        <v>0.13778829817770388</v>
      </c>
      <c r="AA58" s="4">
        <v>-8.6243642420877276</v>
      </c>
      <c r="AB58" s="4">
        <v>8.9828654971532806E-2</v>
      </c>
      <c r="AC58" s="3">
        <v>50</v>
      </c>
      <c r="AD58" s="3">
        <v>0</v>
      </c>
      <c r="AE58" s="3">
        <v>50.000719191955397</v>
      </c>
      <c r="AF58" s="3">
        <v>1.4955621420013377E-2</v>
      </c>
      <c r="AG58" s="3">
        <v>80</v>
      </c>
      <c r="AH58" s="3">
        <v>0</v>
      </c>
      <c r="AI58" s="3">
        <v>80.001773887063663</v>
      </c>
      <c r="AJ58" s="3">
        <v>3.1983961822336301E-2</v>
      </c>
      <c r="AK58" s="3">
        <v>135.43942334711386</v>
      </c>
      <c r="AL58" s="3">
        <v>9.5925340424666583</v>
      </c>
      <c r="AM58" s="3">
        <v>1.0280866616</v>
      </c>
      <c r="AN58" s="3">
        <v>139.24346459796337</v>
      </c>
      <c r="AO58" s="3">
        <v>10.010693101525051</v>
      </c>
      <c r="AP58" s="3">
        <v>-18.001518665029216</v>
      </c>
      <c r="AQ58" s="3">
        <v>8.9559905969497482</v>
      </c>
      <c r="AR58" s="3">
        <v>1</v>
      </c>
      <c r="AS58" s="3">
        <v>3.12</v>
      </c>
      <c r="AT58" s="3">
        <v>27.539280052206855</v>
      </c>
      <c r="AU58" s="3">
        <v>3.8015666892844981</v>
      </c>
      <c r="AV58" s="3">
        <v>85.922553762885414</v>
      </c>
      <c r="AW58" s="3">
        <v>3.8015666892844968</v>
      </c>
      <c r="AX58" s="3">
        <v>13.769640026103428</v>
      </c>
      <c r="AY58" t="s">
        <v>144</v>
      </c>
      <c r="BB58" s="4">
        <f t="shared" si="11"/>
        <v>-1.9772890292588265</v>
      </c>
      <c r="BC58" s="1">
        <f t="shared" si="12"/>
        <v>0.13778829817770388</v>
      </c>
    </row>
    <row r="59" spans="1:55" x14ac:dyDescent="0.25">
      <c r="A59" t="s">
        <v>152</v>
      </c>
      <c r="B59" t="s">
        <v>127</v>
      </c>
      <c r="C59" s="3">
        <v>2861.0829386042051</v>
      </c>
      <c r="D59" s="3">
        <f t="shared" si="10"/>
        <v>2856.0829386042051</v>
      </c>
      <c r="E59" s="3">
        <v>20</v>
      </c>
      <c r="F59" s="3">
        <v>0</v>
      </c>
      <c r="G59" s="3">
        <v>202.55558282318538</v>
      </c>
      <c r="H59" s="3">
        <v>19.060533747568627</v>
      </c>
      <c r="I59" s="3">
        <v>202.55558282318538</v>
      </c>
      <c r="J59" s="3">
        <v>19.060533747568627</v>
      </c>
      <c r="K59" s="3">
        <v>169.94834520381406</v>
      </c>
      <c r="L59" s="3">
        <v>12.725132535654698</v>
      </c>
      <c r="M59" s="3">
        <v>402.84688522297847</v>
      </c>
      <c r="N59" s="3">
        <v>8.9910526984860351</v>
      </c>
      <c r="O59" s="3">
        <v>20</v>
      </c>
      <c r="P59" s="3">
        <v>0</v>
      </c>
      <c r="Q59" s="3">
        <v>84</v>
      </c>
      <c r="R59" s="3">
        <v>0</v>
      </c>
      <c r="S59" s="3">
        <v>-759.95239478069118</v>
      </c>
      <c r="T59" s="3">
        <v>9.2716276621331528E-2</v>
      </c>
      <c r="U59" s="3">
        <v>-199.98747231070823</v>
      </c>
      <c r="V59" s="3">
        <v>2.4399020163508298E-2</v>
      </c>
      <c r="W59" s="4">
        <v>-2.1060714880621889</v>
      </c>
      <c r="X59" s="4">
        <v>0.12578651857283174</v>
      </c>
      <c r="Y59" s="4">
        <v>-1.9762094930552365</v>
      </c>
      <c r="Z59" s="4">
        <v>0.12578372395017109</v>
      </c>
      <c r="AA59" s="4">
        <v>-8.642288728484175</v>
      </c>
      <c r="AB59" s="4">
        <v>9.9593679688991493E-2</v>
      </c>
      <c r="AC59" s="3">
        <v>50</v>
      </c>
      <c r="AD59" s="3">
        <v>0</v>
      </c>
      <c r="AE59" s="3">
        <v>49.999478179001741</v>
      </c>
      <c r="AF59" s="3">
        <v>1.5758948015564392E-2</v>
      </c>
      <c r="AG59" s="3">
        <v>80</v>
      </c>
      <c r="AH59" s="3">
        <v>0</v>
      </c>
      <c r="AI59" s="3">
        <v>80.001018640407239</v>
      </c>
      <c r="AJ59" s="3">
        <v>2.8732455632876196E-2</v>
      </c>
      <c r="AK59" s="3">
        <v>137.37692002906692</v>
      </c>
      <c r="AL59" s="3">
        <v>8.7716174805092919</v>
      </c>
      <c r="AM59" s="3">
        <v>1.029272033404</v>
      </c>
      <c r="AN59" s="3">
        <v>141.3982218210964</v>
      </c>
      <c r="AO59" s="3">
        <v>9.241953687783095</v>
      </c>
      <c r="AP59" s="3">
        <v>2.8991521278267096</v>
      </c>
      <c r="AQ59" s="3">
        <v>9.8583289686485251</v>
      </c>
      <c r="AR59" s="3">
        <v>0.97713000000000005</v>
      </c>
      <c r="AS59" s="3">
        <v>2.4569000000000001</v>
      </c>
      <c r="AT59" s="3">
        <v>24.98753534702966</v>
      </c>
      <c r="AU59" s="3">
        <v>3.7234820544004741</v>
      </c>
      <c r="AV59" s="3">
        <v>62.82876955381289</v>
      </c>
      <c r="AW59" s="3">
        <v>3.7234820544004741</v>
      </c>
      <c r="AX59" s="3">
        <v>12.786187788231695</v>
      </c>
      <c r="AY59">
        <v>99.123569267198661</v>
      </c>
      <c r="AZ59">
        <v>7.1917298797398237</v>
      </c>
      <c r="BB59" s="4">
        <f t="shared" si="11"/>
        <v>-1.9762094930552365</v>
      </c>
      <c r="BC59" s="1">
        <f t="shared" si="12"/>
        <v>0.12578372395017109</v>
      </c>
    </row>
    <row r="60" spans="1:55" x14ac:dyDescent="0.25">
      <c r="A60" t="s">
        <v>153</v>
      </c>
      <c r="B60" t="s">
        <v>128</v>
      </c>
      <c r="C60" s="3">
        <v>3077.0843161850453</v>
      </c>
      <c r="D60" s="3">
        <f t="shared" si="10"/>
        <v>3072.0843161850453</v>
      </c>
      <c r="E60" s="3">
        <v>20</v>
      </c>
      <c r="F60" s="3">
        <v>0</v>
      </c>
      <c r="G60" s="3">
        <v>219.51303641617793</v>
      </c>
      <c r="H60" s="3">
        <v>15.738643947592742</v>
      </c>
      <c r="I60" s="3">
        <v>219.51303641617793</v>
      </c>
      <c r="J60" s="3">
        <v>15.738643947592742</v>
      </c>
      <c r="K60" s="3">
        <v>157.35138629780889</v>
      </c>
      <c r="L60" s="3">
        <v>6.5552148619200317</v>
      </c>
      <c r="M60" s="3">
        <v>404.88139802212066</v>
      </c>
      <c r="N60" s="3">
        <v>6.8543308731346295</v>
      </c>
      <c r="O60" s="3">
        <v>20</v>
      </c>
      <c r="P60" s="3">
        <v>0</v>
      </c>
      <c r="Q60" s="3">
        <v>84</v>
      </c>
      <c r="R60" s="3">
        <v>0</v>
      </c>
      <c r="S60" s="3">
        <v>-759.96021265964691</v>
      </c>
      <c r="T60" s="3">
        <v>9.1030158468264136E-2</v>
      </c>
      <c r="U60" s="3">
        <v>-199.9895296472755</v>
      </c>
      <c r="V60" s="3">
        <v>2.3955304860069509E-2</v>
      </c>
      <c r="W60" s="4">
        <v>-2.1023813159355926</v>
      </c>
      <c r="X60" s="4">
        <v>0.13371747619884841</v>
      </c>
      <c r="Y60" s="4">
        <v>-1.9725179849958041</v>
      </c>
      <c r="Z60" s="4">
        <v>0.13371439625800685</v>
      </c>
      <c r="AA60" s="4">
        <v>-8.6504203220433062</v>
      </c>
      <c r="AB60" s="4">
        <v>0.11226966745844397</v>
      </c>
      <c r="AC60" s="3">
        <v>50</v>
      </c>
      <c r="AD60" s="3">
        <v>0</v>
      </c>
      <c r="AE60" s="3">
        <v>49.998878003487626</v>
      </c>
      <c r="AF60" s="3">
        <v>1.67136615931807E-2</v>
      </c>
      <c r="AG60" s="3">
        <v>80</v>
      </c>
      <c r="AH60" s="3">
        <v>0</v>
      </c>
      <c r="AI60" s="3">
        <v>79.997545934449931</v>
      </c>
      <c r="AJ60" s="3">
        <v>3.0790859652804387E-2</v>
      </c>
      <c r="AK60" s="3">
        <v>130.80166148346876</v>
      </c>
      <c r="AL60" s="3">
        <v>1.8356113546766846</v>
      </c>
      <c r="AM60" s="3">
        <v>1.0296133072479998</v>
      </c>
      <c r="AN60" s="3">
        <v>134.6751312735276</v>
      </c>
      <c r="AO60" s="3">
        <v>3.3257291175901158</v>
      </c>
      <c r="AP60" s="3">
        <v>4.6216764823545091</v>
      </c>
      <c r="AQ60" s="3">
        <v>10.171627548188809</v>
      </c>
      <c r="AR60" s="3">
        <v>0.93242999999999998</v>
      </c>
      <c r="AS60" s="3">
        <v>2.6217999999999999</v>
      </c>
      <c r="AT60" s="3">
        <v>23.702911305456631</v>
      </c>
      <c r="AU60" s="3">
        <v>3.7990590606302139</v>
      </c>
      <c r="AV60" s="3">
        <v>66.64767635173277</v>
      </c>
      <c r="AW60" s="3">
        <v>3.7990590606302139</v>
      </c>
      <c r="AX60" s="3">
        <v>12.710289944262106</v>
      </c>
      <c r="AY60">
        <v>94.557032296480969</v>
      </c>
      <c r="AZ60">
        <v>3.8856537547892325</v>
      </c>
      <c r="BB60" s="4">
        <f t="shared" si="11"/>
        <v>-1.9725179849958041</v>
      </c>
      <c r="BC60" s="1">
        <f t="shared" si="12"/>
        <v>0.13371439625800685</v>
      </c>
    </row>
    <row r="61" spans="1:55" x14ac:dyDescent="0.25">
      <c r="A61" t="s">
        <v>154</v>
      </c>
      <c r="B61" t="s">
        <v>129</v>
      </c>
      <c r="C61" s="3">
        <v>3294.0857048002172</v>
      </c>
      <c r="D61" s="3">
        <f t="shared" si="10"/>
        <v>3289.0857048002172</v>
      </c>
      <c r="E61" s="3">
        <v>20</v>
      </c>
      <c r="F61" s="3">
        <v>0</v>
      </c>
      <c r="G61" s="3">
        <v>235.57415564370618</v>
      </c>
      <c r="H61" s="3">
        <v>6.7997024632342304</v>
      </c>
      <c r="I61" s="3">
        <v>235.57415564370618</v>
      </c>
      <c r="J61" s="3">
        <v>6.7997024632342304</v>
      </c>
      <c r="K61" s="3">
        <v>155.05103408939851</v>
      </c>
      <c r="L61" s="3">
        <v>4.4574412533396668</v>
      </c>
      <c r="M61" s="3">
        <v>418.49131417854687</v>
      </c>
      <c r="N61" s="3">
        <v>5.8566066468405085</v>
      </c>
      <c r="O61" s="3">
        <v>20</v>
      </c>
      <c r="P61" s="3">
        <v>0</v>
      </c>
      <c r="Q61" s="3">
        <v>84</v>
      </c>
      <c r="R61" s="3">
        <v>0</v>
      </c>
      <c r="S61" s="3">
        <v>-759.96156635204284</v>
      </c>
      <c r="T61" s="3">
        <v>9.0378267793805006E-2</v>
      </c>
      <c r="U61" s="3">
        <v>-199.98988588211654</v>
      </c>
      <c r="V61" s="3">
        <v>2.3783754682580267E-2</v>
      </c>
      <c r="W61" s="4">
        <v>-2.0973353692393095</v>
      </c>
      <c r="X61" s="4">
        <v>0.11725861005339965</v>
      </c>
      <c r="Y61" s="4">
        <v>-1.9674718069781991</v>
      </c>
      <c r="Z61" s="4">
        <v>0.1172560241006981</v>
      </c>
      <c r="AA61" s="4">
        <v>-8.6535496946141244</v>
      </c>
      <c r="AB61" s="4">
        <v>0.11384974943204762</v>
      </c>
      <c r="AC61" s="3">
        <v>50</v>
      </c>
      <c r="AD61" s="3">
        <v>0</v>
      </c>
      <c r="AE61" s="3">
        <v>49.99976782125119</v>
      </c>
      <c r="AF61" s="3">
        <v>1.8456707007552427E-2</v>
      </c>
      <c r="AG61" s="3">
        <v>80</v>
      </c>
      <c r="AH61" s="3">
        <v>0</v>
      </c>
      <c r="AI61" s="3">
        <v>79.998635733226664</v>
      </c>
      <c r="AJ61" s="3">
        <v>3.3629589630237204E-2</v>
      </c>
      <c r="AK61" s="3">
        <v>130.70616940316071</v>
      </c>
      <c r="AL61" s="3">
        <v>1.8393943410458096</v>
      </c>
      <c r="AM61" s="3">
        <v>1.029630115132</v>
      </c>
      <c r="AN61" s="3">
        <v>134.57900825103906</v>
      </c>
      <c r="AO61" s="3">
        <v>3.3262069342534746</v>
      </c>
      <c r="AP61" s="3">
        <v>-1.4956411906746458</v>
      </c>
      <c r="AQ61" s="3">
        <v>10.039021385660723</v>
      </c>
      <c r="AR61" s="3">
        <v>0.91544000000000003</v>
      </c>
      <c r="AS61" s="3">
        <v>2.6255000000000002</v>
      </c>
      <c r="AT61" s="3">
        <v>23.804443502945869</v>
      </c>
      <c r="AU61" s="3">
        <v>3.8967536410672139</v>
      </c>
      <c r="AV61" s="3">
        <v>68.271614105768151</v>
      </c>
      <c r="AW61" s="3">
        <v>3.896753641067213</v>
      </c>
      <c r="AX61" s="3">
        <v>13.001640469580678</v>
      </c>
      <c r="AY61">
        <v>95.526100097859796</v>
      </c>
      <c r="AZ61">
        <v>3.8870004238735425</v>
      </c>
      <c r="BB61" s="4">
        <f t="shared" si="11"/>
        <v>-1.9674718069781991</v>
      </c>
      <c r="BC61" s="1">
        <f t="shared" si="12"/>
        <v>0.1172560241006981</v>
      </c>
    </row>
    <row r="62" spans="1:55" x14ac:dyDescent="0.25">
      <c r="A62" t="s">
        <v>155</v>
      </c>
      <c r="B62" t="s">
        <v>130</v>
      </c>
      <c r="C62" s="3">
        <v>3510.0870924394058</v>
      </c>
      <c r="D62" s="3">
        <f t="shared" si="10"/>
        <v>3505.0870924394058</v>
      </c>
      <c r="E62" s="3">
        <v>20</v>
      </c>
      <c r="F62" s="3">
        <v>0</v>
      </c>
      <c r="G62" s="3">
        <v>235.12200686806128</v>
      </c>
      <c r="H62" s="3">
        <v>7.3330243370145523</v>
      </c>
      <c r="I62" s="3">
        <v>235.12200686806128</v>
      </c>
      <c r="J62" s="3">
        <v>7.3330243370145523</v>
      </c>
      <c r="K62" s="3">
        <v>161.92765316095904</v>
      </c>
      <c r="L62" s="3">
        <v>4.4925807289992274</v>
      </c>
      <c r="M62" s="3">
        <v>426.02983324116019</v>
      </c>
      <c r="N62" s="3">
        <v>2.3299461597712856</v>
      </c>
      <c r="O62" s="3">
        <v>20</v>
      </c>
      <c r="P62" s="3">
        <v>0</v>
      </c>
      <c r="Q62" s="3">
        <v>84</v>
      </c>
      <c r="R62" s="3">
        <v>0</v>
      </c>
      <c r="S62" s="3">
        <v>-759.96403775681654</v>
      </c>
      <c r="T62" s="3">
        <v>9.0239765293910007E-2</v>
      </c>
      <c r="U62" s="3">
        <v>-199.99053625179383</v>
      </c>
      <c r="V62" s="3">
        <v>2.3747306656292107E-2</v>
      </c>
      <c r="W62" s="4">
        <v>-2.0902919211549134</v>
      </c>
      <c r="X62" s="4">
        <v>0.10787256295677167</v>
      </c>
      <c r="Y62" s="4">
        <v>-1.9604279365758288</v>
      </c>
      <c r="Z62" s="4">
        <v>0.10786984568467041</v>
      </c>
      <c r="AA62" s="4">
        <v>-8.6694586340921767</v>
      </c>
      <c r="AB62" s="4">
        <v>0.1064489683897612</v>
      </c>
      <c r="AC62" s="3">
        <v>50</v>
      </c>
      <c r="AD62" s="3">
        <v>0</v>
      </c>
      <c r="AE62" s="3">
        <v>50.00236984633343</v>
      </c>
      <c r="AF62" s="3">
        <v>1.7691070414788609E-2</v>
      </c>
      <c r="AG62" s="3">
        <v>80</v>
      </c>
      <c r="AH62" s="3">
        <v>0</v>
      </c>
      <c r="AI62" s="3">
        <v>80.00062878046009</v>
      </c>
      <c r="AJ62" s="3">
        <v>3.2522375671439618E-2</v>
      </c>
      <c r="AK62" s="3">
        <v>131.93395036607569</v>
      </c>
      <c r="AL62" s="3">
        <v>1.9639218053084238</v>
      </c>
      <c r="AM62" s="3">
        <v>1.0295154505919999</v>
      </c>
      <c r="AN62" s="3">
        <v>135.82804035951295</v>
      </c>
      <c r="AO62" s="3">
        <v>3.4174187463345564</v>
      </c>
      <c r="AP62" s="3">
        <v>3.4065897560007885</v>
      </c>
      <c r="AQ62" s="3">
        <v>9.8667620702532801</v>
      </c>
      <c r="AR62" s="3">
        <v>0.88085999999999998</v>
      </c>
      <c r="AS62" s="3">
        <v>2.6383000000000001</v>
      </c>
      <c r="AT62" s="3">
        <v>22.486821021903452</v>
      </c>
      <c r="AU62" s="3">
        <v>3.7146591157088649</v>
      </c>
      <c r="AV62" s="3">
        <v>67.351202123025104</v>
      </c>
      <c r="AW62" s="3">
        <v>3.7146591157088635</v>
      </c>
      <c r="AX62" s="3">
        <v>12.764128818372647</v>
      </c>
      <c r="AY62">
        <v>95.401927603310298</v>
      </c>
      <c r="AZ62">
        <v>3.915398109554928</v>
      </c>
      <c r="BB62" s="4">
        <f t="shared" si="11"/>
        <v>-1.9604279365758288</v>
      </c>
      <c r="BC62" s="1">
        <f t="shared" si="12"/>
        <v>0.10786984568467041</v>
      </c>
    </row>
    <row r="63" spans="1:55" x14ac:dyDescent="0.25">
      <c r="A63" t="s">
        <v>156</v>
      </c>
      <c r="B63" t="s">
        <v>131</v>
      </c>
      <c r="C63" s="3">
        <v>3727.0884810545776</v>
      </c>
      <c r="D63" s="3">
        <f t="shared" si="10"/>
        <v>3722.0884810545776</v>
      </c>
      <c r="E63" s="3">
        <v>20</v>
      </c>
      <c r="F63" s="3">
        <v>0</v>
      </c>
      <c r="G63" s="3">
        <v>239.31592831081815</v>
      </c>
      <c r="H63" s="3">
        <v>8.2169350004371378</v>
      </c>
      <c r="I63" s="3">
        <v>239.31592831081815</v>
      </c>
      <c r="J63" s="3">
        <v>8.2169350004371378</v>
      </c>
      <c r="K63" s="3">
        <v>164.01204264683142</v>
      </c>
      <c r="L63" s="3">
        <v>3.9101707960612</v>
      </c>
      <c r="M63" s="3">
        <v>431.81910083773869</v>
      </c>
      <c r="N63" s="3">
        <v>3.6259196026997551</v>
      </c>
      <c r="O63" s="3">
        <v>19.774999999999999</v>
      </c>
      <c r="P63" s="3">
        <v>0.41816351375267513</v>
      </c>
      <c r="Q63" s="3">
        <v>83.99722222222222</v>
      </c>
      <c r="R63" s="3">
        <v>5.2704627669472988E-2</v>
      </c>
      <c r="S63" s="3">
        <v>-759.96811327042099</v>
      </c>
      <c r="T63" s="3">
        <v>0.11195402055417383</v>
      </c>
      <c r="U63" s="3">
        <v>-199.99160875537396</v>
      </c>
      <c r="V63" s="3">
        <v>2.9461584356361536E-2</v>
      </c>
      <c r="W63" s="4">
        <v>-2.0820499722376455</v>
      </c>
      <c r="X63" s="4">
        <v>0.10602132942504908</v>
      </c>
      <c r="Y63" s="4">
        <v>-1.9521852912276636</v>
      </c>
      <c r="Z63" s="4">
        <v>0.10601867859760203</v>
      </c>
      <c r="AA63" s="4">
        <v>-8.679018878400889</v>
      </c>
      <c r="AB63" s="4">
        <v>0.10767016340589636</v>
      </c>
      <c r="AC63" s="3">
        <v>50</v>
      </c>
      <c r="AD63" s="3">
        <v>0</v>
      </c>
      <c r="AE63" s="3">
        <v>50.00339362886217</v>
      </c>
      <c r="AF63" s="3">
        <v>1.5624396124044593E-2</v>
      </c>
      <c r="AG63" s="3">
        <v>80</v>
      </c>
      <c r="AH63" s="3">
        <v>0</v>
      </c>
      <c r="AI63" s="3">
        <v>80.001017189025873</v>
      </c>
      <c r="AJ63" s="3">
        <v>3.0238885379456421E-2</v>
      </c>
      <c r="AK63" s="3">
        <v>131.43198880089653</v>
      </c>
      <c r="AL63" s="3">
        <v>1.8182061119393529</v>
      </c>
      <c r="AM63" s="3">
        <v>1.0295408075279999</v>
      </c>
      <c r="AN63" s="3">
        <v>135.31459588508605</v>
      </c>
      <c r="AO63" s="3">
        <v>3.327009989564734</v>
      </c>
      <c r="AP63" s="3">
        <v>4.5058413333254883</v>
      </c>
      <c r="AQ63" s="3">
        <v>10.049265275922101</v>
      </c>
      <c r="AR63" s="3">
        <v>0.85485999999999995</v>
      </c>
      <c r="AS63" s="3">
        <v>2.6488</v>
      </c>
      <c r="AT63" s="3">
        <v>21.71658998339975</v>
      </c>
      <c r="AU63" s="3">
        <v>3.7562713108490082</v>
      </c>
      <c r="AV63" s="3">
        <v>67.289267889513212</v>
      </c>
      <c r="AW63" s="3">
        <v>3.7562713108490082</v>
      </c>
      <c r="AX63" s="3">
        <v>12.701840057670118</v>
      </c>
      <c r="AY63">
        <v>96.287560096855984</v>
      </c>
      <c r="AZ63">
        <v>3.8788570225100063</v>
      </c>
      <c r="BB63" s="4">
        <f t="shared" si="11"/>
        <v>-1.9521852912276636</v>
      </c>
      <c r="BC63" s="1">
        <f t="shared" si="12"/>
        <v>0.10601867859760203</v>
      </c>
    </row>
    <row r="64" spans="1:55" x14ac:dyDescent="0.25">
      <c r="A64" t="s">
        <v>157</v>
      </c>
      <c r="B64" t="s">
        <v>132</v>
      </c>
      <c r="C64" s="3">
        <v>3944.08986966975</v>
      </c>
      <c r="D64" s="3">
        <f t="shared" si="10"/>
        <v>3939.08986966975</v>
      </c>
      <c r="E64" s="3">
        <v>20</v>
      </c>
      <c r="F64" s="3">
        <v>0</v>
      </c>
      <c r="G64" s="3">
        <v>242.78984894052437</v>
      </c>
      <c r="H64" s="3">
        <v>8.1270775639672799</v>
      </c>
      <c r="I64" s="3">
        <v>242.78984894052437</v>
      </c>
      <c r="J64" s="3">
        <v>8.1270775639672799</v>
      </c>
      <c r="K64" s="3">
        <v>168.11741205495196</v>
      </c>
      <c r="L64" s="3">
        <v>5.1505012160556385</v>
      </c>
      <c r="M64" s="3">
        <v>439.40837699735897</v>
      </c>
      <c r="N64" s="3">
        <v>3.9610352820714496</v>
      </c>
      <c r="O64" s="3">
        <v>19.174515235457065</v>
      </c>
      <c r="P64" s="3">
        <v>0.38007872052380515</v>
      </c>
      <c r="Q64" s="3">
        <v>83.40997229916897</v>
      </c>
      <c r="R64" s="3">
        <v>0.49251085640316133</v>
      </c>
      <c r="S64" s="3">
        <v>-759.96275402555818</v>
      </c>
      <c r="T64" s="3">
        <v>0.11181174166457182</v>
      </c>
      <c r="U64" s="3">
        <v>-199.99019842777847</v>
      </c>
      <c r="V64" s="3">
        <v>2.9424142543308374E-2</v>
      </c>
      <c r="W64" s="4">
        <v>-2.0634372570794026</v>
      </c>
      <c r="X64" s="4">
        <v>0.1044774651009328</v>
      </c>
      <c r="Y64" s="4">
        <v>-1.9335734918665592</v>
      </c>
      <c r="Z64" s="4">
        <v>0.10447484746602376</v>
      </c>
      <c r="AA64" s="4">
        <v>-8.6644386451971247</v>
      </c>
      <c r="AB64" s="4">
        <v>0.10993869875297245</v>
      </c>
      <c r="AC64" s="3">
        <v>50</v>
      </c>
      <c r="AD64" s="3">
        <v>0</v>
      </c>
      <c r="AE64" s="3">
        <v>50.000292822925005</v>
      </c>
      <c r="AF64" s="3">
        <v>1.5163100811042203E-2</v>
      </c>
      <c r="AG64" s="3">
        <v>80</v>
      </c>
      <c r="AH64" s="3">
        <v>0</v>
      </c>
      <c r="AI64" s="3">
        <v>79.998368641015901</v>
      </c>
      <c r="AJ64" s="3">
        <v>3.048362839369434E-2</v>
      </c>
      <c r="AK64" s="3">
        <v>131.85373556712989</v>
      </c>
      <c r="AL64" s="3">
        <v>2.0679576165095925</v>
      </c>
      <c r="AM64" s="3">
        <v>1.0302630352</v>
      </c>
      <c r="AN64" s="3">
        <v>135.84402980784944</v>
      </c>
      <c r="AO64" s="3">
        <v>3.4801463685657104</v>
      </c>
      <c r="AP64" s="3">
        <v>-1.1502735356364591</v>
      </c>
      <c r="AQ64" s="3">
        <v>9.9974292200530286</v>
      </c>
      <c r="AR64" s="3">
        <v>0.82655000000000001</v>
      </c>
      <c r="AS64" s="3">
        <v>3.7864</v>
      </c>
      <c r="AT64" s="3">
        <v>21.447093262012075</v>
      </c>
      <c r="AU64" s="3">
        <v>3.8725348826468893</v>
      </c>
      <c r="AV64" s="3">
        <v>98.248471268867604</v>
      </c>
      <c r="AW64" s="3">
        <v>3.8725348826468888</v>
      </c>
      <c r="AX64" s="3">
        <v>12.973863203685241</v>
      </c>
      <c r="AY64" t="s">
        <v>144</v>
      </c>
      <c r="BB64" s="4">
        <f t="shared" si="11"/>
        <v>-1.9335734918665592</v>
      </c>
      <c r="BC64" s="1">
        <f t="shared" si="12"/>
        <v>0.10447484746602376</v>
      </c>
    </row>
    <row r="65" spans="1:55" x14ac:dyDescent="0.25">
      <c r="A65" t="s">
        <v>158</v>
      </c>
      <c r="B65" t="s">
        <v>133</v>
      </c>
      <c r="C65" s="3">
        <v>4161.0912582849223</v>
      </c>
      <c r="D65" s="3">
        <f t="shared" si="10"/>
        <v>4156.0912582849223</v>
      </c>
      <c r="E65" s="3">
        <v>20</v>
      </c>
      <c r="F65" s="3">
        <v>0</v>
      </c>
      <c r="G65" s="3">
        <v>246.54194920082833</v>
      </c>
      <c r="H65" s="3">
        <v>8.0988070106089669</v>
      </c>
      <c r="I65" s="3">
        <v>246.54194920082833</v>
      </c>
      <c r="J65" s="3">
        <v>8.0988070106089669</v>
      </c>
      <c r="K65" s="3">
        <v>172.22148694148106</v>
      </c>
      <c r="L65" s="3">
        <v>3.2831196062693331</v>
      </c>
      <c r="M65" s="3">
        <v>447.2112339372286</v>
      </c>
      <c r="N65" s="3">
        <v>4.3129727553986594</v>
      </c>
      <c r="O65" s="3">
        <v>19</v>
      </c>
      <c r="P65" s="3">
        <v>0</v>
      </c>
      <c r="Q65" s="3">
        <v>83</v>
      </c>
      <c r="R65" s="3">
        <v>0</v>
      </c>
      <c r="S65" s="3">
        <v>-759.9557018323311</v>
      </c>
      <c r="T65" s="3">
        <v>9.0641610765685124E-2</v>
      </c>
      <c r="U65" s="3">
        <v>-199.98834258745555</v>
      </c>
      <c r="V65" s="3">
        <v>2.385305546465398E-2</v>
      </c>
      <c r="W65" s="4">
        <v>-2.0424285119378141</v>
      </c>
      <c r="X65" s="4">
        <v>0.10024620450950861</v>
      </c>
      <c r="Y65" s="4">
        <v>-1.9125659518160916</v>
      </c>
      <c r="Z65" s="4">
        <v>0.10024305909006721</v>
      </c>
      <c r="AA65" s="4">
        <v>-8.6439061632426508</v>
      </c>
      <c r="AB65" s="4">
        <v>0.10665854433030673</v>
      </c>
      <c r="AC65" s="3">
        <v>50</v>
      </c>
      <c r="AD65" s="3">
        <v>0</v>
      </c>
      <c r="AE65" s="3">
        <v>50.000326204167841</v>
      </c>
      <c r="AF65" s="3">
        <v>1.7447120682544306E-2</v>
      </c>
      <c r="AG65" s="3">
        <v>80</v>
      </c>
      <c r="AH65" s="3">
        <v>0</v>
      </c>
      <c r="AI65" s="3">
        <v>79.99819718041249</v>
      </c>
      <c r="AJ65" s="3">
        <v>3.3257649694724008E-2</v>
      </c>
      <c r="AK65" s="3">
        <v>131.74990720035626</v>
      </c>
      <c r="AL65" s="3">
        <v>1.579892921225476</v>
      </c>
      <c r="AM65" s="3">
        <v>1.029402618584</v>
      </c>
      <c r="AN65" s="3">
        <v>135.62369947024573</v>
      </c>
      <c r="AO65" s="3">
        <v>3.2082078927955853</v>
      </c>
      <c r="AP65" s="3">
        <v>1.4487687700582841</v>
      </c>
      <c r="AQ65" s="3">
        <v>9.9011907942472366</v>
      </c>
      <c r="AR65" s="3">
        <v>0.79178000000000004</v>
      </c>
      <c r="AS65" s="3">
        <v>2.6716000000000002</v>
      </c>
      <c r="AT65" s="3">
        <v>20.343672614313764</v>
      </c>
      <c r="AU65" s="3">
        <v>3.7741864402029988</v>
      </c>
      <c r="AV65" s="3">
        <v>68.64300153628615</v>
      </c>
      <c r="AW65" s="3">
        <v>3.7741864402029988</v>
      </c>
      <c r="AX65" s="3">
        <v>12.846796215055804</v>
      </c>
      <c r="AY65">
        <v>96.078885116990136</v>
      </c>
      <c r="AZ65">
        <v>3.8204495355574326</v>
      </c>
      <c r="BB65" s="4">
        <f t="shared" si="11"/>
        <v>-1.9125659518160916</v>
      </c>
      <c r="BC65" s="1">
        <f t="shared" si="12"/>
        <v>0.10024305909006721</v>
      </c>
    </row>
    <row r="66" spans="1:55" x14ac:dyDescent="0.25">
      <c r="A66" t="s">
        <v>159</v>
      </c>
      <c r="B66" t="s">
        <v>134</v>
      </c>
      <c r="C66" s="3">
        <v>4382.0926709207242</v>
      </c>
      <c r="D66" s="3">
        <f t="shared" si="10"/>
        <v>4377.0926709207242</v>
      </c>
      <c r="E66" s="3">
        <v>20</v>
      </c>
      <c r="F66" s="3">
        <v>0</v>
      </c>
      <c r="G66" s="3">
        <v>250.2469439308399</v>
      </c>
      <c r="H66" s="3">
        <v>8.0840220758307986</v>
      </c>
      <c r="I66" s="3">
        <v>250.2469439308399</v>
      </c>
      <c r="J66" s="3">
        <v>8.0840220758307986</v>
      </c>
      <c r="K66" s="3">
        <v>177.62849968310329</v>
      </c>
      <c r="L66" s="3">
        <v>5.6417334352971702</v>
      </c>
      <c r="M66" s="3">
        <v>456.03575087104059</v>
      </c>
      <c r="N66" s="3">
        <v>3.7103704766784618</v>
      </c>
      <c r="O66" s="3">
        <v>19</v>
      </c>
      <c r="P66" s="3">
        <v>0</v>
      </c>
      <c r="Q66" s="3">
        <v>83</v>
      </c>
      <c r="R66" s="3">
        <v>0</v>
      </c>
      <c r="S66" s="3">
        <v>-759.95450305387442</v>
      </c>
      <c r="T66" s="3">
        <v>8.8402690485723523E-2</v>
      </c>
      <c r="U66" s="3">
        <v>-199.98802711944066</v>
      </c>
      <c r="V66" s="3">
        <v>2.3263865917295665E-2</v>
      </c>
      <c r="W66" s="4">
        <v>-2.0401905885619072</v>
      </c>
      <c r="X66" s="4">
        <v>0.10145533881405965</v>
      </c>
      <c r="Y66" s="4">
        <v>-1.9103282332895515</v>
      </c>
      <c r="Z66" s="4">
        <v>0.10145263318207423</v>
      </c>
      <c r="AA66" s="4">
        <v>-8.6374192115491422</v>
      </c>
      <c r="AB66" s="4">
        <v>0.10218008746891817</v>
      </c>
      <c r="AC66" s="3">
        <v>50</v>
      </c>
      <c r="AD66" s="3">
        <v>0</v>
      </c>
      <c r="AE66" s="3">
        <v>50.000358697780278</v>
      </c>
      <c r="AF66" s="3">
        <v>1.5234941691372676E-2</v>
      </c>
      <c r="AG66" s="3">
        <v>80</v>
      </c>
      <c r="AH66" s="3">
        <v>0</v>
      </c>
      <c r="AI66" s="3">
        <v>80.00024456330614</v>
      </c>
      <c r="AJ66" s="3">
        <v>3.2924270340119702E-2</v>
      </c>
      <c r="AK66" s="3">
        <v>132.06883537736294</v>
      </c>
      <c r="AL66" s="3">
        <v>2.1903757870209684</v>
      </c>
      <c r="AM66" s="3">
        <v>1.0293595665199999</v>
      </c>
      <c r="AN66" s="3">
        <v>135.94631913484355</v>
      </c>
      <c r="AO66" s="3">
        <v>3.5539785855781547</v>
      </c>
      <c r="AP66" s="3">
        <v>-0.37081060031940449</v>
      </c>
      <c r="AQ66" s="3">
        <v>10.759590713360524</v>
      </c>
      <c r="AR66" s="3">
        <v>0.77393999999999996</v>
      </c>
      <c r="AS66" s="3">
        <v>2.7048000000000001</v>
      </c>
      <c r="AT66" s="3">
        <v>20.029093164743315</v>
      </c>
      <c r="AU66" s="3">
        <v>4.1478954748765426</v>
      </c>
      <c r="AV66" s="3">
        <v>69.998567320461191</v>
      </c>
      <c r="AW66" s="3">
        <v>4.1478954748765409</v>
      </c>
      <c r="AX66" s="3">
        <v>12.939693751933817</v>
      </c>
      <c r="AY66">
        <v>94.72128505338938</v>
      </c>
      <c r="AZ66">
        <v>3.9792519187111277</v>
      </c>
      <c r="BB66" s="4">
        <f t="shared" si="11"/>
        <v>-1.9103282332895515</v>
      </c>
      <c r="BC66" s="1">
        <f t="shared" si="12"/>
        <v>0.10145263318207423</v>
      </c>
    </row>
    <row r="67" spans="1:55" x14ac:dyDescent="0.25">
      <c r="A67" t="s">
        <v>160</v>
      </c>
      <c r="B67" t="s">
        <v>135</v>
      </c>
      <c r="C67" s="3">
        <v>4599.094059535897</v>
      </c>
      <c r="D67" s="3">
        <f t="shared" si="10"/>
        <v>4594.094059535897</v>
      </c>
      <c r="E67" s="3">
        <v>20</v>
      </c>
      <c r="F67" s="3">
        <v>0</v>
      </c>
      <c r="G67" s="3">
        <v>247.63489149944274</v>
      </c>
      <c r="H67" s="3">
        <v>8.4573629865793212</v>
      </c>
      <c r="I67" s="3">
        <v>247.63489149944274</v>
      </c>
      <c r="J67" s="3">
        <v>8.4573629865793212</v>
      </c>
      <c r="K67" s="3">
        <v>185.39450231542489</v>
      </c>
      <c r="L67" s="3">
        <v>5.2614000955643663</v>
      </c>
      <c r="M67" s="3">
        <v>461.89819616765271</v>
      </c>
      <c r="N67" s="3">
        <v>2.2037967558931513</v>
      </c>
      <c r="O67" s="3">
        <v>19.013850415512465</v>
      </c>
      <c r="P67" s="3">
        <v>0.11703214091338936</v>
      </c>
      <c r="Q67" s="3">
        <v>83</v>
      </c>
      <c r="R67" s="3">
        <v>0</v>
      </c>
      <c r="S67" s="3">
        <v>-759.9594425319417</v>
      </c>
      <c r="T67" s="3">
        <v>8.8005335387680919E-2</v>
      </c>
      <c r="U67" s="3">
        <v>-199.98932698208992</v>
      </c>
      <c r="V67" s="3">
        <v>2.3159298786231821E-2</v>
      </c>
      <c r="W67" s="4">
        <v>-2.0331737923375934</v>
      </c>
      <c r="X67" s="4">
        <v>9.9224749385194363E-2</v>
      </c>
      <c r="Y67" s="4">
        <v>-1.9033105929985779</v>
      </c>
      <c r="Z67" s="4">
        <v>9.9221995578435598E-2</v>
      </c>
      <c r="AA67" s="4">
        <v>-8.6245569128262041</v>
      </c>
      <c r="AB67" s="4">
        <v>9.9240668233103624E-2</v>
      </c>
      <c r="AC67" s="3">
        <v>50</v>
      </c>
      <c r="AD67" s="3">
        <v>0</v>
      </c>
      <c r="AE67" s="3">
        <v>50.000228480288854</v>
      </c>
      <c r="AF67" s="3">
        <v>1.3807028112508911E-2</v>
      </c>
      <c r="AG67" s="3">
        <v>80</v>
      </c>
      <c r="AH67" s="3">
        <v>0</v>
      </c>
      <c r="AI67" s="3">
        <v>80.00086911695486</v>
      </c>
      <c r="AJ67" s="3">
        <v>2.8515020713823856E-2</v>
      </c>
      <c r="AK67" s="3">
        <v>133.23685298930243</v>
      </c>
      <c r="AL67" s="3">
        <v>2.8806435141612989</v>
      </c>
      <c r="AM67" s="3">
        <v>1.0291718218199999</v>
      </c>
      <c r="AN67" s="3">
        <v>137.12361472456388</v>
      </c>
      <c r="AO67" s="3">
        <v>4.0329236731268017</v>
      </c>
      <c r="AP67" s="3">
        <v>-5.9889561915809741</v>
      </c>
      <c r="AQ67" s="3">
        <v>10.668916175638772</v>
      </c>
      <c r="AR67" s="3">
        <v>0.77829999999999999</v>
      </c>
      <c r="AS67" s="3">
        <v>2.6381999999999999</v>
      </c>
      <c r="AT67" s="3">
        <v>20.586026959387141</v>
      </c>
      <c r="AU67" s="3">
        <v>4.2512117744058813</v>
      </c>
      <c r="AV67" s="3">
        <v>69.780362744770841</v>
      </c>
      <c r="AW67" s="3">
        <v>4.2512117744058813</v>
      </c>
      <c r="AX67" s="3">
        <v>13.224994834502857</v>
      </c>
      <c r="AY67">
        <v>95.256155732752021</v>
      </c>
      <c r="AZ67">
        <v>4.2012048250402581</v>
      </c>
      <c r="BB67" s="4">
        <f t="shared" si="11"/>
        <v>-1.9033105929985779</v>
      </c>
      <c r="BC67" s="1">
        <f t="shared" si="12"/>
        <v>9.9221995578435598E-2</v>
      </c>
    </row>
    <row r="68" spans="1:55" x14ac:dyDescent="0.25">
      <c r="A68" t="s">
        <v>161</v>
      </c>
      <c r="B68" t="s">
        <v>136</v>
      </c>
      <c r="C68" s="3">
        <v>4815.0954371167372</v>
      </c>
      <c r="D68" s="3">
        <f t="shared" si="10"/>
        <v>4810.0954371167372</v>
      </c>
      <c r="E68" s="3">
        <v>20</v>
      </c>
      <c r="F68" s="3">
        <v>0</v>
      </c>
      <c r="G68" s="3">
        <v>238.00939324291789</v>
      </c>
      <c r="H68" s="3">
        <v>10.426131167333486</v>
      </c>
      <c r="I68" s="3">
        <v>238.00939324291789</v>
      </c>
      <c r="J68" s="3">
        <v>10.426131167333486</v>
      </c>
      <c r="K68" s="3">
        <v>194.25234607072582</v>
      </c>
      <c r="L68" s="3">
        <v>6.5420603439148017</v>
      </c>
      <c r="M68" s="3">
        <v>461.78573292479774</v>
      </c>
      <c r="N68" s="3">
        <v>2.1401534470837391</v>
      </c>
      <c r="O68" s="3">
        <v>19.207756232686979</v>
      </c>
      <c r="P68" s="3">
        <v>0.40626442725997985</v>
      </c>
      <c r="Q68" s="3">
        <v>83</v>
      </c>
      <c r="R68" s="3">
        <v>0</v>
      </c>
      <c r="S68" s="3">
        <v>-759.9647168240017</v>
      </c>
      <c r="T68" s="3">
        <v>8.8849709498167992E-2</v>
      </c>
      <c r="U68" s="3">
        <v>-199.99071495368466</v>
      </c>
      <c r="V68" s="3">
        <v>2.3381502499517894E-2</v>
      </c>
      <c r="W68" s="4">
        <v>-2.0274683509161604</v>
      </c>
      <c r="X68" s="4">
        <v>9.6853573819802308E-2</v>
      </c>
      <c r="Y68" s="4">
        <v>-1.8976042502968871</v>
      </c>
      <c r="Z68" s="4">
        <v>9.685219472172174E-2</v>
      </c>
      <c r="AA68" s="4">
        <v>-8.6301687951138337</v>
      </c>
      <c r="AB68" s="4">
        <v>0.10164150149281596</v>
      </c>
      <c r="AC68" s="3">
        <v>50</v>
      </c>
      <c r="AD68" s="3">
        <v>0</v>
      </c>
      <c r="AE68" s="3">
        <v>50.000114895300193</v>
      </c>
      <c r="AF68" s="3">
        <v>1.2071449272624392E-2</v>
      </c>
      <c r="AG68" s="3">
        <v>80</v>
      </c>
      <c r="AH68" s="3">
        <v>0</v>
      </c>
      <c r="AI68" s="3">
        <v>79.998914787313609</v>
      </c>
      <c r="AJ68" s="3">
        <v>2.7392728613131894E-2</v>
      </c>
      <c r="AK68" s="3">
        <v>134.44184934663642</v>
      </c>
      <c r="AL68" s="3">
        <v>2.8879894678809643</v>
      </c>
      <c r="AM68" s="3">
        <v>1.0292152774279999</v>
      </c>
      <c r="AN68" s="3">
        <v>138.36960527323177</v>
      </c>
      <c r="AO68" s="3">
        <v>4.0562257071972549</v>
      </c>
      <c r="AP68" s="3">
        <v>-1.0952032472403284</v>
      </c>
      <c r="AQ68" s="3">
        <v>9.8265133273563503</v>
      </c>
      <c r="AR68" s="3">
        <v>0.75775000000000003</v>
      </c>
      <c r="AS68" s="3">
        <v>2.6819000000000002</v>
      </c>
      <c r="AT68" s="3">
        <v>19.661786682494988</v>
      </c>
      <c r="AU68" s="3">
        <v>3.8050303568944099</v>
      </c>
      <c r="AV68" s="3">
        <v>69.58884289512811</v>
      </c>
      <c r="AW68" s="3">
        <v>3.8050303568944095</v>
      </c>
      <c r="AX68" s="3">
        <v>12.973795237542058</v>
      </c>
      <c r="AY68">
        <v>95.755287974138639</v>
      </c>
      <c r="AZ68">
        <v>4.194459804401272</v>
      </c>
      <c r="BB68" s="4">
        <f t="shared" si="11"/>
        <v>-1.8976042502968871</v>
      </c>
      <c r="BC68" s="1">
        <f t="shared" si="12"/>
        <v>9.685219472172174E-2</v>
      </c>
    </row>
    <row r="69" spans="1:55" x14ac:dyDescent="0.25">
      <c r="A69" t="s">
        <v>162</v>
      </c>
      <c r="B69" t="s">
        <v>137</v>
      </c>
      <c r="C69" s="3">
        <v>5032.0968257319091</v>
      </c>
      <c r="D69" s="3">
        <f t="shared" si="10"/>
        <v>5027.0968257319091</v>
      </c>
      <c r="E69" s="3">
        <v>20</v>
      </c>
      <c r="F69" s="3">
        <v>0</v>
      </c>
      <c r="G69" s="3">
        <v>237.67801021671031</v>
      </c>
      <c r="H69" s="3">
        <v>7.9592125881450571</v>
      </c>
      <c r="I69" s="3">
        <v>237.67801021671031</v>
      </c>
      <c r="J69" s="3">
        <v>7.9592125881450571</v>
      </c>
      <c r="K69" s="3">
        <v>194.41790481486581</v>
      </c>
      <c r="L69" s="3">
        <v>4.0846571031572347</v>
      </c>
      <c r="M69" s="3">
        <v>461.65579287844116</v>
      </c>
      <c r="N69" s="3">
        <v>2.0817883599037139</v>
      </c>
      <c r="O69" s="3">
        <v>19.653739612188367</v>
      </c>
      <c r="P69" s="3">
        <v>0.47643774084211654</v>
      </c>
      <c r="Q69" s="3">
        <v>83</v>
      </c>
      <c r="R69" s="3">
        <v>0</v>
      </c>
      <c r="S69" s="3">
        <v>-759.96973847863785</v>
      </c>
      <c r="T69" s="3">
        <v>8.9914057186212398E-2</v>
      </c>
      <c r="U69" s="3">
        <v>-199.99203644174682</v>
      </c>
      <c r="V69" s="3">
        <v>2.3661593996371685E-2</v>
      </c>
      <c r="W69" s="4">
        <v>-2.0234826485285962</v>
      </c>
      <c r="X69" s="4">
        <v>9.5046677188592457E-2</v>
      </c>
      <c r="Y69" s="4">
        <v>-1.8936176898001951</v>
      </c>
      <c r="Z69" s="4">
        <v>9.5046697292566276E-2</v>
      </c>
      <c r="AA69" s="4">
        <v>-8.6365252637423779</v>
      </c>
      <c r="AB69" s="4">
        <v>0.10322674906486143</v>
      </c>
      <c r="AC69" s="3">
        <v>50</v>
      </c>
      <c r="AD69" s="3">
        <v>0</v>
      </c>
      <c r="AE69" s="3">
        <v>49.999465118154596</v>
      </c>
      <c r="AF69" s="3">
        <v>1.3090975766035691E-2</v>
      </c>
      <c r="AG69" s="3">
        <v>80</v>
      </c>
      <c r="AH69" s="3">
        <v>0</v>
      </c>
      <c r="AI69" s="3">
        <v>79.997705454311216</v>
      </c>
      <c r="AJ69" s="3">
        <v>3.1572510812923359E-2</v>
      </c>
      <c r="AK69" s="3">
        <v>133.2911054447417</v>
      </c>
      <c r="AL69" s="3">
        <v>1.8386777826426137</v>
      </c>
      <c r="AM69" s="3">
        <v>1.0282688092000001</v>
      </c>
      <c r="AN69" s="3">
        <v>137.05908627261618</v>
      </c>
      <c r="AO69" s="3">
        <v>3.3653597079555042</v>
      </c>
      <c r="AP69" s="3">
        <v>-4.248343151476619</v>
      </c>
      <c r="AQ69" s="3">
        <v>10.286572258554076</v>
      </c>
      <c r="AR69" s="3">
        <v>0.75936000000000003</v>
      </c>
      <c r="AS69" s="3">
        <v>3.1267</v>
      </c>
      <c r="AT69" s="3">
        <v>19.949923256832101</v>
      </c>
      <c r="AU69" s="3">
        <v>4.0578970130261487</v>
      </c>
      <c r="AV69" s="3">
        <v>82.144733785209823</v>
      </c>
      <c r="AW69" s="3">
        <v>4.0578970130261487</v>
      </c>
      <c r="AX69" s="3">
        <v>13.13601141542358</v>
      </c>
      <c r="AY69" t="s">
        <v>144</v>
      </c>
      <c r="BB69" s="4">
        <f t="shared" si="11"/>
        <v>-1.8936176898001951</v>
      </c>
      <c r="BC69" s="1">
        <f t="shared" si="12"/>
        <v>9.5046697292566276E-2</v>
      </c>
    </row>
  </sheetData>
  <pageMargins left="0.7" right="0.7" top="0.75" bottom="0.75" header="0.3" footer="0.3"/>
  <pageSetup paperSize="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4:S59"/>
  <sheetViews>
    <sheetView topLeftCell="A46" zoomScale="130" zoomScaleNormal="130" workbookViewId="0">
      <selection activeCell="B15" sqref="B15"/>
    </sheetView>
  </sheetViews>
  <sheetFormatPr defaultRowHeight="15" x14ac:dyDescent="0.25"/>
  <cols>
    <col min="9" max="9" width="18.5703125" customWidth="1"/>
  </cols>
  <sheetData>
    <row r="4" spans="1:19" x14ac:dyDescent="0.25">
      <c r="K4" t="s">
        <v>246</v>
      </c>
    </row>
    <row r="5" spans="1:19" x14ac:dyDescent="0.25">
      <c r="K5" t="s">
        <v>176</v>
      </c>
    </row>
    <row r="6" spans="1:19" x14ac:dyDescent="0.25">
      <c r="K6" s="14" t="s">
        <v>231</v>
      </c>
    </row>
    <row r="8" spans="1:19" x14ac:dyDescent="0.25">
      <c r="K8" t="s">
        <v>261</v>
      </c>
    </row>
    <row r="9" spans="1:19" x14ac:dyDescent="0.25">
      <c r="K9" s="14" t="s">
        <v>262</v>
      </c>
    </row>
    <row r="12" spans="1:19" x14ac:dyDescent="0.25">
      <c r="A12" t="s">
        <v>249</v>
      </c>
      <c r="J12" t="s">
        <v>263</v>
      </c>
    </row>
    <row r="13" spans="1:19" x14ac:dyDescent="0.25">
      <c r="A13" t="s">
        <v>250</v>
      </c>
      <c r="J13" t="s">
        <v>264</v>
      </c>
    </row>
    <row r="14" spans="1:19" x14ac:dyDescent="0.25">
      <c r="A14" t="s">
        <v>251</v>
      </c>
      <c r="B14" t="s">
        <v>252</v>
      </c>
      <c r="C14" t="s">
        <v>253</v>
      </c>
      <c r="D14" t="s">
        <v>254</v>
      </c>
      <c r="E14" t="s">
        <v>255</v>
      </c>
      <c r="F14" t="s">
        <v>253</v>
      </c>
      <c r="G14" t="s">
        <v>254</v>
      </c>
      <c r="H14" t="s">
        <v>255</v>
      </c>
      <c r="J14" t="s">
        <v>251</v>
      </c>
      <c r="K14" t="s">
        <v>252</v>
      </c>
      <c r="L14" t="s">
        <v>253</v>
      </c>
      <c r="M14" t="s">
        <v>254</v>
      </c>
      <c r="N14" t="s">
        <v>255</v>
      </c>
      <c r="O14" t="s">
        <v>253</v>
      </c>
      <c r="P14" t="s">
        <v>254</v>
      </c>
      <c r="Q14" t="s">
        <v>255</v>
      </c>
    </row>
    <row r="15" spans="1:19" x14ac:dyDescent="0.25">
      <c r="C15" t="s">
        <v>259</v>
      </c>
      <c r="D15" t="s">
        <v>259</v>
      </c>
      <c r="E15" t="s">
        <v>259</v>
      </c>
      <c r="F15" t="s">
        <v>260</v>
      </c>
      <c r="G15" t="s">
        <v>260</v>
      </c>
      <c r="H15" t="s">
        <v>260</v>
      </c>
      <c r="L15" t="s">
        <v>259</v>
      </c>
      <c r="M15" t="s">
        <v>259</v>
      </c>
      <c r="N15" t="s">
        <v>259</v>
      </c>
      <c r="O15" t="s">
        <v>260</v>
      </c>
      <c r="P15" t="s">
        <v>260</v>
      </c>
      <c r="Q15" t="s">
        <v>260</v>
      </c>
    </row>
    <row r="16" spans="1:19" x14ac:dyDescent="0.25">
      <c r="A16" s="1">
        <f>B16/100</f>
        <v>0</v>
      </c>
      <c r="B16">
        <v>0</v>
      </c>
      <c r="C16">
        <v>3.0759999999999999E-2</v>
      </c>
      <c r="D16">
        <v>0.62590000000000001</v>
      </c>
      <c r="E16">
        <v>0.34333999999999998</v>
      </c>
      <c r="F16">
        <v>0.1002</v>
      </c>
      <c r="G16">
        <v>0.47994999999999999</v>
      </c>
      <c r="H16">
        <v>0.41983999999999999</v>
      </c>
      <c r="J16" s="1">
        <f>K16/100</f>
        <v>0</v>
      </c>
      <c r="K16">
        <v>0</v>
      </c>
      <c r="L16">
        <v>0.34666000000000002</v>
      </c>
      <c r="M16">
        <v>1</v>
      </c>
      <c r="N16">
        <v>1</v>
      </c>
      <c r="O16">
        <v>0.51395000000000002</v>
      </c>
      <c r="P16">
        <v>1</v>
      </c>
      <c r="Q16">
        <v>1</v>
      </c>
      <c r="S16" s="1"/>
    </row>
    <row r="17" spans="1:19" x14ac:dyDescent="0.25">
      <c r="A17" s="1">
        <f t="shared" ref="A17:A35" si="0">B17/100</f>
        <v>0.1</v>
      </c>
      <c r="B17">
        <v>10</v>
      </c>
      <c r="C17">
        <v>4.0280000000000003E-2</v>
      </c>
      <c r="D17">
        <v>0.62587999999999999</v>
      </c>
      <c r="E17">
        <v>0.33384000000000003</v>
      </c>
      <c r="F17">
        <v>0.14210999999999999</v>
      </c>
      <c r="G17">
        <v>0.47666999999999998</v>
      </c>
      <c r="H17">
        <v>0.38122</v>
      </c>
      <c r="J17" s="1">
        <f t="shared" ref="J17:J35" si="1">K17/100</f>
        <v>0.1</v>
      </c>
      <c r="K17">
        <v>10</v>
      </c>
      <c r="L17">
        <v>0.44361</v>
      </c>
      <c r="M17">
        <v>0.97724</v>
      </c>
      <c r="N17">
        <v>0.95021999999999995</v>
      </c>
      <c r="O17">
        <v>0.71521999999999997</v>
      </c>
      <c r="P17">
        <v>0.97453999999999996</v>
      </c>
      <c r="Q17">
        <v>0.89097999999999999</v>
      </c>
      <c r="S17" s="1"/>
    </row>
    <row r="18" spans="1:19" x14ac:dyDescent="0.25">
      <c r="A18" s="1">
        <f t="shared" si="0"/>
        <v>0.2</v>
      </c>
      <c r="B18">
        <v>20</v>
      </c>
      <c r="C18">
        <v>4.7739999999999998E-2</v>
      </c>
      <c r="D18">
        <v>0.61172000000000004</v>
      </c>
      <c r="E18">
        <v>0.34054000000000001</v>
      </c>
      <c r="F18">
        <v>0.15570999999999999</v>
      </c>
      <c r="G18">
        <v>0.47373999999999999</v>
      </c>
      <c r="H18">
        <v>0.37053999999999998</v>
      </c>
      <c r="J18" s="1">
        <f t="shared" si="1"/>
        <v>0.2</v>
      </c>
      <c r="K18">
        <v>20</v>
      </c>
      <c r="L18">
        <v>0.51549</v>
      </c>
      <c r="M18">
        <v>0.9365</v>
      </c>
      <c r="N18">
        <v>0.95040000000000002</v>
      </c>
      <c r="O18">
        <v>0.77498</v>
      </c>
      <c r="P18">
        <v>0.95781000000000005</v>
      </c>
      <c r="Q18">
        <v>0.85641999999999996</v>
      </c>
      <c r="S18" s="1"/>
    </row>
    <row r="19" spans="1:19" x14ac:dyDescent="0.25">
      <c r="A19" s="1">
        <f t="shared" si="0"/>
        <v>0.3</v>
      </c>
      <c r="B19">
        <v>30</v>
      </c>
      <c r="C19">
        <v>5.2609999999999997E-2</v>
      </c>
      <c r="D19">
        <v>0.60565999999999998</v>
      </c>
      <c r="E19">
        <v>0.34172999999999998</v>
      </c>
      <c r="F19">
        <v>0.16161</v>
      </c>
      <c r="G19">
        <v>0.45754</v>
      </c>
      <c r="H19">
        <v>0.38085000000000002</v>
      </c>
      <c r="J19" s="1">
        <f t="shared" si="1"/>
        <v>0.3</v>
      </c>
      <c r="K19">
        <v>30</v>
      </c>
      <c r="L19">
        <v>0.55513999999999997</v>
      </c>
      <c r="M19">
        <v>0.90615000000000001</v>
      </c>
      <c r="N19">
        <v>0.93203999999999998</v>
      </c>
      <c r="O19">
        <v>0.81362999999999996</v>
      </c>
      <c r="P19">
        <v>0.93577999999999995</v>
      </c>
      <c r="Q19">
        <v>0.89044000000000001</v>
      </c>
      <c r="S19" s="1"/>
    </row>
    <row r="20" spans="1:19" x14ac:dyDescent="0.25">
      <c r="A20" s="1">
        <f t="shared" si="0"/>
        <v>0.4</v>
      </c>
      <c r="B20">
        <v>40</v>
      </c>
      <c r="C20">
        <v>5.8000000000000003E-2</v>
      </c>
      <c r="D20">
        <v>0.60838999999999999</v>
      </c>
      <c r="E20">
        <v>0.33361000000000002</v>
      </c>
      <c r="F20">
        <v>0.16961999999999999</v>
      </c>
      <c r="G20">
        <v>0.46299000000000001</v>
      </c>
      <c r="H20">
        <v>0.36738999999999999</v>
      </c>
      <c r="J20" s="1">
        <f t="shared" si="1"/>
        <v>0.4</v>
      </c>
      <c r="K20">
        <v>40</v>
      </c>
      <c r="L20">
        <v>0.59718000000000004</v>
      </c>
      <c r="M20">
        <v>0.8881</v>
      </c>
      <c r="N20">
        <v>0.88778000000000001</v>
      </c>
      <c r="O20">
        <v>0.83150000000000002</v>
      </c>
      <c r="P20">
        <v>0.92198000000000002</v>
      </c>
      <c r="Q20">
        <v>0.83635000000000004</v>
      </c>
      <c r="S20" s="1"/>
    </row>
    <row r="21" spans="1:19" x14ac:dyDescent="0.25">
      <c r="A21" s="1">
        <f t="shared" si="0"/>
        <v>0.5</v>
      </c>
      <c r="B21">
        <v>50</v>
      </c>
      <c r="C21">
        <v>6.2649999999999997E-2</v>
      </c>
      <c r="D21">
        <v>0.59689000000000003</v>
      </c>
      <c r="E21">
        <v>0.34045999999999998</v>
      </c>
      <c r="F21">
        <v>0.17669000000000001</v>
      </c>
      <c r="G21">
        <v>0.45149</v>
      </c>
      <c r="H21">
        <v>0.37181999999999998</v>
      </c>
      <c r="J21" s="1">
        <f t="shared" si="1"/>
        <v>0.5</v>
      </c>
      <c r="K21">
        <v>50</v>
      </c>
      <c r="L21">
        <v>0.64705999999999997</v>
      </c>
      <c r="M21">
        <v>0.87407999999999997</v>
      </c>
      <c r="N21">
        <v>0.90888999999999998</v>
      </c>
      <c r="O21">
        <v>0.85297999999999996</v>
      </c>
      <c r="P21">
        <v>0.88543000000000005</v>
      </c>
      <c r="Q21">
        <v>0.83360000000000001</v>
      </c>
      <c r="S21" s="1"/>
    </row>
    <row r="22" spans="1:19" x14ac:dyDescent="0.25">
      <c r="A22" s="1">
        <f t="shared" si="0"/>
        <v>0.6</v>
      </c>
      <c r="B22">
        <v>60</v>
      </c>
      <c r="C22">
        <v>6.8390000000000006E-2</v>
      </c>
      <c r="D22">
        <v>0.58855000000000002</v>
      </c>
      <c r="E22">
        <v>0.34305999999999998</v>
      </c>
      <c r="F22">
        <v>0.17721000000000001</v>
      </c>
      <c r="G22">
        <v>0.44750000000000001</v>
      </c>
      <c r="H22">
        <v>0.37530000000000002</v>
      </c>
      <c r="J22" s="1">
        <f t="shared" si="1"/>
        <v>0.6</v>
      </c>
      <c r="K22">
        <v>60</v>
      </c>
      <c r="L22">
        <v>0.70357000000000003</v>
      </c>
      <c r="M22">
        <v>0.85841999999999996</v>
      </c>
      <c r="N22">
        <v>0.91215999999999997</v>
      </c>
      <c r="O22">
        <v>0.86880999999999997</v>
      </c>
      <c r="P22">
        <v>0.89127000000000001</v>
      </c>
      <c r="Q22">
        <v>0.85448999999999997</v>
      </c>
      <c r="S22" s="1"/>
    </row>
    <row r="23" spans="1:19" x14ac:dyDescent="0.25">
      <c r="A23" s="1">
        <f t="shared" si="0"/>
        <v>0.7</v>
      </c>
      <c r="B23">
        <v>70</v>
      </c>
      <c r="C23">
        <v>7.288E-2</v>
      </c>
      <c r="D23">
        <v>0.58845999999999998</v>
      </c>
      <c r="E23">
        <v>0.33866000000000002</v>
      </c>
      <c r="F23">
        <v>0.17860999999999999</v>
      </c>
      <c r="G23">
        <v>0.44188</v>
      </c>
      <c r="H23">
        <v>0.37951000000000001</v>
      </c>
      <c r="J23" s="1">
        <f t="shared" si="1"/>
        <v>0.7</v>
      </c>
      <c r="K23">
        <v>70</v>
      </c>
      <c r="L23">
        <v>0.73512</v>
      </c>
      <c r="M23">
        <v>0.84152000000000005</v>
      </c>
      <c r="N23">
        <v>0.88287000000000004</v>
      </c>
      <c r="O23">
        <v>0.87526999999999999</v>
      </c>
      <c r="P23">
        <v>0.87966</v>
      </c>
      <c r="Q23">
        <v>0.86368</v>
      </c>
      <c r="S23" s="1"/>
    </row>
    <row r="24" spans="1:19" x14ac:dyDescent="0.25">
      <c r="A24" s="1">
        <f t="shared" si="0"/>
        <v>0.80001</v>
      </c>
      <c r="B24">
        <v>80.001000000000005</v>
      </c>
      <c r="C24">
        <v>7.8E-2</v>
      </c>
      <c r="D24">
        <v>0.58770999999999995</v>
      </c>
      <c r="E24">
        <v>0.33428999999999998</v>
      </c>
      <c r="F24">
        <v>0.18762000000000001</v>
      </c>
      <c r="G24">
        <v>0.44875999999999999</v>
      </c>
      <c r="H24">
        <v>0.36363000000000001</v>
      </c>
      <c r="J24" s="1">
        <f t="shared" si="1"/>
        <v>0.80001</v>
      </c>
      <c r="K24">
        <v>80.001000000000005</v>
      </c>
      <c r="L24">
        <v>0.76651000000000002</v>
      </c>
      <c r="M24">
        <v>0.81886999999999999</v>
      </c>
      <c r="N24">
        <v>0.84911999999999999</v>
      </c>
      <c r="O24">
        <v>0.89409000000000005</v>
      </c>
      <c r="P24">
        <v>0.86875000000000002</v>
      </c>
      <c r="Q24">
        <v>0.80472999999999995</v>
      </c>
      <c r="S24" s="1"/>
    </row>
    <row r="25" spans="1:19" x14ac:dyDescent="0.25">
      <c r="A25" s="1">
        <f t="shared" si="0"/>
        <v>0.90001000000000009</v>
      </c>
      <c r="B25">
        <v>90.001000000000005</v>
      </c>
      <c r="C25">
        <v>8.0869999999999997E-2</v>
      </c>
      <c r="D25">
        <v>0.57630000000000003</v>
      </c>
      <c r="E25">
        <v>0.34283999999999998</v>
      </c>
      <c r="F25">
        <v>0.19338</v>
      </c>
      <c r="G25">
        <v>0.43658999999999998</v>
      </c>
      <c r="H25">
        <v>0.37002000000000002</v>
      </c>
      <c r="J25" s="1">
        <f t="shared" si="1"/>
        <v>0.90001000000000009</v>
      </c>
      <c r="K25">
        <v>90.001000000000005</v>
      </c>
      <c r="L25">
        <v>0.79773000000000005</v>
      </c>
      <c r="M25">
        <v>0.80606</v>
      </c>
      <c r="N25">
        <v>0.87416000000000005</v>
      </c>
      <c r="O25">
        <v>0.92091000000000001</v>
      </c>
      <c r="P25">
        <v>0.84460000000000002</v>
      </c>
      <c r="Q25">
        <v>0.81830000000000003</v>
      </c>
      <c r="S25" s="1"/>
    </row>
    <row r="26" spans="1:19" x14ac:dyDescent="0.25">
      <c r="A26" s="1">
        <f t="shared" si="0"/>
        <v>1.0000599999999999</v>
      </c>
      <c r="B26">
        <v>100.006</v>
      </c>
      <c r="C26">
        <v>8.3000000000000004E-2</v>
      </c>
      <c r="D26">
        <v>0.57145000000000001</v>
      </c>
      <c r="E26">
        <v>0.34555000000000002</v>
      </c>
      <c r="F26">
        <v>0.19003</v>
      </c>
      <c r="G26">
        <v>0.42127999999999999</v>
      </c>
      <c r="H26">
        <v>0.38868000000000003</v>
      </c>
      <c r="J26" s="1">
        <f t="shared" si="1"/>
        <v>1.0000599999999999</v>
      </c>
      <c r="K26">
        <v>100.006</v>
      </c>
      <c r="L26">
        <v>0.81711</v>
      </c>
      <c r="M26">
        <v>0.79764999999999997</v>
      </c>
      <c r="N26">
        <v>0.87929000000000002</v>
      </c>
      <c r="O26">
        <v>0.91893000000000002</v>
      </c>
      <c r="P26">
        <v>0.82755999999999996</v>
      </c>
      <c r="Q26">
        <v>0.87283999999999995</v>
      </c>
      <c r="S26" s="1"/>
    </row>
    <row r="27" spans="1:19" x14ac:dyDescent="0.25">
      <c r="A27" s="1">
        <f t="shared" si="0"/>
        <v>1.10006</v>
      </c>
      <c r="B27">
        <v>110.006</v>
      </c>
      <c r="C27">
        <v>8.7330000000000005E-2</v>
      </c>
      <c r="D27">
        <v>0.56618999999999997</v>
      </c>
      <c r="E27">
        <v>0.34647</v>
      </c>
      <c r="F27">
        <v>0.19495000000000001</v>
      </c>
      <c r="G27">
        <v>0.42786000000000002</v>
      </c>
      <c r="H27">
        <v>0.37719999999999998</v>
      </c>
      <c r="J27" s="1">
        <f t="shared" si="1"/>
        <v>1.10006</v>
      </c>
      <c r="K27">
        <v>110.006</v>
      </c>
      <c r="L27">
        <v>0.83967999999999998</v>
      </c>
      <c r="M27">
        <v>0.77183000000000002</v>
      </c>
      <c r="N27">
        <v>0.86101000000000005</v>
      </c>
      <c r="O27">
        <v>0.92308999999999997</v>
      </c>
      <c r="P27">
        <v>0.82301000000000002</v>
      </c>
      <c r="Q27">
        <v>0.82943999999999996</v>
      </c>
      <c r="S27" s="1"/>
    </row>
    <row r="28" spans="1:19" x14ac:dyDescent="0.25">
      <c r="A28" s="1">
        <f t="shared" si="0"/>
        <v>1.2000599999999999</v>
      </c>
      <c r="B28">
        <v>120.006</v>
      </c>
      <c r="C28">
        <v>8.8969999999999994E-2</v>
      </c>
      <c r="D28">
        <v>0.57203000000000004</v>
      </c>
      <c r="E28">
        <v>0.33900999999999998</v>
      </c>
      <c r="F28">
        <v>0.19846</v>
      </c>
      <c r="G28">
        <v>0.42713000000000001</v>
      </c>
      <c r="H28">
        <v>0.37441000000000002</v>
      </c>
      <c r="J28" s="1">
        <f t="shared" si="1"/>
        <v>1.2000599999999999</v>
      </c>
      <c r="K28">
        <v>120.006</v>
      </c>
      <c r="L28">
        <v>0.86473999999999995</v>
      </c>
      <c r="M28">
        <v>0.78832999999999998</v>
      </c>
      <c r="N28">
        <v>0.85170000000000001</v>
      </c>
      <c r="O28">
        <v>0.94157000000000002</v>
      </c>
      <c r="P28">
        <v>0.82320000000000004</v>
      </c>
      <c r="Q28">
        <v>0.82491000000000003</v>
      </c>
      <c r="S28" s="1"/>
    </row>
    <row r="29" spans="1:19" x14ac:dyDescent="0.25">
      <c r="A29" s="1">
        <f t="shared" si="0"/>
        <v>1.30006</v>
      </c>
      <c r="B29">
        <v>130.006</v>
      </c>
      <c r="C29">
        <v>9.1899999999999996E-2</v>
      </c>
      <c r="D29">
        <v>0.56927000000000005</v>
      </c>
      <c r="E29">
        <v>0.33883000000000002</v>
      </c>
      <c r="F29">
        <v>0.19914000000000001</v>
      </c>
      <c r="G29">
        <v>0.4244</v>
      </c>
      <c r="H29">
        <v>0.37646000000000002</v>
      </c>
      <c r="J29" s="1">
        <f t="shared" si="1"/>
        <v>1.30006</v>
      </c>
      <c r="K29">
        <v>130.006</v>
      </c>
      <c r="L29">
        <v>0.88614000000000004</v>
      </c>
      <c r="M29">
        <v>0.77827999999999997</v>
      </c>
      <c r="N29">
        <v>0.84445000000000003</v>
      </c>
      <c r="O29">
        <v>0.94872000000000001</v>
      </c>
      <c r="P29">
        <v>0.82135000000000002</v>
      </c>
      <c r="Q29">
        <v>0.83289000000000002</v>
      </c>
      <c r="S29" s="1"/>
    </row>
    <row r="30" spans="1:19" x14ac:dyDescent="0.25">
      <c r="A30" s="1">
        <f t="shared" si="0"/>
        <v>1.4000600000000001</v>
      </c>
      <c r="B30">
        <v>140.006</v>
      </c>
      <c r="C30">
        <v>9.5759999999999998E-2</v>
      </c>
      <c r="D30">
        <v>0.56003999999999998</v>
      </c>
      <c r="E30">
        <v>0.34421000000000002</v>
      </c>
      <c r="F30">
        <v>0.19982</v>
      </c>
      <c r="G30">
        <v>0.41899999999999998</v>
      </c>
      <c r="H30">
        <v>0.38118000000000002</v>
      </c>
      <c r="J30" s="1">
        <f t="shared" si="1"/>
        <v>1.4000600000000001</v>
      </c>
      <c r="K30">
        <v>140.006</v>
      </c>
      <c r="L30">
        <v>0.91242999999999996</v>
      </c>
      <c r="M30">
        <v>0.75661</v>
      </c>
      <c r="N30">
        <v>0.84772999999999998</v>
      </c>
      <c r="O30">
        <v>0.95774000000000004</v>
      </c>
      <c r="P30">
        <v>0.81581000000000004</v>
      </c>
      <c r="Q30">
        <v>0.84843000000000002</v>
      </c>
      <c r="S30" s="1"/>
    </row>
    <row r="31" spans="1:19" x14ac:dyDescent="0.25">
      <c r="A31" s="1">
        <f t="shared" si="0"/>
        <v>1.5000899999999999</v>
      </c>
      <c r="B31">
        <v>150.00899999999999</v>
      </c>
      <c r="C31">
        <v>9.7019999999999995E-2</v>
      </c>
      <c r="D31">
        <v>0.55805000000000005</v>
      </c>
      <c r="E31">
        <v>0.34493000000000001</v>
      </c>
      <c r="F31">
        <v>0.20655000000000001</v>
      </c>
      <c r="G31">
        <v>0.41610000000000003</v>
      </c>
      <c r="H31">
        <v>0.37735000000000002</v>
      </c>
      <c r="J31" s="1">
        <f t="shared" si="1"/>
        <v>1.5000899999999999</v>
      </c>
      <c r="K31">
        <v>150.00899999999999</v>
      </c>
      <c r="L31">
        <v>0.91968000000000005</v>
      </c>
      <c r="M31">
        <v>0.75004999999999999</v>
      </c>
      <c r="N31">
        <v>0.84514999999999996</v>
      </c>
      <c r="O31">
        <v>0.97053999999999996</v>
      </c>
      <c r="P31">
        <v>0.79427999999999999</v>
      </c>
      <c r="Q31">
        <v>0.82343</v>
      </c>
      <c r="S31" s="1"/>
    </row>
    <row r="32" spans="1:19" x14ac:dyDescent="0.25">
      <c r="A32" s="1">
        <f t="shared" si="0"/>
        <v>1.6000899999999998</v>
      </c>
      <c r="B32">
        <v>160.00899999999999</v>
      </c>
      <c r="C32">
        <v>0.10116</v>
      </c>
      <c r="D32">
        <v>0.55527000000000004</v>
      </c>
      <c r="E32">
        <v>0.34356999999999999</v>
      </c>
      <c r="F32">
        <v>0.20674000000000001</v>
      </c>
      <c r="G32">
        <v>0.41388000000000003</v>
      </c>
      <c r="H32">
        <v>0.37936999999999999</v>
      </c>
      <c r="J32" s="1">
        <f t="shared" si="1"/>
        <v>1.6000899999999998</v>
      </c>
      <c r="K32">
        <v>160.00899999999999</v>
      </c>
      <c r="L32">
        <v>0.93535999999999997</v>
      </c>
      <c r="M32">
        <v>0.72794999999999999</v>
      </c>
      <c r="N32">
        <v>0.82110000000000005</v>
      </c>
      <c r="O32">
        <v>0.96750000000000003</v>
      </c>
      <c r="P32">
        <v>0.78681999999999996</v>
      </c>
      <c r="Q32">
        <v>0.82447000000000004</v>
      </c>
      <c r="S32" s="1"/>
    </row>
    <row r="33" spans="1:19" x14ac:dyDescent="0.25">
      <c r="A33" s="1">
        <f t="shared" si="0"/>
        <v>1.7000899999999999</v>
      </c>
      <c r="B33">
        <v>170.00899999999999</v>
      </c>
      <c r="C33">
        <v>0.10401000000000001</v>
      </c>
      <c r="D33">
        <v>0.55810000000000004</v>
      </c>
      <c r="E33">
        <v>0.33789000000000002</v>
      </c>
      <c r="F33">
        <v>0.21015</v>
      </c>
      <c r="G33">
        <v>0.41991000000000001</v>
      </c>
      <c r="H33">
        <v>0.36993999999999999</v>
      </c>
      <c r="J33" s="1">
        <f t="shared" si="1"/>
        <v>1.7000899999999999</v>
      </c>
      <c r="K33">
        <v>170.00899999999999</v>
      </c>
      <c r="L33">
        <v>0.96040999999999999</v>
      </c>
      <c r="M33">
        <v>0.73070000000000002</v>
      </c>
      <c r="N33">
        <v>0.80647000000000002</v>
      </c>
      <c r="O33">
        <v>0.98465000000000003</v>
      </c>
      <c r="P33">
        <v>0.79925999999999997</v>
      </c>
      <c r="Q33">
        <v>0.80495000000000005</v>
      </c>
      <c r="S33" s="1"/>
    </row>
    <row r="34" spans="1:19" x14ac:dyDescent="0.25">
      <c r="A34" s="1">
        <f t="shared" si="0"/>
        <v>1.80009</v>
      </c>
      <c r="B34">
        <v>180.00899999999999</v>
      </c>
      <c r="C34">
        <v>0.10609</v>
      </c>
      <c r="D34">
        <v>0.55283000000000004</v>
      </c>
      <c r="E34">
        <v>0.34107999999999999</v>
      </c>
      <c r="F34">
        <v>0.21268999999999999</v>
      </c>
      <c r="G34">
        <v>0.41256999999999999</v>
      </c>
      <c r="H34">
        <v>0.37473000000000001</v>
      </c>
      <c r="J34" s="1">
        <f t="shared" si="1"/>
        <v>1.80009</v>
      </c>
      <c r="K34">
        <v>180.00899999999999</v>
      </c>
      <c r="L34">
        <v>0.98007999999999995</v>
      </c>
      <c r="M34">
        <v>0.72409999999999997</v>
      </c>
      <c r="N34">
        <v>0.81442000000000003</v>
      </c>
      <c r="O34">
        <v>0.99836000000000003</v>
      </c>
      <c r="P34">
        <v>0.78669999999999995</v>
      </c>
      <c r="Q34">
        <v>0.81684999999999997</v>
      </c>
      <c r="S34" s="1"/>
    </row>
    <row r="35" spans="1:19" x14ac:dyDescent="0.25">
      <c r="A35" s="1">
        <f t="shared" si="0"/>
        <v>1.9000899999999998</v>
      </c>
      <c r="B35">
        <v>190.00899999999999</v>
      </c>
      <c r="C35">
        <v>0.10804</v>
      </c>
      <c r="D35">
        <v>0.55010000000000003</v>
      </c>
      <c r="E35">
        <v>0.34186</v>
      </c>
      <c r="F35">
        <v>0.21539</v>
      </c>
      <c r="G35">
        <v>0.40864</v>
      </c>
      <c r="H35">
        <v>0.37597000000000003</v>
      </c>
      <c r="J35" s="1">
        <f t="shared" si="1"/>
        <v>1.9000899999999998</v>
      </c>
      <c r="K35">
        <v>190.00899999999999</v>
      </c>
      <c r="L35">
        <v>1</v>
      </c>
      <c r="M35">
        <v>0.72192000000000001</v>
      </c>
      <c r="N35">
        <v>0.81786000000000003</v>
      </c>
      <c r="O35">
        <v>1</v>
      </c>
      <c r="P35">
        <v>0.77070000000000005</v>
      </c>
      <c r="Q35">
        <v>0.81059999999999999</v>
      </c>
      <c r="S35" s="1"/>
    </row>
    <row r="37" spans="1:19" x14ac:dyDescent="0.25">
      <c r="A37" t="s">
        <v>258</v>
      </c>
    </row>
    <row r="38" spans="1:19" x14ac:dyDescent="0.25">
      <c r="A38" t="s">
        <v>251</v>
      </c>
      <c r="B38" t="s">
        <v>252</v>
      </c>
      <c r="C38" t="s">
        <v>253</v>
      </c>
      <c r="D38" t="s">
        <v>254</v>
      </c>
      <c r="E38" t="s">
        <v>255</v>
      </c>
      <c r="F38" t="s">
        <v>253</v>
      </c>
      <c r="G38" t="s">
        <v>254</v>
      </c>
      <c r="H38" t="s">
        <v>255</v>
      </c>
      <c r="J38" t="s">
        <v>265</v>
      </c>
      <c r="L38" t="s">
        <v>167</v>
      </c>
      <c r="M38" t="s">
        <v>169</v>
      </c>
      <c r="N38" t="s">
        <v>168</v>
      </c>
      <c r="O38" t="s">
        <v>167</v>
      </c>
      <c r="P38" t="s">
        <v>169</v>
      </c>
      <c r="Q38" t="s">
        <v>168</v>
      </c>
    </row>
    <row r="39" spans="1:19" x14ac:dyDescent="0.25">
      <c r="C39" t="s">
        <v>259</v>
      </c>
      <c r="D39" t="s">
        <v>259</v>
      </c>
      <c r="E39" t="s">
        <v>259</v>
      </c>
      <c r="F39" t="s">
        <v>260</v>
      </c>
      <c r="G39" t="s">
        <v>260</v>
      </c>
      <c r="H39" t="s">
        <v>260</v>
      </c>
      <c r="J39" t="s">
        <v>251</v>
      </c>
      <c r="K39" t="s">
        <v>252</v>
      </c>
      <c r="L39" t="s">
        <v>266</v>
      </c>
      <c r="M39" t="s">
        <v>266</v>
      </c>
      <c r="N39" t="s">
        <v>266</v>
      </c>
      <c r="O39" t="s">
        <v>267</v>
      </c>
      <c r="P39" t="s">
        <v>267</v>
      </c>
      <c r="Q39" t="s">
        <v>267</v>
      </c>
    </row>
    <row r="40" spans="1:19" x14ac:dyDescent="0.25">
      <c r="A40" s="1">
        <v>0</v>
      </c>
      <c r="B40">
        <v>0</v>
      </c>
      <c r="C40" s="3">
        <f>C16*100</f>
        <v>3.0760000000000001</v>
      </c>
      <c r="D40" s="3">
        <f t="shared" ref="D40:H40" si="2">D16*100</f>
        <v>62.59</v>
      </c>
      <c r="E40" s="3">
        <f t="shared" si="2"/>
        <v>34.333999999999996</v>
      </c>
      <c r="F40" s="3">
        <f t="shared" si="2"/>
        <v>10.02</v>
      </c>
      <c r="G40" s="3">
        <f t="shared" si="2"/>
        <v>47.994999999999997</v>
      </c>
      <c r="H40" s="3">
        <f t="shared" si="2"/>
        <v>41.984000000000002</v>
      </c>
      <c r="J40" s="1">
        <v>0</v>
      </c>
      <c r="K40">
        <v>0</v>
      </c>
      <c r="L40" s="3">
        <f>100*L16</f>
        <v>34.666000000000004</v>
      </c>
      <c r="M40" s="3">
        <f t="shared" ref="M40:Q40" si="3">100*M16</f>
        <v>100</v>
      </c>
      <c r="N40" s="3">
        <f t="shared" si="3"/>
        <v>100</v>
      </c>
      <c r="O40" s="3">
        <f t="shared" si="3"/>
        <v>51.395000000000003</v>
      </c>
      <c r="P40" s="3">
        <f t="shared" si="3"/>
        <v>100</v>
      </c>
      <c r="Q40" s="3">
        <f t="shared" si="3"/>
        <v>100</v>
      </c>
    </row>
    <row r="41" spans="1:19" x14ac:dyDescent="0.25">
      <c r="A41" s="1">
        <v>0.1</v>
      </c>
      <c r="B41">
        <v>10</v>
      </c>
      <c r="C41" s="3">
        <f t="shared" ref="C41:H56" si="4">C17*100</f>
        <v>4.0280000000000005</v>
      </c>
      <c r="D41" s="3">
        <f t="shared" si="4"/>
        <v>62.588000000000001</v>
      </c>
      <c r="E41" s="3">
        <f t="shared" si="4"/>
        <v>33.384</v>
      </c>
      <c r="F41" s="3">
        <f t="shared" si="4"/>
        <v>14.210999999999999</v>
      </c>
      <c r="G41" s="3">
        <f t="shared" si="4"/>
        <v>47.667000000000002</v>
      </c>
      <c r="H41" s="3">
        <f t="shared" si="4"/>
        <v>38.122</v>
      </c>
      <c r="J41" s="1">
        <v>0.1</v>
      </c>
      <c r="K41">
        <v>10</v>
      </c>
      <c r="L41" s="3">
        <f t="shared" ref="L41:Q56" si="5">100*L17</f>
        <v>44.360999999999997</v>
      </c>
      <c r="M41" s="3">
        <f t="shared" si="5"/>
        <v>97.724000000000004</v>
      </c>
      <c r="N41" s="3">
        <f t="shared" si="5"/>
        <v>95.021999999999991</v>
      </c>
      <c r="O41" s="3">
        <f t="shared" si="5"/>
        <v>71.521999999999991</v>
      </c>
      <c r="P41" s="3">
        <f t="shared" si="5"/>
        <v>97.453999999999994</v>
      </c>
      <c r="Q41" s="3">
        <f t="shared" si="5"/>
        <v>89.097999999999999</v>
      </c>
    </row>
    <row r="42" spans="1:19" x14ac:dyDescent="0.25">
      <c r="A42" s="1">
        <v>0.2</v>
      </c>
      <c r="B42">
        <v>20</v>
      </c>
      <c r="C42" s="3">
        <f t="shared" si="4"/>
        <v>4.774</v>
      </c>
      <c r="D42" s="3">
        <f t="shared" si="4"/>
        <v>61.172000000000004</v>
      </c>
      <c r="E42" s="3">
        <f t="shared" si="4"/>
        <v>34.054000000000002</v>
      </c>
      <c r="F42" s="3">
        <f t="shared" si="4"/>
        <v>15.570999999999998</v>
      </c>
      <c r="G42" s="3">
        <f t="shared" si="4"/>
        <v>47.374000000000002</v>
      </c>
      <c r="H42" s="3">
        <f t="shared" si="4"/>
        <v>37.053999999999995</v>
      </c>
      <c r="J42" s="1">
        <v>0.2</v>
      </c>
      <c r="K42">
        <v>20</v>
      </c>
      <c r="L42" s="3">
        <f t="shared" si="5"/>
        <v>51.548999999999999</v>
      </c>
      <c r="M42" s="3">
        <f t="shared" si="5"/>
        <v>93.65</v>
      </c>
      <c r="N42" s="3">
        <f t="shared" si="5"/>
        <v>95.04</v>
      </c>
      <c r="O42" s="3">
        <f t="shared" si="5"/>
        <v>77.498000000000005</v>
      </c>
      <c r="P42" s="3">
        <f t="shared" si="5"/>
        <v>95.781000000000006</v>
      </c>
      <c r="Q42" s="3">
        <f t="shared" si="5"/>
        <v>85.641999999999996</v>
      </c>
    </row>
    <row r="43" spans="1:19" x14ac:dyDescent="0.25">
      <c r="A43" s="1">
        <v>0.3</v>
      </c>
      <c r="B43">
        <v>30</v>
      </c>
      <c r="C43" s="3">
        <f t="shared" si="4"/>
        <v>5.2610000000000001</v>
      </c>
      <c r="D43" s="3">
        <f t="shared" si="4"/>
        <v>60.565999999999995</v>
      </c>
      <c r="E43" s="3">
        <f t="shared" si="4"/>
        <v>34.172999999999995</v>
      </c>
      <c r="F43" s="3">
        <f t="shared" si="4"/>
        <v>16.161000000000001</v>
      </c>
      <c r="G43" s="3">
        <f t="shared" si="4"/>
        <v>45.753999999999998</v>
      </c>
      <c r="H43" s="3">
        <f t="shared" si="4"/>
        <v>38.085000000000001</v>
      </c>
      <c r="J43" s="1">
        <v>0.3</v>
      </c>
      <c r="K43">
        <v>30</v>
      </c>
      <c r="L43" s="3">
        <f t="shared" si="5"/>
        <v>55.513999999999996</v>
      </c>
      <c r="M43" s="3">
        <f t="shared" si="5"/>
        <v>90.614999999999995</v>
      </c>
      <c r="N43" s="3">
        <f t="shared" si="5"/>
        <v>93.203999999999994</v>
      </c>
      <c r="O43" s="3">
        <f t="shared" si="5"/>
        <v>81.363</v>
      </c>
      <c r="P43" s="3">
        <f t="shared" si="5"/>
        <v>93.577999999999989</v>
      </c>
      <c r="Q43" s="3">
        <f t="shared" si="5"/>
        <v>89.043999999999997</v>
      </c>
    </row>
    <row r="44" spans="1:19" x14ac:dyDescent="0.25">
      <c r="A44" s="1">
        <v>0.4</v>
      </c>
      <c r="B44">
        <v>40</v>
      </c>
      <c r="C44" s="3">
        <f t="shared" si="4"/>
        <v>5.8000000000000007</v>
      </c>
      <c r="D44" s="3">
        <f t="shared" si="4"/>
        <v>60.838999999999999</v>
      </c>
      <c r="E44" s="3">
        <f t="shared" si="4"/>
        <v>33.361000000000004</v>
      </c>
      <c r="F44" s="3">
        <f t="shared" si="4"/>
        <v>16.962</v>
      </c>
      <c r="G44" s="3">
        <f t="shared" si="4"/>
        <v>46.298999999999999</v>
      </c>
      <c r="H44" s="3">
        <f t="shared" si="4"/>
        <v>36.738999999999997</v>
      </c>
      <c r="J44" s="1">
        <v>0.4</v>
      </c>
      <c r="K44">
        <v>40</v>
      </c>
      <c r="L44" s="3">
        <f t="shared" si="5"/>
        <v>59.718000000000004</v>
      </c>
      <c r="M44" s="3">
        <f t="shared" si="5"/>
        <v>88.81</v>
      </c>
      <c r="N44" s="3">
        <f t="shared" si="5"/>
        <v>88.778000000000006</v>
      </c>
      <c r="O44" s="3">
        <f t="shared" si="5"/>
        <v>83.15</v>
      </c>
      <c r="P44" s="3">
        <f t="shared" si="5"/>
        <v>92.198000000000008</v>
      </c>
      <c r="Q44" s="3">
        <f t="shared" si="5"/>
        <v>83.635000000000005</v>
      </c>
    </row>
    <row r="45" spans="1:19" x14ac:dyDescent="0.25">
      <c r="A45" s="1">
        <v>0.5</v>
      </c>
      <c r="B45">
        <v>50</v>
      </c>
      <c r="C45" s="3">
        <f t="shared" si="4"/>
        <v>6.2649999999999997</v>
      </c>
      <c r="D45" s="3">
        <f t="shared" si="4"/>
        <v>59.689</v>
      </c>
      <c r="E45" s="3">
        <f t="shared" si="4"/>
        <v>34.045999999999999</v>
      </c>
      <c r="F45" s="3">
        <f t="shared" si="4"/>
        <v>17.669</v>
      </c>
      <c r="G45" s="3">
        <f t="shared" si="4"/>
        <v>45.149000000000001</v>
      </c>
      <c r="H45" s="3">
        <f t="shared" si="4"/>
        <v>37.181999999999995</v>
      </c>
      <c r="J45" s="1">
        <v>0.5</v>
      </c>
      <c r="K45">
        <v>50</v>
      </c>
      <c r="L45" s="3">
        <f t="shared" si="5"/>
        <v>64.706000000000003</v>
      </c>
      <c r="M45" s="3">
        <f t="shared" si="5"/>
        <v>87.408000000000001</v>
      </c>
      <c r="N45" s="3">
        <f t="shared" si="5"/>
        <v>90.888999999999996</v>
      </c>
      <c r="O45" s="3">
        <f t="shared" si="5"/>
        <v>85.298000000000002</v>
      </c>
      <c r="P45" s="3">
        <f t="shared" si="5"/>
        <v>88.543000000000006</v>
      </c>
      <c r="Q45" s="3">
        <f t="shared" si="5"/>
        <v>83.36</v>
      </c>
    </row>
    <row r="46" spans="1:19" x14ac:dyDescent="0.25">
      <c r="A46" s="1">
        <v>0.6</v>
      </c>
      <c r="B46">
        <v>60</v>
      </c>
      <c r="C46" s="3">
        <f t="shared" si="4"/>
        <v>6.8390000000000004</v>
      </c>
      <c r="D46" s="3">
        <f t="shared" si="4"/>
        <v>58.855000000000004</v>
      </c>
      <c r="E46" s="3">
        <f t="shared" si="4"/>
        <v>34.305999999999997</v>
      </c>
      <c r="F46" s="3">
        <f t="shared" si="4"/>
        <v>17.721</v>
      </c>
      <c r="G46" s="3">
        <f t="shared" si="4"/>
        <v>44.75</v>
      </c>
      <c r="H46" s="3">
        <f t="shared" si="4"/>
        <v>37.53</v>
      </c>
      <c r="J46" s="1">
        <v>0.6</v>
      </c>
      <c r="K46">
        <v>60</v>
      </c>
      <c r="L46" s="3">
        <f t="shared" si="5"/>
        <v>70.356999999999999</v>
      </c>
      <c r="M46" s="3">
        <f t="shared" si="5"/>
        <v>85.841999999999999</v>
      </c>
      <c r="N46" s="3">
        <f t="shared" si="5"/>
        <v>91.215999999999994</v>
      </c>
      <c r="O46" s="3">
        <f t="shared" si="5"/>
        <v>86.881</v>
      </c>
      <c r="P46" s="3">
        <f t="shared" si="5"/>
        <v>89.126999999999995</v>
      </c>
      <c r="Q46" s="3">
        <f t="shared" si="5"/>
        <v>85.448999999999998</v>
      </c>
    </row>
    <row r="47" spans="1:19" x14ac:dyDescent="0.25">
      <c r="A47" s="1">
        <v>0.7</v>
      </c>
      <c r="B47">
        <v>70</v>
      </c>
      <c r="C47" s="3">
        <f t="shared" si="4"/>
        <v>7.2880000000000003</v>
      </c>
      <c r="D47" s="3">
        <f t="shared" si="4"/>
        <v>58.845999999999997</v>
      </c>
      <c r="E47" s="3">
        <f t="shared" si="4"/>
        <v>33.866</v>
      </c>
      <c r="F47" s="3">
        <f t="shared" si="4"/>
        <v>17.861000000000001</v>
      </c>
      <c r="G47" s="3">
        <f t="shared" si="4"/>
        <v>44.188000000000002</v>
      </c>
      <c r="H47" s="3">
        <f t="shared" si="4"/>
        <v>37.951000000000001</v>
      </c>
      <c r="J47" s="1">
        <v>0.7</v>
      </c>
      <c r="K47">
        <v>70</v>
      </c>
      <c r="L47" s="3">
        <f t="shared" si="5"/>
        <v>73.512</v>
      </c>
      <c r="M47" s="3">
        <f t="shared" si="5"/>
        <v>84.152000000000001</v>
      </c>
      <c r="N47" s="3">
        <f t="shared" si="5"/>
        <v>88.287000000000006</v>
      </c>
      <c r="O47" s="3">
        <f t="shared" si="5"/>
        <v>87.527000000000001</v>
      </c>
      <c r="P47" s="3">
        <f t="shared" si="5"/>
        <v>87.965999999999994</v>
      </c>
      <c r="Q47" s="3">
        <f t="shared" si="5"/>
        <v>86.367999999999995</v>
      </c>
    </row>
    <row r="48" spans="1:19" x14ac:dyDescent="0.25">
      <c r="A48" s="1">
        <v>0.80001</v>
      </c>
      <c r="B48">
        <v>80.001000000000005</v>
      </c>
      <c r="C48" s="3">
        <f t="shared" si="4"/>
        <v>7.8</v>
      </c>
      <c r="D48" s="3">
        <f t="shared" si="4"/>
        <v>58.770999999999994</v>
      </c>
      <c r="E48" s="3">
        <f t="shared" si="4"/>
        <v>33.428999999999995</v>
      </c>
      <c r="F48" s="3">
        <f t="shared" si="4"/>
        <v>18.762</v>
      </c>
      <c r="G48" s="3">
        <f t="shared" si="4"/>
        <v>44.875999999999998</v>
      </c>
      <c r="H48" s="3">
        <f t="shared" si="4"/>
        <v>36.363</v>
      </c>
      <c r="J48" s="1">
        <v>0.80001</v>
      </c>
      <c r="K48">
        <v>80.001000000000005</v>
      </c>
      <c r="L48" s="3">
        <f t="shared" si="5"/>
        <v>76.650999999999996</v>
      </c>
      <c r="M48" s="3">
        <f t="shared" si="5"/>
        <v>81.887</v>
      </c>
      <c r="N48" s="3">
        <f t="shared" si="5"/>
        <v>84.911999999999992</v>
      </c>
      <c r="O48" s="3">
        <f t="shared" si="5"/>
        <v>89.409000000000006</v>
      </c>
      <c r="P48" s="3">
        <f t="shared" si="5"/>
        <v>86.875</v>
      </c>
      <c r="Q48" s="3">
        <f t="shared" si="5"/>
        <v>80.472999999999999</v>
      </c>
    </row>
    <row r="49" spans="1:17" x14ac:dyDescent="0.25">
      <c r="A49" s="1">
        <v>0.90001000000000009</v>
      </c>
      <c r="B49">
        <v>90.001000000000005</v>
      </c>
      <c r="C49" s="3">
        <f t="shared" si="4"/>
        <v>8.0869999999999997</v>
      </c>
      <c r="D49" s="3">
        <f t="shared" si="4"/>
        <v>57.63</v>
      </c>
      <c r="E49" s="3">
        <f t="shared" si="4"/>
        <v>34.283999999999999</v>
      </c>
      <c r="F49" s="3">
        <f t="shared" si="4"/>
        <v>19.338000000000001</v>
      </c>
      <c r="G49" s="3">
        <f t="shared" si="4"/>
        <v>43.658999999999999</v>
      </c>
      <c r="H49" s="3">
        <f t="shared" si="4"/>
        <v>37.002000000000002</v>
      </c>
      <c r="J49" s="1">
        <v>0.90001000000000009</v>
      </c>
      <c r="K49">
        <v>90.001000000000005</v>
      </c>
      <c r="L49" s="3">
        <f t="shared" si="5"/>
        <v>79.77300000000001</v>
      </c>
      <c r="M49" s="3">
        <f t="shared" si="5"/>
        <v>80.605999999999995</v>
      </c>
      <c r="N49" s="3">
        <f t="shared" si="5"/>
        <v>87.416000000000011</v>
      </c>
      <c r="O49" s="3">
        <f t="shared" si="5"/>
        <v>92.090999999999994</v>
      </c>
      <c r="P49" s="3">
        <f t="shared" si="5"/>
        <v>84.460000000000008</v>
      </c>
      <c r="Q49" s="3">
        <f t="shared" si="5"/>
        <v>81.83</v>
      </c>
    </row>
    <row r="50" spans="1:17" x14ac:dyDescent="0.25">
      <c r="A50" s="1">
        <v>1.0000599999999999</v>
      </c>
      <c r="B50">
        <v>100.006</v>
      </c>
      <c r="C50" s="3">
        <f t="shared" si="4"/>
        <v>8.3000000000000007</v>
      </c>
      <c r="D50" s="3">
        <f t="shared" si="4"/>
        <v>57.145000000000003</v>
      </c>
      <c r="E50" s="3">
        <f t="shared" si="4"/>
        <v>34.555</v>
      </c>
      <c r="F50" s="3">
        <f t="shared" si="4"/>
        <v>19.003</v>
      </c>
      <c r="G50" s="3">
        <f t="shared" si="4"/>
        <v>42.128</v>
      </c>
      <c r="H50" s="3">
        <f t="shared" si="4"/>
        <v>38.868000000000002</v>
      </c>
      <c r="J50" s="1">
        <v>1.0000599999999999</v>
      </c>
      <c r="K50">
        <v>100.006</v>
      </c>
      <c r="L50" s="3">
        <f t="shared" si="5"/>
        <v>81.710999999999999</v>
      </c>
      <c r="M50" s="3">
        <f t="shared" si="5"/>
        <v>79.765000000000001</v>
      </c>
      <c r="N50" s="3">
        <f t="shared" si="5"/>
        <v>87.929000000000002</v>
      </c>
      <c r="O50" s="3">
        <f t="shared" si="5"/>
        <v>91.893000000000001</v>
      </c>
      <c r="P50" s="3">
        <f t="shared" si="5"/>
        <v>82.756</v>
      </c>
      <c r="Q50" s="3">
        <f t="shared" si="5"/>
        <v>87.283999999999992</v>
      </c>
    </row>
    <row r="51" spans="1:17" x14ac:dyDescent="0.25">
      <c r="A51" s="1">
        <v>1.10006</v>
      </c>
      <c r="B51">
        <v>110.006</v>
      </c>
      <c r="C51" s="3">
        <f t="shared" si="4"/>
        <v>8.7330000000000005</v>
      </c>
      <c r="D51" s="3">
        <f t="shared" si="4"/>
        <v>56.619</v>
      </c>
      <c r="E51" s="3">
        <f t="shared" si="4"/>
        <v>34.646999999999998</v>
      </c>
      <c r="F51" s="3">
        <f t="shared" si="4"/>
        <v>19.495000000000001</v>
      </c>
      <c r="G51" s="3">
        <f t="shared" si="4"/>
        <v>42.786000000000001</v>
      </c>
      <c r="H51" s="3">
        <f t="shared" si="4"/>
        <v>37.72</v>
      </c>
      <c r="J51" s="1">
        <v>1.10006</v>
      </c>
      <c r="K51">
        <v>110.006</v>
      </c>
      <c r="L51" s="3">
        <f t="shared" si="5"/>
        <v>83.968000000000004</v>
      </c>
      <c r="M51" s="3">
        <f t="shared" si="5"/>
        <v>77.183000000000007</v>
      </c>
      <c r="N51" s="3">
        <f t="shared" si="5"/>
        <v>86.100999999999999</v>
      </c>
      <c r="O51" s="3">
        <f t="shared" si="5"/>
        <v>92.308999999999997</v>
      </c>
      <c r="P51" s="3">
        <f t="shared" si="5"/>
        <v>82.301000000000002</v>
      </c>
      <c r="Q51" s="3">
        <f t="shared" si="5"/>
        <v>82.943999999999988</v>
      </c>
    </row>
    <row r="52" spans="1:17" x14ac:dyDescent="0.25">
      <c r="A52" s="1">
        <v>1.2000599999999999</v>
      </c>
      <c r="B52">
        <v>120.006</v>
      </c>
      <c r="C52" s="3">
        <f t="shared" si="4"/>
        <v>8.8969999999999985</v>
      </c>
      <c r="D52" s="3">
        <f t="shared" si="4"/>
        <v>57.203000000000003</v>
      </c>
      <c r="E52" s="3">
        <f t="shared" si="4"/>
        <v>33.900999999999996</v>
      </c>
      <c r="F52" s="3">
        <f t="shared" si="4"/>
        <v>19.846</v>
      </c>
      <c r="G52" s="3">
        <f t="shared" si="4"/>
        <v>42.713000000000001</v>
      </c>
      <c r="H52" s="3">
        <f t="shared" si="4"/>
        <v>37.441000000000003</v>
      </c>
      <c r="J52" s="1">
        <v>1.2000599999999999</v>
      </c>
      <c r="K52">
        <v>120.006</v>
      </c>
      <c r="L52" s="3">
        <f t="shared" si="5"/>
        <v>86.47399999999999</v>
      </c>
      <c r="M52" s="3">
        <f t="shared" si="5"/>
        <v>78.832999999999998</v>
      </c>
      <c r="N52" s="3">
        <f t="shared" si="5"/>
        <v>85.17</v>
      </c>
      <c r="O52" s="3">
        <f t="shared" si="5"/>
        <v>94.156999999999996</v>
      </c>
      <c r="P52" s="3">
        <f t="shared" si="5"/>
        <v>82.320000000000007</v>
      </c>
      <c r="Q52" s="3">
        <f t="shared" si="5"/>
        <v>82.491</v>
      </c>
    </row>
    <row r="53" spans="1:17" x14ac:dyDescent="0.25">
      <c r="A53" s="1">
        <v>1.30006</v>
      </c>
      <c r="B53">
        <v>130.006</v>
      </c>
      <c r="C53" s="3">
        <f t="shared" si="4"/>
        <v>9.19</v>
      </c>
      <c r="D53" s="3">
        <f t="shared" si="4"/>
        <v>56.927000000000007</v>
      </c>
      <c r="E53" s="3">
        <f t="shared" si="4"/>
        <v>33.883000000000003</v>
      </c>
      <c r="F53" s="3">
        <f t="shared" si="4"/>
        <v>19.914000000000001</v>
      </c>
      <c r="G53" s="3">
        <f t="shared" si="4"/>
        <v>42.44</v>
      </c>
      <c r="H53" s="3">
        <f t="shared" si="4"/>
        <v>37.646000000000001</v>
      </c>
      <c r="J53" s="1">
        <v>1.30006</v>
      </c>
      <c r="K53">
        <v>130.006</v>
      </c>
      <c r="L53" s="3">
        <f t="shared" si="5"/>
        <v>88.614000000000004</v>
      </c>
      <c r="M53" s="3">
        <f t="shared" si="5"/>
        <v>77.828000000000003</v>
      </c>
      <c r="N53" s="3">
        <f t="shared" si="5"/>
        <v>84.445000000000007</v>
      </c>
      <c r="O53" s="3">
        <f t="shared" si="5"/>
        <v>94.872</v>
      </c>
      <c r="P53" s="3">
        <f t="shared" si="5"/>
        <v>82.135000000000005</v>
      </c>
      <c r="Q53" s="3">
        <f t="shared" si="5"/>
        <v>83.289000000000001</v>
      </c>
    </row>
    <row r="54" spans="1:17" x14ac:dyDescent="0.25">
      <c r="A54" s="1">
        <v>1.4000600000000001</v>
      </c>
      <c r="B54">
        <v>140.006</v>
      </c>
      <c r="C54" s="3">
        <f t="shared" si="4"/>
        <v>9.5760000000000005</v>
      </c>
      <c r="D54" s="3">
        <f t="shared" si="4"/>
        <v>56.003999999999998</v>
      </c>
      <c r="E54" s="3">
        <f t="shared" si="4"/>
        <v>34.420999999999999</v>
      </c>
      <c r="F54" s="3">
        <f t="shared" si="4"/>
        <v>19.981999999999999</v>
      </c>
      <c r="G54" s="3">
        <f t="shared" si="4"/>
        <v>41.9</v>
      </c>
      <c r="H54" s="3">
        <f t="shared" si="4"/>
        <v>38.118000000000002</v>
      </c>
      <c r="J54" s="1">
        <v>1.4000600000000001</v>
      </c>
      <c r="K54">
        <v>140.006</v>
      </c>
      <c r="L54" s="3">
        <f t="shared" si="5"/>
        <v>91.242999999999995</v>
      </c>
      <c r="M54" s="3">
        <f t="shared" si="5"/>
        <v>75.661000000000001</v>
      </c>
      <c r="N54" s="3">
        <f t="shared" si="5"/>
        <v>84.772999999999996</v>
      </c>
      <c r="O54" s="3">
        <f t="shared" si="5"/>
        <v>95.774000000000001</v>
      </c>
      <c r="P54" s="3">
        <f t="shared" si="5"/>
        <v>81.581000000000003</v>
      </c>
      <c r="Q54" s="3">
        <f t="shared" si="5"/>
        <v>84.843000000000004</v>
      </c>
    </row>
    <row r="55" spans="1:17" x14ac:dyDescent="0.25">
      <c r="A55" s="1">
        <v>1.5000899999999999</v>
      </c>
      <c r="B55">
        <v>150.00899999999999</v>
      </c>
      <c r="C55" s="3">
        <f t="shared" si="4"/>
        <v>9.702</v>
      </c>
      <c r="D55" s="3">
        <f t="shared" si="4"/>
        <v>55.805000000000007</v>
      </c>
      <c r="E55" s="3">
        <f t="shared" si="4"/>
        <v>34.493000000000002</v>
      </c>
      <c r="F55" s="3">
        <f t="shared" si="4"/>
        <v>20.655000000000001</v>
      </c>
      <c r="G55" s="3">
        <f t="shared" si="4"/>
        <v>41.61</v>
      </c>
      <c r="H55" s="3">
        <f t="shared" si="4"/>
        <v>37.734999999999999</v>
      </c>
      <c r="J55" s="1">
        <v>1.5000899999999999</v>
      </c>
      <c r="K55">
        <v>150.00899999999999</v>
      </c>
      <c r="L55" s="3">
        <f t="shared" si="5"/>
        <v>91.968000000000004</v>
      </c>
      <c r="M55" s="3">
        <f t="shared" si="5"/>
        <v>75.004999999999995</v>
      </c>
      <c r="N55" s="3">
        <f t="shared" si="5"/>
        <v>84.515000000000001</v>
      </c>
      <c r="O55" s="3">
        <f t="shared" si="5"/>
        <v>97.054000000000002</v>
      </c>
      <c r="P55" s="3">
        <f t="shared" si="5"/>
        <v>79.427999999999997</v>
      </c>
      <c r="Q55" s="3">
        <f t="shared" si="5"/>
        <v>82.343000000000004</v>
      </c>
    </row>
    <row r="56" spans="1:17" x14ac:dyDescent="0.25">
      <c r="A56" s="1">
        <v>1.6000899999999998</v>
      </c>
      <c r="B56">
        <v>160.00899999999999</v>
      </c>
      <c r="C56" s="3">
        <f t="shared" si="4"/>
        <v>10.116</v>
      </c>
      <c r="D56" s="3">
        <f t="shared" si="4"/>
        <v>55.527000000000001</v>
      </c>
      <c r="E56" s="3">
        <f t="shared" si="4"/>
        <v>34.356999999999999</v>
      </c>
      <c r="F56" s="3">
        <f t="shared" si="4"/>
        <v>20.673999999999999</v>
      </c>
      <c r="G56" s="3">
        <f t="shared" si="4"/>
        <v>41.388000000000005</v>
      </c>
      <c r="H56" s="3">
        <f t="shared" si="4"/>
        <v>37.936999999999998</v>
      </c>
      <c r="J56" s="1">
        <v>1.6000899999999998</v>
      </c>
      <c r="K56">
        <v>160.00899999999999</v>
      </c>
      <c r="L56" s="3">
        <f t="shared" si="5"/>
        <v>93.536000000000001</v>
      </c>
      <c r="M56" s="3">
        <f t="shared" si="5"/>
        <v>72.795000000000002</v>
      </c>
      <c r="N56" s="3">
        <f t="shared" si="5"/>
        <v>82.11</v>
      </c>
      <c r="O56" s="3">
        <f t="shared" si="5"/>
        <v>96.75</v>
      </c>
      <c r="P56" s="3">
        <f t="shared" si="5"/>
        <v>78.682000000000002</v>
      </c>
      <c r="Q56" s="3">
        <f t="shared" si="5"/>
        <v>82.447000000000003</v>
      </c>
    </row>
    <row r="57" spans="1:17" x14ac:dyDescent="0.25">
      <c r="A57" s="1">
        <v>1.7000899999999999</v>
      </c>
      <c r="B57">
        <v>170.00899999999999</v>
      </c>
      <c r="C57" s="3">
        <f t="shared" ref="C57:H59" si="6">C33*100</f>
        <v>10.401</v>
      </c>
      <c r="D57" s="3">
        <f t="shared" si="6"/>
        <v>55.81</v>
      </c>
      <c r="E57" s="3">
        <f t="shared" si="6"/>
        <v>33.789000000000001</v>
      </c>
      <c r="F57" s="3">
        <f t="shared" si="6"/>
        <v>21.015000000000001</v>
      </c>
      <c r="G57" s="3">
        <f t="shared" si="6"/>
        <v>41.991</v>
      </c>
      <c r="H57" s="3">
        <f t="shared" si="6"/>
        <v>36.994</v>
      </c>
      <c r="J57" s="1">
        <v>1.7000899999999999</v>
      </c>
      <c r="K57">
        <v>170.00899999999999</v>
      </c>
      <c r="L57" s="3">
        <f t="shared" ref="L57:Q59" si="7">100*L33</f>
        <v>96.040999999999997</v>
      </c>
      <c r="M57" s="3">
        <f t="shared" si="7"/>
        <v>73.070000000000007</v>
      </c>
      <c r="N57" s="3">
        <f t="shared" si="7"/>
        <v>80.647000000000006</v>
      </c>
      <c r="O57" s="3">
        <f t="shared" si="7"/>
        <v>98.465000000000003</v>
      </c>
      <c r="P57" s="3">
        <f t="shared" si="7"/>
        <v>79.926000000000002</v>
      </c>
      <c r="Q57" s="3">
        <f t="shared" si="7"/>
        <v>80.495000000000005</v>
      </c>
    </row>
    <row r="58" spans="1:17" x14ac:dyDescent="0.25">
      <c r="A58" s="1">
        <v>1.80009</v>
      </c>
      <c r="B58">
        <v>180.00899999999999</v>
      </c>
      <c r="C58" s="3">
        <f t="shared" si="6"/>
        <v>10.609</v>
      </c>
      <c r="D58" s="3">
        <f t="shared" si="6"/>
        <v>55.283000000000001</v>
      </c>
      <c r="E58" s="3">
        <f t="shared" si="6"/>
        <v>34.107999999999997</v>
      </c>
      <c r="F58" s="3">
        <f t="shared" si="6"/>
        <v>21.268999999999998</v>
      </c>
      <c r="G58" s="3">
        <f t="shared" si="6"/>
        <v>41.256999999999998</v>
      </c>
      <c r="H58" s="3">
        <f t="shared" si="6"/>
        <v>37.472999999999999</v>
      </c>
      <c r="J58" s="1">
        <v>1.80009</v>
      </c>
      <c r="K58">
        <v>180.00899999999999</v>
      </c>
      <c r="L58" s="3">
        <f t="shared" si="7"/>
        <v>98.007999999999996</v>
      </c>
      <c r="M58" s="3">
        <f t="shared" si="7"/>
        <v>72.41</v>
      </c>
      <c r="N58" s="3">
        <f t="shared" si="7"/>
        <v>81.442000000000007</v>
      </c>
      <c r="O58" s="3">
        <f t="shared" si="7"/>
        <v>99.835999999999999</v>
      </c>
      <c r="P58" s="3">
        <f t="shared" si="7"/>
        <v>78.67</v>
      </c>
      <c r="Q58" s="3">
        <f t="shared" si="7"/>
        <v>81.685000000000002</v>
      </c>
    </row>
    <row r="59" spans="1:17" x14ac:dyDescent="0.25">
      <c r="A59" s="1">
        <v>1.9000899999999998</v>
      </c>
      <c r="B59">
        <v>190.00899999999999</v>
      </c>
      <c r="C59" s="3">
        <f t="shared" si="6"/>
        <v>10.804</v>
      </c>
      <c r="D59" s="3">
        <f t="shared" si="6"/>
        <v>55.010000000000005</v>
      </c>
      <c r="E59" s="3">
        <f t="shared" si="6"/>
        <v>34.186</v>
      </c>
      <c r="F59" s="3">
        <f t="shared" si="6"/>
        <v>21.539000000000001</v>
      </c>
      <c r="G59" s="3">
        <f t="shared" si="6"/>
        <v>40.863999999999997</v>
      </c>
      <c r="H59" s="3">
        <f t="shared" si="6"/>
        <v>37.597000000000001</v>
      </c>
      <c r="J59" s="1">
        <v>1.9000899999999998</v>
      </c>
      <c r="K59">
        <v>190.00899999999999</v>
      </c>
      <c r="L59" s="3">
        <f t="shared" si="7"/>
        <v>100</v>
      </c>
      <c r="M59" s="3">
        <f t="shared" si="7"/>
        <v>72.192000000000007</v>
      </c>
      <c r="N59" s="3">
        <f t="shared" si="7"/>
        <v>81.786000000000001</v>
      </c>
      <c r="O59" s="3">
        <f t="shared" si="7"/>
        <v>100</v>
      </c>
      <c r="P59" s="3">
        <f t="shared" si="7"/>
        <v>77.070000000000007</v>
      </c>
      <c r="Q59" s="3">
        <f t="shared" si="7"/>
        <v>81.06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60"/>
  <sheetViews>
    <sheetView topLeftCell="A25" zoomScaleNormal="100" workbookViewId="0">
      <selection activeCell="B9" sqref="B9"/>
    </sheetView>
  </sheetViews>
  <sheetFormatPr defaultRowHeight="15" x14ac:dyDescent="0.25"/>
  <cols>
    <col min="1" max="1" width="18.42578125" bestFit="1" customWidth="1"/>
    <col min="5" max="5" width="14.140625" customWidth="1"/>
    <col min="12" max="12" width="15.28515625" bestFit="1" customWidth="1"/>
    <col min="13" max="13" width="15.28515625" customWidth="1"/>
    <col min="15" max="15" width="17.7109375" customWidth="1"/>
    <col min="16" max="16" width="14.5703125" customWidth="1"/>
  </cols>
  <sheetData>
    <row r="1" spans="1:27" ht="15.75" thickBot="1" x14ac:dyDescent="0.3">
      <c r="A1" t="s">
        <v>289</v>
      </c>
      <c r="H1" s="22" t="s">
        <v>291</v>
      </c>
      <c r="I1" s="23"/>
      <c r="J1" s="23"/>
      <c r="K1" s="23"/>
      <c r="L1" s="23"/>
      <c r="M1" s="24"/>
      <c r="O1" s="2" t="s">
        <v>312</v>
      </c>
    </row>
    <row r="2" spans="1:27" x14ac:dyDescent="0.25">
      <c r="A2" s="2" t="s">
        <v>176</v>
      </c>
      <c r="H2" s="22"/>
      <c r="I2" s="42" t="s">
        <v>176</v>
      </c>
      <c r="J2" s="42"/>
      <c r="K2" s="42" t="s">
        <v>293</v>
      </c>
      <c r="L2" s="42"/>
      <c r="M2" s="43" t="s">
        <v>51</v>
      </c>
      <c r="O2" s="2" t="s">
        <v>176</v>
      </c>
    </row>
    <row r="3" spans="1:27" ht="15.75" thickBot="1" x14ac:dyDescent="0.3">
      <c r="A3" t="s">
        <v>313</v>
      </c>
      <c r="B3" t="s">
        <v>314</v>
      </c>
      <c r="C3" t="s">
        <v>315</v>
      </c>
      <c r="D3" t="s">
        <v>316</v>
      </c>
      <c r="E3" t="s">
        <v>317</v>
      </c>
      <c r="F3" t="s">
        <v>338</v>
      </c>
      <c r="H3" s="29" t="s">
        <v>294</v>
      </c>
      <c r="I3" s="45">
        <f>AVERAGE(F6,F14,F22)</f>
        <v>3.7677242971462497</v>
      </c>
      <c r="J3" s="46">
        <f>_xlfn.STDEV.S(F6,F14,F22)</f>
        <v>7.9966913689749786E-2</v>
      </c>
      <c r="K3" s="45">
        <f>AVERAGE(F33,F42,F50)</f>
        <v>3.6634619140933853</v>
      </c>
      <c r="L3" s="27">
        <f>_xlfn.STDEV.S(F33,F42,F50)</f>
        <v>1.0360471888483036</v>
      </c>
      <c r="M3" s="26"/>
      <c r="O3" t="s">
        <v>289</v>
      </c>
    </row>
    <row r="4" spans="1:27" ht="15.75" thickBot="1" x14ac:dyDescent="0.3">
      <c r="A4" t="s">
        <v>340</v>
      </c>
      <c r="B4" t="s">
        <v>320</v>
      </c>
      <c r="C4" s="3">
        <v>954885.5</v>
      </c>
      <c r="D4">
        <v>954885</v>
      </c>
      <c r="E4" s="1">
        <v>35.96</v>
      </c>
      <c r="F4">
        <f t="shared" ref="F4:F11" si="0">E4*100/(100-$E$8)</f>
        <v>36.260966017948974</v>
      </c>
      <c r="H4" s="30" t="s">
        <v>296</v>
      </c>
      <c r="I4" s="48">
        <f>AVERAGE(F4,F12,F20)</f>
        <v>36.285050282702024</v>
      </c>
      <c r="J4" s="48">
        <f>_xlfn.STDEV.S(F4,F12,F20)</f>
        <v>0.70059134021358482</v>
      </c>
      <c r="K4" s="48">
        <f>AVERAGE(F31,F40,F48)</f>
        <v>48.709530045365234</v>
      </c>
      <c r="L4" s="27">
        <f>_xlfn.STDEV.S(F31,F40,F48)</f>
        <v>1.8593537217956557</v>
      </c>
      <c r="M4" s="26" t="s">
        <v>297</v>
      </c>
      <c r="N4" s="14" t="s">
        <v>286</v>
      </c>
      <c r="O4" t="s">
        <v>313</v>
      </c>
      <c r="P4" s="2" t="s">
        <v>314</v>
      </c>
      <c r="Q4" t="s">
        <v>318</v>
      </c>
      <c r="R4" t="s">
        <v>319</v>
      </c>
      <c r="S4" s="2" t="s">
        <v>315</v>
      </c>
      <c r="T4" t="s">
        <v>316</v>
      </c>
      <c r="U4" t="s">
        <v>317</v>
      </c>
      <c r="X4" s="22" t="s">
        <v>292</v>
      </c>
      <c r="Y4" s="23"/>
      <c r="Z4" s="24"/>
    </row>
    <row r="5" spans="1:27" x14ac:dyDescent="0.25">
      <c r="A5" t="s">
        <v>340</v>
      </c>
      <c r="B5" t="s">
        <v>322</v>
      </c>
      <c r="C5">
        <v>106676.4</v>
      </c>
      <c r="D5">
        <v>36408.300000000003</v>
      </c>
      <c r="E5" s="1">
        <v>1.37</v>
      </c>
      <c r="F5">
        <f t="shared" si="0"/>
        <v>1.3814661692043966</v>
      </c>
      <c r="H5" s="31" t="s">
        <v>299</v>
      </c>
      <c r="I5" s="27">
        <f>AVERAGE(F7,F15,F23)</f>
        <v>57.75727594736373</v>
      </c>
      <c r="J5" s="27">
        <f>_xlfn.STDEV.S(F7,F15,F23)</f>
        <v>0.83596845989525403</v>
      </c>
      <c r="K5" s="63">
        <f>AVERAGE(F34,F43,F51)</f>
        <v>40.124831041107662</v>
      </c>
      <c r="L5" s="27">
        <f>_xlfn.STDEV.S(F34,F43,F51)</f>
        <v>1.876656613344128</v>
      </c>
      <c r="M5" s="26" t="s">
        <v>300</v>
      </c>
      <c r="N5" s="14" t="s">
        <v>286</v>
      </c>
      <c r="O5" t="s">
        <v>340</v>
      </c>
      <c r="P5" t="s">
        <v>321</v>
      </c>
      <c r="Q5">
        <v>284.79000000000002</v>
      </c>
      <c r="R5">
        <v>1.42</v>
      </c>
      <c r="S5">
        <v>15240.87</v>
      </c>
      <c r="T5">
        <v>15240.9</v>
      </c>
      <c r="U5">
        <v>13.08</v>
      </c>
      <c r="X5" s="22"/>
      <c r="Y5" s="42" t="s">
        <v>176</v>
      </c>
      <c r="Z5" s="64" t="s">
        <v>293</v>
      </c>
      <c r="AA5" s="14" t="s">
        <v>286</v>
      </c>
    </row>
    <row r="6" spans="1:27" x14ac:dyDescent="0.25">
      <c r="A6" t="s">
        <v>340</v>
      </c>
      <c r="B6" t="s">
        <v>324</v>
      </c>
      <c r="C6">
        <v>1831225.1</v>
      </c>
      <c r="D6">
        <v>101509</v>
      </c>
      <c r="E6" s="1">
        <v>3.82</v>
      </c>
      <c r="F6">
        <f t="shared" si="0"/>
        <v>3.8519713623071494</v>
      </c>
      <c r="H6" s="25" t="s">
        <v>302</v>
      </c>
      <c r="I6" s="27" t="s">
        <v>172</v>
      </c>
      <c r="J6" s="27" t="s">
        <v>172</v>
      </c>
      <c r="K6" s="27">
        <f>AVERAGE(F38,F46,F55)</f>
        <v>0.21202659355441181</v>
      </c>
      <c r="L6" s="27">
        <f>_xlfn.STDEV.S(F38,F46,F55)</f>
        <v>8.9128837086383583E-2</v>
      </c>
      <c r="M6" s="26" t="s">
        <v>303</v>
      </c>
      <c r="N6" s="14" t="s">
        <v>286</v>
      </c>
      <c r="P6" t="s">
        <v>323</v>
      </c>
      <c r="Q6">
        <v>286.12</v>
      </c>
      <c r="R6">
        <v>1.75</v>
      </c>
      <c r="S6">
        <v>1303.48</v>
      </c>
      <c r="T6">
        <v>1303.48</v>
      </c>
      <c r="U6">
        <v>1.1200000000000001</v>
      </c>
      <c r="X6" s="25" t="s">
        <v>295</v>
      </c>
      <c r="Y6" s="35">
        <f>S9/SUM(S5:S9)</f>
        <v>0.83872287358848951</v>
      </c>
      <c r="Z6" s="47">
        <f>S27/SUM(S23:S27)</f>
        <v>0.47785412813162992</v>
      </c>
    </row>
    <row r="7" spans="1:27" x14ac:dyDescent="0.25">
      <c r="A7" t="s">
        <v>340</v>
      </c>
      <c r="B7" t="s">
        <v>326</v>
      </c>
      <c r="C7">
        <v>6708071.9000000004</v>
      </c>
      <c r="D7" s="36">
        <v>1514240</v>
      </c>
      <c r="E7" s="1">
        <v>57.02</v>
      </c>
      <c r="F7">
        <f t="shared" si="0"/>
        <v>57.497226983966925</v>
      </c>
      <c r="H7" s="34" t="s">
        <v>304</v>
      </c>
      <c r="I7" s="49">
        <f>AVERAGE(F5,F13,F21)</f>
        <v>1.2379333388065186</v>
      </c>
      <c r="J7" s="49">
        <f>_xlfn.STDEV.S(F5,F13,F21)</f>
        <v>0.13261079196397904</v>
      </c>
      <c r="K7" s="49">
        <f>AVERAGE(F32,F41,F49)</f>
        <v>5.8228978015500248</v>
      </c>
      <c r="L7" s="27">
        <f>_xlfn.STDEV.S(F32,F41,F49)</f>
        <v>0.77270613843016389</v>
      </c>
      <c r="M7" s="26"/>
      <c r="N7" s="14" t="s">
        <v>286</v>
      </c>
      <c r="P7" t="s">
        <v>325</v>
      </c>
      <c r="Q7">
        <v>287.79000000000002</v>
      </c>
      <c r="R7">
        <v>1.42</v>
      </c>
      <c r="S7">
        <v>600.19000000000005</v>
      </c>
      <c r="T7">
        <v>600.19299999999998</v>
      </c>
      <c r="U7">
        <v>0.52</v>
      </c>
      <c r="X7" s="25" t="s">
        <v>298</v>
      </c>
      <c r="Y7" s="35">
        <f>S14/SUM(S10:S14)</f>
        <v>0.86787899984691885</v>
      </c>
      <c r="Z7" s="47">
        <f>S34/SUM(S30:S34)</f>
        <v>0.43573172798638626</v>
      </c>
    </row>
    <row r="8" spans="1:27" x14ac:dyDescent="0.25">
      <c r="A8" t="s">
        <v>340</v>
      </c>
      <c r="B8" t="s">
        <v>328</v>
      </c>
      <c r="C8">
        <v>438640.7</v>
      </c>
      <c r="D8">
        <v>22075.5</v>
      </c>
      <c r="E8" s="1">
        <v>0.83</v>
      </c>
      <c r="F8">
        <f t="shared" si="0"/>
        <v>0.83694665725521833</v>
      </c>
      <c r="H8" s="25" t="s">
        <v>305</v>
      </c>
      <c r="I8" s="27">
        <f>AVERAGE(F9,F17,F25)</f>
        <v>0.44407807984974962</v>
      </c>
      <c r="J8" s="27">
        <f>_xlfn.STDEV.S(F9,F17,F25)</f>
        <v>5.0774823169616658E-2</v>
      </c>
      <c r="K8" s="27">
        <f>AVERAGE(F36,F53)</f>
        <v>5.4709595743751338E-2</v>
      </c>
      <c r="L8" s="27">
        <f>_xlfn.STDEV.S(F36,F53)</f>
        <v>7.1100446231929949E-3</v>
      </c>
      <c r="M8" s="26"/>
      <c r="P8" t="s">
        <v>327</v>
      </c>
      <c r="Q8">
        <v>289.02</v>
      </c>
      <c r="R8">
        <v>1.75</v>
      </c>
      <c r="S8">
        <v>1648.99</v>
      </c>
      <c r="T8">
        <v>1648.99</v>
      </c>
      <c r="U8">
        <v>1.42</v>
      </c>
      <c r="X8" s="25" t="s">
        <v>301</v>
      </c>
      <c r="Y8" s="35">
        <f>S19/SUM(S15:S19)</f>
        <v>0.81281283257493808</v>
      </c>
      <c r="Z8" s="47">
        <f>S41/SUM(S37:S41)</f>
        <v>0.44053960562180677</v>
      </c>
    </row>
    <row r="9" spans="1:27" x14ac:dyDescent="0.25">
      <c r="A9" t="s">
        <v>340</v>
      </c>
      <c r="B9" t="s">
        <v>330</v>
      </c>
      <c r="C9">
        <v>59382.3</v>
      </c>
      <c r="D9">
        <v>11712.5</v>
      </c>
      <c r="E9" s="1">
        <v>0.44</v>
      </c>
      <c r="F9">
        <f t="shared" si="0"/>
        <v>0.44368256529192296</v>
      </c>
      <c r="H9" s="25" t="s">
        <v>306</v>
      </c>
      <c r="I9" s="27">
        <f>AVERAGE(F26,F18,F10)</f>
        <v>0.27918555950430485</v>
      </c>
      <c r="J9" s="27">
        <f>_xlfn.STDEV.S(F26,F18,F10)</f>
        <v>5.0536213956053851E-2</v>
      </c>
      <c r="K9" s="27" t="s">
        <v>173</v>
      </c>
      <c r="L9" s="27" t="s">
        <v>172</v>
      </c>
      <c r="M9" s="26"/>
      <c r="P9" t="s">
        <v>329</v>
      </c>
      <c r="Q9">
        <v>292.06</v>
      </c>
      <c r="R9">
        <v>1.21</v>
      </c>
      <c r="S9">
        <v>97735.89</v>
      </c>
      <c r="T9">
        <v>97735.9</v>
      </c>
      <c r="U9">
        <v>83.87</v>
      </c>
      <c r="X9" s="25" t="s">
        <v>170</v>
      </c>
      <c r="Y9" s="32">
        <f>AVERAGE(Y6:Y8)</f>
        <v>0.83980490200344882</v>
      </c>
      <c r="Z9" s="33">
        <f>AVERAGE(Z6:Z8)</f>
        <v>0.45137515391327426</v>
      </c>
    </row>
    <row r="10" spans="1:27" ht="15.75" thickBot="1" x14ac:dyDescent="0.3">
      <c r="A10" t="s">
        <v>340</v>
      </c>
      <c r="B10" t="s">
        <v>334</v>
      </c>
      <c r="C10">
        <v>14507.5</v>
      </c>
      <c r="D10">
        <v>8650.89</v>
      </c>
      <c r="E10" s="1">
        <v>0.33</v>
      </c>
      <c r="F10">
        <f t="shared" si="0"/>
        <v>0.33276192396894222</v>
      </c>
      <c r="H10" s="50" t="s">
        <v>308</v>
      </c>
      <c r="I10" s="27" t="s">
        <v>172</v>
      </c>
      <c r="J10" s="27" t="s">
        <v>172</v>
      </c>
      <c r="K10" s="27">
        <f>AVERAGE(F37,F45,F54)</f>
        <v>0.77507090147121627</v>
      </c>
      <c r="L10" s="27">
        <f>_xlfn.STDEV.S(F37,F45,F54)</f>
        <v>8.3582339001513004E-2</v>
      </c>
      <c r="M10" s="26"/>
      <c r="O10" t="s">
        <v>341</v>
      </c>
      <c r="P10" t="s">
        <v>321</v>
      </c>
      <c r="Q10">
        <v>284.82</v>
      </c>
      <c r="R10">
        <v>1.46</v>
      </c>
      <c r="S10">
        <v>11413.09</v>
      </c>
      <c r="T10">
        <v>11413.1</v>
      </c>
      <c r="U10">
        <v>10.15</v>
      </c>
      <c r="X10" s="37" t="s">
        <v>174</v>
      </c>
      <c r="Y10" s="65">
        <f>_xlfn.STDEV.S(Y6:Y8)/SQRT(3)</f>
        <v>1.5905437053876953E-2</v>
      </c>
      <c r="Z10" s="66">
        <f>_xlfn.STDEV.S(Z6:Z8)/SQRT(3)</f>
        <v>1.3312036891244324E-2</v>
      </c>
    </row>
    <row r="11" spans="1:27" ht="15.75" thickBot="1" x14ac:dyDescent="0.3">
      <c r="A11" t="s">
        <v>340</v>
      </c>
      <c r="B11" t="s">
        <v>343</v>
      </c>
      <c r="C11">
        <v>14345.5</v>
      </c>
      <c r="D11">
        <v>6278.11</v>
      </c>
      <c r="E11" s="1">
        <v>0.24</v>
      </c>
      <c r="F11">
        <f t="shared" si="0"/>
        <v>0.24200867197741252</v>
      </c>
      <c r="H11" s="50" t="s">
        <v>309</v>
      </c>
      <c r="I11" s="27">
        <f>AVERAGE(F11,F19,F27)</f>
        <v>0.23211372618265455</v>
      </c>
      <c r="J11" s="27">
        <f>_xlfn.STDEV.S(F11,F19,F27)</f>
        <v>9.87086244376526E-3</v>
      </c>
      <c r="K11" s="27" t="s">
        <v>173</v>
      </c>
      <c r="L11" s="27" t="s">
        <v>172</v>
      </c>
      <c r="M11" s="26"/>
      <c r="P11" t="s">
        <v>323</v>
      </c>
      <c r="Q11">
        <v>286.5</v>
      </c>
      <c r="R11">
        <v>1.75</v>
      </c>
      <c r="S11">
        <v>1089.71</v>
      </c>
      <c r="T11">
        <v>1089.71</v>
      </c>
      <c r="U11">
        <v>0.97</v>
      </c>
    </row>
    <row r="12" spans="1:27" ht="15.75" thickBot="1" x14ac:dyDescent="0.3">
      <c r="A12" t="s">
        <v>341</v>
      </c>
      <c r="B12" t="s">
        <v>320</v>
      </c>
      <c r="C12" s="3">
        <v>924476.7</v>
      </c>
      <c r="D12">
        <v>924477</v>
      </c>
      <c r="E12" s="1">
        <v>35.28</v>
      </c>
      <c r="F12">
        <f t="shared" ref="F12:F19" si="1">E12*100/(100-$E$16)</f>
        <v>35.596811623448694</v>
      </c>
      <c r="H12" s="37" t="s">
        <v>310</v>
      </c>
      <c r="I12" s="51"/>
      <c r="J12" s="51"/>
      <c r="K12" s="51">
        <f>AVERAGE(F39,F47,F56)</f>
        <v>0.65902077469397935</v>
      </c>
      <c r="L12" s="51">
        <f>_xlfn.STDEV.S(F39,F47,F56)</f>
        <v>0.1756872966432434</v>
      </c>
      <c r="M12" s="38"/>
      <c r="P12" t="s">
        <v>325</v>
      </c>
      <c r="Q12">
        <v>287.82</v>
      </c>
      <c r="R12">
        <v>1.46</v>
      </c>
      <c r="S12">
        <v>485.4</v>
      </c>
      <c r="T12">
        <v>485.39800000000002</v>
      </c>
      <c r="U12">
        <v>0.43</v>
      </c>
      <c r="X12" s="41" t="s">
        <v>307</v>
      </c>
      <c r="Y12" s="39"/>
      <c r="Z12" s="40"/>
    </row>
    <row r="13" spans="1:27" x14ac:dyDescent="0.25">
      <c r="A13" t="s">
        <v>341</v>
      </c>
      <c r="B13" t="s">
        <v>322</v>
      </c>
      <c r="C13">
        <v>85370.1</v>
      </c>
      <c r="D13">
        <v>29136.6</v>
      </c>
      <c r="E13" s="1">
        <v>1.1100000000000001</v>
      </c>
      <c r="F13">
        <f t="shared" si="1"/>
        <v>1.1199677126425185</v>
      </c>
      <c r="P13" t="s">
        <v>327</v>
      </c>
      <c r="Q13">
        <v>289.02</v>
      </c>
      <c r="R13">
        <v>1.75</v>
      </c>
      <c r="S13">
        <v>1865.37</v>
      </c>
      <c r="T13">
        <v>1865.37</v>
      </c>
      <c r="U13">
        <v>1.66</v>
      </c>
      <c r="X13" s="25"/>
      <c r="Y13" s="28" t="s">
        <v>176</v>
      </c>
      <c r="Z13" s="44" t="s">
        <v>293</v>
      </c>
      <c r="AA13" s="14" t="s">
        <v>286</v>
      </c>
    </row>
    <row r="14" spans="1:27" x14ac:dyDescent="0.25">
      <c r="A14" t="s">
        <v>341</v>
      </c>
      <c r="B14" t="s">
        <v>324</v>
      </c>
      <c r="C14">
        <v>1728764.8</v>
      </c>
      <c r="D14">
        <v>95829.5</v>
      </c>
      <c r="E14" s="1">
        <v>3.66</v>
      </c>
      <c r="F14">
        <f t="shared" si="1"/>
        <v>3.6928665119564119</v>
      </c>
      <c r="P14" t="s">
        <v>329</v>
      </c>
      <c r="Q14">
        <v>292.02</v>
      </c>
      <c r="R14">
        <v>1.21</v>
      </c>
      <c r="S14">
        <v>97570.42</v>
      </c>
      <c r="T14">
        <v>97570.4</v>
      </c>
      <c r="U14">
        <v>86.79</v>
      </c>
      <c r="X14" s="25" t="s">
        <v>295</v>
      </c>
      <c r="Y14" s="52">
        <f>SUM(S6:S8)/SUM(S5:S9)</f>
        <v>3.0487236613723812E-2</v>
      </c>
      <c r="Z14" s="53">
        <f>SUM(S24:S26)/SUM(S23:S27)</f>
        <v>6.3640806642511052E-2</v>
      </c>
    </row>
    <row r="15" spans="1:27" x14ac:dyDescent="0.25">
      <c r="A15" t="s">
        <v>341</v>
      </c>
      <c r="B15" t="s">
        <v>326</v>
      </c>
      <c r="C15">
        <v>6752871.9000000004</v>
      </c>
      <c r="D15" s="36">
        <v>1524350</v>
      </c>
      <c r="E15" s="1">
        <v>58.17</v>
      </c>
      <c r="F15">
        <f t="shared" si="1"/>
        <v>58.692362021995763</v>
      </c>
      <c r="O15" t="s">
        <v>342</v>
      </c>
      <c r="P15" t="s">
        <v>321</v>
      </c>
      <c r="Q15">
        <v>284.79000000000002</v>
      </c>
      <c r="R15">
        <v>1.4</v>
      </c>
      <c r="S15">
        <v>14725.19</v>
      </c>
      <c r="T15">
        <v>14725.2</v>
      </c>
      <c r="U15">
        <v>14.32</v>
      </c>
      <c r="X15" s="25" t="s">
        <v>298</v>
      </c>
      <c r="Y15" s="52">
        <f>SUM(S11:S13)/SUM(S10:S14)</f>
        <v>3.0602721002874922E-2</v>
      </c>
      <c r="Z15" s="53">
        <f>SUM(S31:S33)/SUM(S30:S34)</f>
        <v>6.4253992028757853E-2</v>
      </c>
    </row>
    <row r="16" spans="1:27" x14ac:dyDescent="0.25">
      <c r="A16" t="s">
        <v>341</v>
      </c>
      <c r="B16" t="s">
        <v>328</v>
      </c>
      <c r="C16">
        <v>462582.7</v>
      </c>
      <c r="D16">
        <v>23280.5</v>
      </c>
      <c r="E16" s="1">
        <v>0.89</v>
      </c>
      <c r="F16">
        <f t="shared" si="1"/>
        <v>0.89799212995661382</v>
      </c>
      <c r="P16" t="s">
        <v>323</v>
      </c>
      <c r="Q16">
        <v>286.12</v>
      </c>
      <c r="R16">
        <v>1.75</v>
      </c>
      <c r="S16">
        <v>2075.11</v>
      </c>
      <c r="T16">
        <v>2075.11</v>
      </c>
      <c r="U16">
        <v>2.02</v>
      </c>
      <c r="X16" s="25" t="s">
        <v>301</v>
      </c>
      <c r="Y16" s="52">
        <f>SUM(S16:S18)/SUM(S15:S19)</f>
        <v>4.3980247133540158E-2</v>
      </c>
      <c r="Z16" s="53">
        <f>SUM(S38:S40)/SUM(S37:S41)</f>
        <v>7.7905515599367994E-2</v>
      </c>
    </row>
    <row r="17" spans="1:27" x14ac:dyDescent="0.25">
      <c r="A17" t="s">
        <v>341</v>
      </c>
      <c r="B17" t="s">
        <v>330</v>
      </c>
      <c r="C17">
        <v>51604.5</v>
      </c>
      <c r="D17">
        <v>10178.4</v>
      </c>
      <c r="E17" s="1">
        <v>0.39</v>
      </c>
      <c r="F17">
        <f t="shared" si="1"/>
        <v>0.3935021693068308</v>
      </c>
      <c r="I17" s="1"/>
      <c r="J17" s="1"/>
      <c r="L17" s="1"/>
      <c r="M17" s="1"/>
      <c r="P17" t="s">
        <v>325</v>
      </c>
      <c r="Q17">
        <v>287.79000000000002</v>
      </c>
      <c r="R17">
        <v>1.4</v>
      </c>
      <c r="S17">
        <v>477.22</v>
      </c>
      <c r="T17">
        <v>477.21699999999998</v>
      </c>
      <c r="U17">
        <v>0.46</v>
      </c>
      <c r="X17" s="34" t="s">
        <v>170</v>
      </c>
      <c r="Y17" s="54">
        <f>AVERAGE(Y14:Y16)</f>
        <v>3.5023401583379632E-2</v>
      </c>
      <c r="Z17" s="55">
        <f>AVERAGE(Z14:Z16)</f>
        <v>6.8600104756878957E-2</v>
      </c>
    </row>
    <row r="18" spans="1:27" ht="15.75" thickBot="1" x14ac:dyDescent="0.3">
      <c r="A18" t="s">
        <v>341</v>
      </c>
      <c r="B18" t="s">
        <v>334</v>
      </c>
      <c r="C18">
        <v>12027.2</v>
      </c>
      <c r="D18">
        <v>7171.88</v>
      </c>
      <c r="E18" s="1">
        <v>0.27</v>
      </c>
      <c r="F18">
        <f t="shared" si="1"/>
        <v>0.27242457875088288</v>
      </c>
      <c r="I18" s="1"/>
      <c r="J18" s="1"/>
      <c r="L18" s="1"/>
      <c r="M18" s="1"/>
      <c r="P18" t="s">
        <v>327</v>
      </c>
      <c r="Q18">
        <v>289.02</v>
      </c>
      <c r="R18">
        <v>1.75</v>
      </c>
      <c r="S18">
        <v>1969.92</v>
      </c>
      <c r="T18">
        <v>1969.92</v>
      </c>
      <c r="U18">
        <v>1.92</v>
      </c>
      <c r="X18" s="56" t="s">
        <v>174</v>
      </c>
      <c r="Y18" s="57">
        <f>_xlfn.STDEV.S(Y14:Y16)/SQRT(3)</f>
        <v>4.4785468557746577E-3</v>
      </c>
      <c r="Z18" s="59">
        <f>_xlfn.STDEV.S(Z14:Z16)/SQRT(3)</f>
        <v>4.6560713872717107E-3</v>
      </c>
    </row>
    <row r="19" spans="1:27" ht="15.75" thickBot="1" x14ac:dyDescent="0.3">
      <c r="A19" t="s">
        <v>341</v>
      </c>
      <c r="B19" t="s">
        <v>343</v>
      </c>
      <c r="C19">
        <v>13685.2</v>
      </c>
      <c r="D19">
        <v>5989.13</v>
      </c>
      <c r="E19" s="1">
        <v>0.23</v>
      </c>
      <c r="F19">
        <f t="shared" si="1"/>
        <v>0.23206538189890022</v>
      </c>
      <c r="I19" s="1"/>
      <c r="J19" s="1"/>
      <c r="L19" s="1"/>
      <c r="M19" s="1"/>
      <c r="P19" t="s">
        <v>329</v>
      </c>
      <c r="Q19">
        <v>292.08999999999997</v>
      </c>
      <c r="R19">
        <v>1.28</v>
      </c>
      <c r="S19">
        <v>83577.13</v>
      </c>
      <c r="T19">
        <v>83577.100000000006</v>
      </c>
      <c r="U19">
        <v>81.28</v>
      </c>
    </row>
    <row r="20" spans="1:27" ht="15.75" thickBot="1" x14ac:dyDescent="0.3">
      <c r="A20" t="s">
        <v>342</v>
      </c>
      <c r="B20" t="s">
        <v>320</v>
      </c>
      <c r="C20" s="3">
        <v>863664.5</v>
      </c>
      <c r="D20">
        <v>863664</v>
      </c>
      <c r="E20" s="1">
        <v>36.619999999999997</v>
      </c>
      <c r="F20">
        <f t="shared" ref="F20:F27" si="2">E20*100/(100-$E$24)</f>
        <v>36.997373206708417</v>
      </c>
      <c r="I20" s="1"/>
      <c r="J20" s="1"/>
      <c r="L20" s="1"/>
      <c r="M20" s="1"/>
      <c r="X20" s="41" t="s">
        <v>311</v>
      </c>
      <c r="Y20" s="39"/>
      <c r="Z20" s="40"/>
    </row>
    <row r="21" spans="1:27" x14ac:dyDescent="0.25">
      <c r="A21" t="s">
        <v>342</v>
      </c>
      <c r="B21" t="s">
        <v>322</v>
      </c>
      <c r="C21">
        <v>83177.100000000006</v>
      </c>
      <c r="D21">
        <v>28388.1</v>
      </c>
      <c r="E21" s="1">
        <v>1.2</v>
      </c>
      <c r="F21">
        <f t="shared" si="2"/>
        <v>1.2123661345726409</v>
      </c>
      <c r="I21" s="1"/>
      <c r="J21" s="1"/>
      <c r="L21" s="1"/>
      <c r="M21" s="1"/>
      <c r="O21" s="2" t="s">
        <v>293</v>
      </c>
      <c r="X21" s="25"/>
      <c r="Y21" s="28" t="s">
        <v>176</v>
      </c>
      <c r="Z21" s="44" t="s">
        <v>293</v>
      </c>
      <c r="AA21" s="14" t="s">
        <v>286</v>
      </c>
    </row>
    <row r="22" spans="1:27" x14ac:dyDescent="0.25">
      <c r="A22" t="s">
        <v>342</v>
      </c>
      <c r="B22" t="s">
        <v>324</v>
      </c>
      <c r="C22">
        <v>1581422.6</v>
      </c>
      <c r="D22">
        <v>87662</v>
      </c>
      <c r="E22" s="1">
        <v>3.72</v>
      </c>
      <c r="F22">
        <f t="shared" si="2"/>
        <v>3.7583350171751868</v>
      </c>
      <c r="I22" s="1"/>
      <c r="J22" s="1"/>
      <c r="L22" s="1"/>
      <c r="M22" s="1"/>
      <c r="O22" t="s">
        <v>313</v>
      </c>
      <c r="P22" s="2" t="s">
        <v>314</v>
      </c>
      <c r="Q22" t="s">
        <v>318</v>
      </c>
      <c r="R22" t="s">
        <v>319</v>
      </c>
      <c r="S22" s="2" t="s">
        <v>315</v>
      </c>
      <c r="T22" t="s">
        <v>316</v>
      </c>
      <c r="U22" t="s">
        <v>317</v>
      </c>
      <c r="X22" s="25" t="s">
        <v>295</v>
      </c>
      <c r="Y22" s="35">
        <f>SUM(S5)/SUM(S5:S9)</f>
        <v>0.13078988979778669</v>
      </c>
      <c r="Z22" s="47">
        <f>SUM(S23)/SUM(S23:S27)</f>
        <v>0.45850506522585899</v>
      </c>
    </row>
    <row r="23" spans="1:27" x14ac:dyDescent="0.25">
      <c r="A23" t="s">
        <v>342</v>
      </c>
      <c r="B23" t="s">
        <v>326</v>
      </c>
      <c r="C23">
        <v>5902148.7000000002</v>
      </c>
      <c r="D23" s="36">
        <v>1332310</v>
      </c>
      <c r="E23" s="1">
        <v>56.5</v>
      </c>
      <c r="F23">
        <f t="shared" si="2"/>
        <v>57.082238836128511</v>
      </c>
      <c r="I23" s="1"/>
      <c r="J23" s="1"/>
      <c r="L23" s="1"/>
      <c r="M23" s="1"/>
      <c r="O23" t="s">
        <v>336</v>
      </c>
      <c r="P23" t="s">
        <v>321</v>
      </c>
      <c r="Q23">
        <v>284.8</v>
      </c>
      <c r="R23">
        <v>1.38</v>
      </c>
      <c r="S23">
        <v>55548.15</v>
      </c>
      <c r="T23">
        <v>55548.2</v>
      </c>
      <c r="U23">
        <v>44.89</v>
      </c>
      <c r="X23" s="25" t="s">
        <v>298</v>
      </c>
      <c r="Y23" s="35">
        <f>SUM(S10)/SUM(S10:S14)</f>
        <v>0.10151827915020629</v>
      </c>
      <c r="Z23" s="47">
        <f>SUM(S30)/SUM(S30:S34)</f>
        <v>0.50001427998485592</v>
      </c>
    </row>
    <row r="24" spans="1:27" x14ac:dyDescent="0.25">
      <c r="A24" t="s">
        <v>342</v>
      </c>
      <c r="B24" t="s">
        <v>328</v>
      </c>
      <c r="C24">
        <v>479858.3</v>
      </c>
      <c r="D24">
        <v>24149.9</v>
      </c>
      <c r="E24" s="1">
        <v>1.02</v>
      </c>
      <c r="F24">
        <f t="shared" si="2"/>
        <v>1.0305112143867448</v>
      </c>
      <c r="I24" s="1"/>
      <c r="J24" s="1"/>
      <c r="L24" s="1"/>
      <c r="M24" s="1"/>
      <c r="P24" t="s">
        <v>323</v>
      </c>
      <c r="Q24">
        <v>286.52</v>
      </c>
      <c r="R24">
        <v>1.35</v>
      </c>
      <c r="S24">
        <v>4217.72</v>
      </c>
      <c r="T24">
        <v>4217.72</v>
      </c>
      <c r="U24">
        <v>3.41</v>
      </c>
      <c r="X24" s="25" t="s">
        <v>301</v>
      </c>
      <c r="Y24" s="35">
        <f>SUM(S15)/SUM(S15:S19)</f>
        <v>0.14320692029152177</v>
      </c>
      <c r="Z24" s="47">
        <f>SUM(S37)/SUM(S37:S41)</f>
        <v>0.4815548787788253</v>
      </c>
    </row>
    <row r="25" spans="1:27" x14ac:dyDescent="0.25">
      <c r="A25" t="s">
        <v>342</v>
      </c>
      <c r="B25" t="s">
        <v>330</v>
      </c>
      <c r="C25">
        <v>58682.2</v>
      </c>
      <c r="D25">
        <v>11574.4</v>
      </c>
      <c r="E25" s="1">
        <v>0.49</v>
      </c>
      <c r="F25">
        <f t="shared" si="2"/>
        <v>0.49504950495049505</v>
      </c>
      <c r="H25" s="13"/>
      <c r="I25" s="1"/>
      <c r="J25" s="1"/>
      <c r="L25" s="1"/>
      <c r="M25" s="1"/>
      <c r="P25" t="s">
        <v>325</v>
      </c>
      <c r="Q25">
        <v>287.8</v>
      </c>
      <c r="R25">
        <v>1.38</v>
      </c>
      <c r="S25">
        <v>1270.1300000000001</v>
      </c>
      <c r="T25">
        <v>1270.1300000000001</v>
      </c>
      <c r="U25">
        <v>1.03</v>
      </c>
      <c r="X25" s="25" t="s">
        <v>170</v>
      </c>
      <c r="Y25" s="60">
        <f>AVERAGE(Y22:Y24)</f>
        <v>0.12517169641317158</v>
      </c>
      <c r="Z25" s="61">
        <f>AVERAGE(Z22:Z24)</f>
        <v>0.48002474132984679</v>
      </c>
    </row>
    <row r="26" spans="1:27" ht="15.75" thickBot="1" x14ac:dyDescent="0.3">
      <c r="A26" t="s">
        <v>342</v>
      </c>
      <c r="B26" t="s">
        <v>334</v>
      </c>
      <c r="C26">
        <v>9074.9</v>
      </c>
      <c r="D26">
        <v>5411.38</v>
      </c>
      <c r="E26" s="1">
        <v>0.23</v>
      </c>
      <c r="F26">
        <f t="shared" si="2"/>
        <v>0.2323701757930895</v>
      </c>
      <c r="P26" t="s">
        <v>327</v>
      </c>
      <c r="Q26">
        <v>288.63</v>
      </c>
      <c r="R26">
        <v>1.47</v>
      </c>
      <c r="S26">
        <v>2222.27</v>
      </c>
      <c r="T26">
        <v>2222.27</v>
      </c>
      <c r="U26">
        <v>1.8</v>
      </c>
      <c r="X26" s="37" t="s">
        <v>174</v>
      </c>
      <c r="Y26" s="58">
        <f>_xlfn.STDEV.S(Y22:Y24)/SQRT(3)</f>
        <v>1.2357976813008199E-2</v>
      </c>
      <c r="Z26" s="62">
        <f>_xlfn.STDEV.S(Z22:Z24)/SQRT(3)</f>
        <v>1.2007077328763334E-2</v>
      </c>
    </row>
    <row r="27" spans="1:27" x14ac:dyDescent="0.25">
      <c r="A27" t="s">
        <v>342</v>
      </c>
      <c r="B27" t="s">
        <v>343</v>
      </c>
      <c r="C27">
        <v>11611.9</v>
      </c>
      <c r="D27">
        <v>5081.8</v>
      </c>
      <c r="E27" s="1">
        <v>0.22</v>
      </c>
      <c r="F27">
        <f t="shared" si="2"/>
        <v>0.22226712467165083</v>
      </c>
      <c r="P27" t="s">
        <v>329</v>
      </c>
      <c r="Q27">
        <v>291.97000000000003</v>
      </c>
      <c r="R27">
        <v>1.31</v>
      </c>
      <c r="S27">
        <v>57892.3</v>
      </c>
      <c r="T27">
        <v>57892.3</v>
      </c>
      <c r="U27">
        <v>46.79</v>
      </c>
    </row>
    <row r="28" spans="1:27" x14ac:dyDescent="0.25">
      <c r="P28" t="s">
        <v>331</v>
      </c>
      <c r="Q28">
        <v>292.77999999999997</v>
      </c>
      <c r="R28">
        <v>1.38</v>
      </c>
      <c r="S28">
        <v>6850.74</v>
      </c>
      <c r="T28">
        <v>1725.63</v>
      </c>
      <c r="U28">
        <v>1.39</v>
      </c>
    </row>
    <row r="29" spans="1:27" x14ac:dyDescent="0.25">
      <c r="A29" s="2" t="s">
        <v>293</v>
      </c>
      <c r="P29" t="s">
        <v>333</v>
      </c>
      <c r="Q29">
        <v>295.58</v>
      </c>
      <c r="R29">
        <v>1.38</v>
      </c>
      <c r="S29">
        <v>3425.09</v>
      </c>
      <c r="T29">
        <v>862.74300000000005</v>
      </c>
      <c r="U29">
        <v>0.7</v>
      </c>
    </row>
    <row r="30" spans="1:27" x14ac:dyDescent="0.25">
      <c r="A30" t="s">
        <v>313</v>
      </c>
      <c r="B30" t="s">
        <v>314</v>
      </c>
      <c r="C30" t="s">
        <v>315</v>
      </c>
      <c r="D30" t="s">
        <v>316</v>
      </c>
      <c r="E30" t="s">
        <v>317</v>
      </c>
      <c r="F30" t="s">
        <v>338</v>
      </c>
      <c r="G30" s="14" t="s">
        <v>286</v>
      </c>
      <c r="O30" t="s">
        <v>337</v>
      </c>
      <c r="P30" t="s">
        <v>321</v>
      </c>
      <c r="Q30">
        <v>284.8</v>
      </c>
      <c r="R30">
        <v>1.4</v>
      </c>
      <c r="S30">
        <v>61451.4</v>
      </c>
      <c r="T30">
        <v>61451.4</v>
      </c>
      <c r="U30">
        <v>48.77</v>
      </c>
    </row>
    <row r="31" spans="1:27" x14ac:dyDescent="0.25">
      <c r="A31" t="s">
        <v>336</v>
      </c>
      <c r="B31" t="s">
        <v>320</v>
      </c>
      <c r="C31" s="3">
        <v>1043740.8</v>
      </c>
      <c r="D31" s="36">
        <v>1043740</v>
      </c>
      <c r="E31">
        <v>46.89</v>
      </c>
      <c r="F31">
        <f>E31*100/(100-$E$35+$E$39)</f>
        <v>46.591812400635931</v>
      </c>
      <c r="P31" t="s">
        <v>323</v>
      </c>
      <c r="Q31">
        <v>286.52</v>
      </c>
      <c r="R31">
        <v>1.35</v>
      </c>
      <c r="S31">
        <v>4692.03</v>
      </c>
      <c r="T31">
        <v>4692.03</v>
      </c>
      <c r="U31">
        <v>3.72</v>
      </c>
    </row>
    <row r="32" spans="1:27" x14ac:dyDescent="0.25">
      <c r="A32" t="s">
        <v>336</v>
      </c>
      <c r="B32" t="s">
        <v>322</v>
      </c>
      <c r="C32">
        <v>360161.6</v>
      </c>
      <c r="D32">
        <v>122922</v>
      </c>
      <c r="E32">
        <v>5.52</v>
      </c>
      <c r="F32">
        <f>E32*100/(100-$E$35+$E$39)</f>
        <v>5.4848966613672498</v>
      </c>
      <c r="P32" t="s">
        <v>325</v>
      </c>
      <c r="Q32">
        <v>287.8</v>
      </c>
      <c r="R32">
        <v>1.4</v>
      </c>
      <c r="S32">
        <v>1090.18</v>
      </c>
      <c r="T32">
        <v>1090.18</v>
      </c>
      <c r="U32">
        <v>0.87</v>
      </c>
    </row>
    <row r="33" spans="1:21" x14ac:dyDescent="0.25">
      <c r="A33" t="s">
        <v>336</v>
      </c>
      <c r="B33" t="s">
        <v>324</v>
      </c>
      <c r="C33">
        <v>1950600.3</v>
      </c>
      <c r="D33">
        <v>108126</v>
      </c>
      <c r="E33">
        <v>4.8600000000000003</v>
      </c>
      <c r="F33">
        <f>E33*100/(100-$E$35+$E$39)</f>
        <v>4.8290937996820356</v>
      </c>
      <c r="P33" t="s">
        <v>327</v>
      </c>
      <c r="Q33">
        <v>288.77</v>
      </c>
      <c r="R33">
        <v>1.48</v>
      </c>
      <c r="S33">
        <v>2114.56</v>
      </c>
      <c r="T33">
        <v>2114.56</v>
      </c>
      <c r="U33">
        <v>1.68</v>
      </c>
    </row>
    <row r="34" spans="1:21" x14ac:dyDescent="0.25">
      <c r="A34" t="s">
        <v>336</v>
      </c>
      <c r="B34" t="s">
        <v>326</v>
      </c>
      <c r="C34">
        <v>4114791.8</v>
      </c>
      <c r="D34">
        <v>928847</v>
      </c>
      <c r="E34">
        <v>41.73</v>
      </c>
      <c r="F34">
        <f>E34*100/(100-$E$35+$E$39)</f>
        <v>41.464626391096978</v>
      </c>
      <c r="P34" t="s">
        <v>329</v>
      </c>
      <c r="Q34">
        <v>292.02999999999997</v>
      </c>
      <c r="R34">
        <v>1.35</v>
      </c>
      <c r="S34">
        <v>53551.12</v>
      </c>
      <c r="T34">
        <v>53551.1</v>
      </c>
      <c r="U34">
        <v>42.5</v>
      </c>
    </row>
    <row r="35" spans="1:21" x14ac:dyDescent="0.25">
      <c r="A35" t="s">
        <v>336</v>
      </c>
      <c r="B35" t="s">
        <v>328</v>
      </c>
      <c r="C35">
        <v>24571.3</v>
      </c>
      <c r="D35">
        <v>1236.5999999999999</v>
      </c>
      <c r="E35">
        <v>0.06</v>
      </c>
      <c r="P35" t="s">
        <v>331</v>
      </c>
      <c r="Q35">
        <v>292.85000000000002</v>
      </c>
      <c r="R35">
        <v>1.26</v>
      </c>
      <c r="S35">
        <v>8201.84</v>
      </c>
      <c r="T35">
        <v>2065.96</v>
      </c>
      <c r="U35">
        <v>1.64</v>
      </c>
    </row>
    <row r="36" spans="1:21" x14ac:dyDescent="0.25">
      <c r="A36" t="s">
        <v>336</v>
      </c>
      <c r="B36" t="s">
        <v>330</v>
      </c>
      <c r="C36">
        <v>5711.7</v>
      </c>
      <c r="D36">
        <v>1126.57</v>
      </c>
      <c r="E36">
        <v>0.05</v>
      </c>
      <c r="F36">
        <f>E36*100/(100-$E$35+$E$39)</f>
        <v>4.9682034976152624E-2</v>
      </c>
      <c r="P36" t="s">
        <v>333</v>
      </c>
      <c r="Q36">
        <v>295.64999999999998</v>
      </c>
      <c r="R36">
        <v>1.26</v>
      </c>
      <c r="S36">
        <v>4100.59</v>
      </c>
      <c r="T36">
        <v>1032.8900000000001</v>
      </c>
      <c r="U36">
        <v>0.82</v>
      </c>
    </row>
    <row r="37" spans="1:21" x14ac:dyDescent="0.25">
      <c r="A37" t="s">
        <v>336</v>
      </c>
      <c r="B37" t="s">
        <v>332</v>
      </c>
      <c r="C37">
        <v>16880.2</v>
      </c>
      <c r="D37">
        <v>17675.599999999999</v>
      </c>
      <c r="E37">
        <v>0.79</v>
      </c>
      <c r="F37">
        <f>E37*100/(100-$E$35+$E$39)</f>
        <v>0.78497615262321141</v>
      </c>
      <c r="O37" t="s">
        <v>339</v>
      </c>
      <c r="P37" t="s">
        <v>321</v>
      </c>
      <c r="Q37">
        <v>284.8</v>
      </c>
      <c r="R37">
        <v>1.44</v>
      </c>
      <c r="S37">
        <v>65359.06</v>
      </c>
      <c r="T37">
        <v>65359.1</v>
      </c>
      <c r="U37">
        <v>47.48</v>
      </c>
    </row>
    <row r="38" spans="1:21" x14ac:dyDescent="0.25">
      <c r="A38" t="s">
        <v>336</v>
      </c>
      <c r="B38" t="s">
        <v>335</v>
      </c>
      <c r="C38">
        <v>20831.599999999999</v>
      </c>
      <c r="D38">
        <v>2405.4899999999998</v>
      </c>
      <c r="E38">
        <v>0.11</v>
      </c>
      <c r="F38">
        <f>E38*100/(100-$E$35+$E$39)</f>
        <v>0.10930047694753577</v>
      </c>
      <c r="P38" t="s">
        <v>323</v>
      </c>
      <c r="Q38">
        <v>286.12</v>
      </c>
      <c r="R38">
        <v>1.75</v>
      </c>
      <c r="S38">
        <v>7349.73</v>
      </c>
      <c r="T38">
        <v>7349.73</v>
      </c>
      <c r="U38">
        <v>5.34</v>
      </c>
    </row>
    <row r="39" spans="1:21" x14ac:dyDescent="0.25">
      <c r="A39" t="s">
        <v>336</v>
      </c>
      <c r="B39" t="s">
        <v>333</v>
      </c>
      <c r="C39">
        <v>3425.09</v>
      </c>
      <c r="D39">
        <v>862.74300000000005</v>
      </c>
      <c r="E39">
        <v>0.7</v>
      </c>
      <c r="F39">
        <f>E39*100/(100-$E$35+$E$39)</f>
        <v>0.69554848966613669</v>
      </c>
      <c r="P39" t="s">
        <v>325</v>
      </c>
      <c r="Q39">
        <v>287.8</v>
      </c>
      <c r="R39">
        <v>1.44</v>
      </c>
      <c r="S39">
        <v>2094.52</v>
      </c>
      <c r="T39">
        <v>2094.52</v>
      </c>
      <c r="U39">
        <v>1.52</v>
      </c>
    </row>
    <row r="40" spans="1:21" x14ac:dyDescent="0.25">
      <c r="A40" t="s">
        <v>337</v>
      </c>
      <c r="B40" t="s">
        <v>320</v>
      </c>
      <c r="C40" s="3">
        <v>1094854.1000000001</v>
      </c>
      <c r="D40" s="36">
        <v>1094850</v>
      </c>
      <c r="E40">
        <v>50.47</v>
      </c>
      <c r="F40">
        <f>E40*100/(100-$E$44+$E$47)</f>
        <v>50.074412144061917</v>
      </c>
      <c r="P40" t="s">
        <v>327</v>
      </c>
      <c r="Q40">
        <v>288.99</v>
      </c>
      <c r="R40">
        <v>1.35</v>
      </c>
      <c r="S40">
        <v>1129.48</v>
      </c>
      <c r="T40">
        <v>1129.48</v>
      </c>
      <c r="U40">
        <v>0.82</v>
      </c>
    </row>
    <row r="41" spans="1:21" x14ac:dyDescent="0.25">
      <c r="A41" t="s">
        <v>337</v>
      </c>
      <c r="B41" t="s">
        <v>322</v>
      </c>
      <c r="C41">
        <v>429632.8</v>
      </c>
      <c r="D41">
        <v>146632</v>
      </c>
      <c r="E41">
        <v>6.76</v>
      </c>
      <c r="F41">
        <f>E41*100/(100-$E$44+$E$47)</f>
        <v>6.7070145847802367</v>
      </c>
      <c r="P41" t="s">
        <v>329</v>
      </c>
      <c r="Q41">
        <v>292.13</v>
      </c>
      <c r="R41">
        <v>1.1100000000000001</v>
      </c>
      <c r="S41">
        <v>59792.26</v>
      </c>
      <c r="T41">
        <v>59792.3</v>
      </c>
      <c r="U41">
        <v>43.44</v>
      </c>
    </row>
    <row r="42" spans="1:21" x14ac:dyDescent="0.25">
      <c r="A42" t="s">
        <v>337</v>
      </c>
      <c r="B42" t="s">
        <v>324</v>
      </c>
      <c r="C42">
        <v>1308348.3</v>
      </c>
      <c r="D42">
        <v>72524.800000000003</v>
      </c>
      <c r="E42">
        <v>3.34</v>
      </c>
      <c r="F42">
        <f>E42*100/(100-$E$44+$E$47)</f>
        <v>3.3138208155570994</v>
      </c>
      <c r="P42" t="s">
        <v>331</v>
      </c>
      <c r="Q42">
        <v>293.08999999999997</v>
      </c>
      <c r="R42">
        <v>1.24</v>
      </c>
      <c r="S42">
        <v>5113.97</v>
      </c>
      <c r="T42">
        <v>1288.1500000000001</v>
      </c>
      <c r="U42">
        <v>0.94</v>
      </c>
    </row>
    <row r="43" spans="1:21" x14ac:dyDescent="0.25">
      <c r="A43" t="s">
        <v>337</v>
      </c>
      <c r="B43" t="s">
        <v>326</v>
      </c>
      <c r="C43">
        <v>3678190.1</v>
      </c>
      <c r="D43">
        <v>830291</v>
      </c>
      <c r="E43">
        <v>38.28</v>
      </c>
      <c r="F43">
        <f>E43*100/(100-$E$44+$E$47)</f>
        <v>37.979958329199327</v>
      </c>
      <c r="P43" t="s">
        <v>333</v>
      </c>
      <c r="Q43">
        <v>295.89</v>
      </c>
      <c r="R43">
        <v>1.24</v>
      </c>
      <c r="S43">
        <v>2556.7800000000002</v>
      </c>
      <c r="T43">
        <v>644.02499999999998</v>
      </c>
      <c r="U43">
        <v>0.47</v>
      </c>
    </row>
    <row r="44" spans="1:21" x14ac:dyDescent="0.25">
      <c r="A44" t="s">
        <v>337</v>
      </c>
      <c r="B44" t="s">
        <v>328</v>
      </c>
      <c r="C44">
        <v>12430.1</v>
      </c>
      <c r="D44">
        <v>625.57000000000005</v>
      </c>
      <c r="E44">
        <v>0.03</v>
      </c>
    </row>
    <row r="45" spans="1:21" x14ac:dyDescent="0.25">
      <c r="A45" t="s">
        <v>337</v>
      </c>
      <c r="B45" t="s">
        <v>332</v>
      </c>
      <c r="C45">
        <v>17916.900000000001</v>
      </c>
      <c r="D45">
        <v>18761.099999999999</v>
      </c>
      <c r="E45">
        <v>0.86</v>
      </c>
      <c r="F45">
        <f>E45*100/(100-$E$44+$E$47)</f>
        <v>0.85325925190991181</v>
      </c>
    </row>
    <row r="46" spans="1:21" x14ac:dyDescent="0.25">
      <c r="A46" t="s">
        <v>337</v>
      </c>
      <c r="B46" t="s">
        <v>335</v>
      </c>
      <c r="C46">
        <v>47935.3</v>
      </c>
      <c r="D46">
        <v>5535.25</v>
      </c>
      <c r="E46">
        <v>0.26</v>
      </c>
      <c r="F46">
        <f>E46*100/(100-$E$44+$E$47)</f>
        <v>0.2579620994146245</v>
      </c>
    </row>
    <row r="47" spans="1:21" x14ac:dyDescent="0.25">
      <c r="A47" t="s">
        <v>337</v>
      </c>
      <c r="B47" t="s">
        <v>333</v>
      </c>
      <c r="C47">
        <v>4100.59</v>
      </c>
      <c r="D47">
        <v>1032.8900000000001</v>
      </c>
      <c r="E47">
        <v>0.82</v>
      </c>
      <c r="F47">
        <f>E47*100/(100-$E$44+$E$47)</f>
        <v>0.81357277507689263</v>
      </c>
    </row>
    <row r="48" spans="1:21" x14ac:dyDescent="0.25">
      <c r="A48" t="s">
        <v>339</v>
      </c>
      <c r="B48" t="s">
        <v>320</v>
      </c>
      <c r="C48" s="3">
        <v>1131799.3999999999</v>
      </c>
      <c r="D48" s="36">
        <v>1131800</v>
      </c>
      <c r="E48">
        <v>49.68</v>
      </c>
      <c r="F48">
        <f t="shared" ref="F48:F56" si="3">E48*100/(100-$E$52+$E$56)</f>
        <v>49.462365591397848</v>
      </c>
    </row>
    <row r="49" spans="1:7" x14ac:dyDescent="0.25">
      <c r="A49" t="s">
        <v>339</v>
      </c>
      <c r="B49" t="s">
        <v>322</v>
      </c>
      <c r="C49">
        <v>353587.1</v>
      </c>
      <c r="D49">
        <v>120678</v>
      </c>
      <c r="E49">
        <v>5.3</v>
      </c>
      <c r="F49">
        <f t="shared" si="3"/>
        <v>5.2767821585025887</v>
      </c>
    </row>
    <row r="50" spans="1:7" x14ac:dyDescent="0.25">
      <c r="A50" t="s">
        <v>339</v>
      </c>
      <c r="B50" t="s">
        <v>324</v>
      </c>
      <c r="C50">
        <v>1174492</v>
      </c>
      <c r="D50">
        <v>65104.9</v>
      </c>
      <c r="E50">
        <v>2.86</v>
      </c>
      <c r="F50">
        <f t="shared" si="3"/>
        <v>2.8474711270410196</v>
      </c>
    </row>
    <row r="51" spans="1:7" x14ac:dyDescent="0.25">
      <c r="A51" t="s">
        <v>339</v>
      </c>
      <c r="B51" t="s">
        <v>326</v>
      </c>
      <c r="C51">
        <v>4149335.2</v>
      </c>
      <c r="D51">
        <v>936645</v>
      </c>
      <c r="E51">
        <v>41.11</v>
      </c>
      <c r="F51">
        <f t="shared" si="3"/>
        <v>40.929908403026687</v>
      </c>
    </row>
    <row r="52" spans="1:7" x14ac:dyDescent="0.25">
      <c r="A52" t="s">
        <v>339</v>
      </c>
      <c r="B52" t="s">
        <v>328</v>
      </c>
      <c r="C52">
        <v>14984.7</v>
      </c>
      <c r="D52">
        <v>754.13900000000001</v>
      </c>
      <c r="E52">
        <v>0.03</v>
      </c>
      <c r="F52">
        <f t="shared" si="3"/>
        <v>2.986857825567503E-2</v>
      </c>
    </row>
    <row r="53" spans="1:7" x14ac:dyDescent="0.25">
      <c r="A53" t="s">
        <v>339</v>
      </c>
      <c r="B53" t="s">
        <v>330</v>
      </c>
      <c r="C53">
        <v>7289.5</v>
      </c>
      <c r="D53">
        <v>1437.77</v>
      </c>
      <c r="E53">
        <v>0.06</v>
      </c>
      <c r="F53">
        <f t="shared" si="3"/>
        <v>5.9737156511350059E-2</v>
      </c>
    </row>
    <row r="54" spans="1:7" x14ac:dyDescent="0.25">
      <c r="A54" t="s">
        <v>339</v>
      </c>
      <c r="B54" t="s">
        <v>332</v>
      </c>
      <c r="C54">
        <v>15043.7</v>
      </c>
      <c r="D54">
        <v>15752.5</v>
      </c>
      <c r="E54">
        <v>0.69</v>
      </c>
      <c r="F54">
        <f t="shared" si="3"/>
        <v>0.68697729988052569</v>
      </c>
    </row>
    <row r="55" spans="1:7" x14ac:dyDescent="0.25">
      <c r="A55" t="s">
        <v>339</v>
      </c>
      <c r="B55" t="s">
        <v>335</v>
      </c>
      <c r="C55">
        <v>52960.800000000003</v>
      </c>
      <c r="D55">
        <v>6115.56</v>
      </c>
      <c r="E55">
        <v>0.27</v>
      </c>
      <c r="F55">
        <f t="shared" si="3"/>
        <v>0.26881720430107525</v>
      </c>
    </row>
    <row r="56" spans="1:7" x14ac:dyDescent="0.25">
      <c r="A56" t="s">
        <v>339</v>
      </c>
      <c r="B56" t="s">
        <v>333</v>
      </c>
      <c r="C56">
        <v>2556.7800000000002</v>
      </c>
      <c r="D56">
        <v>644.02499999999998</v>
      </c>
      <c r="E56">
        <v>0.47</v>
      </c>
      <c r="F56">
        <f t="shared" si="3"/>
        <v>0.46794105933890884</v>
      </c>
    </row>
    <row r="60" spans="1:7" x14ac:dyDescent="0.25">
      <c r="G60" s="14" t="s">
        <v>286</v>
      </c>
    </row>
  </sheetData>
  <pageMargins left="0.7" right="0.7" top="0.75" bottom="0.75" header="0.3" footer="0.3"/>
  <pageSetup paperSize="9"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3:S58"/>
  <sheetViews>
    <sheetView zoomScale="175" zoomScaleNormal="175" workbookViewId="0">
      <selection activeCell="B15" sqref="B15"/>
    </sheetView>
  </sheetViews>
  <sheetFormatPr defaultRowHeight="15" x14ac:dyDescent="0.25"/>
  <cols>
    <col min="9" max="9" width="18.5703125" customWidth="1"/>
  </cols>
  <sheetData>
    <row r="3" spans="1:19" x14ac:dyDescent="0.25">
      <c r="K3" t="s">
        <v>246</v>
      </c>
    </row>
    <row r="4" spans="1:19" x14ac:dyDescent="0.25">
      <c r="K4" t="s">
        <v>247</v>
      </c>
    </row>
    <row r="5" spans="1:19" x14ac:dyDescent="0.25">
      <c r="K5" s="14" t="s">
        <v>248</v>
      </c>
    </row>
    <row r="6" spans="1:19" x14ac:dyDescent="0.25">
      <c r="K6" s="15"/>
    </row>
    <row r="11" spans="1:19" x14ac:dyDescent="0.25">
      <c r="A11" t="s">
        <v>249</v>
      </c>
    </row>
    <row r="12" spans="1:19" x14ac:dyDescent="0.25">
      <c r="A12" t="s">
        <v>250</v>
      </c>
    </row>
    <row r="13" spans="1:19" x14ac:dyDescent="0.25">
      <c r="A13" t="s">
        <v>251</v>
      </c>
      <c r="B13" t="s">
        <v>252</v>
      </c>
      <c r="C13" t="s">
        <v>253</v>
      </c>
      <c r="D13" t="s">
        <v>254</v>
      </c>
      <c r="E13" t="s">
        <v>255</v>
      </c>
      <c r="F13" t="s">
        <v>253</v>
      </c>
      <c r="G13" t="s">
        <v>254</v>
      </c>
      <c r="H13" t="s">
        <v>255</v>
      </c>
    </row>
    <row r="14" spans="1:19" x14ac:dyDescent="0.25">
      <c r="C14" t="s">
        <v>256</v>
      </c>
      <c r="D14" t="s">
        <v>256</v>
      </c>
      <c r="E14" t="s">
        <v>256</v>
      </c>
      <c r="F14" t="s">
        <v>257</v>
      </c>
      <c r="G14" t="s">
        <v>257</v>
      </c>
      <c r="H14" t="s">
        <v>257</v>
      </c>
    </row>
    <row r="15" spans="1:19" x14ac:dyDescent="0.25">
      <c r="A15" s="1">
        <f>B15/100</f>
        <v>0</v>
      </c>
      <c r="B15">
        <v>0</v>
      </c>
      <c r="C15" s="8">
        <v>3.6605819732547284E-2</v>
      </c>
      <c r="D15" s="8">
        <v>0.55764501147230527</v>
      </c>
      <c r="E15" s="8">
        <v>0.4057491687951475</v>
      </c>
      <c r="F15" s="8">
        <v>4.1101192571561466E-2</v>
      </c>
      <c r="G15" s="8">
        <v>0.57662925442338575</v>
      </c>
      <c r="H15" s="8">
        <v>0.38226955300505272</v>
      </c>
      <c r="J15" s="1"/>
      <c r="S15" s="1"/>
    </row>
    <row r="16" spans="1:19" x14ac:dyDescent="0.25">
      <c r="A16" s="1">
        <f t="shared" ref="A16:A34" si="0">B16/100</f>
        <v>0.1</v>
      </c>
      <c r="B16">
        <v>10</v>
      </c>
      <c r="C16" s="8">
        <v>3.8841560131313534E-2</v>
      </c>
      <c r="D16" s="8">
        <v>0.56877423818097672</v>
      </c>
      <c r="E16" s="8">
        <v>0.39238420168770977</v>
      </c>
      <c r="F16" s="8">
        <v>4.0794584088611016E-2</v>
      </c>
      <c r="G16" s="8">
        <v>0.56302107547133617</v>
      </c>
      <c r="H16" s="8">
        <v>0.39618434044005268</v>
      </c>
      <c r="J16" s="1"/>
      <c r="S16" s="1"/>
    </row>
    <row r="17" spans="1:19" x14ac:dyDescent="0.25">
      <c r="A17" s="1">
        <f t="shared" si="0"/>
        <v>0.2</v>
      </c>
      <c r="B17">
        <v>20</v>
      </c>
      <c r="C17" s="8">
        <v>3.9082913680459692E-2</v>
      </c>
      <c r="D17" s="8">
        <v>0.55981661345410627</v>
      </c>
      <c r="E17" s="8">
        <v>0.40110047286543399</v>
      </c>
      <c r="F17" s="8">
        <v>4.1560801852517003E-2</v>
      </c>
      <c r="G17" s="8">
        <v>0.56666297001908461</v>
      </c>
      <c r="H17" s="8">
        <v>0.39177622812839835</v>
      </c>
      <c r="J17" s="1"/>
      <c r="S17" s="1"/>
    </row>
    <row r="18" spans="1:19" x14ac:dyDescent="0.25">
      <c r="A18" s="1">
        <f t="shared" si="0"/>
        <v>0.3</v>
      </c>
      <c r="B18">
        <v>30</v>
      </c>
      <c r="C18" s="8">
        <v>3.911024976996709E-2</v>
      </c>
      <c r="D18" s="8">
        <v>0.56477540564150863</v>
      </c>
      <c r="E18" s="8">
        <v>0.39611434458852424</v>
      </c>
      <c r="F18" s="8">
        <v>4.2049024361961188E-2</v>
      </c>
      <c r="G18" s="8">
        <v>0.56245124445240924</v>
      </c>
      <c r="H18" s="8">
        <v>0.39549973118562948</v>
      </c>
      <c r="J18" s="1"/>
      <c r="S18" s="1"/>
    </row>
    <row r="19" spans="1:19" x14ac:dyDescent="0.25">
      <c r="A19" s="1">
        <f t="shared" si="0"/>
        <v>0.4</v>
      </c>
      <c r="B19">
        <v>40</v>
      </c>
      <c r="C19" s="8">
        <v>4.0255116015181752E-2</v>
      </c>
      <c r="D19" s="8">
        <v>0.56466330163947254</v>
      </c>
      <c r="E19" s="8">
        <v>0.39508158234534568</v>
      </c>
      <c r="F19" s="8">
        <v>4.4115948096006351E-2</v>
      </c>
      <c r="G19" s="8">
        <v>0.57719883165724983</v>
      </c>
      <c r="H19" s="8">
        <v>0.37868522024674373</v>
      </c>
      <c r="J19" s="1"/>
      <c r="S19" s="1"/>
    </row>
    <row r="20" spans="1:19" x14ac:dyDescent="0.25">
      <c r="A20" s="1">
        <f t="shared" si="0"/>
        <v>0.5</v>
      </c>
      <c r="B20">
        <v>50</v>
      </c>
      <c r="C20" s="8">
        <v>4.0834212403995547E-2</v>
      </c>
      <c r="D20" s="8">
        <v>0.56486021704829437</v>
      </c>
      <c r="E20" s="8">
        <v>0.39430557054771004</v>
      </c>
      <c r="F20" s="8">
        <v>4.2909992548287756E-2</v>
      </c>
      <c r="G20" s="8">
        <v>0.56114690424220048</v>
      </c>
      <c r="H20" s="8">
        <v>0.39594310320951182</v>
      </c>
      <c r="J20" s="1"/>
      <c r="S20" s="1"/>
    </row>
    <row r="21" spans="1:19" x14ac:dyDescent="0.25">
      <c r="A21" s="1">
        <f t="shared" si="0"/>
        <v>0.6</v>
      </c>
      <c r="B21">
        <v>60</v>
      </c>
      <c r="C21" s="8">
        <v>4.1193527732603791E-2</v>
      </c>
      <c r="D21" s="8">
        <v>0.56146282144640436</v>
      </c>
      <c r="E21" s="8">
        <v>0.39734365082099182</v>
      </c>
      <c r="F21" s="8">
        <v>4.4523718705943835E-2</v>
      </c>
      <c r="G21" s="8">
        <v>0.56422811495477387</v>
      </c>
      <c r="H21" s="8">
        <v>0.39124816633928228</v>
      </c>
      <c r="J21" s="1"/>
      <c r="S21" s="1"/>
    </row>
    <row r="22" spans="1:19" x14ac:dyDescent="0.25">
      <c r="A22" s="1">
        <f t="shared" si="0"/>
        <v>0.7</v>
      </c>
      <c r="B22">
        <v>70</v>
      </c>
      <c r="C22" s="8">
        <v>4.1197615477282824E-2</v>
      </c>
      <c r="D22" s="8">
        <v>0.55503587841494806</v>
      </c>
      <c r="E22" s="8">
        <v>0.4037665061077691</v>
      </c>
      <c r="F22" s="8">
        <v>4.4520134651259841E-2</v>
      </c>
      <c r="G22" s="8">
        <v>0.56222564266446606</v>
      </c>
      <c r="H22" s="8">
        <v>0.39325422268427407</v>
      </c>
      <c r="J22" s="1"/>
      <c r="S22" s="1"/>
    </row>
    <row r="23" spans="1:19" x14ac:dyDescent="0.25">
      <c r="A23" s="1">
        <f t="shared" si="0"/>
        <v>0.80001</v>
      </c>
      <c r="B23">
        <v>80.001000000000005</v>
      </c>
      <c r="C23" s="8">
        <v>4.3492993344853327E-2</v>
      </c>
      <c r="D23" s="8">
        <v>0.57282013498407658</v>
      </c>
      <c r="E23" s="8">
        <v>0.38368687167107007</v>
      </c>
      <c r="F23" s="8">
        <v>4.477528821160523E-2</v>
      </c>
      <c r="G23" s="8">
        <v>0.5633193281257759</v>
      </c>
      <c r="H23" s="8">
        <v>0.39190538366261901</v>
      </c>
      <c r="J23" s="1"/>
      <c r="S23" s="1"/>
    </row>
    <row r="24" spans="1:19" x14ac:dyDescent="0.25">
      <c r="A24" s="1">
        <f t="shared" si="0"/>
        <v>0.90001000000000009</v>
      </c>
      <c r="B24">
        <v>90.001000000000005</v>
      </c>
      <c r="C24" s="8">
        <v>4.2556578524825292E-2</v>
      </c>
      <c r="D24" s="8">
        <v>0.55555577392409716</v>
      </c>
      <c r="E24" s="8">
        <v>0.40188764755107759</v>
      </c>
      <c r="F24" s="8">
        <v>4.4647844261944181E-2</v>
      </c>
      <c r="G24" s="8">
        <v>0.56173946283436338</v>
      </c>
      <c r="H24" s="8">
        <v>0.39361269290369255</v>
      </c>
      <c r="J24" s="1"/>
      <c r="S24" s="1"/>
    </row>
    <row r="25" spans="1:19" x14ac:dyDescent="0.25">
      <c r="A25" s="1">
        <f t="shared" si="0"/>
        <v>1.0000599999999999</v>
      </c>
      <c r="B25">
        <v>100.006</v>
      </c>
      <c r="C25" s="8">
        <v>4.2849081810991604E-2</v>
      </c>
      <c r="D25" s="8">
        <v>0.56046958198686136</v>
      </c>
      <c r="E25" s="8">
        <v>0.39668133620214707</v>
      </c>
      <c r="F25" s="8">
        <v>4.5258920738935497E-2</v>
      </c>
      <c r="G25" s="8">
        <v>0.56184536529782203</v>
      </c>
      <c r="H25" s="8">
        <v>0.39289571396324241</v>
      </c>
      <c r="J25" s="1"/>
      <c r="S25" s="1"/>
    </row>
    <row r="26" spans="1:19" x14ac:dyDescent="0.25">
      <c r="A26" s="1">
        <f t="shared" si="0"/>
        <v>1.10006</v>
      </c>
      <c r="B26">
        <v>110.006</v>
      </c>
      <c r="C26" s="8">
        <v>4.3833477157941524E-2</v>
      </c>
      <c r="D26" s="8">
        <v>0.55771445986030199</v>
      </c>
      <c r="E26" s="8">
        <v>0.39845206298175651</v>
      </c>
      <c r="F26" s="8">
        <v>4.5347506011534346E-2</v>
      </c>
      <c r="G26" s="8">
        <v>0.55785425365212893</v>
      </c>
      <c r="H26" s="8">
        <v>0.39679824033633665</v>
      </c>
      <c r="J26" s="1"/>
      <c r="S26" s="1"/>
    </row>
    <row r="27" spans="1:19" x14ac:dyDescent="0.25">
      <c r="A27" s="1">
        <f t="shared" si="0"/>
        <v>1.2000599999999999</v>
      </c>
      <c r="B27">
        <v>120.006</v>
      </c>
      <c r="C27" s="8">
        <v>4.3779953893353457E-2</v>
      </c>
      <c r="D27" s="8">
        <v>0.56367511427771266</v>
      </c>
      <c r="E27" s="8">
        <v>0.39254493182893391</v>
      </c>
      <c r="F27" s="8">
        <v>4.5628607782872491E-2</v>
      </c>
      <c r="G27" s="8">
        <v>0.56705659004769138</v>
      </c>
      <c r="H27" s="8">
        <v>0.38731480216943615</v>
      </c>
      <c r="J27" s="1"/>
      <c r="S27" s="1"/>
    </row>
    <row r="28" spans="1:19" x14ac:dyDescent="0.25">
      <c r="A28" s="1">
        <f t="shared" si="0"/>
        <v>1.30006</v>
      </c>
      <c r="B28">
        <v>130.006</v>
      </c>
      <c r="C28" s="8">
        <v>4.2687515389920168E-2</v>
      </c>
      <c r="D28" s="8">
        <v>0.5411613722784292</v>
      </c>
      <c r="E28" s="8">
        <v>0.41615111233165059</v>
      </c>
      <c r="F28" s="8">
        <v>4.5457415283266751E-2</v>
      </c>
      <c r="G28" s="8">
        <v>0.55677424901467176</v>
      </c>
      <c r="H28" s="8">
        <v>0.39776833570206149</v>
      </c>
      <c r="J28" s="1"/>
      <c r="S28" s="1"/>
    </row>
    <row r="29" spans="1:19" x14ac:dyDescent="0.25">
      <c r="A29" s="1">
        <f t="shared" si="0"/>
        <v>1.4000600000000001</v>
      </c>
      <c r="B29">
        <v>140.006</v>
      </c>
      <c r="C29" s="8">
        <v>4.4372078108253055E-2</v>
      </c>
      <c r="D29" s="8">
        <v>0.55317201239407343</v>
      </c>
      <c r="E29" s="8">
        <v>0.40245590949767357</v>
      </c>
      <c r="F29" s="8">
        <v>4.5619284356776979E-2</v>
      </c>
      <c r="G29" s="8">
        <v>0.5525433873725959</v>
      </c>
      <c r="H29" s="8">
        <v>0.40183732827062707</v>
      </c>
      <c r="J29" s="1"/>
      <c r="S29" s="1"/>
    </row>
    <row r="30" spans="1:19" x14ac:dyDescent="0.25">
      <c r="A30" s="1">
        <f t="shared" si="0"/>
        <v>1.5000899999999999</v>
      </c>
      <c r="B30">
        <v>150.00899999999999</v>
      </c>
      <c r="C30" s="8">
        <v>4.458840169284458E-2</v>
      </c>
      <c r="D30" s="8">
        <v>0.54913600643148264</v>
      </c>
      <c r="E30" s="8">
        <v>0.40627559187567275</v>
      </c>
      <c r="F30" s="8">
        <v>4.5644449519408381E-2</v>
      </c>
      <c r="G30" s="8">
        <v>0.55790608480712522</v>
      </c>
      <c r="H30" s="8">
        <v>0.39644946567346639</v>
      </c>
      <c r="J30" s="1"/>
      <c r="S30" s="1"/>
    </row>
    <row r="31" spans="1:19" x14ac:dyDescent="0.25">
      <c r="A31" s="1">
        <f t="shared" si="0"/>
        <v>1.6000899999999998</v>
      </c>
      <c r="B31">
        <v>160.00899999999999</v>
      </c>
      <c r="C31" s="8">
        <v>4.4702202016416823E-2</v>
      </c>
      <c r="D31" s="8">
        <v>0.55190052018950408</v>
      </c>
      <c r="E31" s="8">
        <v>0.40339727779407913</v>
      </c>
      <c r="F31" s="8">
        <v>4.6589875626886802E-2</v>
      </c>
      <c r="G31" s="8">
        <v>0.55583081873879603</v>
      </c>
      <c r="H31" s="8">
        <v>0.3975793056343172</v>
      </c>
      <c r="J31" s="1"/>
      <c r="S31" s="1"/>
    </row>
    <row r="32" spans="1:19" x14ac:dyDescent="0.25">
      <c r="A32" s="1">
        <f t="shared" si="0"/>
        <v>1.7000899999999999</v>
      </c>
      <c r="B32">
        <v>170.00899999999999</v>
      </c>
      <c r="C32" s="8">
        <v>4.5016872730837057E-2</v>
      </c>
      <c r="D32" s="8">
        <v>0.54570182102178633</v>
      </c>
      <c r="E32" s="8">
        <v>0.40928130624737663</v>
      </c>
      <c r="F32" s="8">
        <v>4.6655059844692266E-2</v>
      </c>
      <c r="G32" s="8">
        <v>0.56238530420853006</v>
      </c>
      <c r="H32" s="8">
        <v>0.39095963594677774</v>
      </c>
      <c r="J32" s="1"/>
      <c r="S32" s="1"/>
    </row>
    <row r="33" spans="1:19" x14ac:dyDescent="0.25">
      <c r="A33" s="1">
        <f t="shared" si="0"/>
        <v>1.80009</v>
      </c>
      <c r="B33">
        <v>180.00899999999999</v>
      </c>
      <c r="C33" s="8">
        <v>4.5355031197522197E-2</v>
      </c>
      <c r="D33" s="8">
        <v>0.54699681906068731</v>
      </c>
      <c r="E33" s="8">
        <v>0.40764814974179048</v>
      </c>
      <c r="F33" s="8">
        <v>4.7364430679460973E-2</v>
      </c>
      <c r="G33" s="8">
        <v>0.56452198901269146</v>
      </c>
      <c r="H33" s="8">
        <v>0.38811358030784754</v>
      </c>
      <c r="J33" s="1"/>
      <c r="S33" s="1"/>
    </row>
    <row r="34" spans="1:19" x14ac:dyDescent="0.25">
      <c r="A34" s="1">
        <f t="shared" si="0"/>
        <v>1.9000899999999998</v>
      </c>
      <c r="B34">
        <v>190.00899999999999</v>
      </c>
      <c r="C34" s="8">
        <v>4.4723743682273699E-2</v>
      </c>
      <c r="D34" s="8">
        <v>0.53814374996572312</v>
      </c>
      <c r="E34" s="8">
        <v>0.41713250635200322</v>
      </c>
      <c r="F34" s="8">
        <v>4.6949034485622987E-2</v>
      </c>
      <c r="G34" s="8">
        <v>0.55768064116609328</v>
      </c>
      <c r="H34" s="8">
        <v>0.39537032434828379</v>
      </c>
      <c r="J34" s="1"/>
      <c r="S34" s="1"/>
    </row>
    <row r="36" spans="1:19" x14ac:dyDescent="0.25">
      <c r="A36" t="s">
        <v>258</v>
      </c>
    </row>
    <row r="37" spans="1:19" x14ac:dyDescent="0.25">
      <c r="A37" t="s">
        <v>251</v>
      </c>
      <c r="B37" t="s">
        <v>252</v>
      </c>
      <c r="C37" t="s">
        <v>253</v>
      </c>
      <c r="D37" t="s">
        <v>254</v>
      </c>
      <c r="E37" t="s">
        <v>255</v>
      </c>
      <c r="F37" t="s">
        <v>253</v>
      </c>
      <c r="G37" t="s">
        <v>254</v>
      </c>
      <c r="H37" t="s">
        <v>255</v>
      </c>
    </row>
    <row r="38" spans="1:19" x14ac:dyDescent="0.25">
      <c r="C38" t="s">
        <v>259</v>
      </c>
      <c r="D38" t="s">
        <v>259</v>
      </c>
      <c r="E38" t="s">
        <v>259</v>
      </c>
      <c r="F38" t="s">
        <v>260</v>
      </c>
      <c r="G38" t="s">
        <v>260</v>
      </c>
      <c r="H38" t="s">
        <v>260</v>
      </c>
    </row>
    <row r="39" spans="1:19" x14ac:dyDescent="0.25">
      <c r="A39" s="1">
        <v>0</v>
      </c>
      <c r="B39">
        <v>0</v>
      </c>
      <c r="C39" s="3">
        <f>C15*100</f>
        <v>3.6605819732547284</v>
      </c>
      <c r="D39" s="3">
        <f t="shared" ref="D39:H39" si="1">D15*100</f>
        <v>55.764501147230526</v>
      </c>
      <c r="E39" s="3">
        <f t="shared" si="1"/>
        <v>40.574916879514753</v>
      </c>
      <c r="F39" s="3">
        <f t="shared" si="1"/>
        <v>4.1101192571561462</v>
      </c>
      <c r="G39" s="3">
        <f t="shared" si="1"/>
        <v>57.662925442338576</v>
      </c>
      <c r="H39" s="3">
        <f t="shared" si="1"/>
        <v>38.226955300505274</v>
      </c>
    </row>
    <row r="40" spans="1:19" x14ac:dyDescent="0.25">
      <c r="A40" s="1">
        <v>0.1</v>
      </c>
      <c r="B40">
        <v>10</v>
      </c>
      <c r="C40" s="3">
        <f t="shared" ref="C40:H55" si="2">C16*100</f>
        <v>3.8841560131313533</v>
      </c>
      <c r="D40" s="3">
        <f t="shared" si="2"/>
        <v>56.877423818097675</v>
      </c>
      <c r="E40" s="3">
        <f t="shared" si="2"/>
        <v>39.238420168770979</v>
      </c>
      <c r="F40" s="3">
        <f t="shared" si="2"/>
        <v>4.0794584088611012</v>
      </c>
      <c r="G40" s="3">
        <f t="shared" si="2"/>
        <v>56.302107547133616</v>
      </c>
      <c r="H40" s="3">
        <f t="shared" si="2"/>
        <v>39.618434044005269</v>
      </c>
    </row>
    <row r="41" spans="1:19" x14ac:dyDescent="0.25">
      <c r="A41" s="1">
        <v>0.2</v>
      </c>
      <c r="B41">
        <v>20</v>
      </c>
      <c r="C41" s="3">
        <f t="shared" si="2"/>
        <v>3.9082913680459694</v>
      </c>
      <c r="D41" s="3">
        <f t="shared" si="2"/>
        <v>55.981661345410629</v>
      </c>
      <c r="E41" s="3">
        <f t="shared" si="2"/>
        <v>40.110047286543399</v>
      </c>
      <c r="F41" s="3">
        <f t="shared" si="2"/>
        <v>4.1560801852517004</v>
      </c>
      <c r="G41" s="3">
        <f t="shared" si="2"/>
        <v>56.666297001908461</v>
      </c>
      <c r="H41" s="3">
        <f t="shared" si="2"/>
        <v>39.177622812839836</v>
      </c>
    </row>
    <row r="42" spans="1:19" x14ac:dyDescent="0.25">
      <c r="A42" s="1">
        <v>0.3</v>
      </c>
      <c r="B42">
        <v>30</v>
      </c>
      <c r="C42" s="3">
        <f t="shared" si="2"/>
        <v>3.9110249769967091</v>
      </c>
      <c r="D42" s="3">
        <f t="shared" si="2"/>
        <v>56.477540564150864</v>
      </c>
      <c r="E42" s="3">
        <f t="shared" si="2"/>
        <v>39.611434458852422</v>
      </c>
      <c r="F42" s="3">
        <f t="shared" si="2"/>
        <v>4.2049024361961189</v>
      </c>
      <c r="G42" s="3">
        <f t="shared" si="2"/>
        <v>56.245124445240926</v>
      </c>
      <c r="H42" s="3">
        <f t="shared" si="2"/>
        <v>39.549973118562946</v>
      </c>
    </row>
    <row r="43" spans="1:19" x14ac:dyDescent="0.25">
      <c r="A43" s="1">
        <v>0.4</v>
      </c>
      <c r="B43">
        <v>40</v>
      </c>
      <c r="C43" s="3">
        <f t="shared" si="2"/>
        <v>4.0255116015181756</v>
      </c>
      <c r="D43" s="3">
        <f t="shared" si="2"/>
        <v>56.466330163947255</v>
      </c>
      <c r="E43" s="3">
        <f t="shared" si="2"/>
        <v>39.508158234534569</v>
      </c>
      <c r="F43" s="3">
        <f t="shared" si="2"/>
        <v>4.4115948096006354</v>
      </c>
      <c r="G43" s="3">
        <f t="shared" si="2"/>
        <v>57.71988316572498</v>
      </c>
      <c r="H43" s="3">
        <f t="shared" si="2"/>
        <v>37.86852202467437</v>
      </c>
    </row>
    <row r="44" spans="1:19" x14ac:dyDescent="0.25">
      <c r="A44" s="1">
        <v>0.5</v>
      </c>
      <c r="B44">
        <v>50</v>
      </c>
      <c r="C44" s="3">
        <f t="shared" si="2"/>
        <v>4.0834212403995549</v>
      </c>
      <c r="D44" s="3">
        <f t="shared" si="2"/>
        <v>56.48602170482944</v>
      </c>
      <c r="E44" s="3">
        <f t="shared" si="2"/>
        <v>39.430557054771</v>
      </c>
      <c r="F44" s="3">
        <f t="shared" si="2"/>
        <v>4.2909992548287761</v>
      </c>
      <c r="G44" s="3">
        <f t="shared" si="2"/>
        <v>56.114690424220051</v>
      </c>
      <c r="H44" s="3">
        <f t="shared" si="2"/>
        <v>39.59431032095118</v>
      </c>
    </row>
    <row r="45" spans="1:19" x14ac:dyDescent="0.25">
      <c r="A45" s="1">
        <v>0.6</v>
      </c>
      <c r="B45">
        <v>60</v>
      </c>
      <c r="C45" s="3">
        <f t="shared" si="2"/>
        <v>4.1193527732603794</v>
      </c>
      <c r="D45" s="3">
        <f t="shared" si="2"/>
        <v>56.146282144640438</v>
      </c>
      <c r="E45" s="3">
        <f t="shared" si="2"/>
        <v>39.734365082099181</v>
      </c>
      <c r="F45" s="3">
        <f t="shared" si="2"/>
        <v>4.4523718705943836</v>
      </c>
      <c r="G45" s="3">
        <f t="shared" si="2"/>
        <v>56.42281149547739</v>
      </c>
      <c r="H45" s="3">
        <f t="shared" si="2"/>
        <v>39.124816633928226</v>
      </c>
    </row>
    <row r="46" spans="1:19" x14ac:dyDescent="0.25">
      <c r="A46" s="1">
        <v>0.7</v>
      </c>
      <c r="B46">
        <v>70</v>
      </c>
      <c r="C46" s="3">
        <f t="shared" si="2"/>
        <v>4.1197615477282827</v>
      </c>
      <c r="D46" s="3">
        <f t="shared" si="2"/>
        <v>55.503587841494806</v>
      </c>
      <c r="E46" s="3">
        <f t="shared" si="2"/>
        <v>40.376650610776906</v>
      </c>
      <c r="F46" s="3">
        <f t="shared" si="2"/>
        <v>4.4520134651259839</v>
      </c>
      <c r="G46" s="3">
        <f t="shared" si="2"/>
        <v>56.222564266446604</v>
      </c>
      <c r="H46" s="3">
        <f t="shared" si="2"/>
        <v>39.32542226842741</v>
      </c>
    </row>
    <row r="47" spans="1:19" x14ac:dyDescent="0.25">
      <c r="A47" s="1">
        <v>0.80001</v>
      </c>
      <c r="B47">
        <v>80.001000000000005</v>
      </c>
      <c r="C47" s="3">
        <f t="shared" si="2"/>
        <v>4.349299334485333</v>
      </c>
      <c r="D47" s="3">
        <f t="shared" si="2"/>
        <v>57.282013498407657</v>
      </c>
      <c r="E47" s="3">
        <f t="shared" si="2"/>
        <v>38.368687167107005</v>
      </c>
      <c r="F47" s="3">
        <f t="shared" si="2"/>
        <v>4.4775288211605231</v>
      </c>
      <c r="G47" s="3">
        <f t="shared" si="2"/>
        <v>56.331932812577591</v>
      </c>
      <c r="H47" s="3">
        <f t="shared" si="2"/>
        <v>39.190538366261904</v>
      </c>
    </row>
    <row r="48" spans="1:19" x14ac:dyDescent="0.25">
      <c r="A48" s="1">
        <v>0.90001000000000009</v>
      </c>
      <c r="B48">
        <v>90.001000000000005</v>
      </c>
      <c r="C48" s="3">
        <f t="shared" si="2"/>
        <v>4.2556578524825293</v>
      </c>
      <c r="D48" s="3">
        <f t="shared" si="2"/>
        <v>55.555577392409717</v>
      </c>
      <c r="E48" s="3">
        <f t="shared" si="2"/>
        <v>40.188764755107762</v>
      </c>
      <c r="F48" s="3">
        <f t="shared" si="2"/>
        <v>4.4647844261944183</v>
      </c>
      <c r="G48" s="3">
        <f t="shared" si="2"/>
        <v>56.173946283436337</v>
      </c>
      <c r="H48" s="3">
        <f t="shared" si="2"/>
        <v>39.361269290369258</v>
      </c>
    </row>
    <row r="49" spans="1:8" x14ac:dyDescent="0.25">
      <c r="A49" s="1">
        <v>1.0000599999999999</v>
      </c>
      <c r="B49">
        <v>100.006</v>
      </c>
      <c r="C49" s="3">
        <f t="shared" si="2"/>
        <v>4.2849081810991603</v>
      </c>
      <c r="D49" s="3">
        <f t="shared" si="2"/>
        <v>56.046958198686134</v>
      </c>
      <c r="E49" s="3">
        <f t="shared" si="2"/>
        <v>39.668133620214704</v>
      </c>
      <c r="F49" s="3">
        <f t="shared" si="2"/>
        <v>4.5258920738935497</v>
      </c>
      <c r="G49" s="3">
        <f t="shared" si="2"/>
        <v>56.1845365297822</v>
      </c>
      <c r="H49" s="3">
        <f t="shared" si="2"/>
        <v>39.289571396324241</v>
      </c>
    </row>
    <row r="50" spans="1:8" x14ac:dyDescent="0.25">
      <c r="A50" s="1">
        <v>1.10006</v>
      </c>
      <c r="B50">
        <v>110.006</v>
      </c>
      <c r="C50" s="3">
        <f t="shared" si="2"/>
        <v>4.3833477157941525</v>
      </c>
      <c r="D50" s="3">
        <f t="shared" si="2"/>
        <v>55.771445986030201</v>
      </c>
      <c r="E50" s="3">
        <f t="shared" si="2"/>
        <v>39.845206298175654</v>
      </c>
      <c r="F50" s="3">
        <f t="shared" si="2"/>
        <v>4.5347506011534344</v>
      </c>
      <c r="G50" s="3">
        <f t="shared" si="2"/>
        <v>55.785425365212895</v>
      </c>
      <c r="H50" s="3">
        <f t="shared" si="2"/>
        <v>39.679824033633665</v>
      </c>
    </row>
    <row r="51" spans="1:8" x14ac:dyDescent="0.25">
      <c r="A51" s="1">
        <v>1.2000599999999999</v>
      </c>
      <c r="B51">
        <v>120.006</v>
      </c>
      <c r="C51" s="3">
        <f t="shared" si="2"/>
        <v>4.3779953893353456</v>
      </c>
      <c r="D51" s="3">
        <f t="shared" si="2"/>
        <v>56.367511427771269</v>
      </c>
      <c r="E51" s="3">
        <f t="shared" si="2"/>
        <v>39.254493182893391</v>
      </c>
      <c r="F51" s="3">
        <f t="shared" si="2"/>
        <v>4.5628607782872495</v>
      </c>
      <c r="G51" s="3">
        <f t="shared" si="2"/>
        <v>56.705659004769139</v>
      </c>
      <c r="H51" s="3">
        <f t="shared" si="2"/>
        <v>38.731480216943616</v>
      </c>
    </row>
    <row r="52" spans="1:8" x14ac:dyDescent="0.25">
      <c r="A52" s="1">
        <v>1.30006</v>
      </c>
      <c r="B52">
        <v>130.006</v>
      </c>
      <c r="C52" s="3">
        <f t="shared" si="2"/>
        <v>4.2687515389920172</v>
      </c>
      <c r="D52" s="3">
        <f t="shared" si="2"/>
        <v>54.11613722784292</v>
      </c>
      <c r="E52" s="3">
        <f t="shared" si="2"/>
        <v>41.615111233165059</v>
      </c>
      <c r="F52" s="3">
        <f t="shared" si="2"/>
        <v>4.5457415283266753</v>
      </c>
      <c r="G52" s="3">
        <f t="shared" si="2"/>
        <v>55.677424901467177</v>
      </c>
      <c r="H52" s="3">
        <f t="shared" si="2"/>
        <v>39.776833570206151</v>
      </c>
    </row>
    <row r="53" spans="1:8" x14ac:dyDescent="0.25">
      <c r="A53" s="1">
        <v>1.4000600000000001</v>
      </c>
      <c r="B53">
        <v>140.006</v>
      </c>
      <c r="C53" s="3">
        <f t="shared" si="2"/>
        <v>4.4372078108253055</v>
      </c>
      <c r="D53" s="3">
        <f t="shared" si="2"/>
        <v>55.317201239407346</v>
      </c>
      <c r="E53" s="3">
        <f t="shared" si="2"/>
        <v>40.245590949767355</v>
      </c>
      <c r="F53" s="3">
        <f t="shared" si="2"/>
        <v>4.5619284356776983</v>
      </c>
      <c r="G53" s="3">
        <f t="shared" si="2"/>
        <v>55.254338737259587</v>
      </c>
      <c r="H53" s="3">
        <f t="shared" si="2"/>
        <v>40.183732827062705</v>
      </c>
    </row>
    <row r="54" spans="1:8" x14ac:dyDescent="0.25">
      <c r="A54" s="1">
        <v>1.5000899999999999</v>
      </c>
      <c r="B54">
        <v>150.00899999999999</v>
      </c>
      <c r="C54" s="3">
        <f t="shared" si="2"/>
        <v>4.4588401692844579</v>
      </c>
      <c r="D54" s="3">
        <f t="shared" si="2"/>
        <v>54.913600643148264</v>
      </c>
      <c r="E54" s="3">
        <f t="shared" si="2"/>
        <v>40.627559187567272</v>
      </c>
      <c r="F54" s="3">
        <f t="shared" si="2"/>
        <v>4.5644449519408381</v>
      </c>
      <c r="G54" s="3">
        <f t="shared" si="2"/>
        <v>55.790608480712521</v>
      </c>
      <c r="H54" s="3">
        <f t="shared" si="2"/>
        <v>39.644946567346636</v>
      </c>
    </row>
    <row r="55" spans="1:8" x14ac:dyDescent="0.25">
      <c r="A55" s="1">
        <v>1.6000899999999998</v>
      </c>
      <c r="B55">
        <v>160.00899999999999</v>
      </c>
      <c r="C55" s="3">
        <f t="shared" si="2"/>
        <v>4.4702202016416823</v>
      </c>
      <c r="D55" s="3">
        <f t="shared" si="2"/>
        <v>55.190052018950411</v>
      </c>
      <c r="E55" s="3">
        <f t="shared" si="2"/>
        <v>40.339727779407916</v>
      </c>
      <c r="F55" s="3">
        <f t="shared" si="2"/>
        <v>4.6589875626886803</v>
      </c>
      <c r="G55" s="3">
        <f t="shared" si="2"/>
        <v>55.5830818738796</v>
      </c>
      <c r="H55" s="3">
        <f t="shared" si="2"/>
        <v>39.757930563431721</v>
      </c>
    </row>
    <row r="56" spans="1:8" x14ac:dyDescent="0.25">
      <c r="A56" s="1">
        <v>1.7000899999999999</v>
      </c>
      <c r="B56">
        <v>170.00899999999999</v>
      </c>
      <c r="C56" s="3">
        <f t="shared" ref="C56:H58" si="3">C32*100</f>
        <v>4.5016872730837054</v>
      </c>
      <c r="D56" s="3">
        <f t="shared" si="3"/>
        <v>54.570182102178634</v>
      </c>
      <c r="E56" s="3">
        <f t="shared" si="3"/>
        <v>40.928130624737662</v>
      </c>
      <c r="F56" s="3">
        <f t="shared" si="3"/>
        <v>4.6655059844692266</v>
      </c>
      <c r="G56" s="3">
        <f t="shared" si="3"/>
        <v>56.238530420853003</v>
      </c>
      <c r="H56" s="3">
        <f t="shared" si="3"/>
        <v>39.095963594677777</v>
      </c>
    </row>
    <row r="57" spans="1:8" x14ac:dyDescent="0.25">
      <c r="A57" s="1">
        <v>1.80009</v>
      </c>
      <c r="B57">
        <v>180.00899999999999</v>
      </c>
      <c r="C57" s="3">
        <f t="shared" si="3"/>
        <v>4.53550311975222</v>
      </c>
      <c r="D57" s="3">
        <f t="shared" si="3"/>
        <v>54.699681906068733</v>
      </c>
      <c r="E57" s="3">
        <f t="shared" si="3"/>
        <v>40.764814974179046</v>
      </c>
      <c r="F57" s="3">
        <f t="shared" si="3"/>
        <v>4.7364430679460972</v>
      </c>
      <c r="G57" s="3">
        <f t="shared" si="3"/>
        <v>56.452198901269149</v>
      </c>
      <c r="H57" s="3">
        <f t="shared" si="3"/>
        <v>38.811358030784753</v>
      </c>
    </row>
    <row r="58" spans="1:8" x14ac:dyDescent="0.25">
      <c r="A58" s="1">
        <v>1.9000899999999998</v>
      </c>
      <c r="B58">
        <v>190.00899999999999</v>
      </c>
      <c r="C58" s="3">
        <f t="shared" si="3"/>
        <v>4.4723743682273698</v>
      </c>
      <c r="D58" s="3">
        <f t="shared" si="3"/>
        <v>53.814374996572312</v>
      </c>
      <c r="E58" s="3">
        <f t="shared" si="3"/>
        <v>41.713250635200325</v>
      </c>
      <c r="F58" s="3">
        <f t="shared" si="3"/>
        <v>4.6949034485622985</v>
      </c>
      <c r="G58" s="3">
        <f t="shared" si="3"/>
        <v>55.768064116609331</v>
      </c>
      <c r="H58" s="3">
        <f t="shared" si="3"/>
        <v>39.537032434828376</v>
      </c>
    </row>
  </sheetData>
  <pageMargins left="0.7" right="0.7" top="0.75" bottom="0.75" header="0.3" footer="0.3"/>
  <pageSetup paperSize="9" orientation="portrait" horizontalDpi="1200" verticalDpi="12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P72"/>
  <sheetViews>
    <sheetView workbookViewId="0">
      <selection activeCell="B8" sqref="B8"/>
    </sheetView>
  </sheetViews>
  <sheetFormatPr defaultRowHeight="15" x14ac:dyDescent="0.25"/>
  <cols>
    <col min="1" max="1" width="10.140625" customWidth="1"/>
    <col min="5" max="5" width="14.140625" customWidth="1"/>
  </cols>
  <sheetData>
    <row r="1" spans="1:16" x14ac:dyDescent="0.25">
      <c r="A1" t="s">
        <v>288</v>
      </c>
    </row>
    <row r="2" spans="1:16" x14ac:dyDescent="0.25">
      <c r="A2" t="s">
        <v>289</v>
      </c>
    </row>
    <row r="3" spans="1:16" x14ac:dyDescent="0.25">
      <c r="A3" t="s">
        <v>284</v>
      </c>
      <c r="B3" t="s">
        <v>176</v>
      </c>
      <c r="C3" t="s">
        <v>285</v>
      </c>
      <c r="E3" s="10" t="s">
        <v>170</v>
      </c>
      <c r="F3" t="s">
        <v>176</v>
      </c>
      <c r="G3" t="s">
        <v>285</v>
      </c>
      <c r="H3" s="14" t="s">
        <v>286</v>
      </c>
      <c r="I3" s="10" t="s">
        <v>287</v>
      </c>
      <c r="J3" t="s">
        <v>176</v>
      </c>
      <c r="K3" t="s">
        <v>285</v>
      </c>
      <c r="P3" s="14" t="s">
        <v>286</v>
      </c>
    </row>
    <row r="4" spans="1:16" x14ac:dyDescent="0.25">
      <c r="A4" t="s">
        <v>268</v>
      </c>
      <c r="B4" s="1">
        <v>6.75</v>
      </c>
      <c r="C4" s="1">
        <v>6.19</v>
      </c>
      <c r="E4" t="s">
        <v>268</v>
      </c>
      <c r="F4" s="19">
        <f>AVERAGE(B4:B6)</f>
        <v>6.59</v>
      </c>
      <c r="G4" s="19">
        <f>AVERAGE(C4:C6)</f>
        <v>5.88</v>
      </c>
      <c r="I4" t="s">
        <v>268</v>
      </c>
      <c r="J4" s="19">
        <f>_xlfn.STDEV.P(B4:B6)</f>
        <v>0.55063599591744827</v>
      </c>
      <c r="K4" s="19">
        <f>_xlfn.STDEV.P(C4:C6)</f>
        <v>0.45978255730290579</v>
      </c>
    </row>
    <row r="5" spans="1:16" x14ac:dyDescent="0.25">
      <c r="B5" s="1">
        <v>7.17</v>
      </c>
      <c r="C5" s="1">
        <v>6.22</v>
      </c>
      <c r="E5" t="s">
        <v>272</v>
      </c>
      <c r="F5" s="19">
        <f>AVERAGE(B7:B9)</f>
        <v>37.932310340240058</v>
      </c>
      <c r="G5" s="19">
        <f>AVERAGE(C7:C9)</f>
        <v>35.386499597966015</v>
      </c>
      <c r="I5" t="s">
        <v>272</v>
      </c>
      <c r="J5" s="19">
        <f>_xlfn.STDEV.P(B7:B9)</f>
        <v>2.9753980213038664</v>
      </c>
      <c r="K5" s="19">
        <f>_xlfn.STDEV.P(C7:C9)</f>
        <v>0.75109542968496423</v>
      </c>
    </row>
    <row r="6" spans="1:16" x14ac:dyDescent="0.25">
      <c r="B6" s="1">
        <v>5.85</v>
      </c>
      <c r="C6" s="1">
        <v>5.23</v>
      </c>
      <c r="E6" t="s">
        <v>275</v>
      </c>
      <c r="F6" s="19">
        <f>AVERAGE(B10:B12)</f>
        <v>0.26</v>
      </c>
      <c r="G6" s="20" t="s">
        <v>173</v>
      </c>
      <c r="I6" t="s">
        <v>275</v>
      </c>
      <c r="J6" s="19">
        <f>_xlfn.STDEV.P(B10:B12)</f>
        <v>0.24166091947189139</v>
      </c>
      <c r="K6" s="20" t="s">
        <v>173</v>
      </c>
    </row>
    <row r="7" spans="1:16" x14ac:dyDescent="0.25">
      <c r="A7" t="s">
        <v>272</v>
      </c>
      <c r="B7" s="1">
        <v>42.11091134257515</v>
      </c>
      <c r="C7" s="1">
        <v>34.884767315286098</v>
      </c>
      <c r="E7" t="s">
        <v>276</v>
      </c>
      <c r="F7" s="20">
        <f>AVERAGE(B13:B15)</f>
        <v>0.28999999999999998</v>
      </c>
      <c r="G7" s="20" t="s">
        <v>173</v>
      </c>
      <c r="H7" s="4"/>
      <c r="I7" s="4" t="s">
        <v>276</v>
      </c>
      <c r="J7" s="20">
        <f>_xlfn.STDEV.P(B13:B15)</f>
        <v>7.4833147735479E-2</v>
      </c>
      <c r="K7" s="20" t="s">
        <v>173</v>
      </c>
    </row>
    <row r="8" spans="1:16" x14ac:dyDescent="0.25">
      <c r="B8" s="1">
        <v>35.414103875915607</v>
      </c>
      <c r="C8" s="1">
        <v>34.826554383855118</v>
      </c>
      <c r="E8" t="s">
        <v>277</v>
      </c>
      <c r="F8" s="19">
        <f>AVERAGE(B16:B18)</f>
        <v>0.16666666666666666</v>
      </c>
      <c r="G8" s="19">
        <f>AVERAGE(C16:C18)</f>
        <v>0.16</v>
      </c>
      <c r="I8" t="s">
        <v>277</v>
      </c>
      <c r="J8" s="20">
        <f>_xlfn.STDEV.P(B16:B18)</f>
        <v>6.1282587702834117E-2</v>
      </c>
      <c r="K8" s="20">
        <f>_xlfn.STDEV.P(C16:C18)</f>
        <v>2.9439202887759492E-2</v>
      </c>
    </row>
    <row r="9" spans="1:16" x14ac:dyDescent="0.25">
      <c r="B9" s="1">
        <v>36.271915802229408</v>
      </c>
      <c r="C9" s="1">
        <v>36.448177094756836</v>
      </c>
      <c r="E9" t="s">
        <v>278</v>
      </c>
      <c r="F9" s="21">
        <f>AVERAGE(B19:B21)</f>
        <v>45.81</v>
      </c>
      <c r="G9" s="19">
        <f>AVERAGE(C19:C21)</f>
        <v>51.29</v>
      </c>
      <c r="H9" s="1"/>
      <c r="I9" s="1" t="s">
        <v>278</v>
      </c>
      <c r="J9" s="21">
        <f>_xlfn.STDEV.P(B19:B21)</f>
        <v>3.3534857486899603</v>
      </c>
      <c r="K9" s="19">
        <f>_xlfn.STDEV.P(C19:C21)</f>
        <v>0.46676189504571386</v>
      </c>
    </row>
    <row r="10" spans="1:16" x14ac:dyDescent="0.25">
      <c r="A10" t="s">
        <v>275</v>
      </c>
      <c r="B10" s="1">
        <v>0.6</v>
      </c>
      <c r="C10" s="1">
        <v>0</v>
      </c>
      <c r="E10" t="s">
        <v>279</v>
      </c>
      <c r="F10" s="19" t="s">
        <v>173</v>
      </c>
      <c r="G10" s="19">
        <f>AVERAGE(C22:C24)</f>
        <v>0.28666666666666668</v>
      </c>
      <c r="H10" s="1"/>
      <c r="I10" s="1" t="s">
        <v>279</v>
      </c>
      <c r="J10" s="19" t="s">
        <v>173</v>
      </c>
      <c r="K10" s="19">
        <f>_xlfn.STDEV.P(C22:C24)</f>
        <v>0.11085526098877262</v>
      </c>
      <c r="L10" s="14" t="s">
        <v>286</v>
      </c>
    </row>
    <row r="11" spans="1:16" x14ac:dyDescent="0.25">
      <c r="B11" s="1">
        <v>0.12</v>
      </c>
      <c r="C11" s="1">
        <v>0</v>
      </c>
      <c r="E11" t="s">
        <v>280</v>
      </c>
      <c r="F11" s="19">
        <f>AVERAGE(B25:B27)</f>
        <v>4.7333333333333334</v>
      </c>
      <c r="G11" s="19">
        <f>AVERAGE(C25:C27)</f>
        <v>3.5366666666666666</v>
      </c>
      <c r="H11" s="1"/>
      <c r="I11" s="1" t="s">
        <v>280</v>
      </c>
      <c r="J11" s="19">
        <f>_xlfn.STDEV.P(B25:B27)</f>
        <v>0.51135984285911085</v>
      </c>
      <c r="K11" s="19">
        <f>_xlfn.STDEV.P(C25:C27)</f>
        <v>0.34237730973623542</v>
      </c>
    </row>
    <row r="12" spans="1:16" x14ac:dyDescent="0.25">
      <c r="B12" s="1">
        <v>0.06</v>
      </c>
      <c r="C12" s="1">
        <v>0</v>
      </c>
      <c r="E12" t="s">
        <v>281</v>
      </c>
      <c r="F12" s="19">
        <f>AVERAGE(B28:B30)</f>
        <v>0.45333333333333337</v>
      </c>
      <c r="G12" s="19" t="s">
        <v>173</v>
      </c>
      <c r="H12" s="1"/>
      <c r="I12" s="1" t="s">
        <v>281</v>
      </c>
      <c r="J12" s="19">
        <f>_xlfn.STDEV.P(B28:B30)</f>
        <v>0.12814921857827388</v>
      </c>
      <c r="K12" s="19" t="s">
        <v>173</v>
      </c>
    </row>
    <row r="13" spans="1:16" x14ac:dyDescent="0.25">
      <c r="A13" t="s">
        <v>276</v>
      </c>
      <c r="B13" s="1">
        <v>0.31</v>
      </c>
      <c r="C13" s="1">
        <v>0</v>
      </c>
      <c r="E13" t="s">
        <v>282</v>
      </c>
      <c r="F13" s="19">
        <f>AVERAGE(B31:B33)</f>
        <v>2.3866666666666667</v>
      </c>
      <c r="G13" s="19">
        <f>AVERAGE(C31:C33)</f>
        <v>0.91</v>
      </c>
      <c r="H13" s="1"/>
      <c r="I13" s="1" t="s">
        <v>282</v>
      </c>
      <c r="J13" s="19">
        <f>_xlfn.STDEV.P(B31:B33)</f>
        <v>0.42287376629701484</v>
      </c>
      <c r="K13" s="19">
        <f>_xlfn.STDEV.P(C31:C33)</f>
        <v>0.1023067283548191</v>
      </c>
    </row>
    <row r="14" spans="1:16" x14ac:dyDescent="0.25">
      <c r="B14" s="1">
        <v>0.37</v>
      </c>
      <c r="C14" s="1">
        <v>0</v>
      </c>
      <c r="E14" t="s">
        <v>283</v>
      </c>
      <c r="F14" s="19">
        <f>AVERAGE(B34:B36)</f>
        <v>1.3743563264266123</v>
      </c>
      <c r="G14" s="19">
        <f>AVERAGE(C34:C36)</f>
        <v>2.5568337353673138</v>
      </c>
      <c r="H14" s="1"/>
      <c r="I14" s="1" t="s">
        <v>283</v>
      </c>
      <c r="J14" s="19">
        <f>_xlfn.STDEV.P(B34:B36)</f>
        <v>0.19191107058380999</v>
      </c>
      <c r="K14" s="19">
        <f>_xlfn.STDEV.P(C34:C36)</f>
        <v>0.32998944943050201</v>
      </c>
    </row>
    <row r="15" spans="1:16" x14ac:dyDescent="0.25">
      <c r="B15" s="1">
        <v>0.19</v>
      </c>
      <c r="C15" s="1">
        <v>0</v>
      </c>
    </row>
    <row r="16" spans="1:16" x14ac:dyDescent="0.25">
      <c r="A16" t="s">
        <v>277</v>
      </c>
      <c r="B16" s="1">
        <v>0.24</v>
      </c>
      <c r="C16" s="1">
        <v>0.2</v>
      </c>
      <c r="L16" s="1"/>
    </row>
    <row r="17" spans="1:12" x14ac:dyDescent="0.25">
      <c r="B17" s="1">
        <v>0.09</v>
      </c>
      <c r="C17" s="1">
        <v>0.15</v>
      </c>
      <c r="L17" s="1"/>
    </row>
    <row r="18" spans="1:12" x14ac:dyDescent="0.25">
      <c r="B18" s="1">
        <v>0.17</v>
      </c>
      <c r="C18" s="1">
        <v>0.13</v>
      </c>
      <c r="L18" s="1"/>
    </row>
    <row r="19" spans="1:12" x14ac:dyDescent="0.25">
      <c r="A19" t="s">
        <v>278</v>
      </c>
      <c r="B19" s="1">
        <v>41.09</v>
      </c>
      <c r="C19" s="1">
        <v>50.63</v>
      </c>
      <c r="L19" s="1"/>
    </row>
    <row r="20" spans="1:12" x14ac:dyDescent="0.25">
      <c r="B20" s="1">
        <v>48.57</v>
      </c>
      <c r="C20" s="1">
        <v>51.61</v>
      </c>
      <c r="L20" s="1"/>
    </row>
    <row r="21" spans="1:12" x14ac:dyDescent="0.25">
      <c r="B21" s="1">
        <v>47.77</v>
      </c>
      <c r="C21" s="1">
        <v>51.63</v>
      </c>
      <c r="L21" s="1"/>
    </row>
    <row r="22" spans="1:12" x14ac:dyDescent="0.25">
      <c r="A22" t="s">
        <v>279</v>
      </c>
      <c r="B22" s="1">
        <v>0</v>
      </c>
      <c r="C22" s="1">
        <v>0.43</v>
      </c>
    </row>
    <row r="23" spans="1:12" x14ac:dyDescent="0.25">
      <c r="B23" s="1">
        <v>0</v>
      </c>
      <c r="C23" s="1">
        <v>0.27</v>
      </c>
    </row>
    <row r="24" spans="1:12" x14ac:dyDescent="0.25">
      <c r="B24" s="1">
        <v>0</v>
      </c>
      <c r="C24" s="1">
        <v>0.16</v>
      </c>
    </row>
    <row r="25" spans="1:12" x14ac:dyDescent="0.25">
      <c r="A25" t="s">
        <v>280</v>
      </c>
      <c r="B25" s="1">
        <v>5.28</v>
      </c>
      <c r="C25" s="1">
        <v>4.0199999999999996</v>
      </c>
    </row>
    <row r="26" spans="1:12" x14ac:dyDescent="0.25">
      <c r="B26" s="1">
        <v>4.05</v>
      </c>
      <c r="C26" s="1">
        <v>3.32</v>
      </c>
    </row>
    <row r="27" spans="1:12" x14ac:dyDescent="0.25">
      <c r="B27" s="1">
        <v>4.87</v>
      </c>
      <c r="C27" s="1">
        <v>3.27</v>
      </c>
    </row>
    <row r="28" spans="1:12" x14ac:dyDescent="0.25">
      <c r="A28" t="s">
        <v>281</v>
      </c>
      <c r="B28" s="1">
        <v>0.63</v>
      </c>
      <c r="C28" s="1">
        <v>0</v>
      </c>
    </row>
    <row r="29" spans="1:12" x14ac:dyDescent="0.25">
      <c r="B29" s="1">
        <v>0.4</v>
      </c>
      <c r="C29" s="1">
        <v>0</v>
      </c>
    </row>
    <row r="30" spans="1:12" x14ac:dyDescent="0.25">
      <c r="B30" s="1">
        <v>0.33</v>
      </c>
      <c r="C30" s="1">
        <v>0</v>
      </c>
    </row>
    <row r="31" spans="1:12" x14ac:dyDescent="0.25">
      <c r="A31" t="s">
        <v>282</v>
      </c>
      <c r="B31" s="1">
        <v>1.84</v>
      </c>
      <c r="C31" s="1">
        <v>0.9</v>
      </c>
    </row>
    <row r="32" spans="1:12" x14ac:dyDescent="0.25">
      <c r="B32" s="1">
        <v>2.4500000000000002</v>
      </c>
      <c r="C32" s="1">
        <v>0.79</v>
      </c>
    </row>
    <row r="33" spans="1:11" x14ac:dyDescent="0.25">
      <c r="B33" s="1">
        <v>2.87</v>
      </c>
      <c r="C33" s="1">
        <v>1.04</v>
      </c>
    </row>
    <row r="34" spans="1:11" x14ac:dyDescent="0.25">
      <c r="A34" t="s">
        <v>283</v>
      </c>
      <c r="B34" s="1">
        <v>1.1490886574248498</v>
      </c>
      <c r="C34" s="1">
        <v>2.7552326847139028</v>
      </c>
    </row>
    <row r="35" spans="1:11" x14ac:dyDescent="0.25">
      <c r="B35" s="1">
        <v>1.3558961240843939</v>
      </c>
      <c r="C35" s="1">
        <v>2.8234456161448773</v>
      </c>
    </row>
    <row r="36" spans="1:11" x14ac:dyDescent="0.25">
      <c r="B36" s="1">
        <v>1.6180841977705933</v>
      </c>
      <c r="C36" s="1">
        <v>2.0918229052431618</v>
      </c>
    </row>
    <row r="37" spans="1:11" x14ac:dyDescent="0.25">
      <c r="B37" s="1"/>
      <c r="C37" s="1"/>
    </row>
    <row r="38" spans="1:11" x14ac:dyDescent="0.25">
      <c r="A38" t="s">
        <v>290</v>
      </c>
    </row>
    <row r="39" spans="1:11" x14ac:dyDescent="0.25">
      <c r="A39" s="2" t="s">
        <v>170</v>
      </c>
      <c r="B39" t="s">
        <v>176</v>
      </c>
      <c r="C39" t="s">
        <v>285</v>
      </c>
      <c r="D39" s="14" t="s">
        <v>286</v>
      </c>
      <c r="E39" s="2" t="s">
        <v>287</v>
      </c>
      <c r="F39" t="s">
        <v>176</v>
      </c>
      <c r="G39" t="s">
        <v>285</v>
      </c>
      <c r="H39" s="14" t="s">
        <v>286</v>
      </c>
      <c r="I39" s="2" t="s">
        <v>174</v>
      </c>
      <c r="J39" t="s">
        <v>176</v>
      </c>
      <c r="K39" t="s">
        <v>285</v>
      </c>
    </row>
    <row r="40" spans="1:11" x14ac:dyDescent="0.25">
      <c r="A40" t="s">
        <v>269</v>
      </c>
      <c r="B40" s="4">
        <v>0.17467817021046828</v>
      </c>
      <c r="C40" s="4">
        <v>0.16651069863303558</v>
      </c>
      <c r="D40" s="4"/>
      <c r="E40" t="s">
        <v>269</v>
      </c>
      <c r="F40" s="4">
        <v>1.9650092493213769E-2</v>
      </c>
      <c r="G40" s="4">
        <v>1.628396528184416E-2</v>
      </c>
      <c r="I40" t="s">
        <v>269</v>
      </c>
      <c r="J40" s="4"/>
      <c r="K40" s="4"/>
    </row>
    <row r="41" spans="1:11" x14ac:dyDescent="0.25">
      <c r="A41" t="s">
        <v>270</v>
      </c>
      <c r="B41" s="4">
        <v>0.14478577695442585</v>
      </c>
      <c r="C41" s="4">
        <v>0.11469216809030384</v>
      </c>
      <c r="D41" s="4"/>
      <c r="E41" t="s">
        <v>270</v>
      </c>
      <c r="F41" s="4">
        <v>1.7186984964423557E-2</v>
      </c>
      <c r="G41" s="4">
        <v>9.4979312617439436E-3</v>
      </c>
      <c r="I41" t="s">
        <v>270</v>
      </c>
      <c r="J41" s="4"/>
      <c r="K41" s="4"/>
    </row>
    <row r="42" spans="1:11" x14ac:dyDescent="0.25">
      <c r="A42" t="s">
        <v>271</v>
      </c>
      <c r="B42" s="17">
        <v>3.5974114200394897E-2</v>
      </c>
      <c r="C42" s="16">
        <v>3.9650039084086437E-2</v>
      </c>
      <c r="D42" s="17"/>
      <c r="E42" s="17" t="s">
        <v>271</v>
      </c>
      <c r="F42" s="17">
        <v>6.9459957419737992E-3</v>
      </c>
      <c r="G42" s="16">
        <v>2.1427878418501466E-3</v>
      </c>
      <c r="I42" s="17" t="s">
        <v>271</v>
      </c>
      <c r="J42" s="16">
        <f t="shared" ref="J42:K43" si="0">F42/SQRT(3)</f>
        <v>4.0102725114185677E-3</v>
      </c>
      <c r="K42" s="16">
        <f t="shared" si="0"/>
        <v>1.2371391373084395E-3</v>
      </c>
    </row>
    <row r="43" spans="1:11" x14ac:dyDescent="0.25">
      <c r="A43" t="s">
        <v>273</v>
      </c>
      <c r="B43" s="17">
        <v>0.6265324786075035</v>
      </c>
      <c r="C43" s="16">
        <v>0.75746959820984039</v>
      </c>
      <c r="D43" s="17"/>
      <c r="E43" s="17" t="s">
        <v>273</v>
      </c>
      <c r="F43" s="17">
        <v>0.10665133801584091</v>
      </c>
      <c r="G43" s="16">
        <v>9.5930760852663763E-3</v>
      </c>
      <c r="I43" s="17" t="s">
        <v>273</v>
      </c>
      <c r="J43" s="16">
        <f t="shared" si="0"/>
        <v>6.1575178712879521E-2</v>
      </c>
      <c r="K43" s="16">
        <f t="shared" si="0"/>
        <v>5.5385650601851039E-3</v>
      </c>
    </row>
    <row r="44" spans="1:11" x14ac:dyDescent="0.25">
      <c r="A44" t="s">
        <v>274</v>
      </c>
      <c r="B44" s="18">
        <f>1-B43-B42</f>
        <v>0.33749340719210164</v>
      </c>
      <c r="C44" s="18">
        <f>1-C43-C42</f>
        <v>0.20288036270607318</v>
      </c>
    </row>
    <row r="49" spans="2:2" x14ac:dyDescent="0.25">
      <c r="B49" s="36"/>
    </row>
    <row r="58" spans="2:2" x14ac:dyDescent="0.25">
      <c r="B58" s="36"/>
    </row>
    <row r="65" spans="2:2" x14ac:dyDescent="0.25">
      <c r="B65" s="36"/>
    </row>
    <row r="72" spans="2:2" x14ac:dyDescent="0.25">
      <c r="B72" s="36"/>
    </row>
  </sheetData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Feed stoichiometry</vt:lpstr>
      <vt:lpstr>Theta</vt:lpstr>
      <vt:lpstr>CO2R Carbon-free GDEs</vt:lpstr>
      <vt:lpstr>Ag 114-3 XPS Depth profile</vt:lpstr>
      <vt:lpstr>Ag 114-3 XPS composition</vt:lpstr>
      <vt:lpstr>Ag 178-1 XPS Depth profile</vt:lpstr>
      <vt:lpstr>Ag 178-1 XPS composition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Christel Koopman</dc:creator>
  <cp:lastModifiedBy>Lorenz Baumgartner</cp:lastModifiedBy>
  <dcterms:created xsi:type="dcterms:W3CDTF">2021-04-14T19:12:48Z</dcterms:created>
  <dcterms:modified xsi:type="dcterms:W3CDTF">2023-08-30T20:26:05Z</dcterms:modified>
</cp:coreProperties>
</file>