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a\OneDrive\Ambiente de Trabalho\RESEARCH_Surface_Projects\008_Lucia_Projects(1)_F10_3\B_REVISAO_RBSilva\"/>
    </mc:Choice>
  </mc:AlternateContent>
  <xr:revisionPtr revIDLastSave="0" documentId="13_ncr:1_{7F73B9B8-AF8C-44FC-B515-886D69D07D71}" xr6:coauthVersionLast="47" xr6:coauthVersionMax="47" xr10:uidLastSave="{00000000-0000-0000-0000-000000000000}"/>
  <bookViews>
    <workbookView xWindow="-103" yWindow="-103" windowWidth="24892" windowHeight="15943" tabRatio="915" xr2:uid="{0385F022-19BE-4B63-B291-CA0B61F76C7A}"/>
  </bookViews>
  <sheets>
    <sheet name="1-Uncontr_Temp_Vol" sheetId="16" r:id="rId1"/>
    <sheet name="2-Mass_of_Analytical_Portion" sheetId="15" r:id="rId2"/>
    <sheet name="3-Calibrators_Values" sheetId="17" r:id="rId3"/>
    <sheet name="4-HPLC_Sensitivity_Variation" sheetId="19" r:id="rId4"/>
    <sheet name="5-Precision" sheetId="20" r:id="rId5"/>
    <sheet name="6-Recovery" sheetId="21" r:id="rId6"/>
    <sheet name="7-Comb&amp;Expansion" sheetId="2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5" l="1"/>
  <c r="V5" i="19"/>
  <c r="V4" i="19"/>
  <c r="C11" i="22" l="1"/>
  <c r="V6" i="19" s="1"/>
  <c r="J15" i="21"/>
  <c r="L15" i="21" s="1"/>
  <c r="T38" i="21"/>
  <c r="R38" i="21"/>
  <c r="P38" i="21"/>
  <c r="N38" i="21"/>
  <c r="W38" i="21" s="1"/>
  <c r="L38" i="21"/>
  <c r="J38" i="21"/>
  <c r="H38" i="21"/>
  <c r="F38" i="21"/>
  <c r="D38" i="21"/>
  <c r="B38" i="21"/>
  <c r="X38" i="21" s="1"/>
  <c r="T32" i="21"/>
  <c r="R32" i="21"/>
  <c r="P32" i="21"/>
  <c r="N32" i="21"/>
  <c r="L32" i="21"/>
  <c r="J32" i="21"/>
  <c r="H32" i="21"/>
  <c r="F32" i="21"/>
  <c r="D32" i="21"/>
  <c r="B32" i="21"/>
  <c r="V32" i="21" s="1"/>
  <c r="L25" i="21"/>
  <c r="J24" i="21"/>
  <c r="L24" i="21" s="1"/>
  <c r="J23" i="21"/>
  <c r="L23" i="21" s="1"/>
  <c r="J22" i="21"/>
  <c r="L22" i="21" s="1"/>
  <c r="O21" i="21"/>
  <c r="J21" i="21"/>
  <c r="L21" i="21" s="1"/>
  <c r="L16" i="21"/>
  <c r="J14" i="21"/>
  <c r="L14" i="21" s="1"/>
  <c r="J13" i="21"/>
  <c r="L13" i="21" s="1"/>
  <c r="O12" i="21"/>
  <c r="J12" i="21"/>
  <c r="L12" i="21" s="1"/>
  <c r="U27" i="20"/>
  <c r="S27" i="20"/>
  <c r="Q27" i="20"/>
  <c r="O27" i="20"/>
  <c r="M27" i="20"/>
  <c r="K27" i="20"/>
  <c r="I27" i="20"/>
  <c r="G27" i="20"/>
  <c r="E27" i="20"/>
  <c r="U26" i="20"/>
  <c r="S26" i="20"/>
  <c r="Q26" i="20"/>
  <c r="O26" i="20"/>
  <c r="M26" i="20"/>
  <c r="K26" i="20"/>
  <c r="I26" i="20"/>
  <c r="I28" i="20" s="1"/>
  <c r="G26" i="20"/>
  <c r="E26" i="20"/>
  <c r="U12" i="20"/>
  <c r="S12" i="20"/>
  <c r="Q12" i="20"/>
  <c r="O12" i="20"/>
  <c r="M12" i="20"/>
  <c r="K12" i="20"/>
  <c r="I12" i="20"/>
  <c r="G12" i="20"/>
  <c r="E12" i="20"/>
  <c r="U11" i="20"/>
  <c r="U13" i="20" s="1"/>
  <c r="S11" i="20"/>
  <c r="Q11" i="20"/>
  <c r="O11" i="20"/>
  <c r="M11" i="20"/>
  <c r="M13" i="20" s="1"/>
  <c r="K11" i="20"/>
  <c r="I11" i="20"/>
  <c r="I13" i="20" s="1"/>
  <c r="G11" i="20"/>
  <c r="E11" i="20"/>
  <c r="E13" i="20" s="1"/>
  <c r="I35" i="20"/>
  <c r="D43" i="20" s="1"/>
  <c r="G13" i="22" s="1"/>
  <c r="H13" i="22" s="1"/>
  <c r="E33" i="20"/>
  <c r="D33" i="20"/>
  <c r="E32" i="20"/>
  <c r="D32" i="20"/>
  <c r="C27" i="20"/>
  <c r="C26" i="20"/>
  <c r="I20" i="20"/>
  <c r="E41" i="20" s="1"/>
  <c r="H11" i="22" s="1"/>
  <c r="E19" i="20"/>
  <c r="E18" i="20"/>
  <c r="D18" i="20"/>
  <c r="E17" i="20"/>
  <c r="D17" i="20"/>
  <c r="C12" i="20"/>
  <c r="C11" i="20"/>
  <c r="C6" i="19"/>
  <c r="P10" i="19" s="1"/>
  <c r="C5" i="19"/>
  <c r="K80" i="19"/>
  <c r="L80" i="19" s="1"/>
  <c r="M80" i="19" s="1"/>
  <c r="J80" i="19"/>
  <c r="J79" i="19"/>
  <c r="K78" i="19"/>
  <c r="L78" i="19" s="1"/>
  <c r="M78" i="19" s="1"/>
  <c r="J78" i="19"/>
  <c r="J77" i="19"/>
  <c r="K76" i="19"/>
  <c r="L76" i="19" s="1"/>
  <c r="M76" i="19" s="1"/>
  <c r="J76" i="19"/>
  <c r="J75" i="19"/>
  <c r="K74" i="19"/>
  <c r="L74" i="19" s="1"/>
  <c r="M74" i="19" s="1"/>
  <c r="J74" i="19"/>
  <c r="J73" i="19"/>
  <c r="K72" i="19"/>
  <c r="L72" i="19" s="1"/>
  <c r="M72" i="19" s="1"/>
  <c r="J72" i="19"/>
  <c r="J71" i="19"/>
  <c r="J69" i="19"/>
  <c r="J68" i="19"/>
  <c r="J67" i="19"/>
  <c r="J66" i="19"/>
  <c r="J65" i="19"/>
  <c r="J64" i="19"/>
  <c r="J63" i="19"/>
  <c r="J62" i="19"/>
  <c r="J61" i="19"/>
  <c r="J60" i="19"/>
  <c r="J59" i="19"/>
  <c r="J57" i="19"/>
  <c r="K56" i="19"/>
  <c r="L56" i="19" s="1"/>
  <c r="M56" i="19" s="1"/>
  <c r="J56" i="19"/>
  <c r="J55" i="19"/>
  <c r="J54" i="19"/>
  <c r="J53" i="19"/>
  <c r="J52" i="19"/>
  <c r="J51" i="19"/>
  <c r="J50" i="19"/>
  <c r="K49" i="19"/>
  <c r="L49" i="19" s="1"/>
  <c r="M49" i="19" s="1"/>
  <c r="J49" i="19"/>
  <c r="J48" i="19"/>
  <c r="J47" i="19"/>
  <c r="J45" i="19"/>
  <c r="J44" i="19"/>
  <c r="J43" i="19"/>
  <c r="J42" i="19"/>
  <c r="J41" i="19"/>
  <c r="J40" i="19"/>
  <c r="J39" i="19"/>
  <c r="J38" i="19"/>
  <c r="J37" i="19"/>
  <c r="J36" i="19"/>
  <c r="J35" i="19"/>
  <c r="J33" i="19"/>
  <c r="J32" i="19"/>
  <c r="J31" i="19"/>
  <c r="J30" i="19"/>
  <c r="J29" i="19"/>
  <c r="J28" i="19"/>
  <c r="J27" i="19"/>
  <c r="J26" i="19"/>
  <c r="J25" i="19"/>
  <c r="J24" i="19"/>
  <c r="J23" i="19"/>
  <c r="J21" i="19"/>
  <c r="J9" i="19"/>
  <c r="J12" i="19"/>
  <c r="J13" i="19"/>
  <c r="J14" i="19"/>
  <c r="J15" i="19"/>
  <c r="J16" i="19"/>
  <c r="J17" i="19"/>
  <c r="J18" i="19"/>
  <c r="J19" i="19"/>
  <c r="J20" i="19"/>
  <c r="F71" i="19"/>
  <c r="E71" i="19"/>
  <c r="K79" i="19" s="1"/>
  <c r="L79" i="19" s="1"/>
  <c r="M79" i="19" s="1"/>
  <c r="D71" i="19"/>
  <c r="F59" i="19"/>
  <c r="E59" i="19"/>
  <c r="K61" i="19" s="1"/>
  <c r="L61" i="19" s="1"/>
  <c r="M61" i="19" s="1"/>
  <c r="D59" i="19"/>
  <c r="F47" i="19"/>
  <c r="E47" i="19"/>
  <c r="K53" i="19" s="1"/>
  <c r="L53" i="19" s="1"/>
  <c r="M53" i="19" s="1"/>
  <c r="D47" i="19"/>
  <c r="K47" i="19" s="1"/>
  <c r="L47" i="19" s="1"/>
  <c r="M47" i="19" s="1"/>
  <c r="F35" i="19"/>
  <c r="E35" i="19"/>
  <c r="K39" i="19" s="1"/>
  <c r="L39" i="19" s="1"/>
  <c r="M39" i="19" s="1"/>
  <c r="D35" i="19"/>
  <c r="K41" i="19" s="1"/>
  <c r="L41" i="19" s="1"/>
  <c r="M41" i="19" s="1"/>
  <c r="F23" i="19"/>
  <c r="E23" i="19"/>
  <c r="K25" i="19" s="1"/>
  <c r="L25" i="19" s="1"/>
  <c r="M25" i="19" s="1"/>
  <c r="D23" i="19"/>
  <c r="S4" i="19" s="1"/>
  <c r="F11" i="19"/>
  <c r="E11" i="19"/>
  <c r="D11" i="19"/>
  <c r="H11" i="19" s="1"/>
  <c r="O11" i="19"/>
  <c r="O12" i="19" s="1"/>
  <c r="O13" i="19" s="1"/>
  <c r="O14" i="19" s="1"/>
  <c r="O15" i="19" s="1"/>
  <c r="O16" i="19" s="1"/>
  <c r="O17" i="19" s="1"/>
  <c r="O18" i="19" s="1"/>
  <c r="J11" i="19"/>
  <c r="F7" i="17"/>
  <c r="D7" i="17"/>
  <c r="D5" i="17"/>
  <c r="F5" i="17" s="1"/>
  <c r="F10" i="17" s="1"/>
  <c r="H18" i="22" s="1"/>
  <c r="D9" i="17"/>
  <c r="F9" i="17" s="1"/>
  <c r="D8" i="17"/>
  <c r="F8" i="17" s="1"/>
  <c r="D6" i="17"/>
  <c r="F6" i="17" s="1"/>
  <c r="D8" i="16"/>
  <c r="E8" i="16" s="1"/>
  <c r="D9" i="16"/>
  <c r="E9" i="16" s="1"/>
  <c r="D10" i="16"/>
  <c r="E10" i="16" s="1"/>
  <c r="D11" i="16"/>
  <c r="E11" i="16" s="1"/>
  <c r="D7" i="16"/>
  <c r="E7" i="16" s="1"/>
  <c r="X17" i="19" l="1"/>
  <c r="X18" i="19"/>
  <c r="X11" i="19"/>
  <c r="X13" i="19"/>
  <c r="X14" i="19"/>
  <c r="X15" i="19"/>
  <c r="X16" i="19"/>
  <c r="X12" i="19"/>
  <c r="K29" i="19"/>
  <c r="L29" i="19" s="1"/>
  <c r="M29" i="19" s="1"/>
  <c r="K38" i="19"/>
  <c r="L38" i="19" s="1"/>
  <c r="M38" i="19" s="1"/>
  <c r="K23" i="19"/>
  <c r="L23" i="19" s="1"/>
  <c r="M23" i="19" s="1"/>
  <c r="K27" i="19"/>
  <c r="L27" i="19" s="1"/>
  <c r="M27" i="19" s="1"/>
  <c r="K31" i="19"/>
  <c r="L31" i="19" s="1"/>
  <c r="M31" i="19" s="1"/>
  <c r="K54" i="19"/>
  <c r="L54" i="19" s="1"/>
  <c r="M54" i="19" s="1"/>
  <c r="K64" i="19"/>
  <c r="L64" i="19" s="1"/>
  <c r="M64" i="19" s="1"/>
  <c r="K71" i="19"/>
  <c r="L71" i="19" s="1"/>
  <c r="M71" i="19" s="1"/>
  <c r="K73" i="19"/>
  <c r="L73" i="19" s="1"/>
  <c r="M73" i="19" s="1"/>
  <c r="K75" i="19"/>
  <c r="L75" i="19" s="1"/>
  <c r="M75" i="19" s="1"/>
  <c r="K77" i="19"/>
  <c r="L77" i="19" s="1"/>
  <c r="M77" i="19" s="1"/>
  <c r="F17" i="20"/>
  <c r="D19" i="20" s="1"/>
  <c r="F32" i="20"/>
  <c r="K13" i="20"/>
  <c r="G28" i="20"/>
  <c r="E28" i="20"/>
  <c r="U28" i="20"/>
  <c r="K40" i="19"/>
  <c r="L40" i="19" s="1"/>
  <c r="M40" i="19" s="1"/>
  <c r="K43" i="19"/>
  <c r="L43" i="19" s="1"/>
  <c r="M43" i="19" s="1"/>
  <c r="K48" i="19"/>
  <c r="L48" i="19" s="1"/>
  <c r="M48" i="19" s="1"/>
  <c r="K51" i="19"/>
  <c r="L51" i="19" s="1"/>
  <c r="M51" i="19" s="1"/>
  <c r="K59" i="19"/>
  <c r="L59" i="19" s="1"/>
  <c r="M59" i="19" s="1"/>
  <c r="K67" i="19"/>
  <c r="L67" i="19" s="1"/>
  <c r="M67" i="19" s="1"/>
  <c r="K24" i="19"/>
  <c r="L24" i="19" s="1"/>
  <c r="M24" i="19" s="1"/>
  <c r="K28" i="19"/>
  <c r="L28" i="19" s="1"/>
  <c r="M28" i="19" s="1"/>
  <c r="K32" i="19"/>
  <c r="L32" i="19" s="1"/>
  <c r="M32" i="19" s="1"/>
  <c r="K37" i="19"/>
  <c r="L37" i="19" s="1"/>
  <c r="M37" i="19" s="1"/>
  <c r="K62" i="19"/>
  <c r="L62" i="19" s="1"/>
  <c r="M62" i="19" s="1"/>
  <c r="K28" i="20"/>
  <c r="K44" i="19"/>
  <c r="L44" i="19" s="1"/>
  <c r="M44" i="19" s="1"/>
  <c r="K52" i="19"/>
  <c r="L52" i="19" s="1"/>
  <c r="M52" i="19" s="1"/>
  <c r="K55" i="19"/>
  <c r="L55" i="19" s="1"/>
  <c r="M55" i="19" s="1"/>
  <c r="K65" i="19"/>
  <c r="L65" i="19" s="1"/>
  <c r="M65" i="19" s="1"/>
  <c r="M28" i="20"/>
  <c r="V38" i="21"/>
  <c r="Z38" i="21" s="1"/>
  <c r="K60" i="19"/>
  <c r="L60" i="19" s="1"/>
  <c r="M60" i="19" s="1"/>
  <c r="K63" i="19"/>
  <c r="L63" i="19" s="1"/>
  <c r="M63" i="19" s="1"/>
  <c r="S5" i="19"/>
  <c r="Z12" i="19" s="1"/>
  <c r="K26" i="19"/>
  <c r="L26" i="19" s="1"/>
  <c r="M26" i="19" s="1"/>
  <c r="K30" i="19"/>
  <c r="L30" i="19" s="1"/>
  <c r="M30" i="19" s="1"/>
  <c r="K42" i="19"/>
  <c r="L42" i="19" s="1"/>
  <c r="M42" i="19" s="1"/>
  <c r="K50" i="19"/>
  <c r="L50" i="19" s="1"/>
  <c r="M50" i="19" s="1"/>
  <c r="K66" i="19"/>
  <c r="L66" i="19" s="1"/>
  <c r="M66" i="19" s="1"/>
  <c r="G13" i="20"/>
  <c r="K68" i="19"/>
  <c r="L68" i="19" s="1"/>
  <c r="M68" i="19" s="1"/>
  <c r="K35" i="19"/>
  <c r="L35" i="19" s="1"/>
  <c r="M35" i="19" s="1"/>
  <c r="K36" i="19"/>
  <c r="L36" i="19" s="1"/>
  <c r="M36" i="19" s="1"/>
  <c r="Y4" i="19"/>
  <c r="Z15" i="19"/>
  <c r="W32" i="21"/>
  <c r="Z32" i="21"/>
  <c r="AB32" i="21" s="1"/>
  <c r="X32" i="21"/>
  <c r="O14" i="21"/>
  <c r="M15" i="21" s="1"/>
  <c r="O23" i="21"/>
  <c r="M25" i="21" s="1"/>
  <c r="O28" i="20"/>
  <c r="O13" i="20"/>
  <c r="Q28" i="20"/>
  <c r="Q13" i="20"/>
  <c r="S28" i="20"/>
  <c r="S13" i="20"/>
  <c r="E34" i="20"/>
  <c r="C28" i="20"/>
  <c r="F33" i="20"/>
  <c r="J32" i="20"/>
  <c r="C13" i="20"/>
  <c r="F18" i="20"/>
  <c r="J17" i="20"/>
  <c r="D41" i="20"/>
  <c r="G11" i="22" s="1"/>
  <c r="D42" i="20"/>
  <c r="G12" i="22" s="1"/>
  <c r="E42" i="20"/>
  <c r="H12" i="22" s="1"/>
  <c r="K20" i="19"/>
  <c r="L20" i="19" s="1"/>
  <c r="M20" i="19" s="1"/>
  <c r="K11" i="19"/>
  <c r="K12" i="19"/>
  <c r="L12" i="19" s="1"/>
  <c r="M12" i="19" s="1"/>
  <c r="K13" i="19"/>
  <c r="L13" i="19" s="1"/>
  <c r="M13" i="19" s="1"/>
  <c r="K14" i="19"/>
  <c r="L14" i="19" s="1"/>
  <c r="M14" i="19" s="1"/>
  <c r="K15" i="19"/>
  <c r="L15" i="19" s="1"/>
  <c r="M15" i="19" s="1"/>
  <c r="K16" i="19"/>
  <c r="L16" i="19" s="1"/>
  <c r="M16" i="19" s="1"/>
  <c r="K17" i="19"/>
  <c r="L17" i="19" s="1"/>
  <c r="M17" i="19" s="1"/>
  <c r="K18" i="19"/>
  <c r="L18" i="19" s="1"/>
  <c r="M18" i="19" s="1"/>
  <c r="K19" i="19"/>
  <c r="L19" i="19" s="1"/>
  <c r="M19" i="19" s="1"/>
  <c r="Q10" i="19"/>
  <c r="P11" i="19" s="1"/>
  <c r="D12" i="16"/>
  <c r="E13" i="16"/>
  <c r="E12" i="16"/>
  <c r="D13" i="16"/>
  <c r="C10" i="15"/>
  <c r="C11" i="15" s="1"/>
  <c r="H17" i="22" s="1"/>
  <c r="AB10" i="19" l="1"/>
  <c r="AC10" i="19" s="1"/>
  <c r="D34" i="20"/>
  <c r="D35" i="20" s="1"/>
  <c r="K43" i="20" s="1"/>
  <c r="L13" i="22" s="1"/>
  <c r="Y11" i="19"/>
  <c r="Y17" i="19"/>
  <c r="Z13" i="19"/>
  <c r="Z17" i="19"/>
  <c r="Y18" i="19"/>
  <c r="Y13" i="19"/>
  <c r="Y16" i="19"/>
  <c r="Q11" i="19"/>
  <c r="P12" i="19" s="1"/>
  <c r="L11" i="19"/>
  <c r="M11" i="19" s="1"/>
  <c r="R10" i="19" s="1"/>
  <c r="S10" i="19"/>
  <c r="Y14" i="19"/>
  <c r="Z18" i="19"/>
  <c r="C13" i="22"/>
  <c r="Y12" i="19"/>
  <c r="Z16" i="19"/>
  <c r="Z11" i="19"/>
  <c r="Y15" i="19"/>
  <c r="AB11" i="19"/>
  <c r="AC11" i="19" s="1"/>
  <c r="Z10" i="19"/>
  <c r="Z14" i="19"/>
  <c r="C16" i="22"/>
  <c r="AB38" i="21"/>
  <c r="M16" i="21"/>
  <c r="M14" i="21"/>
  <c r="Z41" i="21"/>
  <c r="M24" i="21"/>
  <c r="M21" i="21"/>
  <c r="M22" i="21"/>
  <c r="M23" i="21"/>
  <c r="M13" i="21"/>
  <c r="M12" i="21"/>
  <c r="I17" i="20"/>
  <c r="I18" i="20" s="1"/>
  <c r="H42" i="20" s="1"/>
  <c r="J12" i="22" s="1"/>
  <c r="I32" i="20"/>
  <c r="I33" i="20" s="1"/>
  <c r="J43" i="20" s="1"/>
  <c r="J13" i="22" s="1"/>
  <c r="K6" i="20"/>
  <c r="G41" i="20"/>
  <c r="L11" i="22" s="1"/>
  <c r="D20" i="20"/>
  <c r="I42" i="20" s="1"/>
  <c r="L12" i="22" s="1"/>
  <c r="X10" i="19"/>
  <c r="Y10" i="19"/>
  <c r="Q12" i="19"/>
  <c r="P13" i="19" s="1"/>
  <c r="M17" i="21" l="1"/>
  <c r="S12" i="19"/>
  <c r="R12" i="19"/>
  <c r="T12" i="19" s="1"/>
  <c r="W12" i="19" s="1"/>
  <c r="AB12" i="19"/>
  <c r="AC12" i="19" s="1"/>
  <c r="R11" i="19"/>
  <c r="T11" i="19" s="1"/>
  <c r="W11" i="19" s="1"/>
  <c r="S11" i="19"/>
  <c r="H15" i="22"/>
  <c r="I15" i="22"/>
  <c r="Z43" i="21"/>
  <c r="Z47" i="21" s="1"/>
  <c r="H20" i="22" s="1"/>
  <c r="M26" i="21"/>
  <c r="F41" i="20"/>
  <c r="J11" i="22" s="1"/>
  <c r="T10" i="19"/>
  <c r="W10" i="19" s="1"/>
  <c r="Q13" i="19"/>
  <c r="P14" i="19" s="1"/>
  <c r="AB13" i="19" l="1"/>
  <c r="AC13" i="19" s="1"/>
  <c r="R13" i="19"/>
  <c r="S14" i="19"/>
  <c r="R14" i="19"/>
  <c r="AB14" i="19"/>
  <c r="AC14" i="19" s="1"/>
  <c r="S13" i="19"/>
  <c r="J15" i="22"/>
  <c r="Z45" i="21"/>
  <c r="Q14" i="19"/>
  <c r="P15" i="19" s="1"/>
  <c r="T14" i="19" l="1"/>
  <c r="W14" i="19" s="1"/>
  <c r="T13" i="19"/>
  <c r="W13" i="19" s="1"/>
  <c r="S15" i="19"/>
  <c r="R15" i="19"/>
  <c r="T15" i="19" s="1"/>
  <c r="W15" i="19" s="1"/>
  <c r="AB15" i="19"/>
  <c r="AC15" i="19" s="1"/>
  <c r="Q15" i="19"/>
  <c r="P16" i="19" s="1"/>
  <c r="Q16" i="19" l="1"/>
  <c r="P17" i="19" s="1"/>
  <c r="AB16" i="19" l="1"/>
  <c r="R16" i="19"/>
  <c r="T16" i="19" s="1"/>
  <c r="W16" i="19" s="1"/>
  <c r="S16" i="19"/>
  <c r="Q17" i="19"/>
  <c r="P18" i="19" s="1"/>
  <c r="R18" i="19" l="1"/>
  <c r="AB18" i="19"/>
  <c r="AC18" i="19" s="1"/>
  <c r="AC16" i="19"/>
  <c r="AB17" i="19"/>
  <c r="AC17" i="19" s="1"/>
  <c r="S17" i="19"/>
  <c r="R17" i="19"/>
  <c r="T17" i="19" s="1"/>
  <c r="W17" i="19" s="1"/>
  <c r="Q18" i="19"/>
  <c r="S18" i="19" s="1"/>
  <c r="T18" i="19" l="1"/>
  <c r="W18" i="19" s="1"/>
  <c r="AB19" i="19"/>
  <c r="AC19" i="19" s="1"/>
  <c r="H19" i="22" s="1"/>
  <c r="C17" i="22" s="1"/>
  <c r="C18" i="22" s="1"/>
  <c r="C19" i="22" s="1"/>
</calcChain>
</file>

<file path=xl/sharedStrings.xml><?xml version="1.0" encoding="utf-8"?>
<sst xmlns="http://schemas.openxmlformats.org/spreadsheetml/2006/main" count="406" uniqueCount="186">
  <si>
    <t>-</t>
  </si>
  <si>
    <t>SD</t>
  </si>
  <si>
    <t>Precision estimated under intermediate precision conditions</t>
  </si>
  <si>
    <t>Rep.1</t>
  </si>
  <si>
    <t>Rep.2</t>
  </si>
  <si>
    <t>Day 01</t>
  </si>
  <si>
    <t>Day 02</t>
  </si>
  <si>
    <t>Day 03</t>
  </si>
  <si>
    <t>Day 04</t>
  </si>
  <si>
    <t>Day 05</t>
  </si>
  <si>
    <t>Day 06</t>
  </si>
  <si>
    <t>Day 07</t>
  </si>
  <si>
    <t>Day 08</t>
  </si>
  <si>
    <t>Day 09</t>
  </si>
  <si>
    <t>Day 10</t>
  </si>
  <si>
    <t>Intermediate precision:</t>
  </si>
  <si>
    <t>Estimate 1</t>
  </si>
  <si>
    <t>Estimate 2</t>
  </si>
  <si>
    <t>d.f.</t>
  </si>
  <si>
    <t>Repeatability:</t>
  </si>
  <si>
    <t>SUM</t>
  </si>
  <si>
    <r>
      <t>Pooling, s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</rPr>
      <t>&lt;I&gt;</t>
    </r>
  </si>
  <si>
    <r>
      <t>Pooling, s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</rPr>
      <t>&lt;I&gt;</t>
    </r>
  </si>
  <si>
    <r>
      <t>Pooling, s'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</rPr>
      <t>&lt;II&gt;</t>
    </r>
  </si>
  <si>
    <r>
      <t>Pooling, s'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</rPr>
      <t>&lt;II&gt;</t>
    </r>
  </si>
  <si>
    <r>
      <t>Pooling, s</t>
    </r>
    <r>
      <rPr>
        <vertAlign val="subscript"/>
        <sz val="11"/>
        <color theme="1"/>
        <rFont val="Calibri"/>
        <family val="2"/>
        <scheme val="minor"/>
      </rPr>
      <t>I</t>
    </r>
  </si>
  <si>
    <r>
      <t>Pooling, s'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</rPr>
      <t>&lt;III&gt;</t>
    </r>
  </si>
  <si>
    <r>
      <t>Pooling, s</t>
    </r>
    <r>
      <rPr>
        <vertAlign val="subscript"/>
        <sz val="11"/>
        <color theme="1"/>
        <rFont val="Calibri"/>
        <family val="2"/>
        <scheme val="minor"/>
      </rPr>
      <t>r</t>
    </r>
  </si>
  <si>
    <r>
      <t>Pooling, s'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</rPr>
      <t>&lt;III&gt;</t>
    </r>
  </si>
  <si>
    <t>(only instrumental quantification)</t>
  </si>
  <si>
    <t>(complete process)</t>
  </si>
  <si>
    <t>Interval I</t>
  </si>
  <si>
    <t>Interval II</t>
  </si>
  <si>
    <t>Interval III</t>
  </si>
  <si>
    <t>Initial</t>
  </si>
  <si>
    <t>Final</t>
  </si>
  <si>
    <t>Mean</t>
  </si>
  <si>
    <t>mg/kg</t>
  </si>
  <si>
    <t>(…)</t>
  </si>
  <si>
    <t>Spiking procedure:</t>
  </si>
  <si>
    <t>Description</t>
  </si>
  <si>
    <t>m</t>
  </si>
  <si>
    <t>P</t>
  </si>
  <si>
    <t>V1</t>
  </si>
  <si>
    <t>V2</t>
  </si>
  <si>
    <t>m_s</t>
  </si>
  <si>
    <t>Value</t>
  </si>
  <si>
    <t>u</t>
  </si>
  <si>
    <t>units</t>
  </si>
  <si>
    <t>mg</t>
  </si>
  <si>
    <t>mL</t>
  </si>
  <si>
    <t>u'</t>
  </si>
  <si>
    <t>V3</t>
  </si>
  <si>
    <t>n</t>
  </si>
  <si>
    <t>Mean rec.</t>
  </si>
  <si>
    <t>term</t>
  </si>
  <si>
    <t>overall mean:</t>
  </si>
  <si>
    <t>&lt; 2</t>
  </si>
  <si>
    <t>EXPANDED UNCERTAINTY</t>
  </si>
  <si>
    <r>
      <t>µ</t>
    </r>
    <r>
      <rPr>
        <sz val="9.35"/>
        <color theme="1"/>
        <rFont val="Calibri"/>
        <family val="2"/>
      </rPr>
      <t>L</t>
    </r>
    <r>
      <rPr>
        <sz val="11"/>
        <color theme="1"/>
        <rFont val="Calibri"/>
        <family val="2"/>
      </rPr>
      <t xml:space="preserve"> (without temperature effect)</t>
    </r>
  </si>
  <si>
    <r>
      <t>m</t>
    </r>
    <r>
      <rPr>
        <sz val="9.35"/>
        <color theme="1"/>
        <rFont val="Calibri"/>
        <family val="2"/>
      </rPr>
      <t>L</t>
    </r>
    <r>
      <rPr>
        <sz val="11"/>
        <color theme="1"/>
        <rFont val="Calibri"/>
        <family val="2"/>
      </rPr>
      <t xml:space="preserve"> (without temperature effect)</t>
    </r>
  </si>
  <si>
    <t>a</t>
  </si>
  <si>
    <t>b</t>
  </si>
  <si>
    <t>r_ab</t>
  </si>
  <si>
    <t>Max</t>
  </si>
  <si>
    <t>Min</t>
  </si>
  <si>
    <t>End</t>
  </si>
  <si>
    <t>((y-y^)/y)^2</t>
  </si>
  <si>
    <t>SUMSQ</t>
  </si>
  <si>
    <t>Count</t>
  </si>
  <si>
    <t>SQRT(SUMSQ/(n-2))</t>
  </si>
  <si>
    <t>Term 1</t>
  </si>
  <si>
    <t>Term 2</t>
  </si>
  <si>
    <t>Term 3</t>
  </si>
  <si>
    <t>Term 4</t>
  </si>
  <si>
    <t>y_s</t>
  </si>
  <si>
    <t>s_a</t>
  </si>
  <si>
    <t>s_b</t>
  </si>
  <si>
    <t>FINAL</t>
  </si>
  <si>
    <r>
      <rPr>
        <i/>
        <sz val="11"/>
        <color theme="1"/>
        <rFont val="Calibri"/>
        <family val="2"/>
        <scheme val="minor"/>
      </rPr>
      <t>s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(mg/kg)</t>
    </r>
  </si>
  <si>
    <r>
      <t>d.f. (</t>
    </r>
    <r>
      <rPr>
        <i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-1)</t>
    </r>
  </si>
  <si>
    <r>
      <rPr>
        <i/>
        <sz val="11"/>
        <color theme="1"/>
        <rFont val="Calibri"/>
        <family val="2"/>
        <scheme val="minor"/>
      </rPr>
      <t>s</t>
    </r>
    <r>
      <rPr>
        <vertAlign val="subscript"/>
        <sz val="11"/>
        <color theme="1"/>
        <rFont val="Calibri"/>
        <family val="2"/>
        <scheme val="minor"/>
      </rPr>
      <t>I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*(</t>
    </r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-1)</t>
    </r>
  </si>
  <si>
    <r>
      <rPr>
        <i/>
        <sz val="11"/>
        <color theme="1"/>
        <rFont val="Calibri"/>
        <family val="2"/>
        <scheme val="minor"/>
      </rPr>
      <t>s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(mg/kg)</t>
    </r>
  </si>
  <si>
    <t>Evaluation of the uncertainty of the mass of the analytical portion</t>
  </si>
  <si>
    <t>Type of weighing:</t>
  </si>
  <si>
    <t>weighing by difference</t>
  </si>
  <si>
    <t>Repeatability standard deviation (mg):</t>
  </si>
  <si>
    <t>Balance bias observed from the calibration (mg):</t>
  </si>
  <si>
    <t>Relative standard uncertainty of the mass, u'(m):</t>
  </si>
  <si>
    <t>Standard uncertainty of the mass, u(m) (mg):</t>
  </si>
  <si>
    <t>Val. 2024/04/10</t>
  </si>
  <si>
    <t>Uncontrolled temperature of extraction volumes</t>
  </si>
  <si>
    <t>T (°C)</t>
  </si>
  <si>
    <t>mL (with temperature effect)</t>
  </si>
  <si>
    <t>Units</t>
  </si>
  <si>
    <t>Evaluation of the uncertainty of calibrators values</t>
  </si>
  <si>
    <t>Purity of the reference substance</t>
  </si>
  <si>
    <t>Pure melatonin mass</t>
  </si>
  <si>
    <r>
      <rPr>
        <i/>
        <sz val="11"/>
        <color theme="1"/>
        <rFont val="Calibri"/>
        <family val="2"/>
        <scheme val="minor"/>
      </rPr>
      <t>V</t>
    </r>
    <r>
      <rPr>
        <vertAlign val="subscript"/>
        <sz val="11"/>
        <color theme="1"/>
        <rFont val="Calibri"/>
        <family val="2"/>
        <scheme val="minor"/>
      </rPr>
      <t>1</t>
    </r>
  </si>
  <si>
    <r>
      <rPr>
        <i/>
        <sz val="11"/>
        <color theme="1"/>
        <rFont val="Calibri"/>
        <family val="2"/>
        <scheme val="minor"/>
      </rPr>
      <t>V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/>
    </r>
  </si>
  <si>
    <r>
      <rPr>
        <i/>
        <sz val="11"/>
        <color theme="1"/>
        <rFont val="Calibri"/>
        <family val="2"/>
        <scheme val="minor"/>
      </rPr>
      <t>V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</si>
  <si>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t>Calibration 1</t>
  </si>
  <si>
    <t>Calibration 2</t>
  </si>
  <si>
    <t>Calibration 3</t>
  </si>
  <si>
    <t>Calibration 4</t>
  </si>
  <si>
    <t>Calibration 5</t>
  </si>
  <si>
    <t>Calibration 6</t>
  </si>
  <si>
    <r>
      <rPr>
        <b/>
        <i/>
        <sz val="11"/>
        <color theme="0"/>
        <rFont val="Calibri"/>
        <family val="2"/>
        <scheme val="minor"/>
      </rPr>
      <t>a</t>
    </r>
    <r>
      <rPr>
        <b/>
        <sz val="11"/>
        <color theme="0"/>
        <rFont val="Calibri"/>
        <family val="2"/>
        <scheme val="minor"/>
      </rPr>
      <t xml:space="preserve"> (intercept)</t>
    </r>
  </si>
  <si>
    <r>
      <rPr>
        <b/>
        <i/>
        <sz val="11"/>
        <color theme="0"/>
        <rFont val="Calibri"/>
        <family val="2"/>
        <scheme val="minor"/>
      </rPr>
      <t>b</t>
    </r>
    <r>
      <rPr>
        <b/>
        <sz val="11"/>
        <color theme="0"/>
        <rFont val="Calibri"/>
        <family val="2"/>
        <scheme val="minor"/>
      </rPr>
      <t xml:space="preserve"> (slope)</t>
    </r>
  </si>
  <si>
    <r>
      <rPr>
        <b/>
        <i/>
        <sz val="11"/>
        <color theme="0"/>
        <rFont val="Calibri"/>
        <family val="2"/>
        <scheme val="minor"/>
      </rPr>
      <t>r</t>
    </r>
    <r>
      <rPr>
        <b/>
        <sz val="11"/>
        <color theme="0"/>
        <rFont val="Calibri"/>
        <family val="2"/>
        <scheme val="minor"/>
      </rPr>
      <t xml:space="preserve"> (correl)</t>
    </r>
  </si>
  <si>
    <t>c</t>
  </si>
  <si>
    <t>y^ - Area predicted by the curve</t>
  </si>
  <si>
    <t>Start</t>
  </si>
  <si>
    <t>Instrumental response linearity</t>
  </si>
  <si>
    <t>c_s</t>
  </si>
  <si>
    <t>s_c_S</t>
  </si>
  <si>
    <t>s'_c_S</t>
  </si>
  <si>
    <t>Evaluation of precision uncertainty</t>
  </si>
  <si>
    <r>
      <rPr>
        <i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(2 mg)/ 100 mL of water, </t>
    </r>
    <r>
      <rPr>
        <i/>
        <sz val="11"/>
        <color theme="1"/>
        <rFont val="Calibri"/>
        <family val="2"/>
        <scheme val="minor"/>
      </rPr>
      <t>V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---&gt; </t>
    </r>
  </si>
  <si>
    <t>Contribut.</t>
  </si>
  <si>
    <t>Daily curve and specific sample signal*</t>
  </si>
  <si>
    <t>* - from sheet: "6-Recovery"</t>
  </si>
  <si>
    <t>Combination and expansion of the uncertainty</t>
  </si>
  <si>
    <t>Daily data:</t>
  </si>
  <si>
    <t>(tea sample mass)</t>
  </si>
  <si>
    <t>Analytical portion mass (mg) *:</t>
  </si>
  <si>
    <t>Within day replicates</t>
  </si>
  <si>
    <t>Uncertainty components</t>
  </si>
  <si>
    <t>Precision uncertainty</t>
  </si>
  <si>
    <t>Comb.</t>
  </si>
  <si>
    <r>
      <rPr>
        <i/>
        <sz val="11"/>
        <color theme="1"/>
        <rFont val="Calibri"/>
        <family val="2"/>
        <scheme val="minor"/>
      </rPr>
      <t>ρ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(g mL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</si>
  <si>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r>
      <rPr>
        <i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>'_comb</t>
    </r>
  </si>
  <si>
    <r>
      <rPr>
        <i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>'</t>
    </r>
  </si>
  <si>
    <r>
      <rPr>
        <b/>
        <i/>
        <sz val="11"/>
        <color theme="0"/>
        <rFont val="Calibri"/>
        <family val="2"/>
        <scheme val="minor"/>
      </rPr>
      <t>c</t>
    </r>
    <r>
      <rPr>
        <b/>
        <sz val="11"/>
        <color theme="0"/>
        <rFont val="Calibri"/>
        <family val="2"/>
        <scheme val="minor"/>
      </rPr>
      <t xml:space="preserve"> (</t>
    </r>
    <r>
      <rPr>
        <b/>
        <sz val="11"/>
        <color theme="0"/>
        <rFont val="Calibri"/>
        <family val="2"/>
      </rPr>
      <t>µ</t>
    </r>
    <r>
      <rPr>
        <b/>
        <sz val="11"/>
        <color theme="0"/>
        <rFont val="Calibri"/>
        <family val="2"/>
        <scheme val="minor"/>
      </rPr>
      <t>g L</t>
    </r>
    <r>
      <rPr>
        <b/>
        <vertAlign val="superscript"/>
        <sz val="11"/>
        <color theme="0"/>
        <rFont val="Calibri"/>
        <family val="2"/>
        <scheme val="minor"/>
      </rPr>
      <t>-1</t>
    </r>
    <r>
      <rPr>
        <b/>
        <sz val="11"/>
        <color theme="0"/>
        <rFont val="Calibri"/>
        <family val="2"/>
        <scheme val="minor"/>
      </rPr>
      <t>)</t>
    </r>
  </si>
  <si>
    <r>
      <rPr>
        <b/>
        <i/>
        <sz val="11"/>
        <color theme="0"/>
        <rFont val="Calibri"/>
        <family val="2"/>
        <scheme val="minor"/>
      </rPr>
      <t>c</t>
    </r>
    <r>
      <rPr>
        <b/>
        <sz val="11"/>
        <color theme="0"/>
        <rFont val="Calibri"/>
        <family val="2"/>
        <scheme val="minor"/>
      </rPr>
      <t xml:space="preserve"> (</t>
    </r>
    <r>
      <rPr>
        <b/>
        <sz val="11"/>
        <color theme="0"/>
        <rFont val="Calibri"/>
        <family val="2"/>
      </rPr>
      <t>µg L</t>
    </r>
    <r>
      <rPr>
        <b/>
        <vertAlign val="superscript"/>
        <sz val="11"/>
        <color theme="0"/>
        <rFont val="Calibri"/>
        <family val="2"/>
      </rPr>
      <t>-1</t>
    </r>
    <r>
      <rPr>
        <b/>
        <sz val="11"/>
        <color theme="0"/>
        <rFont val="Calibri"/>
        <family val="2"/>
        <scheme val="minor"/>
      </rPr>
      <t>)</t>
    </r>
  </si>
  <si>
    <r>
      <rPr>
        <b/>
        <i/>
        <sz val="11"/>
        <color theme="0"/>
        <rFont val="Calibri"/>
        <family val="2"/>
        <scheme val="minor"/>
      </rPr>
      <t>y</t>
    </r>
    <r>
      <rPr>
        <b/>
        <sz val="11"/>
        <color theme="0"/>
        <rFont val="Calibri"/>
        <family val="2"/>
        <scheme val="minor"/>
      </rPr>
      <t>^</t>
    </r>
  </si>
  <si>
    <r>
      <t xml:space="preserve">Area, </t>
    </r>
    <r>
      <rPr>
        <b/>
        <i/>
        <sz val="11"/>
        <color theme="0"/>
        <rFont val="Calibri"/>
        <family val="2"/>
        <scheme val="minor"/>
      </rPr>
      <t>y</t>
    </r>
  </si>
  <si>
    <r>
      <t>(</t>
    </r>
    <r>
      <rPr>
        <b/>
        <i/>
        <sz val="11"/>
        <color theme="0"/>
        <rFont val="Calibri"/>
        <family val="2"/>
        <scheme val="minor"/>
      </rPr>
      <t>y</t>
    </r>
    <r>
      <rPr>
        <b/>
        <sz val="11"/>
        <color theme="0"/>
        <rFont val="Calibri"/>
        <family val="2"/>
        <scheme val="minor"/>
      </rPr>
      <t>-</t>
    </r>
    <r>
      <rPr>
        <b/>
        <i/>
        <sz val="11"/>
        <color theme="0"/>
        <rFont val="Calibri"/>
        <family val="2"/>
        <scheme val="minor"/>
      </rPr>
      <t>y</t>
    </r>
    <r>
      <rPr>
        <b/>
        <sz val="11"/>
        <color theme="0"/>
        <rFont val="Calibri"/>
        <family val="2"/>
        <scheme val="minor"/>
      </rPr>
      <t>^)/</t>
    </r>
    <r>
      <rPr>
        <b/>
        <i/>
        <sz val="11"/>
        <color theme="0"/>
        <rFont val="Calibri"/>
        <family val="2"/>
        <scheme val="minor"/>
      </rPr>
      <t>y</t>
    </r>
  </si>
  <si>
    <r>
      <t>((</t>
    </r>
    <r>
      <rPr>
        <b/>
        <i/>
        <sz val="11"/>
        <color theme="0"/>
        <rFont val="Calibri"/>
        <family val="2"/>
        <scheme val="minor"/>
      </rPr>
      <t>y</t>
    </r>
    <r>
      <rPr>
        <b/>
        <sz val="11"/>
        <color theme="0"/>
        <rFont val="Calibri"/>
        <family val="2"/>
        <scheme val="minor"/>
      </rPr>
      <t>-</t>
    </r>
    <r>
      <rPr>
        <b/>
        <i/>
        <sz val="11"/>
        <color theme="0"/>
        <rFont val="Calibri"/>
        <family val="2"/>
        <scheme val="minor"/>
      </rPr>
      <t>y</t>
    </r>
    <r>
      <rPr>
        <b/>
        <sz val="11"/>
        <color theme="0"/>
        <rFont val="Calibri"/>
        <family val="2"/>
        <scheme val="minor"/>
      </rPr>
      <t>^)/</t>
    </r>
    <r>
      <rPr>
        <b/>
        <i/>
        <sz val="11"/>
        <color theme="0"/>
        <rFont val="Calibri"/>
        <family val="2"/>
        <scheme val="minor"/>
      </rPr>
      <t>y</t>
    </r>
    <r>
      <rPr>
        <b/>
        <sz val="11"/>
        <color theme="0"/>
        <rFont val="Calibri"/>
        <family val="2"/>
        <scheme val="minor"/>
      </rPr>
      <t>)^2</t>
    </r>
  </si>
  <si>
    <r>
      <t>LOQ (µg L</t>
    </r>
    <r>
      <rPr>
        <b/>
        <vertAlign val="superscript"/>
        <sz val="11"/>
        <color theme="0"/>
        <rFont val="Calibri"/>
        <family val="2"/>
        <scheme val="minor"/>
      </rPr>
      <t>-1</t>
    </r>
    <r>
      <rPr>
        <b/>
        <sz val="11"/>
        <color theme="0"/>
        <rFont val="Calibri"/>
        <family val="2"/>
        <scheme val="minor"/>
      </rPr>
      <t>):</t>
    </r>
  </si>
  <si>
    <r>
      <t>2*LOQ (µg L</t>
    </r>
    <r>
      <rPr>
        <b/>
        <vertAlign val="superscript"/>
        <sz val="11"/>
        <color theme="0"/>
        <rFont val="Calibri"/>
        <family val="2"/>
        <scheme val="minor"/>
      </rPr>
      <t>-1</t>
    </r>
    <r>
      <rPr>
        <b/>
        <sz val="11"/>
        <color theme="0"/>
        <rFont val="Calibri"/>
        <family val="2"/>
        <scheme val="minor"/>
      </rPr>
      <t>) (42 µg L</t>
    </r>
    <r>
      <rPr>
        <b/>
        <vertAlign val="superscript"/>
        <sz val="11"/>
        <color theme="0"/>
        <rFont val="Calibri"/>
        <family val="2"/>
        <scheme val="minor"/>
      </rPr>
      <t>-1</t>
    </r>
    <r>
      <rPr>
        <b/>
        <sz val="11"/>
        <color theme="0"/>
        <rFont val="Calibri"/>
        <family val="2"/>
        <scheme val="minor"/>
      </rPr>
      <t>):</t>
    </r>
  </si>
  <si>
    <r>
      <rPr>
        <b/>
        <i/>
        <sz val="11"/>
        <color theme="0"/>
        <rFont val="Calibri"/>
        <family val="2"/>
        <scheme val="minor"/>
      </rPr>
      <t>s</t>
    </r>
    <r>
      <rPr>
        <b/>
        <vertAlign val="subscript"/>
        <sz val="11"/>
        <color theme="0"/>
        <rFont val="Calibri"/>
        <family val="2"/>
        <scheme val="minor"/>
      </rPr>
      <t>r</t>
    </r>
    <r>
      <rPr>
        <b/>
        <sz val="11"/>
        <color theme="0"/>
        <rFont val="Calibri"/>
        <family val="2"/>
        <scheme val="minor"/>
      </rPr>
      <t xml:space="preserve"> (mg kg</t>
    </r>
    <r>
      <rPr>
        <b/>
        <vertAlign val="superscript"/>
        <sz val="11"/>
        <color theme="0"/>
        <rFont val="Calibri"/>
        <family val="2"/>
        <scheme val="minor"/>
      </rPr>
      <t>-1</t>
    </r>
    <r>
      <rPr>
        <b/>
        <sz val="11"/>
        <color theme="0"/>
        <rFont val="Calibri"/>
        <family val="2"/>
        <scheme val="minor"/>
      </rPr>
      <t>):</t>
    </r>
  </si>
  <si>
    <r>
      <rPr>
        <b/>
        <i/>
        <sz val="11"/>
        <color theme="0"/>
        <rFont val="Calibri"/>
        <family val="2"/>
        <scheme val="minor"/>
      </rPr>
      <t>s</t>
    </r>
    <r>
      <rPr>
        <b/>
        <vertAlign val="subscript"/>
        <sz val="11"/>
        <color theme="0"/>
        <rFont val="Calibri"/>
        <family val="2"/>
        <scheme val="minor"/>
      </rPr>
      <t>r</t>
    </r>
    <r>
      <rPr>
        <b/>
        <sz val="11"/>
        <color theme="0"/>
        <rFont val="Calibri"/>
        <family val="2"/>
        <scheme val="minor"/>
      </rPr>
      <t xml:space="preserve"> </t>
    </r>
    <r>
      <rPr>
        <b/>
        <vertAlign val="superscript"/>
        <sz val="11"/>
        <color theme="0"/>
        <rFont val="Calibri"/>
        <family val="2"/>
        <scheme val="minor"/>
      </rPr>
      <t>2</t>
    </r>
    <r>
      <rPr>
        <b/>
        <sz val="11"/>
        <color theme="0"/>
        <rFont val="Calibri"/>
        <family val="2"/>
        <scheme val="minor"/>
      </rPr>
      <t>*(</t>
    </r>
    <r>
      <rPr>
        <b/>
        <i/>
        <sz val="11"/>
        <color theme="0"/>
        <rFont val="Calibri"/>
        <family val="2"/>
        <scheme val="minor"/>
      </rPr>
      <t>n</t>
    </r>
    <r>
      <rPr>
        <b/>
        <sz val="11"/>
        <color theme="0"/>
        <rFont val="Calibri"/>
        <family val="2"/>
        <scheme val="minor"/>
      </rPr>
      <t>-1)</t>
    </r>
  </si>
  <si>
    <r>
      <rPr>
        <b/>
        <sz val="11"/>
        <color theme="0"/>
        <rFont val="Calibri"/>
        <family val="2"/>
        <scheme val="minor"/>
      </rPr>
      <t>LOQ (mg kg</t>
    </r>
    <r>
      <rPr>
        <b/>
        <vertAlign val="superscript"/>
        <sz val="11"/>
        <color theme="0"/>
        <rFont val="Calibri"/>
        <family val="2"/>
        <scheme val="minor"/>
      </rPr>
      <t>-1</t>
    </r>
    <r>
      <rPr>
        <b/>
        <sz val="11"/>
        <color theme="0"/>
        <rFont val="Calibri"/>
        <family val="2"/>
        <scheme val="minor"/>
      </rPr>
      <t>):</t>
    </r>
  </si>
  <si>
    <r>
      <t>10*LOQ (µg L</t>
    </r>
    <r>
      <rPr>
        <b/>
        <vertAlign val="superscript"/>
        <sz val="11"/>
        <color theme="0"/>
        <rFont val="Calibri"/>
        <family val="2"/>
        <scheme val="minor"/>
      </rPr>
      <t>-1</t>
    </r>
    <r>
      <rPr>
        <b/>
        <sz val="11"/>
        <color theme="0"/>
        <rFont val="Calibri"/>
        <family val="2"/>
        <scheme val="minor"/>
      </rPr>
      <t>) (209 µg L</t>
    </r>
    <r>
      <rPr>
        <b/>
        <vertAlign val="superscript"/>
        <sz val="11"/>
        <color theme="0"/>
        <rFont val="Calibri"/>
        <family val="2"/>
        <scheme val="minor"/>
      </rPr>
      <t>-1</t>
    </r>
    <r>
      <rPr>
        <b/>
        <sz val="11"/>
        <color theme="0"/>
        <rFont val="Calibri"/>
        <family val="2"/>
        <scheme val="minor"/>
      </rPr>
      <t>):</t>
    </r>
  </si>
  <si>
    <r>
      <t>mg kg</t>
    </r>
    <r>
      <rPr>
        <b/>
        <vertAlign val="superscript"/>
        <sz val="11"/>
        <rFont val="Calibri"/>
        <family val="2"/>
        <scheme val="minor"/>
      </rPr>
      <t>-1</t>
    </r>
  </si>
  <si>
    <r>
      <rPr>
        <i/>
        <sz val="11"/>
        <color theme="1"/>
        <rFont val="Calibri"/>
        <family val="2"/>
        <scheme val="minor"/>
      </rPr>
      <t>s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(mg kg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</si>
  <si>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r>
      <rPr>
        <i/>
        <sz val="11"/>
        <color theme="1"/>
        <rFont val="Calibri"/>
        <family val="2"/>
        <scheme val="minor"/>
      </rPr>
      <t>s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(mg kg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</si>
  <si>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r>
      <t>Mass fraction (mg kg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</si>
  <si>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r>
      <t>(mg kg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</si>
  <si>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r>
      <t xml:space="preserve">---&gt; 0.5 mL, </t>
    </r>
    <r>
      <rPr>
        <i/>
        <sz val="11"/>
        <color theme="1"/>
        <rFont val="Calibri"/>
        <family val="2"/>
        <scheme val="minor"/>
      </rPr>
      <t>V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to tea portion</t>
    </r>
  </si>
  <si>
    <r>
      <t xml:space="preserve">---&gt; 2.5 mL, </t>
    </r>
    <r>
      <rPr>
        <i/>
        <sz val="11"/>
        <color theme="1"/>
        <rFont val="Calibri"/>
        <family val="2"/>
        <scheme val="minor"/>
      </rPr>
      <t>V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, to tea portion</t>
    </r>
  </si>
  <si>
    <r>
      <t xml:space="preserve">Normal procedure where </t>
    </r>
    <r>
      <rPr>
        <i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_s is the tea sample mass (2.5 mg without uncertainty since spiking was performed after taking the analytical portion)</t>
    </r>
  </si>
  <si>
    <r>
      <t>- spiked mass fraction ((</t>
    </r>
    <r>
      <rPr>
        <i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*</t>
    </r>
    <r>
      <rPr>
        <i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/</t>
    </r>
    <r>
      <rPr>
        <i/>
        <sz val="11"/>
        <color theme="1"/>
        <rFont val="Calibri"/>
        <family val="2"/>
        <scheme val="minor"/>
      </rPr>
      <t>V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)*</t>
    </r>
    <r>
      <rPr>
        <i/>
        <sz val="11"/>
        <color theme="1"/>
        <rFont val="Calibri"/>
        <family val="2"/>
        <scheme val="minor"/>
      </rPr>
      <t>V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</t>
    </r>
    <r>
      <rPr>
        <i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_s</t>
    </r>
  </si>
  <si>
    <r>
      <t xml:space="preserve">Purity melatonin, </t>
    </r>
    <r>
      <rPr>
        <vertAlign val="super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- 98%</t>
    </r>
  </si>
  <si>
    <r>
      <rPr>
        <i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_sp(1):</t>
    </r>
  </si>
  <si>
    <r>
      <rPr>
        <i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_sp(2):</t>
    </r>
  </si>
  <si>
    <r>
      <t>- spiked mass fraction ((</t>
    </r>
    <r>
      <rPr>
        <i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*</t>
    </r>
    <r>
      <rPr>
        <i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/</t>
    </r>
    <r>
      <rPr>
        <i/>
        <sz val="11"/>
        <color theme="1"/>
        <rFont val="Calibri"/>
        <family val="2"/>
        <scheme val="minor"/>
      </rPr>
      <t>V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)*</t>
    </r>
    <r>
      <rPr>
        <i/>
        <sz val="11"/>
        <color theme="1"/>
        <rFont val="Calibri"/>
        <family val="2"/>
        <scheme val="minor"/>
      </rPr>
      <t>V</t>
    </r>
    <r>
      <rPr>
        <vertAlign val="sub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</t>
    </r>
    <r>
      <rPr>
        <i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_s</t>
    </r>
  </si>
  <si>
    <r>
      <rPr>
        <i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>'(</t>
    </r>
    <r>
      <rPr>
        <i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_sp(1)):</t>
    </r>
  </si>
  <si>
    <r>
      <rPr>
        <i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>'(</t>
    </r>
    <r>
      <rPr>
        <i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>_sp(2)):</t>
    </r>
  </si>
  <si>
    <r>
      <rPr>
        <i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>Rec</t>
    </r>
  </si>
  <si>
    <r>
      <rPr>
        <i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-test</t>
    </r>
  </si>
  <si>
    <r>
      <rPr>
        <i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>'Rec</t>
    </r>
  </si>
  <si>
    <r>
      <rPr>
        <i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(mg)</t>
    </r>
  </si>
  <si>
    <r>
      <rPr>
        <i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(intercept)</t>
    </r>
  </si>
  <si>
    <r>
      <rPr>
        <i/>
        <sz val="11"/>
        <color theme="1"/>
        <rFont val="Calibri"/>
        <family val="2"/>
        <scheme val="minor"/>
      </rPr>
      <t xml:space="preserve">b </t>
    </r>
    <r>
      <rPr>
        <sz val="11"/>
        <color theme="1"/>
        <rFont val="Calibri"/>
        <family val="2"/>
        <scheme val="minor"/>
      </rPr>
      <t>(slope)</t>
    </r>
  </si>
  <si>
    <r>
      <rPr>
        <i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_s (mean)</t>
    </r>
  </si>
  <si>
    <r>
      <rPr>
        <i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_s (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g L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</si>
  <si>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r>
      <rPr>
        <i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>'</t>
    </r>
    <r>
      <rPr>
        <i/>
        <sz val="11"/>
        <color theme="1"/>
        <rFont val="Calibri"/>
        <family val="2"/>
        <scheme val="minor"/>
      </rPr>
      <t>w</t>
    </r>
  </si>
  <si>
    <r>
      <rPr>
        <i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 xml:space="preserve"> (g kg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</si>
  <si>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r>
      <rPr>
        <i/>
        <sz val="11"/>
        <color theme="1"/>
        <rFont val="Calibri"/>
        <family val="2"/>
        <scheme val="minor"/>
      </rPr>
      <t>Uw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 xml:space="preserve"> = 2, c.l. 95%)</t>
    </r>
  </si>
  <si>
    <r>
      <rPr>
        <i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>'</t>
    </r>
    <r>
      <rPr>
        <i/>
        <sz val="11"/>
        <color theme="1"/>
        <rFont val="Calibri"/>
        <family val="2"/>
        <scheme val="minor"/>
      </rPr>
      <t>w</t>
    </r>
    <r>
      <rPr>
        <sz val="11"/>
        <color theme="1"/>
        <rFont val="Calibri"/>
        <family val="2"/>
        <scheme val="minor"/>
      </rPr>
      <t xml:space="preserve"> (</t>
    </r>
    <r>
      <rPr>
        <i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 xml:space="preserve"> = 2, c.l. 95%)</t>
    </r>
  </si>
  <si>
    <r>
      <t>Mass fraction (g kg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</si>
  <si>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r>
      <rPr>
        <i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>'m</t>
    </r>
  </si>
  <si>
    <r>
      <rPr>
        <i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>'c</t>
    </r>
  </si>
  <si>
    <r>
      <rPr>
        <i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>'c_s</t>
    </r>
  </si>
  <si>
    <r>
      <rPr>
        <i/>
        <sz val="11"/>
        <color theme="1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>'R</t>
    </r>
  </si>
  <si>
    <r>
      <rPr>
        <i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'</t>
    </r>
    <r>
      <rPr>
        <vertAlign val="subscript"/>
        <sz val="11"/>
        <color theme="1"/>
        <rFont val="Calibri"/>
        <family val="2"/>
        <scheme val="minor"/>
      </rPr>
      <t>r</t>
    </r>
  </si>
  <si>
    <r>
      <rPr>
        <i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'</t>
    </r>
    <r>
      <rPr>
        <vertAlign val="subscript"/>
        <sz val="11"/>
        <color theme="1"/>
        <rFont val="Calibri"/>
        <family val="2"/>
        <scheme val="minor"/>
      </rPr>
      <t>I</t>
    </r>
  </si>
  <si>
    <r>
      <rPr>
        <i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'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 (final)</t>
    </r>
  </si>
  <si>
    <r>
      <rPr>
        <i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'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&lt;II&gt;</t>
    </r>
  </si>
  <si>
    <r>
      <rPr>
        <i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'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&lt;III&gt;</t>
    </r>
  </si>
  <si>
    <r>
      <rPr>
        <i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'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&lt;II&gt;</t>
    </r>
  </si>
  <si>
    <r>
      <rPr>
        <i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'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&lt;III&gt;</t>
    </r>
  </si>
  <si>
    <r>
      <t xml:space="preserve"> </t>
    </r>
    <r>
      <rPr>
        <i/>
        <sz val="11"/>
        <color theme="1"/>
        <rFont val="Calibri"/>
        <family val="2"/>
        <scheme val="minor"/>
      </rPr>
      <t>s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&lt;I&gt; (g kg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</si>
  <si>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r>
      <t xml:space="preserve"> </t>
    </r>
    <r>
      <rPr>
        <i/>
        <sz val="11"/>
        <color theme="1"/>
        <rFont val="Calibri"/>
        <family val="2"/>
        <scheme val="minor"/>
      </rPr>
      <t>s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>&lt;I&gt; (g kg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</si>
</sst>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"/>
    <numFmt numFmtId="166" formatCode="0.00000"/>
    <numFmt numFmtId="167" formatCode="0.000%"/>
    <numFmt numFmtId="168" formatCode="0.0%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.35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vertAlign val="superscript"/>
      <sz val="11"/>
      <color theme="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vertAlign val="superscript"/>
      <sz val="11"/>
      <color theme="0"/>
      <name val="Calibri"/>
      <family val="2"/>
    </font>
    <font>
      <b/>
      <vertAlign val="subscript"/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A7A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9">
    <xf numFmtId="0" fontId="0" fillId="0" borderId="0" xfId="0"/>
    <xf numFmtId="10" fontId="0" fillId="3" borderId="1" xfId="1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quotePrefix="1"/>
    <xf numFmtId="0" fontId="0" fillId="3" borderId="5" xfId="0" applyFill="1" applyBorder="1"/>
    <xf numFmtId="0" fontId="0" fillId="3" borderId="4" xfId="0" applyFill="1" applyBorder="1" applyAlignment="1">
      <alignment horizontal="center"/>
    </xf>
    <xf numFmtId="0" fontId="0" fillId="3" borderId="1" xfId="0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1" fillId="0" borderId="0" xfId="0" applyFont="1"/>
    <xf numFmtId="168" fontId="0" fillId="0" borderId="0" xfId="1" applyNumberFormat="1" applyFont="1" applyProtection="1"/>
    <xf numFmtId="0" fontId="10" fillId="4" borderId="1" xfId="0" applyFont="1" applyFill="1" applyBorder="1" applyProtection="1">
      <protection locked="0"/>
    </xf>
    <xf numFmtId="2" fontId="10" fillId="4" borderId="1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0" xfId="0" applyAlignment="1">
      <alignment horizontal="left"/>
    </xf>
    <xf numFmtId="168" fontId="0" fillId="3" borderId="1" xfId="1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166" fontId="0" fillId="3" borderId="1" xfId="0" applyNumberFormat="1" applyFill="1" applyBorder="1" applyAlignment="1">
      <alignment horizontal="center"/>
    </xf>
    <xf numFmtId="167" fontId="0" fillId="3" borderId="1" xfId="0" applyNumberFormat="1" applyFill="1" applyBorder="1" applyAlignment="1">
      <alignment horizontal="center"/>
    </xf>
    <xf numFmtId="167" fontId="0" fillId="3" borderId="1" xfId="1" applyNumberFormat="1" applyFont="1" applyFill="1" applyBorder="1" applyAlignment="1">
      <alignment horizontal="center"/>
    </xf>
    <xf numFmtId="0" fontId="0" fillId="3" borderId="10" xfId="0" applyFill="1" applyBorder="1"/>
    <xf numFmtId="0" fontId="0" fillId="3" borderId="11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right"/>
    </xf>
    <xf numFmtId="166" fontId="0" fillId="3" borderId="1" xfId="1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9" fontId="0" fillId="3" borderId="1" xfId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10" fontId="0" fillId="3" borderId="1" xfId="1" applyNumberFormat="1" applyFont="1" applyFill="1" applyBorder="1" applyAlignment="1" applyProtection="1">
      <alignment horizontal="center"/>
    </xf>
    <xf numFmtId="164" fontId="9" fillId="7" borderId="1" xfId="0" applyNumberFormat="1" applyFont="1" applyFill="1" applyBorder="1" applyAlignment="1">
      <alignment horizontal="center"/>
    </xf>
    <xf numFmtId="0" fontId="11" fillId="7" borderId="9" xfId="0" applyFont="1" applyFill="1" applyBorder="1" applyAlignment="1">
      <alignment horizontal="center"/>
    </xf>
    <xf numFmtId="167" fontId="0" fillId="3" borderId="1" xfId="1" applyNumberFormat="1" applyFont="1" applyFill="1" applyBorder="1" applyAlignment="1" applyProtection="1">
      <alignment horizontal="center"/>
    </xf>
    <xf numFmtId="0" fontId="11" fillId="7" borderId="1" xfId="0" applyFont="1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10" fontId="11" fillId="7" borderId="1" xfId="1" applyNumberFormat="1" applyFont="1" applyFill="1" applyBorder="1" applyAlignment="1" applyProtection="1">
      <alignment horizontal="center"/>
    </xf>
    <xf numFmtId="0" fontId="11" fillId="7" borderId="6" xfId="0" applyFont="1" applyFill="1" applyBorder="1"/>
    <xf numFmtId="0" fontId="11" fillId="7" borderId="7" xfId="0" applyFont="1" applyFill="1" applyBorder="1"/>
    <xf numFmtId="0" fontId="2" fillId="8" borderId="1" xfId="0" applyFont="1" applyFill="1" applyBorder="1" applyAlignment="1">
      <alignment horizontal="center"/>
    </xf>
    <xf numFmtId="9" fontId="0" fillId="3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0" fontId="11" fillId="10" borderId="1" xfId="0" applyFont="1" applyFill="1" applyBorder="1"/>
    <xf numFmtId="0" fontId="0" fillId="9" borderId="5" xfId="0" applyFill="1" applyBorder="1"/>
    <xf numFmtId="0" fontId="0" fillId="9" borderId="6" xfId="0" applyFill="1" applyBorder="1" applyAlignment="1">
      <alignment horizontal="right"/>
    </xf>
    <xf numFmtId="0" fontId="0" fillId="9" borderId="6" xfId="0" applyFill="1" applyBorder="1"/>
    <xf numFmtId="0" fontId="0" fillId="9" borderId="7" xfId="0" applyFill="1" applyBorder="1"/>
    <xf numFmtId="10" fontId="11" fillId="7" borderId="1" xfId="1" applyNumberFormat="1" applyFont="1" applyFill="1" applyBorder="1"/>
    <xf numFmtId="10" fontId="0" fillId="9" borderId="6" xfId="1" applyNumberFormat="1" applyFont="1" applyFill="1" applyBorder="1"/>
    <xf numFmtId="0" fontId="9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0" fillId="4" borderId="1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2" borderId="0" xfId="0" applyFont="1" applyFill="1"/>
    <xf numFmtId="165" fontId="0" fillId="3" borderId="1" xfId="0" applyNumberFormat="1" applyFill="1" applyBorder="1" applyAlignment="1">
      <alignment horizontal="center"/>
    </xf>
    <xf numFmtId="10" fontId="0" fillId="3" borderId="1" xfId="0" applyNumberFormat="1" applyFill="1" applyBorder="1" applyAlignment="1">
      <alignment horizontal="center"/>
    </xf>
    <xf numFmtId="1" fontId="11" fillId="7" borderId="10" xfId="0" applyNumberFormat="1" applyFont="1" applyFill="1" applyBorder="1" applyAlignment="1">
      <alignment horizontal="center"/>
    </xf>
    <xf numFmtId="10" fontId="11" fillId="10" borderId="1" xfId="1" applyNumberFormat="1" applyFont="1" applyFill="1" applyBorder="1" applyAlignment="1" applyProtection="1">
      <alignment horizontal="center"/>
    </xf>
    <xf numFmtId="168" fontId="0" fillId="3" borderId="1" xfId="1" applyNumberFormat="1" applyFont="1" applyFill="1" applyBorder="1" applyAlignment="1" applyProtection="1">
      <alignment horizontal="center"/>
    </xf>
    <xf numFmtId="10" fontId="11" fillId="10" borderId="12" xfId="1" applyNumberFormat="1" applyFont="1" applyFill="1" applyBorder="1" applyAlignment="1" applyProtection="1">
      <alignment horizontal="center"/>
    </xf>
    <xf numFmtId="10" fontId="11" fillId="10" borderId="13" xfId="1" applyNumberFormat="1" applyFont="1" applyFill="1" applyBorder="1" applyAlignment="1" applyProtection="1">
      <alignment horizontal="center"/>
    </xf>
    <xf numFmtId="10" fontId="11" fillId="10" borderId="14" xfId="1" applyNumberFormat="1" applyFont="1" applyFill="1" applyBorder="1" applyAlignment="1" applyProtection="1">
      <alignment horizontal="center"/>
    </xf>
    <xf numFmtId="0" fontId="6" fillId="3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right"/>
    </xf>
    <xf numFmtId="0" fontId="9" fillId="7" borderId="5" xfId="0" applyFont="1" applyFill="1" applyBorder="1"/>
    <xf numFmtId="0" fontId="9" fillId="7" borderId="1" xfId="0" applyFont="1" applyFill="1" applyBorder="1"/>
    <xf numFmtId="0" fontId="9" fillId="7" borderId="5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A7A7"/>
      <color rgb="FFFF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'4-HPLC_Sensitivity_Variation'!$E$10</c:f>
              <c:strCache>
                <c:ptCount val="1"/>
                <c:pt idx="0">
                  <c:v>b (slope)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strRef>
              <c:f>'4-HPLC_Sensitivity_Variation'!$D$11:$D$71</c:f>
              <c:strCache>
                <c:ptCount val="61"/>
                <c:pt idx="0">
                  <c:v>-30589.70267</c:v>
                </c:pt>
                <c:pt idx="11">
                  <c:v>a (intercept)</c:v>
                </c:pt>
                <c:pt idx="12">
                  <c:v>7763.758</c:v>
                </c:pt>
                <c:pt idx="23">
                  <c:v>a (intercept)</c:v>
                </c:pt>
                <c:pt idx="24">
                  <c:v>483.776</c:v>
                </c:pt>
                <c:pt idx="35">
                  <c:v>a (intercept)</c:v>
                </c:pt>
                <c:pt idx="36">
                  <c:v>22644.196</c:v>
                </c:pt>
                <c:pt idx="47">
                  <c:v>a (intercept)</c:v>
                </c:pt>
                <c:pt idx="48">
                  <c:v>4793.392667</c:v>
                </c:pt>
                <c:pt idx="59">
                  <c:v>a (intercept)</c:v>
                </c:pt>
                <c:pt idx="60">
                  <c:v>-4326.227333</c:v>
                </c:pt>
              </c:strCache>
            </c:strRef>
          </c:xVal>
          <c:yVal>
            <c:numRef>
              <c:f>'4-HPLC_Sensitivity_Variation'!$E$11:$E$71</c:f>
              <c:numCache>
                <c:formatCode>General</c:formatCode>
                <c:ptCount val="61"/>
                <c:pt idx="0">
                  <c:v>5103.552306898775</c:v>
                </c:pt>
                <c:pt idx="11">
                  <c:v>0</c:v>
                </c:pt>
                <c:pt idx="12">
                  <c:v>4901.3714119922624</c:v>
                </c:pt>
                <c:pt idx="23">
                  <c:v>0</c:v>
                </c:pt>
                <c:pt idx="24">
                  <c:v>4313.9364947552449</c:v>
                </c:pt>
                <c:pt idx="35">
                  <c:v>0</c:v>
                </c:pt>
                <c:pt idx="36">
                  <c:v>4352.9549038461546</c:v>
                </c:pt>
                <c:pt idx="47">
                  <c:v>0</c:v>
                </c:pt>
                <c:pt idx="48">
                  <c:v>4481.7603235979714</c:v>
                </c:pt>
                <c:pt idx="59">
                  <c:v>0</c:v>
                </c:pt>
                <c:pt idx="60">
                  <c:v>4764.2879665432602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94-4294-96C7-63DF99E86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5983279"/>
        <c:axId val="881164303"/>
      </c:scatterChart>
      <c:valAx>
        <c:axId val="1065983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1164303"/>
        <c:crosses val="autoZero"/>
        <c:crossBetween val="midCat"/>
      </c:valAx>
      <c:valAx>
        <c:axId val="881164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59832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Calibration 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'4-HPLC_Sensitivity_Variation'!$J$11:$J$20</c:f>
              <c:numCache>
                <c:formatCode>0.0</c:formatCode>
                <c:ptCount val="10"/>
                <c:pt idx="0">
                  <c:v>23.5</c:v>
                </c:pt>
                <c:pt idx="1">
                  <c:v>47</c:v>
                </c:pt>
                <c:pt idx="2">
                  <c:v>70.5</c:v>
                </c:pt>
                <c:pt idx="3">
                  <c:v>94</c:v>
                </c:pt>
                <c:pt idx="4">
                  <c:v>117.5</c:v>
                </c:pt>
                <c:pt idx="5">
                  <c:v>141</c:v>
                </c:pt>
                <c:pt idx="6">
                  <c:v>164.5</c:v>
                </c:pt>
                <c:pt idx="7">
                  <c:v>188</c:v>
                </c:pt>
                <c:pt idx="8">
                  <c:v>211.5</c:v>
                </c:pt>
                <c:pt idx="9">
                  <c:v>235</c:v>
                </c:pt>
              </c:numCache>
            </c:numRef>
          </c:xVal>
          <c:yVal>
            <c:numRef>
              <c:f>'4-HPLC_Sensitivity_Variation'!$L$11:$L$20</c:f>
              <c:numCache>
                <c:formatCode>0.00%</c:formatCode>
                <c:ptCount val="10"/>
                <c:pt idx="0">
                  <c:v>0.133774702273532</c:v>
                </c:pt>
                <c:pt idx="1">
                  <c:v>3.4665609937725203E-2</c:v>
                </c:pt>
                <c:pt idx="2">
                  <c:v>2.5164461208623687E-2</c:v>
                </c:pt>
                <c:pt idx="3">
                  <c:v>-3.8200669500279005E-2</c:v>
                </c:pt>
                <c:pt idx="4">
                  <c:v>-1.1407785877306518E-2</c:v>
                </c:pt>
                <c:pt idx="5">
                  <c:v>-5.3351032308642431E-2</c:v>
                </c:pt>
                <c:pt idx="6">
                  <c:v>1.5259408371396726E-3</c:v>
                </c:pt>
                <c:pt idx="7">
                  <c:v>8.0786511338566507E-3</c:v>
                </c:pt>
                <c:pt idx="8">
                  <c:v>7.7700918987680225E-3</c:v>
                </c:pt>
                <c:pt idx="9">
                  <c:v>9.3380888006998775E-3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1D-43E4-AB3A-009401F1885A}"/>
            </c:ext>
          </c:extLst>
        </c:ser>
        <c:ser>
          <c:idx val="1"/>
          <c:order val="1"/>
          <c:tx>
            <c:v>Calibration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'4-HPLC_Sensitivity_Variation'!$J$23:$J$32</c:f>
              <c:numCache>
                <c:formatCode>0.0</c:formatCode>
                <c:ptCount val="10"/>
                <c:pt idx="0">
                  <c:v>23.5</c:v>
                </c:pt>
                <c:pt idx="1">
                  <c:v>47</c:v>
                </c:pt>
                <c:pt idx="2">
                  <c:v>70.5</c:v>
                </c:pt>
                <c:pt idx="3">
                  <c:v>94</c:v>
                </c:pt>
                <c:pt idx="4">
                  <c:v>117.5</c:v>
                </c:pt>
                <c:pt idx="5">
                  <c:v>141</c:v>
                </c:pt>
                <c:pt idx="6">
                  <c:v>164.5</c:v>
                </c:pt>
                <c:pt idx="7">
                  <c:v>188</c:v>
                </c:pt>
                <c:pt idx="8">
                  <c:v>211.5</c:v>
                </c:pt>
                <c:pt idx="9">
                  <c:v>235</c:v>
                </c:pt>
              </c:numCache>
            </c:numRef>
          </c:xVal>
          <c:yVal>
            <c:numRef>
              <c:f>'4-HPLC_Sensitivity_Variation'!$L$23:$L$32</c:f>
              <c:numCache>
                <c:formatCode>0.00%</c:formatCode>
                <c:ptCount val="10"/>
                <c:pt idx="0">
                  <c:v>2.5247460591055433E-2</c:v>
                </c:pt>
                <c:pt idx="1">
                  <c:v>8.2722840300758535E-2</c:v>
                </c:pt>
                <c:pt idx="2">
                  <c:v>-3.9327399856659617E-2</c:v>
                </c:pt>
                <c:pt idx="3">
                  <c:v>-1.5080014857608282E-2</c:v>
                </c:pt>
                <c:pt idx="4">
                  <c:v>-5.5776212321062099E-2</c:v>
                </c:pt>
                <c:pt idx="5">
                  <c:v>-1.3280100590870571E-2</c:v>
                </c:pt>
                <c:pt idx="6">
                  <c:v>3.8239343725398341E-2</c:v>
                </c:pt>
                <c:pt idx="7">
                  <c:v>3.5943177687444414E-2</c:v>
                </c:pt>
                <c:pt idx="8">
                  <c:v>-4.0541415550567284E-2</c:v>
                </c:pt>
                <c:pt idx="9">
                  <c:v>7.99482318810593E-3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1D-43E4-AB3A-009401F1885A}"/>
            </c:ext>
          </c:extLst>
        </c:ser>
        <c:ser>
          <c:idx val="2"/>
          <c:order val="2"/>
          <c:tx>
            <c:v>Calibration 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'4-HPLC_Sensitivity_Variation'!$J$35:$J$44</c:f>
              <c:numCache>
                <c:formatCode>0.0</c:formatCode>
                <c:ptCount val="10"/>
                <c:pt idx="0">
                  <c:v>20.8</c:v>
                </c:pt>
                <c:pt idx="1">
                  <c:v>41.6</c:v>
                </c:pt>
                <c:pt idx="2">
                  <c:v>62.4</c:v>
                </c:pt>
                <c:pt idx="3">
                  <c:v>83.2</c:v>
                </c:pt>
                <c:pt idx="4">
                  <c:v>104</c:v>
                </c:pt>
                <c:pt idx="5">
                  <c:v>124.8</c:v>
                </c:pt>
                <c:pt idx="6">
                  <c:v>145.6</c:v>
                </c:pt>
                <c:pt idx="7">
                  <c:v>166.4</c:v>
                </c:pt>
                <c:pt idx="8">
                  <c:v>187.2</c:v>
                </c:pt>
                <c:pt idx="9">
                  <c:v>208</c:v>
                </c:pt>
              </c:numCache>
            </c:numRef>
          </c:xVal>
          <c:yVal>
            <c:numRef>
              <c:f>'4-HPLC_Sensitivity_Variation'!$L$35:$L$44</c:f>
              <c:numCache>
                <c:formatCode>0.00%</c:formatCode>
                <c:ptCount val="10"/>
                <c:pt idx="0">
                  <c:v>7.0594697516030327E-2</c:v>
                </c:pt>
                <c:pt idx="1">
                  <c:v>3.7567740754605596E-2</c:v>
                </c:pt>
                <c:pt idx="2">
                  <c:v>-2.7405175755141772E-2</c:v>
                </c:pt>
                <c:pt idx="3">
                  <c:v>-4.1037991582199576E-2</c:v>
                </c:pt>
                <c:pt idx="4">
                  <c:v>1.9962867268748855E-2</c:v>
                </c:pt>
                <c:pt idx="5">
                  <c:v>-1.5138450520954829E-2</c:v>
                </c:pt>
                <c:pt idx="6">
                  <c:v>1.699827141382761E-2</c:v>
                </c:pt>
                <c:pt idx="7">
                  <c:v>-2.4539105724389883E-2</c:v>
                </c:pt>
                <c:pt idx="8">
                  <c:v>7.002147281519655E-3</c:v>
                </c:pt>
                <c:pt idx="9">
                  <c:v>7.7466704970611481E-3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1D-43E4-AB3A-009401F1885A}"/>
            </c:ext>
          </c:extLst>
        </c:ser>
        <c:ser>
          <c:idx val="3"/>
          <c:order val="3"/>
          <c:tx>
            <c:v>Calibration 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'4-HPLC_Sensitivity_Variation'!$J$47:$J$56</c:f>
              <c:numCache>
                <c:formatCode>0.0</c:formatCode>
                <c:ptCount val="10"/>
                <c:pt idx="0">
                  <c:v>20.8</c:v>
                </c:pt>
                <c:pt idx="1">
                  <c:v>41.6</c:v>
                </c:pt>
                <c:pt idx="2">
                  <c:v>62.4</c:v>
                </c:pt>
                <c:pt idx="3">
                  <c:v>83.2</c:v>
                </c:pt>
                <c:pt idx="4">
                  <c:v>104</c:v>
                </c:pt>
                <c:pt idx="5">
                  <c:v>124.8</c:v>
                </c:pt>
                <c:pt idx="6">
                  <c:v>145.6</c:v>
                </c:pt>
                <c:pt idx="7">
                  <c:v>166.4</c:v>
                </c:pt>
                <c:pt idx="8">
                  <c:v>187.2</c:v>
                </c:pt>
                <c:pt idx="9">
                  <c:v>208</c:v>
                </c:pt>
              </c:numCache>
            </c:numRef>
          </c:xVal>
          <c:yVal>
            <c:numRef>
              <c:f>'4-HPLC_Sensitivity_Variation'!$L$47:$L$56</c:f>
              <c:numCache>
                <c:formatCode>0.00%</c:formatCode>
                <c:ptCount val="10"/>
                <c:pt idx="0">
                  <c:v>0.12239239783861007</c:v>
                </c:pt>
                <c:pt idx="1">
                  <c:v>-1.9945158586366838E-2</c:v>
                </c:pt>
                <c:pt idx="2">
                  <c:v>-5.1006591797101673E-2</c:v>
                </c:pt>
                <c:pt idx="3">
                  <c:v>-4.0599644496307187E-2</c:v>
                </c:pt>
                <c:pt idx="4">
                  <c:v>-2.8607568597531611E-2</c:v>
                </c:pt>
                <c:pt idx="5">
                  <c:v>1.9863523955705929E-2</c:v>
                </c:pt>
                <c:pt idx="6">
                  <c:v>4.4662953476230928E-2</c:v>
                </c:pt>
                <c:pt idx="7">
                  <c:v>1.6012065899285031E-2</c:v>
                </c:pt>
                <c:pt idx="8">
                  <c:v>-1.9839720074592587E-2</c:v>
                </c:pt>
                <c:pt idx="9">
                  <c:v>-7.9344348924092478E-3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81D-43E4-AB3A-009401F1885A}"/>
            </c:ext>
          </c:extLst>
        </c:ser>
        <c:ser>
          <c:idx val="4"/>
          <c:order val="4"/>
          <c:tx>
            <c:v>Calibration 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'4-HPLC_Sensitivity_Variation'!$J$59:$J$68</c:f>
              <c:numCache>
                <c:formatCode>0.0</c:formatCode>
                <c:ptCount val="10"/>
                <c:pt idx="0">
                  <c:v>22.1</c:v>
                </c:pt>
                <c:pt idx="1">
                  <c:v>44.2</c:v>
                </c:pt>
                <c:pt idx="2">
                  <c:v>66.3</c:v>
                </c:pt>
                <c:pt idx="3">
                  <c:v>88.4</c:v>
                </c:pt>
                <c:pt idx="4">
                  <c:v>110.5</c:v>
                </c:pt>
                <c:pt idx="5">
                  <c:v>132.6</c:v>
                </c:pt>
                <c:pt idx="6">
                  <c:v>154.69999999999999</c:v>
                </c:pt>
                <c:pt idx="7">
                  <c:v>176.8</c:v>
                </c:pt>
                <c:pt idx="8">
                  <c:v>198.9</c:v>
                </c:pt>
                <c:pt idx="9">
                  <c:v>221</c:v>
                </c:pt>
              </c:numCache>
            </c:numRef>
          </c:xVal>
          <c:yVal>
            <c:numRef>
              <c:f>'4-HPLC_Sensitivity_Variation'!$L$59:$L$68</c:f>
              <c:numCache>
                <c:formatCode>0.00%</c:formatCode>
                <c:ptCount val="10"/>
                <c:pt idx="0">
                  <c:v>0.14152641015557385</c:v>
                </c:pt>
                <c:pt idx="1">
                  <c:v>-6.0122005689786068E-2</c:v>
                </c:pt>
                <c:pt idx="2">
                  <c:v>-2.1102724288633957E-2</c:v>
                </c:pt>
                <c:pt idx="3">
                  <c:v>-1.680319043003202E-2</c:v>
                </c:pt>
                <c:pt idx="4">
                  <c:v>-1.1846581748557825E-2</c:v>
                </c:pt>
                <c:pt idx="5">
                  <c:v>-1.8071212097549028E-2</c:v>
                </c:pt>
                <c:pt idx="6">
                  <c:v>4.1093102379703712E-2</c:v>
                </c:pt>
                <c:pt idx="7">
                  <c:v>2.3582407874689355E-2</c:v>
                </c:pt>
                <c:pt idx="8">
                  <c:v>-4.0681706742208425E-2</c:v>
                </c:pt>
                <c:pt idx="9">
                  <c:v>9.5589734047754789E-3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81D-43E4-AB3A-009401F1885A}"/>
            </c:ext>
          </c:extLst>
        </c:ser>
        <c:ser>
          <c:idx val="5"/>
          <c:order val="5"/>
          <c:tx>
            <c:v>Calibration 6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'4-HPLC_Sensitivity_Variation'!$J$71:$J$80</c:f>
              <c:numCache>
                <c:formatCode>0.0</c:formatCode>
                <c:ptCount val="10"/>
                <c:pt idx="0">
                  <c:v>22.1</c:v>
                </c:pt>
                <c:pt idx="1">
                  <c:v>44.2</c:v>
                </c:pt>
                <c:pt idx="2">
                  <c:v>66.3</c:v>
                </c:pt>
                <c:pt idx="3">
                  <c:v>88.4</c:v>
                </c:pt>
                <c:pt idx="4">
                  <c:v>110.5</c:v>
                </c:pt>
                <c:pt idx="5">
                  <c:v>132.6</c:v>
                </c:pt>
                <c:pt idx="6">
                  <c:v>154.69999999999999</c:v>
                </c:pt>
                <c:pt idx="7">
                  <c:v>176.8</c:v>
                </c:pt>
                <c:pt idx="8">
                  <c:v>198.9</c:v>
                </c:pt>
                <c:pt idx="9">
                  <c:v>221</c:v>
                </c:pt>
              </c:numCache>
            </c:numRef>
          </c:xVal>
          <c:yVal>
            <c:numRef>
              <c:f>'4-HPLC_Sensitivity_Variation'!$L$71:$L$80</c:f>
              <c:numCache>
                <c:formatCode>0.00%</c:formatCode>
                <c:ptCount val="10"/>
                <c:pt idx="0">
                  <c:v>-5.9904891323929781E-2</c:v>
                </c:pt>
                <c:pt idx="1">
                  <c:v>3.7353006821764324E-2</c:v>
                </c:pt>
                <c:pt idx="2">
                  <c:v>-1.0520951289566554E-2</c:v>
                </c:pt>
                <c:pt idx="3">
                  <c:v>-2.3139437335524621E-2</c:v>
                </c:pt>
                <c:pt idx="4">
                  <c:v>-3.6094573528023977E-2</c:v>
                </c:pt>
                <c:pt idx="5">
                  <c:v>4.1557242387736039E-2</c:v>
                </c:pt>
                <c:pt idx="6">
                  <c:v>1.3541042414017351E-2</c:v>
                </c:pt>
                <c:pt idx="7">
                  <c:v>1.3053389282870927E-2</c:v>
                </c:pt>
                <c:pt idx="8">
                  <c:v>-3.8410568444242643E-3</c:v>
                </c:pt>
                <c:pt idx="9">
                  <c:v>-1.5664990663220548E-2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81D-43E4-AB3A-009401F18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4235999"/>
        <c:axId val="1355041295"/>
      </c:scatterChart>
      <c:valAx>
        <c:axId val="14442359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5041295"/>
        <c:crosses val="autoZero"/>
        <c:crossBetween val="midCat"/>
      </c:valAx>
      <c:valAx>
        <c:axId val="135504129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(y-y^)/y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42359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342901</xdr:colOff>
      <xdr:row>3</xdr:row>
      <xdr:rowOff>71829</xdr:rowOff>
    </xdr:from>
    <xdr:to>
      <xdr:col>3</xdr:col>
      <xdr:colOff>885825</xdr:colOff>
      <xdr:row>5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A82F218-7D97-4E02-A1FD-CBAF74C8C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1" y="1024329"/>
          <a:ext cx="542924" cy="480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161926</xdr:colOff>
      <xdr:row>3</xdr:row>
      <xdr:rowOff>76200</xdr:rowOff>
    </xdr:from>
    <xdr:to>
      <xdr:col>4</xdr:col>
      <xdr:colOff>981076</xdr:colOff>
      <xdr:row>5</xdr:row>
      <xdr:rowOff>181289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8823936-676D-402A-B2A3-9322DB8A9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7226" y="1028700"/>
          <a:ext cx="819150" cy="486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104773</xdr:colOff>
      <xdr:row>3</xdr:row>
      <xdr:rowOff>38101</xdr:rowOff>
    </xdr:from>
    <xdr:to>
      <xdr:col>15</xdr:col>
      <xdr:colOff>523874</xdr:colOff>
      <xdr:row>9</xdr:row>
      <xdr:rowOff>171451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6">
              <a:extLst>
                <a:ext uri="{FF2B5EF4-FFF2-40B4-BE49-F238E27FC236}">
                  <a16:creationId xmlns:a16="http://schemas.microsoft.com/office/drawing/2014/main" id="{35DD33F4-8C79-4ED7-B754-090D385B1AF8}"/>
                </a:ext>
              </a:extLst>
            </xdr:cNvPr>
            <xdr:cNvSpPr txBox="1"/>
          </xdr:nvSpPr>
          <xdr:spPr>
            <a:xfrm>
              <a:off x="7115173" y="609601"/>
              <a:ext cx="5905501" cy="1390650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lang="es-ES" sz="1100"/>
                <a:t>Concentration of the calibrator with lower analyte concentration:</a:t>
              </a:r>
              <a:endParaRPr lang="es-ES" sz="11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endParaRPr lang="es-ES" sz="8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1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𝒄</m:t>
                        </m:r>
                      </m:e>
                      <m:sub>
                        <m:r>
                          <a:rPr lang="en-US" sz="1100" b="1" i="0">
                            <a:latin typeface="Cambria Math" panose="02040503050406030204" pitchFamily="18" charset="0"/>
                          </a:rPr>
                          <m:t>𝐒</m:t>
                        </m:r>
                      </m:sub>
                    </m:sSub>
                    <m:r>
                      <a:rPr lang="es-ES" sz="1100" b="1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es-ES" sz="11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100" b="1" i="1">
                            <a:latin typeface="Cambria Math" panose="02040503050406030204" pitchFamily="18" charset="0"/>
                          </a:rPr>
                          <m:t>𝒎</m:t>
                        </m:r>
                        <m:r>
                          <a:rPr lang="es-ES" sz="1100" b="1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n-US" sz="1100" b="1" i="1">
                            <a:latin typeface="Cambria Math" panose="02040503050406030204" pitchFamily="18" charset="0"/>
                          </a:rPr>
                          <m:t>𝑷</m:t>
                        </m:r>
                      </m:num>
                      <m:den>
                        <m:sSub>
                          <m:sSubPr>
                            <m:ctrlPr>
                              <a:rPr lang="es-ES" sz="1100" b="1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ES" sz="1100" b="1" i="1">
                                <a:latin typeface="Cambria Math" panose="02040503050406030204" pitchFamily="18" charset="0"/>
                              </a:rPr>
                              <m:t>𝑽</m:t>
                            </m:r>
                          </m:e>
                          <m:sub>
                            <m:r>
                              <a:rPr lang="es-ES" sz="1100" b="1" i="1">
                                <a:latin typeface="Cambria Math" panose="02040503050406030204" pitchFamily="18" charset="0"/>
                              </a:rPr>
                              <m:t>𝟏</m:t>
                            </m:r>
                          </m:sub>
                        </m:sSub>
                      </m:den>
                    </m:f>
                    <m:r>
                      <a:rPr lang="es-ES" sz="1100" b="1" i="1">
                        <a:latin typeface="Cambria Math" panose="02040503050406030204" pitchFamily="18" charset="0"/>
                      </a:rPr>
                      <m:t> </m:t>
                    </m:r>
                    <m:f>
                      <m:fPr>
                        <m:ctrlPr>
                          <a:rPr lang="es-ES" sz="11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s-ES" sz="1100" b="1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ES" sz="1100" b="1" i="1">
                                <a:latin typeface="Cambria Math" panose="02040503050406030204" pitchFamily="18" charset="0"/>
                              </a:rPr>
                              <m:t>𝑽</m:t>
                            </m:r>
                          </m:e>
                          <m:sub>
                            <m:r>
                              <a:rPr lang="es-ES" sz="1100" b="1" i="1">
                                <a:latin typeface="Cambria Math" panose="02040503050406030204" pitchFamily="18" charset="0"/>
                              </a:rPr>
                              <m:t>𝟐</m:t>
                            </m:r>
                          </m:sub>
                        </m:sSub>
                      </m:num>
                      <m:den>
                        <m:sSub>
                          <m:sSubPr>
                            <m:ctrlPr>
                              <a:rPr lang="es-ES" sz="1100" b="1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s-ES" sz="1100" b="1" i="1">
                                <a:latin typeface="Cambria Math" panose="02040503050406030204" pitchFamily="18" charset="0"/>
                              </a:rPr>
                              <m:t>𝑽</m:t>
                            </m:r>
                          </m:e>
                          <m:sub>
                            <m:r>
                              <a:rPr lang="es-ES" sz="1100" b="1" i="1">
                                <a:latin typeface="Cambria Math" panose="02040503050406030204" pitchFamily="18" charset="0"/>
                              </a:rPr>
                              <m:t>𝟑</m:t>
                            </m:r>
                          </m:sub>
                        </m:sSub>
                      </m:den>
                    </m:f>
                  </m:oMath>
                </m:oMathPara>
              </a14:m>
              <a:endParaRPr lang="es-ES" sz="1100" b="1"/>
            </a:p>
            <a:p>
              <a:pPr algn="l"/>
              <a:endParaRPr lang="es-ES" sz="500"/>
            </a:p>
            <a:p>
              <a:pPr algn="l"/>
              <a:r>
                <a:rPr lang="es-ES" sz="1100"/>
                <a:t>being</a:t>
              </a:r>
              <a:r>
                <a:rPr lang="es-ES" sz="1100" baseline="0"/>
                <a:t> </a:t>
              </a:r>
              <a:r>
                <a:rPr lang="es-ES" sz="1100" i="1" baseline="0"/>
                <a:t>V</a:t>
              </a:r>
              <a:r>
                <a:rPr lang="es-ES" sz="1100" baseline="-25000"/>
                <a:t>1</a:t>
              </a:r>
              <a:r>
                <a:rPr lang="es-ES" sz="1100" baseline="0"/>
                <a:t> the volume of the stock solution (100 mL), </a:t>
              </a:r>
              <a:r>
                <a:rPr lang="es-ES" sz="1100" i="1" baseline="0"/>
                <a:t>V</a:t>
              </a:r>
              <a:r>
                <a:rPr lang="es-ES" sz="1100" baseline="-25000"/>
                <a:t>2</a:t>
              </a:r>
              <a:r>
                <a:rPr lang="es-ES" sz="1100" baseline="0"/>
                <a:t> the lower melatonin spiked volume (10 µL) and </a:t>
              </a:r>
              <a:r>
                <a:rPr lang="es-ES" sz="1100" i="1" baseline="0"/>
                <a:t>V</a:t>
              </a:r>
              <a:r>
                <a:rPr lang="es-ES" sz="1100" baseline="-25000"/>
                <a:t>3</a:t>
              </a:r>
              <a:r>
                <a:rPr lang="es-ES" sz="1100" baseline="0"/>
                <a:t> the flask volume (10 mL).</a:t>
              </a:r>
            </a:p>
            <a:p>
              <a:pPr algn="l"/>
              <a:r>
                <a:rPr lang="es-ES" sz="1100" baseline="0"/>
                <a:t>For the uncertainty of </a:t>
              </a:r>
              <a:r>
                <a:rPr lang="es-ES" sz="1100" i="1" baseline="0"/>
                <a:t>V</a:t>
              </a:r>
              <a:r>
                <a:rPr lang="es-ES" sz="1100" baseline="-25000"/>
                <a:t>2</a:t>
              </a:r>
              <a:r>
                <a:rPr lang="es-ES" sz="1100" baseline="0"/>
                <a:t> and </a:t>
              </a:r>
              <a:r>
                <a:rPr lang="es-ES" sz="1100" i="1" baseline="0"/>
                <a:t>V</a:t>
              </a:r>
              <a:r>
                <a:rPr lang="es-ES" sz="1100" baseline="-25000"/>
                <a:t>3</a:t>
              </a:r>
              <a:r>
                <a:rPr lang="es-ES" sz="1100" baseline="0"/>
                <a:t>, the temperature effect cancels because it's the same in both cases.</a:t>
              </a:r>
              <a:endParaRPr lang="es-ES" sz="1100"/>
            </a:p>
          </xdr:txBody>
        </xdr:sp>
      </mc:Choice>
      <mc:Fallback xmlns="">
        <xdr:sp macro="" textlink="">
          <xdr:nvSpPr>
            <xdr:cNvPr id="2" name="CuadroTexto 6">
              <a:extLst>
                <a:ext uri="{FF2B5EF4-FFF2-40B4-BE49-F238E27FC236}">
                  <a16:creationId xmlns:a16="http://schemas.microsoft.com/office/drawing/2014/main" id="{35DD33F4-8C79-4ED7-B754-090D385B1AF8}"/>
                </a:ext>
              </a:extLst>
            </xdr:cNvPr>
            <xdr:cNvSpPr txBox="1"/>
          </xdr:nvSpPr>
          <xdr:spPr>
            <a:xfrm>
              <a:off x="7115173" y="609601"/>
              <a:ext cx="5905501" cy="1390650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lang="es-ES" sz="1100"/>
                <a:t>Concentration of the calibrator with lower analyte concentration:</a:t>
              </a:r>
              <a:endParaRPr lang="es-ES" sz="11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endParaRPr lang="es-ES" sz="800" b="0" i="0" u="none" strike="noStrike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pPr algn="l"/>
              <a:r>
                <a:rPr lang="en-US" sz="1100" b="1" i="0">
                  <a:latin typeface="Cambria Math" panose="02040503050406030204" pitchFamily="18" charset="0"/>
                </a:rPr>
                <a:t>𝒄_𝐒</a:t>
              </a:r>
              <a:r>
                <a:rPr lang="es-ES" sz="1100" b="1" i="0">
                  <a:latin typeface="Cambria Math" panose="02040503050406030204" pitchFamily="18" charset="0"/>
                </a:rPr>
                <a:t>=  (𝒎 </a:t>
              </a:r>
              <a:r>
                <a:rPr lang="en-US" sz="1100" b="1" i="0">
                  <a:latin typeface="Cambria Math" panose="02040503050406030204" pitchFamily="18" charset="0"/>
                </a:rPr>
                <a:t>𝑷</a:t>
              </a:r>
              <a:r>
                <a:rPr lang="es-ES" sz="1100" b="1" i="0">
                  <a:latin typeface="Cambria Math" panose="02040503050406030204" pitchFamily="18" charset="0"/>
                </a:rPr>
                <a:t>)/𝑽_𝟏    𝑽_𝟐/𝑽_𝟑 </a:t>
              </a:r>
              <a:endParaRPr lang="es-ES" sz="1100" b="1"/>
            </a:p>
            <a:p>
              <a:pPr algn="l"/>
              <a:endParaRPr lang="es-ES" sz="500"/>
            </a:p>
            <a:p>
              <a:pPr algn="l"/>
              <a:r>
                <a:rPr lang="es-ES" sz="1100"/>
                <a:t>being</a:t>
              </a:r>
              <a:r>
                <a:rPr lang="es-ES" sz="1100" baseline="0"/>
                <a:t> </a:t>
              </a:r>
              <a:r>
                <a:rPr lang="es-ES" sz="1100" i="1" baseline="0"/>
                <a:t>V</a:t>
              </a:r>
              <a:r>
                <a:rPr lang="es-ES" sz="1100" baseline="-25000"/>
                <a:t>1</a:t>
              </a:r>
              <a:r>
                <a:rPr lang="es-ES" sz="1100" baseline="0"/>
                <a:t> the volume of the stock solution (100 mL), </a:t>
              </a:r>
              <a:r>
                <a:rPr lang="es-ES" sz="1100" i="1" baseline="0"/>
                <a:t>V</a:t>
              </a:r>
              <a:r>
                <a:rPr lang="es-ES" sz="1100" baseline="-25000"/>
                <a:t>2</a:t>
              </a:r>
              <a:r>
                <a:rPr lang="es-ES" sz="1100" baseline="0"/>
                <a:t> the lower melatonin spiked volume (10 µL) and </a:t>
              </a:r>
              <a:r>
                <a:rPr lang="es-ES" sz="1100" i="1" baseline="0"/>
                <a:t>V</a:t>
              </a:r>
              <a:r>
                <a:rPr lang="es-ES" sz="1100" baseline="-25000"/>
                <a:t>3</a:t>
              </a:r>
              <a:r>
                <a:rPr lang="es-ES" sz="1100" baseline="0"/>
                <a:t> the flask volume (10 mL).</a:t>
              </a:r>
            </a:p>
            <a:p>
              <a:pPr algn="l"/>
              <a:r>
                <a:rPr lang="es-ES" sz="1100" baseline="0"/>
                <a:t>For the uncertainty of </a:t>
              </a:r>
              <a:r>
                <a:rPr lang="es-ES" sz="1100" i="1" baseline="0"/>
                <a:t>V</a:t>
              </a:r>
              <a:r>
                <a:rPr lang="es-ES" sz="1100" baseline="-25000"/>
                <a:t>2</a:t>
              </a:r>
              <a:r>
                <a:rPr lang="es-ES" sz="1100" baseline="0"/>
                <a:t> and </a:t>
              </a:r>
              <a:r>
                <a:rPr lang="es-ES" sz="1100" i="1" baseline="0"/>
                <a:t>V</a:t>
              </a:r>
              <a:r>
                <a:rPr lang="es-ES" sz="1100" baseline="-25000"/>
                <a:t>3</a:t>
              </a:r>
              <a:r>
                <a:rPr lang="es-ES" sz="1100" baseline="0"/>
                <a:t>, the temperature effect cancels because it's the same in both cases.</a:t>
              </a:r>
              <a:endParaRPr lang="es-ES" sz="1100"/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742949</xdr:colOff>
      <xdr:row>82</xdr:row>
      <xdr:rowOff>14287</xdr:rowOff>
    </xdr:from>
    <xdr:to>
      <xdr:col>24</xdr:col>
      <xdr:colOff>171449</xdr:colOff>
      <xdr:row>96</xdr:row>
      <xdr:rowOff>90487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4AA24C-FECE-4BE6-97E6-722FB6F1F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438149</xdr:colOff>
      <xdr:row>22</xdr:row>
      <xdr:rowOff>38100</xdr:rowOff>
    </xdr:from>
    <xdr:to>
      <xdr:col>22</xdr:col>
      <xdr:colOff>9524</xdr:colOff>
      <xdr:row>36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CA5551-12E3-4053-8700-07589F27A1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6350</xdr:colOff>
      <xdr:row>9</xdr:row>
      <xdr:rowOff>171450</xdr:rowOff>
    </xdr:from>
    <xdr:to>
      <xdr:col>22</xdr:col>
      <xdr:colOff>190500</xdr:colOff>
      <xdr:row>14</xdr:row>
      <xdr:rowOff>114300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5">
              <a:extLst>
                <a:ext uri="{FF2B5EF4-FFF2-40B4-BE49-F238E27FC236}">
                  <a16:creationId xmlns:a16="http://schemas.microsoft.com/office/drawing/2014/main" id="{55692096-AAE8-422B-8548-D02AD9599560}"/>
                </a:ext>
              </a:extLst>
            </xdr:cNvPr>
            <xdr:cNvSpPr txBox="1"/>
          </xdr:nvSpPr>
          <xdr:spPr>
            <a:xfrm>
              <a:off x="13331825" y="1123950"/>
              <a:ext cx="2470150" cy="1009650"/>
            </a:xfrm>
            <a:prstGeom prst="rect">
              <a:avLst/>
            </a:prstGeom>
            <a:solidFill>
              <a:schemeClr val="accent2">
                <a:lumMod val="20000"/>
                <a:lumOff val="80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b="1" i="1">
                        <a:latin typeface="Cambria Math" panose="02040503050406030204" pitchFamily="18" charset="0"/>
                      </a:rPr>
                      <m:t>𝑼</m:t>
                    </m:r>
                    <m:r>
                      <a:rPr lang="es-ES" sz="1400" b="1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s-ES" sz="1400" b="1" i="1">
                        <a:latin typeface="Cambria Math" panose="02040503050406030204" pitchFamily="18" charset="0"/>
                      </a:rPr>
                      <m:t>𝒌</m:t>
                    </m:r>
                    <m:r>
                      <a:rPr lang="es-ES" sz="1400" b="1" i="1">
                        <a:latin typeface="Cambria Math" panose="02040503050406030204" pitchFamily="18" charset="0"/>
                      </a:rPr>
                      <m:t> ∗ </m:t>
                    </m:r>
                    <m:r>
                      <a:rPr lang="es-ES" sz="1400" b="1" i="1">
                        <a:latin typeface="Cambria Math" panose="02040503050406030204" pitchFamily="18" charset="0"/>
                      </a:rPr>
                      <m:t>𝒖</m:t>
                    </m:r>
                  </m:oMath>
                </m:oMathPara>
              </a14:m>
              <a:endParaRPr lang="es-ES" sz="1400" b="1"/>
            </a:p>
            <a:p>
              <a:endParaRPr lang="es-ES" sz="1100"/>
            </a:p>
            <a:p>
              <a:r>
                <a:rPr lang="es-ES" sz="1100"/>
                <a:t>Being</a:t>
              </a:r>
              <a:r>
                <a:rPr lang="es-ES" sz="1100" baseline="0"/>
                <a:t> </a:t>
              </a:r>
              <a:r>
                <a:rPr lang="es-ES" sz="1100" i="1" baseline="0"/>
                <a:t>k</a:t>
              </a:r>
              <a:r>
                <a:rPr lang="es-ES" sz="1100" baseline="0"/>
                <a:t> = 2 for a level of confidence of 95% or </a:t>
              </a:r>
              <a:r>
                <a:rPr lang="es-ES" sz="1100" i="1" baseline="0"/>
                <a:t>k</a:t>
              </a:r>
              <a:r>
                <a:rPr lang="es-ES" sz="1100" baseline="0"/>
                <a:t> = 3 for 99% l.o.c.</a:t>
              </a:r>
              <a:endParaRPr lang="es-ES" sz="1100"/>
            </a:p>
          </xdr:txBody>
        </xdr:sp>
      </mc:Choice>
      <mc:Fallback xmlns="">
        <xdr:sp macro="" textlink="">
          <xdr:nvSpPr>
            <xdr:cNvPr id="3" name="CuadroTexto 5">
              <a:extLst>
                <a:ext uri="{FF2B5EF4-FFF2-40B4-BE49-F238E27FC236}">
                  <a16:creationId xmlns:a16="http://schemas.microsoft.com/office/drawing/2014/main" id="{55692096-AAE8-422B-8548-D02AD9599560}"/>
                </a:ext>
              </a:extLst>
            </xdr:cNvPr>
            <xdr:cNvSpPr txBox="1"/>
          </xdr:nvSpPr>
          <xdr:spPr>
            <a:xfrm>
              <a:off x="13331825" y="1123950"/>
              <a:ext cx="2470150" cy="1009650"/>
            </a:xfrm>
            <a:prstGeom prst="rect">
              <a:avLst/>
            </a:prstGeom>
            <a:solidFill>
              <a:schemeClr val="accent2">
                <a:lumMod val="20000"/>
                <a:lumOff val="80000"/>
              </a:schemeClr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/>
              <a:r>
                <a:rPr lang="es-ES" sz="1400" b="1" i="0">
                  <a:latin typeface="Cambria Math" panose="02040503050406030204" pitchFamily="18" charset="0"/>
                </a:rPr>
                <a:t>𝑼=𝒌 ∗ 𝒖</a:t>
              </a:r>
              <a:endParaRPr lang="es-ES" sz="1400" b="1"/>
            </a:p>
            <a:p>
              <a:endParaRPr lang="es-ES" sz="1100"/>
            </a:p>
            <a:p>
              <a:r>
                <a:rPr lang="es-ES" sz="1100"/>
                <a:t>Being</a:t>
              </a:r>
              <a:r>
                <a:rPr lang="es-ES" sz="1100" baseline="0"/>
                <a:t> </a:t>
              </a:r>
              <a:r>
                <a:rPr lang="es-ES" sz="1100" i="1" baseline="0"/>
                <a:t>k</a:t>
              </a:r>
              <a:r>
                <a:rPr lang="es-ES" sz="1100" baseline="0"/>
                <a:t> = 2 for a level of confidence of 95% or </a:t>
              </a:r>
              <a:r>
                <a:rPr lang="es-ES" sz="1100" i="1" baseline="0"/>
                <a:t>k</a:t>
              </a:r>
              <a:r>
                <a:rPr lang="es-ES" sz="1100" baseline="0"/>
                <a:t> = 3 for 99% l.o.c.</a:t>
              </a:r>
              <a:endParaRPr lang="es-ES" sz="1100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34A37-9C5C-4299-8620-CEAC0A6F1E52}">
  <sheetPr>
    <tabColor rgb="FF00B0F0"/>
  </sheetPr>
  <dimension ref="B2:E15"/>
  <sheetViews>
    <sheetView tabSelected="1" workbookViewId="0"/>
  </sheetViews>
  <sheetFormatPr defaultRowHeight="14.6" x14ac:dyDescent="0.4"/>
  <cols>
    <col min="2" max="2" width="19.3046875" customWidth="1"/>
    <col min="3" max="3" width="18.3828125" customWidth="1"/>
    <col min="4" max="4" width="17.69140625" customWidth="1"/>
    <col min="5" max="5" width="15.53515625" customWidth="1"/>
  </cols>
  <sheetData>
    <row r="2" spans="2:5" x14ac:dyDescent="0.4">
      <c r="B2" s="12" t="s">
        <v>91</v>
      </c>
    </row>
    <row r="4" spans="2:5" x14ac:dyDescent="0.4">
      <c r="D4" s="29"/>
      <c r="E4" s="29"/>
    </row>
    <row r="5" spans="2:5" x14ac:dyDescent="0.4">
      <c r="D5" s="30"/>
      <c r="E5" s="30"/>
    </row>
    <row r="6" spans="2:5" ht="17.600000000000001" x14ac:dyDescent="0.55000000000000004">
      <c r="B6" s="17" t="s">
        <v>92</v>
      </c>
      <c r="C6" s="19" t="s">
        <v>130</v>
      </c>
      <c r="D6" s="31"/>
      <c r="E6" s="31"/>
    </row>
    <row r="7" spans="2:5" x14ac:dyDescent="0.4">
      <c r="B7" s="17">
        <v>60</v>
      </c>
      <c r="C7" s="26">
        <v>0.98319999999999996</v>
      </c>
      <c r="D7" s="28">
        <f>((C7/$C$9)*5*0.000703)/SQRT(3)</f>
        <v>2.0532136656122709E-3</v>
      </c>
      <c r="E7" s="28">
        <f>D7*SQRT(2)</f>
        <v>2.9036826123586506E-3</v>
      </c>
    </row>
    <row r="8" spans="2:5" x14ac:dyDescent="0.4">
      <c r="B8" s="17">
        <v>70</v>
      </c>
      <c r="C8" s="26">
        <v>0.97775999999999996</v>
      </c>
      <c r="D8" s="28">
        <f t="shared" ref="D8:D11" si="0">((C8/$C$9)*5*0.000703)/SQRT(3)</f>
        <v>2.0418533296267839E-3</v>
      </c>
      <c r="E8" s="28">
        <f t="shared" ref="E8:E11" si="1">D8*SQRT(2)</f>
        <v>2.8876166711348599E-3</v>
      </c>
    </row>
    <row r="9" spans="2:5" x14ac:dyDescent="0.4">
      <c r="B9" s="17">
        <v>80</v>
      </c>
      <c r="C9" s="26">
        <v>0.97179000000000004</v>
      </c>
      <c r="D9" s="28">
        <f t="shared" si="0"/>
        <v>2.0293861962015348E-3</v>
      </c>
      <c r="E9" s="28">
        <f t="shared" si="1"/>
        <v>2.8699854819609575E-3</v>
      </c>
    </row>
    <row r="10" spans="2:5" x14ac:dyDescent="0.4">
      <c r="B10" s="17">
        <v>90</v>
      </c>
      <c r="C10" s="26">
        <v>0.96531</v>
      </c>
      <c r="D10" s="28">
        <f t="shared" si="0"/>
        <v>2.0158540312776455E-3</v>
      </c>
      <c r="E10" s="28">
        <f t="shared" si="1"/>
        <v>2.8508481107973236E-3</v>
      </c>
    </row>
    <row r="11" spans="2:5" x14ac:dyDescent="0.4">
      <c r="B11" s="17">
        <v>100</v>
      </c>
      <c r="C11" s="26">
        <v>0.95835000000000004</v>
      </c>
      <c r="D11" s="28">
        <f t="shared" si="0"/>
        <v>2.0013194837668023E-3</v>
      </c>
      <c r="E11" s="28">
        <f t="shared" si="1"/>
        <v>2.8302931565845333E-3</v>
      </c>
    </row>
    <row r="12" spans="2:5" x14ac:dyDescent="0.4">
      <c r="C12" s="17" t="s">
        <v>65</v>
      </c>
      <c r="D12" s="27">
        <f>MIN(D7:D11)</f>
        <v>2.0013194837668023E-3</v>
      </c>
      <c r="E12" s="27">
        <f>MIN(E7:E11)</f>
        <v>2.8302931565845333E-3</v>
      </c>
    </row>
    <row r="13" spans="2:5" x14ac:dyDescent="0.4">
      <c r="C13" s="17" t="s">
        <v>64</v>
      </c>
      <c r="D13" s="27">
        <f>MAX(D7:D11)</f>
        <v>2.0532136656122709E-3</v>
      </c>
      <c r="E13" s="27">
        <f>MAX(E7:E11)</f>
        <v>2.9036826123586506E-3</v>
      </c>
    </row>
    <row r="15" spans="2:5" x14ac:dyDescent="0.4">
      <c r="B15" s="25" t="s">
        <v>90</v>
      </c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7C621-341D-4F0D-A80B-C65C5B15F712}">
  <sheetPr>
    <tabColor rgb="FF00B0F0"/>
  </sheetPr>
  <dimension ref="B2:C13"/>
  <sheetViews>
    <sheetView workbookViewId="0"/>
  </sheetViews>
  <sheetFormatPr defaultRowHeight="14.6" x14ac:dyDescent="0.4"/>
  <cols>
    <col min="2" max="2" width="45.69140625" customWidth="1"/>
    <col min="3" max="3" width="23.3828125" customWidth="1"/>
  </cols>
  <sheetData>
    <row r="2" spans="2:3" x14ac:dyDescent="0.4">
      <c r="B2" s="12" t="s">
        <v>83</v>
      </c>
    </row>
    <row r="4" spans="2:3" x14ac:dyDescent="0.4">
      <c r="B4" s="32" t="s">
        <v>84</v>
      </c>
      <c r="C4" s="24" t="s">
        <v>85</v>
      </c>
    </row>
    <row r="5" spans="2:3" x14ac:dyDescent="0.4">
      <c r="B5" s="32" t="s">
        <v>125</v>
      </c>
      <c r="C5" s="61">
        <f>'7-Comb&amp;Expansion'!C6</f>
        <v>2.5</v>
      </c>
    </row>
    <row r="6" spans="2:3" x14ac:dyDescent="0.4">
      <c r="B6" s="32" t="s">
        <v>86</v>
      </c>
      <c r="C6" s="23">
        <v>1.4999999999999999E-2</v>
      </c>
    </row>
    <row r="7" spans="2:3" x14ac:dyDescent="0.4">
      <c r="B7" s="32" t="s">
        <v>87</v>
      </c>
      <c r="C7" s="23">
        <v>0.06</v>
      </c>
    </row>
    <row r="8" spans="2:3" x14ac:dyDescent="0.4">
      <c r="B8" s="21" t="s">
        <v>121</v>
      </c>
    </row>
    <row r="10" spans="2:3" x14ac:dyDescent="0.4">
      <c r="B10" s="32" t="s">
        <v>89</v>
      </c>
      <c r="C10" s="17">
        <f>SQRT(2*(C7/SQRT(3))^2+2*(C6)^2)</f>
        <v>5.338539126015656E-2</v>
      </c>
    </row>
    <row r="11" spans="2:3" x14ac:dyDescent="0.4">
      <c r="B11" s="32" t="s">
        <v>88</v>
      </c>
      <c r="C11" s="22">
        <f>C10/C5</f>
        <v>2.1354156504062624E-2</v>
      </c>
    </row>
    <row r="13" spans="2:3" x14ac:dyDescent="0.4">
      <c r="B13" s="25" t="s">
        <v>90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582FC-2088-4F03-B8B0-768FB3AE8266}">
  <sheetPr>
    <tabColor rgb="FF00B0F0"/>
  </sheetPr>
  <dimension ref="B2:F12"/>
  <sheetViews>
    <sheetView workbookViewId="0"/>
  </sheetViews>
  <sheetFormatPr defaultColWidth="9.15234375" defaultRowHeight="14.6" x14ac:dyDescent="0.4"/>
  <cols>
    <col min="2" max="2" width="32.15234375" customWidth="1"/>
    <col min="3" max="3" width="15.15234375" customWidth="1"/>
    <col min="5" max="5" width="30.3828125" bestFit="1" customWidth="1"/>
  </cols>
  <sheetData>
    <row r="2" spans="2:6" x14ac:dyDescent="0.4">
      <c r="B2" s="12" t="s">
        <v>95</v>
      </c>
    </row>
    <row r="4" spans="2:6" x14ac:dyDescent="0.4">
      <c r="C4" s="17" t="s">
        <v>46</v>
      </c>
      <c r="D4" s="75" t="s">
        <v>47</v>
      </c>
      <c r="E4" s="17" t="s">
        <v>94</v>
      </c>
      <c r="F4" s="17" t="s">
        <v>132</v>
      </c>
    </row>
    <row r="5" spans="2:6" x14ac:dyDescent="0.4">
      <c r="B5" s="17" t="s">
        <v>97</v>
      </c>
      <c r="C5" s="17">
        <v>2</v>
      </c>
      <c r="D5" s="17">
        <f>SQRT(2*(0.06/SQRT(3))^2+2*(0.015)^2)</f>
        <v>5.338539126015656E-2</v>
      </c>
      <c r="E5" s="17" t="s">
        <v>49</v>
      </c>
      <c r="F5" s="33">
        <f>D5/C5</f>
        <v>2.669269563007828E-2</v>
      </c>
    </row>
    <row r="6" spans="2:6" x14ac:dyDescent="0.4">
      <c r="B6" s="17" t="s">
        <v>96</v>
      </c>
      <c r="C6" s="17">
        <v>0.98</v>
      </c>
      <c r="D6" s="17">
        <f>(1-0.98)/SQRT(3)</f>
        <v>1.1547005383792526E-2</v>
      </c>
      <c r="E6" s="17" t="s">
        <v>0</v>
      </c>
      <c r="F6" s="33">
        <f t="shared" ref="F6:F9" si="0">D6/C6</f>
        <v>1.1782658554890333E-2</v>
      </c>
    </row>
    <row r="7" spans="2:6" ht="17.149999999999999" x14ac:dyDescent="0.55000000000000004">
      <c r="B7" s="17" t="s">
        <v>98</v>
      </c>
      <c r="C7" s="17">
        <v>100</v>
      </c>
      <c r="D7" s="17">
        <f>SQRT((0.1/SQRT(3))^2+(0.02146)^2+((100*0.000207*4)/SQRT(3))^2)</f>
        <v>7.79688715663715E-2</v>
      </c>
      <c r="E7" s="17" t="s">
        <v>93</v>
      </c>
      <c r="F7" s="33">
        <f t="shared" si="0"/>
        <v>7.7968871566371498E-4</v>
      </c>
    </row>
    <row r="8" spans="2:6" ht="17.149999999999999" x14ac:dyDescent="0.55000000000000004">
      <c r="B8" s="17" t="s">
        <v>99</v>
      </c>
      <c r="C8" s="17">
        <v>10</v>
      </c>
      <c r="D8" s="17">
        <f>SQRT((0.2/SQRT(3))^2+(0.06)^2)</f>
        <v>0.13012814197295425</v>
      </c>
      <c r="E8" s="34" t="s">
        <v>59</v>
      </c>
      <c r="F8" s="33">
        <f t="shared" si="0"/>
        <v>1.3012814197295424E-2</v>
      </c>
    </row>
    <row r="9" spans="2:6" ht="17.149999999999999" x14ac:dyDescent="0.55000000000000004">
      <c r="B9" s="17" t="s">
        <v>100</v>
      </c>
      <c r="C9" s="17">
        <v>10</v>
      </c>
      <c r="D9" s="17">
        <f>SQRT((0.025/SQRT(3))^2+(0.0146)^2)</f>
        <v>2.053030280666443E-2</v>
      </c>
      <c r="E9" s="34" t="s">
        <v>60</v>
      </c>
      <c r="F9" s="33">
        <f t="shared" si="0"/>
        <v>2.0530302806664432E-3</v>
      </c>
    </row>
    <row r="10" spans="2:6" x14ac:dyDescent="0.4">
      <c r="E10" s="17" t="s">
        <v>131</v>
      </c>
      <c r="F10" s="22">
        <f>SQRT(SUMSQ(F5:F9))</f>
        <v>3.2023229440222456E-2</v>
      </c>
    </row>
    <row r="12" spans="2:6" x14ac:dyDescent="0.4">
      <c r="B12" s="25" t="s">
        <v>90</v>
      </c>
    </row>
  </sheetData>
  <sheetProtection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06F4E-7F33-4437-9F77-B08CA72FE1C8}">
  <sheetPr>
    <tabColor rgb="FF00B0F0"/>
  </sheetPr>
  <dimension ref="A2:AG83"/>
  <sheetViews>
    <sheetView workbookViewId="0"/>
  </sheetViews>
  <sheetFormatPr defaultColWidth="8.69140625" defaultRowHeight="14.6" x14ac:dyDescent="0.4"/>
  <cols>
    <col min="1" max="1" width="8.69140625" style="16"/>
    <col min="2" max="2" width="8.84375" style="16" bestFit="1" customWidth="1"/>
    <col min="3" max="3" width="11.3046875" style="16" bestFit="1" customWidth="1"/>
    <col min="4" max="4" width="14.53515625" style="16" customWidth="1"/>
    <col min="5" max="5" width="15.53515625" style="16" customWidth="1"/>
    <col min="6" max="6" width="14" style="16" customWidth="1"/>
    <col min="7" max="7" width="2.69140625" style="16" customWidth="1"/>
    <col min="8" max="8" width="18.84375" style="16" customWidth="1"/>
    <col min="9" max="9" width="2.69140625" style="16" customWidth="1"/>
    <col min="10" max="10" width="8.53515625" style="16" customWidth="1"/>
    <col min="11" max="11" width="10.3828125" style="16" bestFit="1" customWidth="1"/>
    <col min="12" max="12" width="9" style="16" bestFit="1" customWidth="1"/>
    <col min="13" max="13" width="12.3046875" style="16" bestFit="1" customWidth="1"/>
    <col min="14" max="14" width="6.53515625" style="16" customWidth="1"/>
    <col min="15" max="19" width="8.84375" style="16" bestFit="1" customWidth="1"/>
    <col min="20" max="20" width="20.3046875" style="16" customWidth="1"/>
    <col min="21" max="21" width="8.69140625" style="16"/>
    <col min="22" max="22" width="26.53515625" style="16" customWidth="1"/>
    <col min="23" max="23" width="12.15234375" style="16" bestFit="1" customWidth="1"/>
    <col min="24" max="26" width="8.84375" style="16" bestFit="1" customWidth="1"/>
    <col min="27" max="27" width="11.53515625" style="16" customWidth="1"/>
    <col min="28" max="28" width="8.84375" style="16" bestFit="1" customWidth="1"/>
    <col min="29" max="29" width="12" style="16" customWidth="1"/>
    <col min="30" max="33" width="8.69140625" style="16"/>
  </cols>
  <sheetData>
    <row r="2" spans="2:29" x14ac:dyDescent="0.4">
      <c r="B2" s="2" t="s">
        <v>95</v>
      </c>
    </row>
    <row r="3" spans="2:29" x14ac:dyDescent="0.4">
      <c r="U3" s="44" t="s">
        <v>120</v>
      </c>
      <c r="V3" s="39"/>
    </row>
    <row r="4" spans="2:29" x14ac:dyDescent="0.4">
      <c r="R4" s="39" t="s">
        <v>76</v>
      </c>
      <c r="S4" s="6">
        <f>STDEV(D11:D80)</f>
        <v>17610.188788647443</v>
      </c>
      <c r="U4" s="39" t="s">
        <v>61</v>
      </c>
      <c r="V4" s="60">
        <f>'7-Comb&amp;Expansion'!C9</f>
        <v>-30589.702666666708</v>
      </c>
      <c r="X4" s="39" t="s">
        <v>114</v>
      </c>
      <c r="Y4" s="39">
        <f>(V6-V4)/V5</f>
        <v>90.761805662405266</v>
      </c>
    </row>
    <row r="5" spans="2:29" x14ac:dyDescent="0.4">
      <c r="B5" s="38" t="s">
        <v>64</v>
      </c>
      <c r="C5" s="41">
        <f>MAX(B11:B20,B23:B32,B35:B44,B47:B56,B59:B68,B71:B80)</f>
        <v>235</v>
      </c>
      <c r="R5" s="39" t="s">
        <v>77</v>
      </c>
      <c r="S5" s="6">
        <f>STDEV(E11:E80)</f>
        <v>319.80772192794052</v>
      </c>
      <c r="U5" s="39" t="s">
        <v>62</v>
      </c>
      <c r="V5" s="60">
        <f>'7-Comb&amp;Expansion'!C10</f>
        <v>5103.552306898775</v>
      </c>
    </row>
    <row r="6" spans="2:29" x14ac:dyDescent="0.4">
      <c r="B6" s="38" t="s">
        <v>65</v>
      </c>
      <c r="C6" s="41">
        <f>MIN(B11:B20,B23:B32,B35:B44,B47:B56,B59:B68,B71:B80)</f>
        <v>20.8</v>
      </c>
      <c r="U6" s="39" t="s">
        <v>75</v>
      </c>
      <c r="V6" s="60">
        <f>'7-Comb&amp;Expansion'!C11</f>
        <v>432617.92</v>
      </c>
    </row>
    <row r="7" spans="2:29" x14ac:dyDescent="0.4">
      <c r="J7" s="21" t="s">
        <v>111</v>
      </c>
      <c r="U7" s="21" t="s">
        <v>121</v>
      </c>
    </row>
    <row r="9" spans="2:29" x14ac:dyDescent="0.4">
      <c r="B9" s="80" t="s">
        <v>101</v>
      </c>
      <c r="C9" s="81"/>
      <c r="J9" s="82" t="str">
        <f>B9</f>
        <v>Calibration 1</v>
      </c>
      <c r="K9" s="82"/>
      <c r="L9" s="82"/>
      <c r="M9" s="82"/>
      <c r="P9" s="39" t="s">
        <v>112</v>
      </c>
      <c r="Q9" s="39" t="s">
        <v>66</v>
      </c>
      <c r="R9" s="39" t="s">
        <v>68</v>
      </c>
      <c r="S9" s="39" t="s">
        <v>69</v>
      </c>
      <c r="T9" s="39" t="s">
        <v>70</v>
      </c>
      <c r="W9" s="39" t="s">
        <v>71</v>
      </c>
      <c r="X9" s="39" t="s">
        <v>72</v>
      </c>
      <c r="Y9" s="39" t="s">
        <v>73</v>
      </c>
      <c r="Z9" s="39" t="s">
        <v>74</v>
      </c>
      <c r="AB9" s="39" t="s">
        <v>115</v>
      </c>
      <c r="AC9" s="39" t="s">
        <v>116</v>
      </c>
    </row>
    <row r="10" spans="2:29" ht="16.3" x14ac:dyDescent="0.4">
      <c r="B10" s="38" t="s">
        <v>133</v>
      </c>
      <c r="C10" s="38" t="s">
        <v>136</v>
      </c>
      <c r="D10" s="38" t="s">
        <v>107</v>
      </c>
      <c r="E10" s="38" t="s">
        <v>108</v>
      </c>
      <c r="F10" s="38" t="s">
        <v>109</v>
      </c>
      <c r="H10" s="38" t="s">
        <v>63</v>
      </c>
      <c r="J10" s="76" t="s">
        <v>110</v>
      </c>
      <c r="K10" s="38" t="s">
        <v>135</v>
      </c>
      <c r="L10" s="38" t="s">
        <v>137</v>
      </c>
      <c r="M10" s="38" t="s">
        <v>138</v>
      </c>
      <c r="O10" s="39">
        <v>1</v>
      </c>
      <c r="P10" s="42">
        <f>C6</f>
        <v>20.8</v>
      </c>
      <c r="Q10" s="17">
        <f>P10+($C$5-$C$6)/9</f>
        <v>44.599999999999994</v>
      </c>
      <c r="R10" s="17">
        <f>SUMIFS($M$11:$M$80,$J$11:$J$80,"&gt;="&amp;P10,$J$11:$J$80,"&lt;"&amp;Q10)</f>
        <v>6.8933983560019021E-2</v>
      </c>
      <c r="S10" s="17">
        <f>COUNTIFS($J$10:$J$80,"&gt;="&amp;P10,$J$10:$J$80,"&lt;"&amp;Q10)</f>
        <v>10</v>
      </c>
      <c r="T10" s="43">
        <f>SQRT(R10/(S10-2))</f>
        <v>9.2826439902661234E-2</v>
      </c>
      <c r="W10" s="17">
        <f>(1/$V$5)^2*(T10*$V$6)^2</f>
        <v>61.91662259301939</v>
      </c>
      <c r="X10" s="17">
        <f>(-1/$V$5)^2*($S$4)^2</f>
        <v>11.90646619074175</v>
      </c>
      <c r="Y10" s="17">
        <f>(-$Y$4/$V$5)^2*($S$5)^2</f>
        <v>32.347372210576168</v>
      </c>
      <c r="Z10" s="17">
        <f>2*(-1/$V$5)*(-$Y$4/$V$5)*$S$4*$S$5*$H$11</f>
        <v>-28.036769575468835</v>
      </c>
      <c r="AB10" s="17" t="str">
        <f>IF(AND($Y$4&gt;=P10,$Y$4&lt;Q10),SQRT(SUM(W10:Z10)),"-")</f>
        <v>-</v>
      </c>
      <c r="AC10" s="40" t="str">
        <f>IF(AB10="-","-",AB10/$Y$4)</f>
        <v>-</v>
      </c>
    </row>
    <row r="11" spans="2:29" x14ac:dyDescent="0.4">
      <c r="B11" s="36">
        <v>23.5</v>
      </c>
      <c r="C11" s="37">
        <v>103141.5</v>
      </c>
      <c r="D11" s="38">
        <f>INTERCEPT(C11:C20,B11:B20)</f>
        <v>-30589.702666666708</v>
      </c>
      <c r="E11" s="38">
        <f>SLOPE(C11:C20,B11:B20)</f>
        <v>5103.552306898775</v>
      </c>
      <c r="F11" s="38">
        <f>CORREL(C11:C20,B11:B20)</f>
        <v>0.99911684752844632</v>
      </c>
      <c r="H11" s="38">
        <f>CORREL(D11:D71,E11:E71)</f>
        <v>-0.71431049690901172</v>
      </c>
      <c r="J11" s="36">
        <f>B11</f>
        <v>23.5</v>
      </c>
      <c r="K11" s="6">
        <f>B11*E11+D11</f>
        <v>89343.776545454501</v>
      </c>
      <c r="L11" s="40">
        <f>(C11-K11)/C11</f>
        <v>0.133774702273532</v>
      </c>
      <c r="M11" s="17">
        <f>L11^2</f>
        <v>1.7895670968372128E-2</v>
      </c>
      <c r="O11" s="39">
        <f>O10+1</f>
        <v>2</v>
      </c>
      <c r="P11" s="17">
        <f>Q10</f>
        <v>44.599999999999994</v>
      </c>
      <c r="Q11" s="17">
        <f t="shared" ref="Q11:Q18" si="0">P11+($C$5-$C$6)/9</f>
        <v>68.399999999999991</v>
      </c>
      <c r="R11" s="17">
        <f t="shared" ref="R11:R17" si="1">SUMIFS($M$11:$M$80,$J$11:$J$80,"&gt;="&amp;P11,$J$11:$J$80,"&lt;"&amp;Q11)</f>
        <v>1.1953504273145217E-2</v>
      </c>
      <c r="S11" s="17">
        <f t="shared" ref="S11:S17" si="2">COUNTIFS($J$10:$J$80,"&gt;="&amp;P11,$J$10:$J$80,"&lt;"&amp;Q11)</f>
        <v>6</v>
      </c>
      <c r="T11" s="43">
        <f t="shared" ref="T11:T18" si="3">SQRT(R11/(S11-2))</f>
        <v>5.4666041271399048E-2</v>
      </c>
      <c r="W11" s="17">
        <f t="shared" ref="W11:W18" si="4">(1/$V$5)^2*(T11*$V$6)^2</f>
        <v>21.473316193890732</v>
      </c>
      <c r="X11" s="17">
        <f t="shared" ref="X11:X18" si="5">(-1/$V$5)^2*($S$4)^2</f>
        <v>11.90646619074175</v>
      </c>
      <c r="Y11" s="17">
        <f t="shared" ref="Y11:Y18" si="6">(-$Y$4/$V$5)^2*($S$5)^2</f>
        <v>32.347372210576168</v>
      </c>
      <c r="Z11" s="17">
        <f t="shared" ref="Z11:Z18" si="7">2*(-1/$V$5)*(-$Y$4/$V$5)*$S$4*$S$5*$H$11</f>
        <v>-28.036769575468835</v>
      </c>
      <c r="AB11" s="17" t="str">
        <f t="shared" ref="AB11:AB17" si="8">IF(AND($Y$4&gt;=P11,$Y$4&lt;Q11),SQRT(SUM(W11:Z11)),"-")</f>
        <v>-</v>
      </c>
      <c r="AC11" s="40" t="str">
        <f t="shared" ref="AC11:AC18" si="9">IF(AB11="-","-",AB11/$Y$4)</f>
        <v>-</v>
      </c>
    </row>
    <row r="12" spans="2:29" x14ac:dyDescent="0.4">
      <c r="B12" s="36">
        <v>47</v>
      </c>
      <c r="C12" s="37">
        <v>216792.5</v>
      </c>
      <c r="J12" s="36">
        <f t="shared" ref="J12:J20" si="10">B12</f>
        <v>47</v>
      </c>
      <c r="K12" s="6">
        <f>B12*E11+D11</f>
        <v>209277.25575757571</v>
      </c>
      <c r="L12" s="40">
        <f t="shared" ref="L12:L20" si="11">(C12-K12)/C12</f>
        <v>3.4665609937725203E-2</v>
      </c>
      <c r="M12" s="17">
        <f t="shared" ref="M12:M20" si="12">L12^2</f>
        <v>1.2017045123545124E-3</v>
      </c>
      <c r="O12" s="39">
        <f t="shared" ref="O12:O18" si="13">O11+1</f>
        <v>3</v>
      </c>
      <c r="P12" s="17">
        <f t="shared" ref="P12:P18" si="14">Q11</f>
        <v>68.399999999999991</v>
      </c>
      <c r="Q12" s="17">
        <f t="shared" si="0"/>
        <v>92.199999999999989</v>
      </c>
      <c r="R12" s="17">
        <f t="shared" si="1"/>
        <v>6.330123142565717E-3</v>
      </c>
      <c r="S12" s="17">
        <f t="shared" si="2"/>
        <v>6</v>
      </c>
      <c r="T12" s="43">
        <f t="shared" si="3"/>
        <v>3.9781035502377625E-2</v>
      </c>
      <c r="W12" s="17">
        <f t="shared" si="4"/>
        <v>11.371454987635456</v>
      </c>
      <c r="X12" s="17">
        <f t="shared" si="5"/>
        <v>11.90646619074175</v>
      </c>
      <c r="Y12" s="17">
        <f t="shared" si="6"/>
        <v>32.347372210576168</v>
      </c>
      <c r="Z12" s="17">
        <f t="shared" si="7"/>
        <v>-28.036769575468835</v>
      </c>
      <c r="AB12" s="17">
        <f t="shared" si="8"/>
        <v>5.2524778736787212</v>
      </c>
      <c r="AC12" s="40">
        <f t="shared" si="9"/>
        <v>5.7871015625401631E-2</v>
      </c>
    </row>
    <row r="13" spans="2:29" x14ac:dyDescent="0.4">
      <c r="B13" s="36">
        <v>70.5</v>
      </c>
      <c r="C13" s="37">
        <v>337709</v>
      </c>
      <c r="J13" s="36">
        <f t="shared" si="10"/>
        <v>70.5</v>
      </c>
      <c r="K13" s="6">
        <f>B13*E11+D11</f>
        <v>329210.7349696969</v>
      </c>
      <c r="L13" s="40">
        <f t="shared" si="11"/>
        <v>2.5164461208623687E-2</v>
      </c>
      <c r="M13" s="17">
        <f t="shared" si="12"/>
        <v>6.3325010792032635E-4</v>
      </c>
      <c r="O13" s="39">
        <f t="shared" si="13"/>
        <v>4</v>
      </c>
      <c r="P13" s="17">
        <f t="shared" si="14"/>
        <v>92.199999999999989</v>
      </c>
      <c r="Q13" s="17">
        <f t="shared" si="0"/>
        <v>115.99999999999999</v>
      </c>
      <c r="R13" s="17">
        <f t="shared" si="1"/>
        <v>4.3467667863225871E-3</v>
      </c>
      <c r="S13" s="17">
        <f t="shared" si="2"/>
        <v>6</v>
      </c>
      <c r="T13" s="43">
        <f t="shared" si="3"/>
        <v>3.2965007152746785E-2</v>
      </c>
      <c r="W13" s="17">
        <f t="shared" si="4"/>
        <v>7.8085468069396189</v>
      </c>
      <c r="X13" s="17">
        <f t="shared" si="5"/>
        <v>11.90646619074175</v>
      </c>
      <c r="Y13" s="17">
        <f t="shared" si="6"/>
        <v>32.347372210576168</v>
      </c>
      <c r="Z13" s="17">
        <f t="shared" si="7"/>
        <v>-28.036769575468835</v>
      </c>
      <c r="AB13" s="17" t="str">
        <f t="shared" si="8"/>
        <v>-</v>
      </c>
      <c r="AC13" s="40" t="str">
        <f t="shared" si="9"/>
        <v>-</v>
      </c>
    </row>
    <row r="14" spans="2:29" x14ac:dyDescent="0.4">
      <c r="B14" s="36">
        <v>94</v>
      </c>
      <c r="C14" s="37">
        <v>432617.92</v>
      </c>
      <c r="J14" s="36">
        <f t="shared" si="10"/>
        <v>94</v>
      </c>
      <c r="K14" s="6">
        <f>B14*E11+D11</f>
        <v>449144.21418181813</v>
      </c>
      <c r="L14" s="40">
        <f t="shared" si="11"/>
        <v>-3.8200669500279005E-2</v>
      </c>
      <c r="M14" s="17">
        <f t="shared" si="12"/>
        <v>1.4592911502695467E-3</v>
      </c>
      <c r="O14" s="39">
        <f t="shared" si="13"/>
        <v>5</v>
      </c>
      <c r="P14" s="17">
        <f t="shared" si="14"/>
        <v>115.99999999999999</v>
      </c>
      <c r="Q14" s="17">
        <f t="shared" si="0"/>
        <v>139.79999999999998</v>
      </c>
      <c r="R14" s="17">
        <f t="shared" si="1"/>
        <v>5.9184288091686217E-3</v>
      </c>
      <c r="S14" s="17">
        <f t="shared" si="2"/>
        <v>6</v>
      </c>
      <c r="T14" s="43">
        <f t="shared" si="3"/>
        <v>3.8465662639452287E-2</v>
      </c>
      <c r="W14" s="17">
        <f t="shared" si="4"/>
        <v>10.631885870976513</v>
      </c>
      <c r="X14" s="17">
        <f t="shared" si="5"/>
        <v>11.90646619074175</v>
      </c>
      <c r="Y14" s="17">
        <f t="shared" si="6"/>
        <v>32.347372210576168</v>
      </c>
      <c r="Z14" s="17">
        <f t="shared" si="7"/>
        <v>-28.036769575468835</v>
      </c>
      <c r="AB14" s="17" t="str">
        <f t="shared" si="8"/>
        <v>-</v>
      </c>
      <c r="AC14" s="40" t="str">
        <f t="shared" si="9"/>
        <v>-</v>
      </c>
    </row>
    <row r="15" spans="2:29" x14ac:dyDescent="0.4">
      <c r="B15" s="36">
        <v>117.5</v>
      </c>
      <c r="C15" s="37">
        <v>562659</v>
      </c>
      <c r="J15" s="36">
        <f t="shared" si="10"/>
        <v>117.5</v>
      </c>
      <c r="K15" s="6">
        <f>B15*E11+D11</f>
        <v>569077.69339393941</v>
      </c>
      <c r="L15" s="40">
        <f t="shared" si="11"/>
        <v>-1.1407785877306518E-2</v>
      </c>
      <c r="M15" s="17">
        <f t="shared" si="12"/>
        <v>1.3013757862247402E-4</v>
      </c>
      <c r="O15" s="39">
        <f t="shared" si="13"/>
        <v>6</v>
      </c>
      <c r="P15" s="17">
        <f t="shared" si="14"/>
        <v>139.79999999999998</v>
      </c>
      <c r="Q15" s="17">
        <f t="shared" si="0"/>
        <v>163.59999999999997</v>
      </c>
      <c r="R15" s="17">
        <f t="shared" si="1"/>
        <v>7.1784172572265945E-3</v>
      </c>
      <c r="S15" s="17">
        <f t="shared" si="2"/>
        <v>6</v>
      </c>
      <c r="T15" s="43">
        <f t="shared" si="3"/>
        <v>4.236277038044902E-2</v>
      </c>
      <c r="W15" s="17">
        <f t="shared" si="4"/>
        <v>12.895333453170711</v>
      </c>
      <c r="X15" s="17">
        <f t="shared" si="5"/>
        <v>11.90646619074175</v>
      </c>
      <c r="Y15" s="17">
        <f t="shared" si="6"/>
        <v>32.347372210576168</v>
      </c>
      <c r="Z15" s="17">
        <f t="shared" si="7"/>
        <v>-28.036769575468835</v>
      </c>
      <c r="AB15" s="17" t="str">
        <f t="shared" si="8"/>
        <v>-</v>
      </c>
      <c r="AC15" s="40" t="str">
        <f t="shared" si="9"/>
        <v>-</v>
      </c>
    </row>
    <row r="16" spans="2:29" x14ac:dyDescent="0.4">
      <c r="B16" s="36">
        <v>141</v>
      </c>
      <c r="C16" s="37">
        <v>654113.54</v>
      </c>
      <c r="J16" s="36">
        <f t="shared" si="10"/>
        <v>141</v>
      </c>
      <c r="K16" s="6">
        <f>B16*E11+D11</f>
        <v>689011.17260606051</v>
      </c>
      <c r="L16" s="40">
        <f t="shared" si="11"/>
        <v>-5.3351032308642431E-2</v>
      </c>
      <c r="M16" s="17">
        <f t="shared" si="12"/>
        <v>2.8463326483978086E-3</v>
      </c>
      <c r="O16" s="39">
        <f t="shared" si="13"/>
        <v>7</v>
      </c>
      <c r="P16" s="17">
        <f t="shared" si="14"/>
        <v>163.59999999999997</v>
      </c>
      <c r="Q16" s="17">
        <f t="shared" si="0"/>
        <v>187.39999999999998</v>
      </c>
      <c r="R16" s="17">
        <f t="shared" si="1"/>
        <v>3.4922953602321079E-3</v>
      </c>
      <c r="S16" s="17">
        <f t="shared" si="2"/>
        <v>8</v>
      </c>
      <c r="T16" s="43">
        <f t="shared" si="3"/>
        <v>2.4125696398349859E-2</v>
      </c>
      <c r="W16" s="17">
        <f t="shared" si="4"/>
        <v>4.182380931935695</v>
      </c>
      <c r="X16" s="17">
        <f t="shared" si="5"/>
        <v>11.90646619074175</v>
      </c>
      <c r="Y16" s="17">
        <f t="shared" si="6"/>
        <v>32.347372210576168</v>
      </c>
      <c r="Z16" s="17">
        <f t="shared" si="7"/>
        <v>-28.036769575468835</v>
      </c>
      <c r="AB16" s="17" t="str">
        <f t="shared" si="8"/>
        <v>-</v>
      </c>
      <c r="AC16" s="40" t="str">
        <f t="shared" si="9"/>
        <v>-</v>
      </c>
    </row>
    <row r="17" spans="2:29" x14ac:dyDescent="0.4">
      <c r="B17" s="36">
        <v>164.5</v>
      </c>
      <c r="C17" s="37">
        <v>810180.94</v>
      </c>
      <c r="J17" s="36">
        <f t="shared" si="10"/>
        <v>164.5</v>
      </c>
      <c r="K17" s="6">
        <f>B17*E11+D11</f>
        <v>808944.65181818174</v>
      </c>
      <c r="L17" s="40">
        <f t="shared" si="11"/>
        <v>1.5259408371396726E-3</v>
      </c>
      <c r="M17" s="17">
        <f t="shared" si="12"/>
        <v>2.328495438450525E-6</v>
      </c>
      <c r="O17" s="39">
        <f t="shared" si="13"/>
        <v>8</v>
      </c>
      <c r="P17" s="17">
        <f t="shared" si="14"/>
        <v>187.39999999999998</v>
      </c>
      <c r="Q17" s="17">
        <f t="shared" si="0"/>
        <v>211.2</v>
      </c>
      <c r="R17" s="17">
        <f t="shared" si="1"/>
        <v>3.1498977684068291E-3</v>
      </c>
      <c r="S17" s="17">
        <f t="shared" si="2"/>
        <v>6</v>
      </c>
      <c r="T17" s="43">
        <f t="shared" si="3"/>
        <v>2.806197502140053E-2</v>
      </c>
      <c r="W17" s="17">
        <f t="shared" si="4"/>
        <v>5.6584871861708441</v>
      </c>
      <c r="X17" s="17">
        <f t="shared" si="5"/>
        <v>11.90646619074175</v>
      </c>
      <c r="Y17" s="17">
        <f t="shared" si="6"/>
        <v>32.347372210576168</v>
      </c>
      <c r="Z17" s="17">
        <f t="shared" si="7"/>
        <v>-28.036769575468835</v>
      </c>
      <c r="AB17" s="17" t="str">
        <f t="shared" si="8"/>
        <v>-</v>
      </c>
      <c r="AC17" s="40" t="str">
        <f t="shared" si="9"/>
        <v>-</v>
      </c>
    </row>
    <row r="18" spans="2:29" x14ac:dyDescent="0.4">
      <c r="B18" s="36">
        <v>188</v>
      </c>
      <c r="C18" s="37">
        <v>936443.33</v>
      </c>
      <c r="J18" s="36">
        <f t="shared" si="10"/>
        <v>188</v>
      </c>
      <c r="K18" s="6">
        <f>B18*E11+D11</f>
        <v>928878.13103030296</v>
      </c>
      <c r="L18" s="40">
        <f t="shared" si="11"/>
        <v>8.0786511338566507E-3</v>
      </c>
      <c r="M18" s="17">
        <f t="shared" si="12"/>
        <v>6.5264604142563346E-5</v>
      </c>
      <c r="O18" s="39">
        <f t="shared" si="13"/>
        <v>9</v>
      </c>
      <c r="P18" s="17">
        <f t="shared" si="14"/>
        <v>211.2</v>
      </c>
      <c r="Q18" s="17">
        <f t="shared" si="0"/>
        <v>235</v>
      </c>
      <c r="R18" s="39">
        <f>SUMIFS($M$11:$M$80,$J$11:$J$80,"&gt;="&amp;P18,$J$11:$J$80,"&lt;="&amp;Q18)</f>
        <v>2.1918637082499041E-3</v>
      </c>
      <c r="S18" s="39">
        <f>COUNTIFS($J$10:$J$80,"&gt;="&amp;P18,$J$10:$J$80,"&lt;="&amp;Q18)</f>
        <v>6</v>
      </c>
      <c r="T18" s="43">
        <f t="shared" si="3"/>
        <v>2.3408672048249042E-2</v>
      </c>
      <c r="W18" s="17">
        <f t="shared" si="4"/>
        <v>3.9374715050634976</v>
      </c>
      <c r="X18" s="17">
        <f t="shared" si="5"/>
        <v>11.90646619074175</v>
      </c>
      <c r="Y18" s="17">
        <f t="shared" si="6"/>
        <v>32.347372210576168</v>
      </c>
      <c r="Z18" s="17">
        <f t="shared" si="7"/>
        <v>-28.036769575468835</v>
      </c>
      <c r="AB18" s="45" t="str">
        <f>IF(AND($Y$4&gt;=P18,$Y$4&lt;=Q18),SQRT(SUM(W18:Z18)),"-")</f>
        <v>-</v>
      </c>
      <c r="AC18" s="40" t="str">
        <f t="shared" si="9"/>
        <v>-</v>
      </c>
    </row>
    <row r="19" spans="2:29" x14ac:dyDescent="0.4">
      <c r="B19" s="36">
        <v>211.5</v>
      </c>
      <c r="C19" s="37">
        <v>1057024.79</v>
      </c>
      <c r="J19" s="36">
        <f t="shared" si="10"/>
        <v>211.5</v>
      </c>
      <c r="K19" s="6">
        <f>B19*E11+D11</f>
        <v>1048811.6102424241</v>
      </c>
      <c r="L19" s="40">
        <f t="shared" si="11"/>
        <v>7.7700918987680225E-3</v>
      </c>
      <c r="M19" s="17">
        <f t="shared" si="12"/>
        <v>6.0374328115300455E-5</v>
      </c>
      <c r="AA19" s="18" t="s">
        <v>78</v>
      </c>
      <c r="AB19" s="39">
        <f>SUM(AB10:AB18)</f>
        <v>5.2524778736787212</v>
      </c>
      <c r="AC19" s="46">
        <f>IF(AB19="-","-",AB19/$Y$4)</f>
        <v>5.7871015625401631E-2</v>
      </c>
    </row>
    <row r="20" spans="2:29" x14ac:dyDescent="0.4">
      <c r="B20" s="36">
        <v>235</v>
      </c>
      <c r="C20" s="37">
        <v>1179761.81</v>
      </c>
      <c r="J20" s="36">
        <f t="shared" si="10"/>
        <v>235</v>
      </c>
      <c r="K20" s="6">
        <f>B20*E11+D11</f>
        <v>1168745.0894545456</v>
      </c>
      <c r="L20" s="40">
        <f t="shared" si="11"/>
        <v>9.3380888006998775E-3</v>
      </c>
      <c r="M20" s="17">
        <f t="shared" si="12"/>
        <v>8.7199902449756474E-5</v>
      </c>
    </row>
    <row r="21" spans="2:29" x14ac:dyDescent="0.4">
      <c r="B21" s="80" t="s">
        <v>102</v>
      </c>
      <c r="C21" s="81"/>
      <c r="J21" s="82" t="str">
        <f>B21</f>
        <v>Calibration 2</v>
      </c>
      <c r="K21" s="82"/>
      <c r="L21" s="82"/>
      <c r="M21" s="82"/>
    </row>
    <row r="22" spans="2:29" ht="16.3" x14ac:dyDescent="0.4">
      <c r="B22" s="38" t="s">
        <v>133</v>
      </c>
      <c r="C22" s="38" t="s">
        <v>136</v>
      </c>
      <c r="D22" s="38" t="s">
        <v>107</v>
      </c>
      <c r="E22" s="38" t="s">
        <v>108</v>
      </c>
      <c r="F22" s="38" t="s">
        <v>109</v>
      </c>
      <c r="J22" s="76" t="s">
        <v>110</v>
      </c>
      <c r="K22" s="38" t="s">
        <v>135</v>
      </c>
      <c r="L22" s="38" t="s">
        <v>137</v>
      </c>
      <c r="M22" s="38" t="s">
        <v>138</v>
      </c>
      <c r="O22" s="83" t="s">
        <v>113</v>
      </c>
      <c r="P22" s="83"/>
      <c r="Q22" s="83"/>
      <c r="R22" s="83"/>
      <c r="S22" s="83"/>
      <c r="T22" s="83"/>
      <c r="U22" s="83"/>
      <c r="V22" s="83"/>
    </row>
    <row r="23" spans="2:29" x14ac:dyDescent="0.4">
      <c r="B23" s="36">
        <v>23.5</v>
      </c>
      <c r="C23" s="37">
        <v>126130.46</v>
      </c>
      <c r="D23" s="38">
        <f>INTERCEPT(C23:C32,B23:B32)</f>
        <v>7763.7580000001471</v>
      </c>
      <c r="E23" s="38">
        <f>SLOPE(C23:C32,B23:B32)</f>
        <v>4901.3714119922624</v>
      </c>
      <c r="F23" s="38">
        <f>CORREL(C23:C32,B23:B32)</f>
        <v>0.99739530150227751</v>
      </c>
      <c r="J23" s="36">
        <f>B23</f>
        <v>23.5</v>
      </c>
      <c r="K23" s="6">
        <f>B23*E23+D23</f>
        <v>122945.98618181831</v>
      </c>
      <c r="L23" s="40">
        <f>(C23-K23)/C23</f>
        <v>2.5247460591055433E-2</v>
      </c>
      <c r="M23" s="17">
        <f>L23^2</f>
        <v>6.3743426629689717E-4</v>
      </c>
    </row>
    <row r="24" spans="2:29" x14ac:dyDescent="0.4">
      <c r="B24" s="36">
        <v>47</v>
      </c>
      <c r="C24" s="37">
        <v>259603.34</v>
      </c>
      <c r="J24" s="36">
        <f t="shared" ref="J24:J32" si="15">B24</f>
        <v>47</v>
      </c>
      <c r="K24" s="6">
        <f>B24*E23+D23</f>
        <v>238128.21436363648</v>
      </c>
      <c r="L24" s="40">
        <f t="shared" ref="L24:L32" si="16">(C24-K24)/C24</f>
        <v>8.2722840300758535E-2</v>
      </c>
      <c r="M24" s="17">
        <f t="shared" ref="M24:M32" si="17">L24^2</f>
        <v>6.8430683074248008E-3</v>
      </c>
    </row>
    <row r="25" spans="2:29" x14ac:dyDescent="0.4">
      <c r="B25" s="36">
        <v>70.5</v>
      </c>
      <c r="C25" s="37">
        <v>339941.43</v>
      </c>
      <c r="J25" s="36">
        <f t="shared" si="15"/>
        <v>70.5</v>
      </c>
      <c r="K25" s="6">
        <f>B25*E23+D23</f>
        <v>353310.44254545466</v>
      </c>
      <c r="L25" s="40">
        <f t="shared" si="16"/>
        <v>-3.9327399856659617E-2</v>
      </c>
      <c r="M25" s="17">
        <f t="shared" si="17"/>
        <v>1.546644379485591E-3</v>
      </c>
    </row>
    <row r="26" spans="2:29" x14ac:dyDescent="0.4">
      <c r="B26" s="36">
        <v>94</v>
      </c>
      <c r="C26" s="37">
        <v>461532.75</v>
      </c>
      <c r="J26" s="36">
        <f t="shared" si="15"/>
        <v>94</v>
      </c>
      <c r="K26" s="6">
        <f>B26*E23+D23</f>
        <v>468492.67072727281</v>
      </c>
      <c r="L26" s="40">
        <f t="shared" si="16"/>
        <v>-1.5080014857608282E-2</v>
      </c>
      <c r="M26" s="17">
        <f t="shared" si="17"/>
        <v>2.2740684810568655E-4</v>
      </c>
    </row>
    <row r="27" spans="2:29" x14ac:dyDescent="0.4">
      <c r="B27" s="36">
        <v>117.5</v>
      </c>
      <c r="C27" s="37">
        <v>552839.6</v>
      </c>
      <c r="J27" s="36">
        <f t="shared" si="15"/>
        <v>117.5</v>
      </c>
      <c r="K27" s="6">
        <f>B27*E23+D23</f>
        <v>583674.89890909102</v>
      </c>
      <c r="L27" s="40">
        <f t="shared" si="16"/>
        <v>-5.5776212321062099E-2</v>
      </c>
      <c r="M27" s="17">
        <f t="shared" si="17"/>
        <v>3.1109858608841996E-3</v>
      </c>
    </row>
    <row r="28" spans="2:29" x14ac:dyDescent="0.4">
      <c r="B28" s="36">
        <v>141</v>
      </c>
      <c r="C28" s="37">
        <v>689697.87</v>
      </c>
      <c r="J28" s="36">
        <f t="shared" si="15"/>
        <v>141</v>
      </c>
      <c r="K28" s="6">
        <f>B28*E23+D23</f>
        <v>698857.12709090917</v>
      </c>
      <c r="L28" s="40">
        <f t="shared" si="16"/>
        <v>-1.3280100590870571E-2</v>
      </c>
      <c r="M28" s="17">
        <f t="shared" si="17"/>
        <v>1.763610717036409E-4</v>
      </c>
    </row>
    <row r="29" spans="2:29" x14ac:dyDescent="0.4">
      <c r="B29" s="36">
        <v>164.5</v>
      </c>
      <c r="C29" s="37">
        <v>846405.34</v>
      </c>
      <c r="J29" s="36">
        <f t="shared" si="15"/>
        <v>164.5</v>
      </c>
      <c r="K29" s="6">
        <f>B29*E23+D23</f>
        <v>814039.35527272732</v>
      </c>
      <c r="L29" s="40">
        <f t="shared" si="16"/>
        <v>3.8239343725398341E-2</v>
      </c>
      <c r="M29" s="17">
        <f t="shared" si="17"/>
        <v>1.4622474085491614E-3</v>
      </c>
    </row>
    <row r="30" spans="2:29" x14ac:dyDescent="0.4">
      <c r="B30" s="36">
        <v>188</v>
      </c>
      <c r="C30" s="37">
        <v>963865.99</v>
      </c>
      <c r="J30" s="36">
        <f t="shared" si="15"/>
        <v>188</v>
      </c>
      <c r="K30" s="6">
        <f>B30*E23+D23</f>
        <v>929221.58345454547</v>
      </c>
      <c r="L30" s="40">
        <f t="shared" si="16"/>
        <v>3.5943177687444414E-2</v>
      </c>
      <c r="M30" s="17">
        <f t="shared" si="17"/>
        <v>1.2919120222712019E-3</v>
      </c>
    </row>
    <row r="31" spans="2:29" x14ac:dyDescent="0.4">
      <c r="B31" s="36">
        <v>211.5</v>
      </c>
      <c r="C31" s="37">
        <v>1003711.91</v>
      </c>
      <c r="J31" s="36">
        <f t="shared" si="15"/>
        <v>211.5</v>
      </c>
      <c r="K31" s="6">
        <f>B31*E23+D23</f>
        <v>1044403.8116363636</v>
      </c>
      <c r="L31" s="40">
        <f t="shared" si="16"/>
        <v>-4.0541415550567284E-2</v>
      </c>
      <c r="M31" s="17">
        <f t="shared" si="17"/>
        <v>1.6436063748437788E-3</v>
      </c>
    </row>
    <row r="32" spans="2:29" x14ac:dyDescent="0.4">
      <c r="B32" s="36">
        <v>235</v>
      </c>
      <c r="C32" s="37">
        <v>1168931.44</v>
      </c>
      <c r="J32" s="36">
        <f t="shared" si="15"/>
        <v>235</v>
      </c>
      <c r="K32" s="6">
        <f>B32*E23+D23</f>
        <v>1159586.0398181819</v>
      </c>
      <c r="L32" s="40">
        <f t="shared" si="16"/>
        <v>7.99482318810593E-3</v>
      </c>
      <c r="M32" s="17">
        <f t="shared" si="17"/>
        <v>6.3917197809076266E-5</v>
      </c>
    </row>
    <row r="33" spans="2:13" x14ac:dyDescent="0.4">
      <c r="B33" s="80" t="s">
        <v>103</v>
      </c>
      <c r="C33" s="81"/>
      <c r="J33" s="82" t="str">
        <f>B33</f>
        <v>Calibration 3</v>
      </c>
      <c r="K33" s="82"/>
      <c r="L33" s="82"/>
      <c r="M33" s="82"/>
    </row>
    <row r="34" spans="2:13" ht="16.3" x14ac:dyDescent="0.4">
      <c r="B34" s="38" t="s">
        <v>133</v>
      </c>
      <c r="C34" s="38" t="s">
        <v>136</v>
      </c>
      <c r="D34" s="38" t="s">
        <v>107</v>
      </c>
      <c r="E34" s="38" t="s">
        <v>108</v>
      </c>
      <c r="F34" s="38" t="s">
        <v>109</v>
      </c>
      <c r="J34" s="76" t="s">
        <v>110</v>
      </c>
      <c r="K34" s="38" t="s">
        <v>135</v>
      </c>
      <c r="L34" s="38" t="s">
        <v>137</v>
      </c>
      <c r="M34" s="38" t="s">
        <v>138</v>
      </c>
    </row>
    <row r="35" spans="2:13" x14ac:dyDescent="0.4">
      <c r="B35" s="36">
        <v>20.8</v>
      </c>
      <c r="C35" s="37">
        <v>97066</v>
      </c>
      <c r="D35" s="38">
        <f>INTERCEPT(C35:C44,B35:B44)</f>
        <v>483.77599999989616</v>
      </c>
      <c r="E35" s="38">
        <f>SLOPE(C35:C44,B35:B44)</f>
        <v>4313.9364947552449</v>
      </c>
      <c r="F35" s="38">
        <f>CORREL(C35:C44,B35:B44)</f>
        <v>0.99925353296498509</v>
      </c>
      <c r="J35" s="36">
        <f>B35</f>
        <v>20.8</v>
      </c>
      <c r="K35" s="6">
        <f>B35*E35+D35</f>
        <v>90213.655090909</v>
      </c>
      <c r="L35" s="40">
        <f>(C35-K35)/C35</f>
        <v>7.0594697516030327E-2</v>
      </c>
      <c r="M35" s="17">
        <f>L35^2</f>
        <v>4.9836113173798184E-3</v>
      </c>
    </row>
    <row r="36" spans="2:13" x14ac:dyDescent="0.4">
      <c r="B36" s="36">
        <v>41.6</v>
      </c>
      <c r="C36" s="37">
        <v>186967.48</v>
      </c>
      <c r="J36" s="36">
        <f t="shared" ref="J36:J44" si="18">B36</f>
        <v>41.6</v>
      </c>
      <c r="K36" s="6">
        <f>B36*E35+D35</f>
        <v>179943.5341818181</v>
      </c>
      <c r="L36" s="40">
        <f t="shared" ref="L36:L44" si="19">(C36-K36)/C36</f>
        <v>3.7567740754605596E-2</v>
      </c>
      <c r="M36" s="17">
        <f t="shared" ref="M36:M44" si="20">L36^2</f>
        <v>1.4113351454052541E-3</v>
      </c>
    </row>
    <row r="37" spans="2:13" x14ac:dyDescent="0.4">
      <c r="B37" s="36">
        <v>62.4</v>
      </c>
      <c r="C37" s="37">
        <v>262480.09999999998</v>
      </c>
      <c r="J37" s="36">
        <f t="shared" si="18"/>
        <v>62.4</v>
      </c>
      <c r="K37" s="6">
        <f>B37*E35+D35</f>
        <v>269673.41327272716</v>
      </c>
      <c r="L37" s="40">
        <f t="shared" si="19"/>
        <v>-2.7405175755141772E-2</v>
      </c>
      <c r="M37" s="17">
        <f t="shared" si="20"/>
        <v>7.5104365817021046E-4</v>
      </c>
    </row>
    <row r="38" spans="2:13" x14ac:dyDescent="0.4">
      <c r="B38" s="36">
        <v>83.2</v>
      </c>
      <c r="C38" s="37">
        <v>345235.52</v>
      </c>
      <c r="J38" s="36">
        <f t="shared" si="18"/>
        <v>83.2</v>
      </c>
      <c r="K38" s="6">
        <f>B38*E35+D35</f>
        <v>359403.29236363631</v>
      </c>
      <c r="L38" s="40">
        <f t="shared" si="19"/>
        <v>-4.1037991582199576E-2</v>
      </c>
      <c r="M38" s="17">
        <f t="shared" si="20"/>
        <v>1.6841167531006832E-3</v>
      </c>
    </row>
    <row r="39" spans="2:13" x14ac:dyDescent="0.4">
      <c r="B39" s="36">
        <v>104</v>
      </c>
      <c r="C39" s="37">
        <v>458281.79</v>
      </c>
      <c r="J39" s="36">
        <f t="shared" si="18"/>
        <v>104</v>
      </c>
      <c r="K39" s="6">
        <f>B39*E35+D35</f>
        <v>449133.17145454534</v>
      </c>
      <c r="L39" s="40">
        <f t="shared" si="19"/>
        <v>1.9962867268748855E-2</v>
      </c>
      <c r="M39" s="17">
        <f t="shared" si="20"/>
        <v>3.985160695896844E-4</v>
      </c>
    </row>
    <row r="40" spans="2:13" x14ac:dyDescent="0.4">
      <c r="B40" s="36">
        <v>124.8</v>
      </c>
      <c r="C40" s="37">
        <v>530827.15</v>
      </c>
      <c r="J40" s="36">
        <f t="shared" si="18"/>
        <v>124.8</v>
      </c>
      <c r="K40" s="6">
        <f>B40*E35+D35</f>
        <v>538863.05054545449</v>
      </c>
      <c r="L40" s="40">
        <f t="shared" si="19"/>
        <v>-1.5138450520954829E-2</v>
      </c>
      <c r="M40" s="17">
        <f t="shared" si="20"/>
        <v>2.2917268417539752E-4</v>
      </c>
    </row>
    <row r="41" spans="2:13" x14ac:dyDescent="0.4">
      <c r="B41" s="36">
        <v>145.6</v>
      </c>
      <c r="C41" s="37">
        <v>639462.68999999994</v>
      </c>
      <c r="J41" s="36">
        <f t="shared" si="18"/>
        <v>145.6</v>
      </c>
      <c r="K41" s="6">
        <f>B41*E35+D35</f>
        <v>628592.92963636364</v>
      </c>
      <c r="L41" s="40">
        <f t="shared" si="19"/>
        <v>1.699827141382761E-2</v>
      </c>
      <c r="M41" s="17">
        <f t="shared" si="20"/>
        <v>2.8894123105814888E-4</v>
      </c>
    </row>
    <row r="42" spans="2:13" x14ac:dyDescent="0.4">
      <c r="B42" s="36">
        <v>166.4</v>
      </c>
      <c r="C42" s="37">
        <v>701118</v>
      </c>
      <c r="J42" s="36">
        <f t="shared" si="18"/>
        <v>166.4</v>
      </c>
      <c r="K42" s="6">
        <f>B42*E35+D35</f>
        <v>718322.80872727279</v>
      </c>
      <c r="L42" s="40">
        <f t="shared" si="19"/>
        <v>-2.4539105724389883E-2</v>
      </c>
      <c r="M42" s="17">
        <f t="shared" si="20"/>
        <v>6.0216770975278435E-4</v>
      </c>
    </row>
    <row r="43" spans="2:13" x14ac:dyDescent="0.4">
      <c r="B43" s="36">
        <v>187.2</v>
      </c>
      <c r="C43" s="37">
        <v>813750.69</v>
      </c>
      <c r="J43" s="36">
        <f t="shared" si="18"/>
        <v>187.2</v>
      </c>
      <c r="K43" s="6">
        <f>B43*E35+D35</f>
        <v>808052.6878181817</v>
      </c>
      <c r="L43" s="40">
        <f t="shared" si="19"/>
        <v>7.002147281519655E-3</v>
      </c>
      <c r="M43" s="17">
        <f t="shared" si="20"/>
        <v>4.9030066552093097E-5</v>
      </c>
    </row>
    <row r="44" spans="2:13" x14ac:dyDescent="0.4">
      <c r="B44" s="36">
        <v>208</v>
      </c>
      <c r="C44" s="37">
        <v>904791.69</v>
      </c>
      <c r="J44" s="36">
        <f t="shared" si="18"/>
        <v>208</v>
      </c>
      <c r="K44" s="6">
        <f>B44*E35+D35</f>
        <v>897782.56690909085</v>
      </c>
      <c r="L44" s="40">
        <f t="shared" si="19"/>
        <v>7.7466704970611481E-3</v>
      </c>
      <c r="M44" s="17">
        <f t="shared" si="20"/>
        <v>6.0010903790037618E-5</v>
      </c>
    </row>
    <row r="45" spans="2:13" x14ac:dyDescent="0.4">
      <c r="B45" s="80" t="s">
        <v>104</v>
      </c>
      <c r="C45" s="81"/>
      <c r="J45" s="82" t="str">
        <f>B45</f>
        <v>Calibration 4</v>
      </c>
      <c r="K45" s="82"/>
      <c r="L45" s="82"/>
      <c r="M45" s="82"/>
    </row>
    <row r="46" spans="2:13" ht="16.3" x14ac:dyDescent="0.4">
      <c r="B46" s="38" t="s">
        <v>134</v>
      </c>
      <c r="C46" s="38" t="s">
        <v>136</v>
      </c>
      <c r="D46" s="38" t="s">
        <v>107</v>
      </c>
      <c r="E46" s="38" t="s">
        <v>108</v>
      </c>
      <c r="F46" s="38" t="s">
        <v>109</v>
      </c>
      <c r="J46" s="76" t="s">
        <v>110</v>
      </c>
      <c r="K46" s="38" t="s">
        <v>135</v>
      </c>
      <c r="L46" s="38" t="s">
        <v>137</v>
      </c>
      <c r="M46" s="38" t="s">
        <v>67</v>
      </c>
    </row>
    <row r="47" spans="2:13" x14ac:dyDescent="0.4">
      <c r="B47" s="36">
        <v>20.8</v>
      </c>
      <c r="C47" s="37">
        <v>128970.69</v>
      </c>
      <c r="D47" s="38">
        <f>INTERCEPT(C47:C56,B47:B56)</f>
        <v>22644.195999999938</v>
      </c>
      <c r="E47" s="38">
        <f>SLOPE(C47:C56,B47:B56)</f>
        <v>4352.9549038461546</v>
      </c>
      <c r="F47" s="38">
        <f>CORREL(C47:C56,B47:B56)</f>
        <v>0.99822369690353152</v>
      </c>
      <c r="J47" s="36">
        <f>B47</f>
        <v>20.8</v>
      </c>
      <c r="K47" s="6">
        <f>B47*E47+D47</f>
        <v>113185.65799999995</v>
      </c>
      <c r="L47" s="40">
        <f>(C47-K47)/C47</f>
        <v>0.12239239783861007</v>
      </c>
      <c r="M47" s="17">
        <f>L47^2</f>
        <v>1.4979899048684603E-2</v>
      </c>
    </row>
    <row r="48" spans="2:13" x14ac:dyDescent="0.4">
      <c r="B48" s="36">
        <v>41.6</v>
      </c>
      <c r="C48" s="37">
        <v>199743.21</v>
      </c>
      <c r="J48" s="36">
        <f t="shared" ref="J48:J56" si="21">B48</f>
        <v>41.6</v>
      </c>
      <c r="K48" s="6">
        <f>B48*E47+D47</f>
        <v>203727.11999999997</v>
      </c>
      <c r="L48" s="40">
        <f t="shared" ref="L48:L56" si="22">(C48-K48)/C48</f>
        <v>-1.9945158586366838E-2</v>
      </c>
      <c r="M48" s="17">
        <f t="shared" ref="M48:M56" si="23">L48^2</f>
        <v>3.9780935103532282E-4</v>
      </c>
    </row>
    <row r="49" spans="2:13" x14ac:dyDescent="0.4">
      <c r="B49" s="36">
        <v>62.4</v>
      </c>
      <c r="C49" s="37">
        <v>279987.38</v>
      </c>
      <c r="J49" s="36">
        <f t="shared" si="21"/>
        <v>62.4</v>
      </c>
      <c r="K49" s="6">
        <f>B49*E47+D47</f>
        <v>294268.58199999999</v>
      </c>
      <c r="L49" s="40">
        <f t="shared" si="22"/>
        <v>-5.1006591797101673E-2</v>
      </c>
      <c r="M49" s="17">
        <f t="shared" si="23"/>
        <v>2.6016724067561598E-3</v>
      </c>
    </row>
    <row r="50" spans="2:13" x14ac:dyDescent="0.4">
      <c r="B50" s="36">
        <v>83.2</v>
      </c>
      <c r="C50" s="37">
        <v>369796.44</v>
      </c>
      <c r="J50" s="36">
        <f t="shared" si="21"/>
        <v>83.2</v>
      </c>
      <c r="K50" s="6">
        <f>B50*E47+D47</f>
        <v>384810.04399999999</v>
      </c>
      <c r="L50" s="40">
        <f t="shared" si="22"/>
        <v>-4.0599644496307187E-2</v>
      </c>
      <c r="M50" s="17">
        <f t="shared" si="23"/>
        <v>1.6483311332265264E-3</v>
      </c>
    </row>
    <row r="51" spans="2:13" x14ac:dyDescent="0.4">
      <c r="B51" s="36">
        <v>104</v>
      </c>
      <c r="C51" s="37">
        <v>462131.06</v>
      </c>
      <c r="J51" s="36">
        <f t="shared" si="21"/>
        <v>104</v>
      </c>
      <c r="K51" s="6">
        <f>B51*E47+D47</f>
        <v>475351.50599999999</v>
      </c>
      <c r="L51" s="40">
        <f t="shared" si="22"/>
        <v>-2.8607568597531611E-2</v>
      </c>
      <c r="M51" s="17">
        <f t="shared" si="23"/>
        <v>8.1839298106247673E-4</v>
      </c>
    </row>
    <row r="52" spans="2:13" x14ac:dyDescent="0.4">
      <c r="B52" s="36">
        <v>124.8</v>
      </c>
      <c r="C52" s="37">
        <v>577361.4</v>
      </c>
      <c r="J52" s="36">
        <f t="shared" si="21"/>
        <v>124.8</v>
      </c>
      <c r="K52" s="6">
        <f>B52*E47+D47</f>
        <v>565892.96800000011</v>
      </c>
      <c r="L52" s="40">
        <f t="shared" si="22"/>
        <v>1.9863523955705929E-2</v>
      </c>
      <c r="M52" s="17">
        <f t="shared" si="23"/>
        <v>3.9455958393890331E-4</v>
      </c>
    </row>
    <row r="53" spans="2:13" x14ac:dyDescent="0.4">
      <c r="B53" s="36">
        <v>145.6</v>
      </c>
      <c r="C53" s="37">
        <v>687123.39</v>
      </c>
      <c r="J53" s="36">
        <f t="shared" si="21"/>
        <v>145.6</v>
      </c>
      <c r="K53" s="6">
        <f>B53*E47+D47</f>
        <v>656434.42999999993</v>
      </c>
      <c r="L53" s="40">
        <f t="shared" si="22"/>
        <v>4.4662953476230928E-2</v>
      </c>
      <c r="M53" s="17">
        <f t="shared" si="23"/>
        <v>1.9947794132199681E-3</v>
      </c>
    </row>
    <row r="54" spans="2:13" x14ac:dyDescent="0.4">
      <c r="B54" s="36">
        <v>166.4</v>
      </c>
      <c r="C54" s="37">
        <v>759131.15</v>
      </c>
      <c r="J54" s="36">
        <f t="shared" si="21"/>
        <v>166.4</v>
      </c>
      <c r="K54" s="6">
        <f>B54*E47+D47</f>
        <v>746975.89199999999</v>
      </c>
      <c r="L54" s="40">
        <f t="shared" si="22"/>
        <v>1.6012065899285031E-2</v>
      </c>
      <c r="M54" s="17">
        <f t="shared" si="23"/>
        <v>2.5638625436304652E-4</v>
      </c>
    </row>
    <row r="55" spans="2:13" x14ac:dyDescent="0.4">
      <c r="B55" s="36">
        <v>187.2</v>
      </c>
      <c r="C55" s="37">
        <v>821224.49</v>
      </c>
      <c r="J55" s="36">
        <f t="shared" si="21"/>
        <v>187.2</v>
      </c>
      <c r="K55" s="6">
        <f>B55*E47+D47</f>
        <v>837517.35400000005</v>
      </c>
      <c r="L55" s="40">
        <f t="shared" si="22"/>
        <v>-1.9839720074592587E-2</v>
      </c>
      <c r="M55" s="17">
        <f t="shared" si="23"/>
        <v>3.936144926381921E-4</v>
      </c>
    </row>
    <row r="56" spans="2:13" x14ac:dyDescent="0.4">
      <c r="B56" s="36">
        <v>208</v>
      </c>
      <c r="C56" s="37">
        <v>920753.16</v>
      </c>
      <c r="J56" s="36">
        <f t="shared" si="21"/>
        <v>208</v>
      </c>
      <c r="K56" s="6">
        <f>B56*E47+D47</f>
        <v>928058.81600000011</v>
      </c>
      <c r="L56" s="40">
        <f t="shared" si="22"/>
        <v>-7.9344348924092478E-3</v>
      </c>
      <c r="M56" s="17">
        <f t="shared" si="23"/>
        <v>6.2955257061881353E-5</v>
      </c>
    </row>
    <row r="57" spans="2:13" x14ac:dyDescent="0.4">
      <c r="B57" s="80" t="s">
        <v>105</v>
      </c>
      <c r="C57" s="81"/>
      <c r="J57" s="82" t="str">
        <f>B57</f>
        <v>Calibration 5</v>
      </c>
      <c r="K57" s="82"/>
      <c r="L57" s="82"/>
      <c r="M57" s="82"/>
    </row>
    <row r="58" spans="2:13" ht="16.3" x14ac:dyDescent="0.4">
      <c r="B58" s="38" t="s">
        <v>134</v>
      </c>
      <c r="C58" s="38" t="s">
        <v>136</v>
      </c>
      <c r="D58" s="38" t="s">
        <v>107</v>
      </c>
      <c r="E58" s="38" t="s">
        <v>108</v>
      </c>
      <c r="F58" s="38" t="s">
        <v>109</v>
      </c>
      <c r="J58" s="76" t="s">
        <v>110</v>
      </c>
      <c r="K58" s="38" t="s">
        <v>135</v>
      </c>
      <c r="L58" s="38" t="s">
        <v>137</v>
      </c>
      <c r="M58" s="38" t="s">
        <v>138</v>
      </c>
    </row>
    <row r="59" spans="2:13" x14ac:dyDescent="0.4">
      <c r="B59" s="36">
        <v>22.1</v>
      </c>
      <c r="C59" s="37">
        <v>120959.22</v>
      </c>
      <c r="D59" s="38">
        <f>INTERCEPT(C59:C68,B59:B68)</f>
        <v>4793.3926666665357</v>
      </c>
      <c r="E59" s="38">
        <f>SLOPE(C59:C68,B59:B68)</f>
        <v>4481.7603235979714</v>
      </c>
      <c r="F59" s="38">
        <f>CORREL(C59:C68,B59:B68)</f>
        <v>0.998003734218876</v>
      </c>
      <c r="J59" s="36">
        <f>B59</f>
        <v>22.1</v>
      </c>
      <c r="K59" s="6">
        <f>B59*E59+D59</f>
        <v>103840.29581818171</v>
      </c>
      <c r="L59" s="40">
        <f>(C59-K59)/C59</f>
        <v>0.14152641015557385</v>
      </c>
      <c r="M59" s="17">
        <f>L59^2</f>
        <v>2.0029724771523719E-2</v>
      </c>
    </row>
    <row r="60" spans="2:13" x14ac:dyDescent="0.4">
      <c r="B60" s="36">
        <v>44.2</v>
      </c>
      <c r="C60" s="37">
        <v>191380.99</v>
      </c>
      <c r="J60" s="36">
        <f t="shared" ref="J60:J68" si="24">B60</f>
        <v>44.2</v>
      </c>
      <c r="K60" s="6">
        <f>B60*E59+D59</f>
        <v>202887.19896969688</v>
      </c>
      <c r="L60" s="40">
        <f t="shared" ref="L60:L68" si="25">(C60-K60)/C60</f>
        <v>-6.0122005689786068E-2</v>
      </c>
      <c r="M60" s="17">
        <f t="shared" ref="M60:M68" si="26">L60^2</f>
        <v>3.6146555681626684E-3</v>
      </c>
    </row>
    <row r="61" spans="2:13" x14ac:dyDescent="0.4">
      <c r="B61" s="36">
        <v>66.3</v>
      </c>
      <c r="C61" s="37">
        <v>295694.15000000002</v>
      </c>
      <c r="J61" s="36">
        <f t="shared" si="24"/>
        <v>66.3</v>
      </c>
      <c r="K61" s="6">
        <f>B61*E59+D59</f>
        <v>301934.102121212</v>
      </c>
      <c r="L61" s="40">
        <f t="shared" si="25"/>
        <v>-2.1102724288633957E-2</v>
      </c>
      <c r="M61" s="17">
        <f t="shared" si="26"/>
        <v>4.4532497240210153E-4</v>
      </c>
    </row>
    <row r="62" spans="2:13" x14ac:dyDescent="0.4">
      <c r="B62" s="36">
        <v>88.4</v>
      </c>
      <c r="C62" s="37">
        <v>394354.59</v>
      </c>
      <c r="J62" s="36">
        <f t="shared" si="24"/>
        <v>88.4</v>
      </c>
      <c r="K62" s="6">
        <f>B62*E59+D59</f>
        <v>400981.00527272723</v>
      </c>
      <c r="L62" s="40">
        <f t="shared" si="25"/>
        <v>-1.680319043003202E-2</v>
      </c>
      <c r="M62" s="17">
        <f t="shared" si="26"/>
        <v>2.8234720862791964E-4</v>
      </c>
    </row>
    <row r="63" spans="2:13" x14ac:dyDescent="0.4">
      <c r="B63" s="36">
        <v>110.5</v>
      </c>
      <c r="C63" s="37">
        <v>494173.64</v>
      </c>
      <c r="J63" s="36">
        <f t="shared" si="24"/>
        <v>110.5</v>
      </c>
      <c r="K63" s="6">
        <f>B63*E59+D59</f>
        <v>500027.9084242424</v>
      </c>
      <c r="L63" s="40">
        <f t="shared" si="25"/>
        <v>-1.1846581748557825E-2</v>
      </c>
      <c r="M63" s="17">
        <f t="shared" si="26"/>
        <v>1.4034149912526338E-4</v>
      </c>
    </row>
    <row r="64" spans="2:13" x14ac:dyDescent="0.4">
      <c r="B64" s="36">
        <v>132.6</v>
      </c>
      <c r="C64" s="37">
        <v>588440.97</v>
      </c>
      <c r="J64" s="36">
        <f t="shared" si="24"/>
        <v>132.6</v>
      </c>
      <c r="K64" s="6">
        <f>B64*E59+D59</f>
        <v>599074.81157575746</v>
      </c>
      <c r="L64" s="40">
        <f t="shared" si="25"/>
        <v>-1.8071212097549028E-2</v>
      </c>
      <c r="M64" s="17">
        <f t="shared" si="26"/>
        <v>3.2656870667460231E-4</v>
      </c>
    </row>
    <row r="65" spans="2:13" x14ac:dyDescent="0.4">
      <c r="B65" s="36">
        <v>154.69999999999999</v>
      </c>
      <c r="C65" s="37">
        <v>728039.1</v>
      </c>
      <c r="J65" s="36">
        <f t="shared" si="24"/>
        <v>154.69999999999999</v>
      </c>
      <c r="K65" s="6">
        <f>B65*E59+D59</f>
        <v>698121.71472727263</v>
      </c>
      <c r="L65" s="40">
        <f t="shared" si="25"/>
        <v>4.1093102379703712E-2</v>
      </c>
      <c r="M65" s="17">
        <f t="shared" si="26"/>
        <v>1.6886430631888108E-3</v>
      </c>
    </row>
    <row r="66" spans="2:13" x14ac:dyDescent="0.4">
      <c r="B66" s="36">
        <v>176.8</v>
      </c>
      <c r="C66" s="37">
        <v>816421.81</v>
      </c>
      <c r="J66" s="36">
        <f t="shared" si="24"/>
        <v>176.8</v>
      </c>
      <c r="K66" s="6">
        <f>B66*E59+D59</f>
        <v>797168.61787878792</v>
      </c>
      <c r="L66" s="40">
        <f t="shared" si="25"/>
        <v>2.3582407874689355E-2</v>
      </c>
      <c r="M66" s="17">
        <f t="shared" si="26"/>
        <v>5.5612996116821049E-4</v>
      </c>
    </row>
    <row r="67" spans="2:13" x14ac:dyDescent="0.4">
      <c r="B67" s="36">
        <v>198.9</v>
      </c>
      <c r="C67" s="37">
        <v>861181.2</v>
      </c>
      <c r="J67" s="36">
        <f t="shared" si="24"/>
        <v>198.9</v>
      </c>
      <c r="K67" s="6">
        <f>B67*E59+D59</f>
        <v>896215.52103030309</v>
      </c>
      <c r="L67" s="40">
        <f t="shared" si="25"/>
        <v>-4.0681706742208425E-2</v>
      </c>
      <c r="M67" s="17">
        <f t="shared" si="26"/>
        <v>1.6550012634590464E-3</v>
      </c>
    </row>
    <row r="68" spans="2:13" x14ac:dyDescent="0.4">
      <c r="B68" s="36">
        <v>221</v>
      </c>
      <c r="C68" s="37">
        <v>1004867.93</v>
      </c>
      <c r="J68" s="36">
        <f t="shared" si="24"/>
        <v>221</v>
      </c>
      <c r="K68" s="6">
        <f>B68*E59+D59</f>
        <v>995262.42418181826</v>
      </c>
      <c r="L68" s="40">
        <f t="shared" si="25"/>
        <v>9.5589734047754789E-3</v>
      </c>
      <c r="M68" s="17">
        <f t="shared" si="26"/>
        <v>9.1373972553204915E-5</v>
      </c>
    </row>
    <row r="69" spans="2:13" x14ac:dyDescent="0.4">
      <c r="B69" s="80" t="s">
        <v>106</v>
      </c>
      <c r="C69" s="81"/>
      <c r="J69" s="82" t="str">
        <f>B69</f>
        <v>Calibration 6</v>
      </c>
      <c r="K69" s="82"/>
      <c r="L69" s="82"/>
      <c r="M69" s="82"/>
    </row>
    <row r="70" spans="2:13" ht="16.3" x14ac:dyDescent="0.4">
      <c r="B70" s="38" t="s">
        <v>134</v>
      </c>
      <c r="C70" s="38" t="s">
        <v>136</v>
      </c>
      <c r="D70" s="38" t="s">
        <v>107</v>
      </c>
      <c r="E70" s="38" t="s">
        <v>108</v>
      </c>
      <c r="F70" s="38" t="s">
        <v>109</v>
      </c>
      <c r="J70" s="76" t="s">
        <v>110</v>
      </c>
      <c r="K70" s="38" t="s">
        <v>135</v>
      </c>
      <c r="L70" s="38" t="s">
        <v>137</v>
      </c>
      <c r="M70" s="38" t="s">
        <v>138</v>
      </c>
    </row>
    <row r="71" spans="2:13" x14ac:dyDescent="0.4">
      <c r="B71" s="36">
        <v>22.1</v>
      </c>
      <c r="C71" s="37">
        <v>95258.11</v>
      </c>
      <c r="D71" s="38">
        <f>INTERCEPT(C71:C80,B71:B80)</f>
        <v>-4326.2273333331104</v>
      </c>
      <c r="E71" s="38">
        <f>SLOPE(C71:C80,B71:B80)</f>
        <v>4764.2879665432602</v>
      </c>
      <c r="F71" s="38">
        <f>CORREL(C71:C80,B71:B80)</f>
        <v>0.99903621356049832</v>
      </c>
      <c r="J71" s="36">
        <f>B71</f>
        <v>22.1</v>
      </c>
      <c r="K71" s="6">
        <f>B71*E71+D71</f>
        <v>100964.53672727295</v>
      </c>
      <c r="L71" s="40">
        <f>(C71-K71)/C71</f>
        <v>-5.9904891323929781E-2</v>
      </c>
      <c r="M71" s="17">
        <f>L71^2</f>
        <v>3.5885960045318375E-3</v>
      </c>
    </row>
    <row r="72" spans="2:13" x14ac:dyDescent="0.4">
      <c r="B72" s="36">
        <v>44.2</v>
      </c>
      <c r="C72" s="37">
        <v>214258.5</v>
      </c>
      <c r="J72" s="36">
        <f t="shared" ref="J72:J80" si="27">B72</f>
        <v>44.2</v>
      </c>
      <c r="K72" s="6">
        <f>B72*E71+D71</f>
        <v>206255.30078787901</v>
      </c>
      <c r="L72" s="40">
        <f t="shared" ref="L72:L80" si="28">(C72-K72)/C72</f>
        <v>3.7353006821764324E-2</v>
      </c>
      <c r="M72" s="17">
        <f t="shared" ref="M72:M80" si="29">L72^2</f>
        <v>1.3952471186267721E-3</v>
      </c>
    </row>
    <row r="73" spans="2:13" x14ac:dyDescent="0.4">
      <c r="B73" s="36">
        <v>66.3</v>
      </c>
      <c r="C73" s="37">
        <v>308302.43</v>
      </c>
      <c r="J73" s="36">
        <f t="shared" si="27"/>
        <v>66.3</v>
      </c>
      <c r="K73" s="6">
        <f>B73*E71+D71</f>
        <v>311546.064848485</v>
      </c>
      <c r="L73" s="40">
        <f t="shared" si="28"/>
        <v>-1.0520951289566554E-2</v>
      </c>
      <c r="M73" s="17">
        <f t="shared" si="29"/>
        <v>1.1069041603743212E-4</v>
      </c>
    </row>
    <row r="74" spans="2:13" x14ac:dyDescent="0.4">
      <c r="B74" s="36">
        <v>88.4</v>
      </c>
      <c r="C74" s="37">
        <v>407409.6</v>
      </c>
      <c r="J74" s="36">
        <f t="shared" si="27"/>
        <v>88.4</v>
      </c>
      <c r="K74" s="6">
        <f>B74*E71+D71</f>
        <v>416836.82890909113</v>
      </c>
      <c r="L74" s="40">
        <f t="shared" si="28"/>
        <v>-2.3139437335524621E-2</v>
      </c>
      <c r="M74" s="17">
        <f t="shared" si="29"/>
        <v>5.3543356020467072E-4</v>
      </c>
    </row>
    <row r="75" spans="2:13" x14ac:dyDescent="0.4">
      <c r="B75" s="36">
        <v>110.5</v>
      </c>
      <c r="C75" s="37">
        <v>503938.16</v>
      </c>
      <c r="J75" s="36">
        <f t="shared" si="27"/>
        <v>110.5</v>
      </c>
      <c r="K75" s="6">
        <f>B75*E71+D71</f>
        <v>522127.59296969709</v>
      </c>
      <c r="L75" s="40">
        <f t="shared" si="28"/>
        <v>-3.6094573528023977E-2</v>
      </c>
      <c r="M75" s="17">
        <f t="shared" si="29"/>
        <v>1.3028182381699292E-3</v>
      </c>
    </row>
    <row r="76" spans="2:13" x14ac:dyDescent="0.4">
      <c r="B76" s="36">
        <v>132.6</v>
      </c>
      <c r="C76" s="37">
        <v>654622.67000000004</v>
      </c>
      <c r="J76" s="36">
        <f t="shared" si="27"/>
        <v>132.6</v>
      </c>
      <c r="K76" s="6">
        <f>B76*E71+D71</f>
        <v>627418.3570303031</v>
      </c>
      <c r="L76" s="40">
        <f t="shared" si="28"/>
        <v>4.1557242387736039E-2</v>
      </c>
      <c r="M76" s="17">
        <f t="shared" si="29"/>
        <v>1.7270043948730449E-3</v>
      </c>
    </row>
    <row r="77" spans="2:13" x14ac:dyDescent="0.4">
      <c r="B77" s="36">
        <v>154.69999999999999</v>
      </c>
      <c r="C77" s="37">
        <v>742766.96</v>
      </c>
      <c r="J77" s="36">
        <f t="shared" si="27"/>
        <v>154.69999999999999</v>
      </c>
      <c r="K77" s="6">
        <f>B77*E71+D71</f>
        <v>732709.12109090923</v>
      </c>
      <c r="L77" s="40">
        <f t="shared" si="28"/>
        <v>1.3541042414017351E-2</v>
      </c>
      <c r="M77" s="17">
        <f t="shared" si="29"/>
        <v>1.8335982965821685E-4</v>
      </c>
    </row>
    <row r="78" spans="2:13" x14ac:dyDescent="0.4">
      <c r="B78" s="36">
        <v>176.8</v>
      </c>
      <c r="C78" s="37">
        <v>849083.3</v>
      </c>
      <c r="J78" s="36">
        <f t="shared" si="27"/>
        <v>176.8</v>
      </c>
      <c r="K78" s="6">
        <f>B78*E71+D71</f>
        <v>837999.88515151537</v>
      </c>
      <c r="L78" s="40">
        <f t="shared" si="28"/>
        <v>1.3053389282870927E-2</v>
      </c>
      <c r="M78" s="17">
        <f t="shared" si="29"/>
        <v>1.7039097177016957E-4</v>
      </c>
    </row>
    <row r="79" spans="2:13" x14ac:dyDescent="0.4">
      <c r="B79" s="36">
        <v>198.9</v>
      </c>
      <c r="C79" s="37">
        <v>939681.28000000003</v>
      </c>
      <c r="J79" s="36">
        <f t="shared" si="27"/>
        <v>198.9</v>
      </c>
      <c r="K79" s="6">
        <f>B79*E71+D71</f>
        <v>943290.64921212138</v>
      </c>
      <c r="L79" s="40">
        <f t="shared" si="28"/>
        <v>-3.8410568444242643E-3</v>
      </c>
      <c r="M79" s="17">
        <f t="shared" si="29"/>
        <v>1.4753717682098487E-5</v>
      </c>
    </row>
    <row r="80" spans="2:13" x14ac:dyDescent="0.4">
      <c r="B80" s="36">
        <v>221</v>
      </c>
      <c r="C80" s="37">
        <v>1032408.74</v>
      </c>
      <c r="J80" s="36">
        <f t="shared" si="27"/>
        <v>221</v>
      </c>
      <c r="K80" s="6">
        <f>B80*E71+D71</f>
        <v>1048581.4132727273</v>
      </c>
      <c r="L80" s="40">
        <f t="shared" si="28"/>
        <v>-1.5664990663220548E-2</v>
      </c>
      <c r="M80" s="17">
        <f t="shared" si="29"/>
        <v>2.4539193247878697E-4</v>
      </c>
    </row>
    <row r="83" spans="2:2" x14ac:dyDescent="0.4">
      <c r="B83" s="25" t="s">
        <v>90</v>
      </c>
    </row>
  </sheetData>
  <sheetProtection sheet="1" objects="1" scenarios="1"/>
  <mergeCells count="13">
    <mergeCell ref="O22:V22"/>
    <mergeCell ref="J9:M9"/>
    <mergeCell ref="J21:M21"/>
    <mergeCell ref="J33:M33"/>
    <mergeCell ref="J45:M45"/>
    <mergeCell ref="B33:C33"/>
    <mergeCell ref="B21:C21"/>
    <mergeCell ref="B9:C9"/>
    <mergeCell ref="J57:M57"/>
    <mergeCell ref="J69:M69"/>
    <mergeCell ref="B69:C69"/>
    <mergeCell ref="B57:C57"/>
    <mergeCell ref="B45:C45"/>
  </mergeCells>
  <conditionalFormatting sqref="M10:M20">
    <cfRule type="cellIs" dxfId="5" priority="7" operator="between">
      <formula>$P$14</formula>
      <formula>$Q$14</formula>
    </cfRule>
  </conditionalFormatting>
  <conditionalFormatting sqref="M22:M32">
    <cfRule type="cellIs" dxfId="4" priority="5" operator="between">
      <formula>$P$14</formula>
      <formula>$Q$14</formula>
    </cfRule>
  </conditionalFormatting>
  <conditionalFormatting sqref="M34:M44">
    <cfRule type="cellIs" dxfId="3" priority="4" operator="between">
      <formula>$P$14</formula>
      <formula>$Q$14</formula>
    </cfRule>
  </conditionalFormatting>
  <conditionalFormatting sqref="M46:M56">
    <cfRule type="cellIs" dxfId="2" priority="3" operator="between">
      <formula>$P$14</formula>
      <formula>$Q$14</formula>
    </cfRule>
  </conditionalFormatting>
  <conditionalFormatting sqref="M58:M68">
    <cfRule type="cellIs" dxfId="1" priority="2" operator="between">
      <formula>$P$14</formula>
      <formula>$Q$14</formula>
    </cfRule>
  </conditionalFormatting>
  <conditionalFormatting sqref="M70:M80">
    <cfRule type="cellIs" dxfId="0" priority="1" operator="between">
      <formula>$P$14</formula>
      <formula>$Q$14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04236-94A7-486E-9AF0-DEE10A58F4F7}">
  <sheetPr>
    <tabColor rgb="FF00B0F0"/>
  </sheetPr>
  <dimension ref="B2:V46"/>
  <sheetViews>
    <sheetView zoomScaleNormal="100" workbookViewId="0"/>
  </sheetViews>
  <sheetFormatPr defaultColWidth="8.69140625" defaultRowHeight="14.6" x14ac:dyDescent="0.4"/>
  <cols>
    <col min="2" max="2" width="23.53515625" customWidth="1"/>
    <col min="3" max="3" width="15.69140625" customWidth="1"/>
    <col min="4" max="5" width="11.15234375" customWidth="1"/>
    <col min="6" max="6" width="13" customWidth="1"/>
    <col min="7" max="7" width="13.69140625" customWidth="1"/>
    <col min="8" max="8" width="16.84375" customWidth="1"/>
    <col min="9" max="9" width="15.53515625" customWidth="1"/>
    <col min="10" max="10" width="15.3046875" bestFit="1" customWidth="1"/>
    <col min="11" max="11" width="15.15234375" bestFit="1" customWidth="1"/>
  </cols>
  <sheetData>
    <row r="2" spans="2:22" x14ac:dyDescent="0.4">
      <c r="B2" s="2" t="s">
        <v>117</v>
      </c>
    </row>
    <row r="4" spans="2:22" x14ac:dyDescent="0.4">
      <c r="B4" t="s">
        <v>2</v>
      </c>
    </row>
    <row r="6" spans="2:22" ht="16.3" x14ac:dyDescent="0.4">
      <c r="B6" s="38" t="s">
        <v>139</v>
      </c>
      <c r="C6" s="39">
        <v>20.88</v>
      </c>
      <c r="D6" t="s">
        <v>29</v>
      </c>
      <c r="J6" s="38" t="s">
        <v>143</v>
      </c>
      <c r="K6" s="39">
        <f>D19*10</f>
        <v>6065.6515634257175</v>
      </c>
      <c r="L6" t="s">
        <v>30</v>
      </c>
    </row>
    <row r="8" spans="2:22" ht="16.3" x14ac:dyDescent="0.4">
      <c r="B8" s="38" t="s">
        <v>140</v>
      </c>
      <c r="C8" s="82" t="s">
        <v>5</v>
      </c>
      <c r="D8" s="82"/>
      <c r="E8" s="82" t="s">
        <v>6</v>
      </c>
      <c r="F8" s="82"/>
      <c r="G8" s="82" t="s">
        <v>7</v>
      </c>
      <c r="H8" s="82"/>
      <c r="I8" s="82" t="s">
        <v>8</v>
      </c>
      <c r="J8" s="82"/>
      <c r="K8" s="82" t="s">
        <v>9</v>
      </c>
      <c r="L8" s="82"/>
      <c r="M8" s="82" t="s">
        <v>10</v>
      </c>
      <c r="N8" s="82"/>
      <c r="O8" s="82" t="s">
        <v>11</v>
      </c>
      <c r="P8" s="82"/>
      <c r="Q8" s="82" t="s">
        <v>12</v>
      </c>
      <c r="R8" s="82"/>
      <c r="S8" s="82" t="s">
        <v>13</v>
      </c>
      <c r="T8" s="82"/>
      <c r="U8" s="82" t="s">
        <v>14</v>
      </c>
      <c r="V8" s="82"/>
    </row>
    <row r="9" spans="2:22" x14ac:dyDescent="0.4">
      <c r="C9" s="17" t="s">
        <v>3</v>
      </c>
      <c r="D9" s="17" t="s">
        <v>4</v>
      </c>
      <c r="E9" s="17" t="s">
        <v>3</v>
      </c>
      <c r="F9" s="17" t="s">
        <v>4</v>
      </c>
      <c r="G9" s="17" t="s">
        <v>3</v>
      </c>
      <c r="H9" s="17" t="s">
        <v>4</v>
      </c>
      <c r="I9" s="17" t="s">
        <v>3</v>
      </c>
      <c r="J9" s="17" t="s">
        <v>4</v>
      </c>
      <c r="K9" s="17" t="s">
        <v>3</v>
      </c>
      <c r="L9" s="17" t="s">
        <v>4</v>
      </c>
      <c r="M9" s="17" t="s">
        <v>3</v>
      </c>
      <c r="N9" s="17" t="s">
        <v>4</v>
      </c>
      <c r="O9" s="17" t="s">
        <v>3</v>
      </c>
      <c r="P9" s="17" t="s">
        <v>4</v>
      </c>
      <c r="Q9" s="17" t="s">
        <v>3</v>
      </c>
      <c r="R9" s="17" t="s">
        <v>4</v>
      </c>
      <c r="S9" s="17" t="s">
        <v>3</v>
      </c>
      <c r="T9" s="17" t="s">
        <v>4</v>
      </c>
      <c r="U9" s="17" t="s">
        <v>3</v>
      </c>
      <c r="V9" s="17" t="s">
        <v>4</v>
      </c>
    </row>
    <row r="10" spans="2:22" x14ac:dyDescent="0.4">
      <c r="C10" s="45">
        <v>4082.9999999999995</v>
      </c>
      <c r="D10" s="45">
        <v>3946</v>
      </c>
      <c r="E10" s="45">
        <v>4783</v>
      </c>
      <c r="F10" s="45">
        <v>6559</v>
      </c>
      <c r="G10" s="45">
        <v>3607</v>
      </c>
      <c r="H10" s="45">
        <v>3832</v>
      </c>
      <c r="I10" s="45">
        <v>3917</v>
      </c>
      <c r="J10" s="45">
        <v>3790</v>
      </c>
      <c r="K10" s="45">
        <v>4018</v>
      </c>
      <c r="L10" s="45">
        <v>4147</v>
      </c>
      <c r="M10" s="45">
        <v>4219</v>
      </c>
      <c r="N10" s="45">
        <v>4238</v>
      </c>
      <c r="O10" s="45">
        <v>4129</v>
      </c>
      <c r="P10" s="45">
        <v>4251</v>
      </c>
      <c r="Q10" s="45">
        <v>4107</v>
      </c>
      <c r="R10" s="45">
        <v>4196</v>
      </c>
      <c r="S10" s="45">
        <v>4173</v>
      </c>
      <c r="T10" s="45">
        <v>4129</v>
      </c>
      <c r="U10" s="45">
        <v>4352</v>
      </c>
      <c r="V10" s="45">
        <v>4124</v>
      </c>
    </row>
    <row r="11" spans="2:22" ht="17.600000000000001" x14ac:dyDescent="0.55000000000000004">
      <c r="B11" s="77" t="s">
        <v>141</v>
      </c>
      <c r="C11" s="84">
        <f>_xlfn.STDEV.S(C10:D10)</f>
        <v>96.873629022556685</v>
      </c>
      <c r="D11" s="84"/>
      <c r="E11" s="84">
        <f t="shared" ref="E11" si="0">_xlfn.STDEV.S(E10:F10)</f>
        <v>1255.8216433873083</v>
      </c>
      <c r="F11" s="84"/>
      <c r="G11" s="84">
        <f t="shared" ref="G11" si="1">_xlfn.STDEV.S(G10:H10)</f>
        <v>159.0990257669732</v>
      </c>
      <c r="H11" s="84"/>
      <c r="I11" s="84">
        <f t="shared" ref="I11" si="2">_xlfn.STDEV.S(I10:J10)</f>
        <v>89.802561210691536</v>
      </c>
      <c r="J11" s="84"/>
      <c r="K11" s="84">
        <f t="shared" ref="K11" si="3">_xlfn.STDEV.S(K10:L10)</f>
        <v>91.216774773064628</v>
      </c>
      <c r="L11" s="84"/>
      <c r="M11" s="84">
        <f t="shared" ref="M11" si="4">_xlfn.STDEV.S(M10:N10)</f>
        <v>13.435028842544403</v>
      </c>
      <c r="N11" s="84"/>
      <c r="O11" s="84">
        <f t="shared" ref="O11" si="5">_xlfn.STDEV.S(O10:P10)</f>
        <v>86.267027304758798</v>
      </c>
      <c r="P11" s="84"/>
      <c r="Q11" s="84">
        <f t="shared" ref="Q11" si="6">_xlfn.STDEV.S(Q10:R10)</f>
        <v>62.932503525602726</v>
      </c>
      <c r="R11" s="84"/>
      <c r="S11" s="84">
        <f t="shared" ref="S11" si="7">_xlfn.STDEV.S(S10:T10)</f>
        <v>31.11269837220809</v>
      </c>
      <c r="T11" s="84"/>
      <c r="U11" s="84">
        <f t="shared" ref="U11" si="8">_xlfn.STDEV.S(U10:V10)</f>
        <v>161.22034611053283</v>
      </c>
      <c r="V11" s="84"/>
    </row>
    <row r="12" spans="2:22" x14ac:dyDescent="0.4">
      <c r="B12" s="77" t="s">
        <v>18</v>
      </c>
      <c r="C12" s="84">
        <f>COUNT(C10:D10)-1</f>
        <v>1</v>
      </c>
      <c r="D12" s="84"/>
      <c r="E12" s="84">
        <f t="shared" ref="E12" si="9">COUNT(E10:F10)-1</f>
        <v>1</v>
      </c>
      <c r="F12" s="84"/>
      <c r="G12" s="84">
        <f t="shared" ref="G12" si="10">COUNT(G10:H10)-1</f>
        <v>1</v>
      </c>
      <c r="H12" s="84"/>
      <c r="I12" s="84">
        <f t="shared" ref="I12" si="11">COUNT(I10:J10)-1</f>
        <v>1</v>
      </c>
      <c r="J12" s="84"/>
      <c r="K12" s="84">
        <f t="shared" ref="K12" si="12">COUNT(K10:L10)-1</f>
        <v>1</v>
      </c>
      <c r="L12" s="84"/>
      <c r="M12" s="84">
        <f t="shared" ref="M12" si="13">COUNT(M10:N10)-1</f>
        <v>1</v>
      </c>
      <c r="N12" s="84"/>
      <c r="O12" s="84">
        <f t="shared" ref="O12" si="14">COUNT(O10:P10)-1</f>
        <v>1</v>
      </c>
      <c r="P12" s="84"/>
      <c r="Q12" s="84">
        <f t="shared" ref="Q12" si="15">COUNT(Q10:R10)-1</f>
        <v>1</v>
      </c>
      <c r="R12" s="84"/>
      <c r="S12" s="84">
        <f t="shared" ref="S12" si="16">COUNT(S10:T10)-1</f>
        <v>1</v>
      </c>
      <c r="T12" s="84"/>
      <c r="U12" s="84">
        <f t="shared" ref="U12" si="17">COUNT(U10:V10)-1</f>
        <v>1</v>
      </c>
      <c r="V12" s="84"/>
    </row>
    <row r="13" spans="2:22" ht="17.600000000000001" x14ac:dyDescent="0.55000000000000004">
      <c r="B13" s="77" t="s">
        <v>142</v>
      </c>
      <c r="C13" s="84">
        <f>C11^2*C12</f>
        <v>9384.4999999999363</v>
      </c>
      <c r="D13" s="84"/>
      <c r="E13" s="84">
        <f t="shared" ref="E13" si="18">E11^2*E12</f>
        <v>1577087.9999999998</v>
      </c>
      <c r="F13" s="84"/>
      <c r="G13" s="84">
        <f t="shared" ref="G13" si="19">G11^2*G12</f>
        <v>25312.500000000004</v>
      </c>
      <c r="H13" s="84"/>
      <c r="I13" s="84">
        <f t="shared" ref="I13" si="20">I11^2*I12</f>
        <v>8064.5</v>
      </c>
      <c r="J13" s="84"/>
      <c r="K13" s="84">
        <f t="shared" ref="K13" si="21">K11^2*K12</f>
        <v>8320.5</v>
      </c>
      <c r="L13" s="84"/>
      <c r="M13" s="84">
        <f t="shared" ref="M13" si="22">M11^2*M12</f>
        <v>180.5</v>
      </c>
      <c r="N13" s="84"/>
      <c r="O13" s="84">
        <f t="shared" ref="O13" si="23">O11^2*O12</f>
        <v>7442</v>
      </c>
      <c r="P13" s="84"/>
      <c r="Q13" s="84">
        <f t="shared" ref="Q13" si="24">Q11^2*Q12</f>
        <v>3960.4999999999995</v>
      </c>
      <c r="R13" s="84"/>
      <c r="S13" s="84">
        <f t="shared" ref="S13" si="25">S11^2*S12</f>
        <v>967.99999999999989</v>
      </c>
      <c r="T13" s="84"/>
      <c r="U13" s="84">
        <f t="shared" ref="U13" si="26">U11^2*U12</f>
        <v>25992</v>
      </c>
      <c r="V13" s="84"/>
    </row>
    <row r="15" spans="2:22" x14ac:dyDescent="0.4">
      <c r="C15" s="78" t="s">
        <v>15</v>
      </c>
      <c r="D15" s="47"/>
      <c r="E15" s="47"/>
      <c r="F15" s="48"/>
      <c r="H15" s="78" t="s">
        <v>19</v>
      </c>
      <c r="I15" s="47"/>
      <c r="J15" s="48"/>
    </row>
    <row r="16" spans="2:22" ht="17.600000000000001" x14ac:dyDescent="0.55000000000000004">
      <c r="D16" s="5" t="s">
        <v>79</v>
      </c>
      <c r="E16" s="5" t="s">
        <v>80</v>
      </c>
      <c r="F16" s="5" t="s">
        <v>81</v>
      </c>
      <c r="I16" s="5" t="s">
        <v>82</v>
      </c>
      <c r="J16" s="5" t="s">
        <v>18</v>
      </c>
    </row>
    <row r="17" spans="2:22" ht="17.149999999999999" x14ac:dyDescent="0.55000000000000004">
      <c r="C17" s="17" t="s">
        <v>16</v>
      </c>
      <c r="D17" s="17">
        <f>_xlfn.STDEV.S(C10,E10,G10,I10,K10,M10,O10,Q10,S10,U10)</f>
        <v>301.63804652449119</v>
      </c>
      <c r="E17" s="17">
        <f>COUNT(C10,E10,G10,I10,K10,M10,O10,Q10,S10,U10)-1</f>
        <v>9</v>
      </c>
      <c r="F17" s="6">
        <f>D17^2*E17</f>
        <v>818869.6</v>
      </c>
      <c r="H17" s="17" t="s">
        <v>22</v>
      </c>
      <c r="I17" s="17">
        <f>SQRT(SUM(C13:V13)/SUM(C12:V12))</f>
        <v>408.25396507566217</v>
      </c>
      <c r="J17" s="17">
        <f>SUM(C12:V12)</f>
        <v>10</v>
      </c>
    </row>
    <row r="18" spans="2:22" ht="17.149999999999999" x14ac:dyDescent="0.55000000000000004">
      <c r="C18" s="17" t="s">
        <v>17</v>
      </c>
      <c r="D18" s="17">
        <f>_xlfn.STDEV.S(D10,F10,H10,J10,L10,N10,P10,R10,T10,V10)</f>
        <v>803.02992887355447</v>
      </c>
      <c r="E18" s="17">
        <f>COUNT(D10,F10,H10,J10,L10,N10,P10,R10,T10,V10)-1</f>
        <v>9</v>
      </c>
      <c r="F18" s="6">
        <f>D18^2*E18</f>
        <v>5803713.599999994</v>
      </c>
      <c r="H18" s="17" t="s">
        <v>24</v>
      </c>
      <c r="I18" s="1">
        <f>I17/AVERAGE(C10:V10)</f>
        <v>9.6513939734199097E-2</v>
      </c>
    </row>
    <row r="19" spans="2:22" ht="17.149999999999999" x14ac:dyDescent="0.55000000000000004">
      <c r="C19" s="17" t="s">
        <v>21</v>
      </c>
      <c r="D19" s="17">
        <f>SQRT(SUM(F17:F18)/SUM(E17:E18))</f>
        <v>606.56515634257175</v>
      </c>
      <c r="E19" s="17">
        <f>SUM(E17:E18)</f>
        <v>18</v>
      </c>
    </row>
    <row r="20" spans="2:22" ht="17.149999999999999" x14ac:dyDescent="0.55000000000000004">
      <c r="C20" s="17" t="s">
        <v>23</v>
      </c>
      <c r="D20" s="1">
        <f>D19/AVERAGE(C10:V10)</f>
        <v>0.14339601804788929</v>
      </c>
      <c r="H20" s="49" t="s">
        <v>36</v>
      </c>
      <c r="I20" s="49">
        <f>AVERAGE(C10:V10)</f>
        <v>4230</v>
      </c>
      <c r="J20" s="49" t="s">
        <v>37</v>
      </c>
    </row>
    <row r="23" spans="2:22" ht="16.3" x14ac:dyDescent="0.4">
      <c r="B23" s="79" t="s">
        <v>144</v>
      </c>
      <c r="C23" s="82" t="s">
        <v>5</v>
      </c>
      <c r="D23" s="82"/>
      <c r="E23" s="82" t="s">
        <v>6</v>
      </c>
      <c r="F23" s="82"/>
      <c r="G23" s="82" t="s">
        <v>7</v>
      </c>
      <c r="H23" s="82"/>
      <c r="I23" s="82" t="s">
        <v>8</v>
      </c>
      <c r="J23" s="82"/>
      <c r="K23" s="82" t="s">
        <v>9</v>
      </c>
      <c r="L23" s="82"/>
      <c r="M23" s="82" t="s">
        <v>10</v>
      </c>
      <c r="N23" s="82"/>
      <c r="O23" s="82" t="s">
        <v>11</v>
      </c>
      <c r="P23" s="82"/>
      <c r="Q23" s="82" t="s">
        <v>12</v>
      </c>
      <c r="R23" s="82"/>
      <c r="S23" s="82" t="s">
        <v>13</v>
      </c>
      <c r="T23" s="82"/>
      <c r="U23" s="82" t="s">
        <v>14</v>
      </c>
      <c r="V23" s="82"/>
    </row>
    <row r="24" spans="2:22" x14ac:dyDescent="0.4">
      <c r="C24" s="17" t="s">
        <v>3</v>
      </c>
      <c r="D24" s="17" t="s">
        <v>4</v>
      </c>
      <c r="E24" s="17" t="s">
        <v>3</v>
      </c>
      <c r="F24" s="17" t="s">
        <v>4</v>
      </c>
      <c r="G24" s="17" t="s">
        <v>3</v>
      </c>
      <c r="H24" s="17" t="s">
        <v>4</v>
      </c>
      <c r="I24" s="17" t="s">
        <v>3</v>
      </c>
      <c r="J24" s="17" t="s">
        <v>4</v>
      </c>
      <c r="K24" s="17" t="s">
        <v>3</v>
      </c>
      <c r="L24" s="17" t="s">
        <v>4</v>
      </c>
      <c r="M24" s="17" t="s">
        <v>3</v>
      </c>
      <c r="N24" s="17" t="s">
        <v>4</v>
      </c>
      <c r="O24" s="17" t="s">
        <v>3</v>
      </c>
      <c r="P24" s="17" t="s">
        <v>4</v>
      </c>
      <c r="Q24" s="17" t="s">
        <v>3</v>
      </c>
      <c r="R24" s="17" t="s">
        <v>4</v>
      </c>
      <c r="S24" s="17" t="s">
        <v>3</v>
      </c>
      <c r="T24" s="17" t="s">
        <v>4</v>
      </c>
      <c r="U24" s="17" t="s">
        <v>3</v>
      </c>
      <c r="V24" s="17" t="s">
        <v>4</v>
      </c>
    </row>
    <row r="25" spans="2:22" x14ac:dyDescent="0.4">
      <c r="C25" s="45">
        <v>20134</v>
      </c>
      <c r="D25" s="45">
        <v>19879</v>
      </c>
      <c r="E25" s="45">
        <v>19073</v>
      </c>
      <c r="F25" s="45">
        <v>18793</v>
      </c>
      <c r="G25" s="45">
        <v>19020</v>
      </c>
      <c r="H25" s="45">
        <v>19540</v>
      </c>
      <c r="I25" s="45">
        <v>18203</v>
      </c>
      <c r="J25" s="45">
        <v>18089</v>
      </c>
      <c r="K25" s="45">
        <v>18891</v>
      </c>
      <c r="L25" s="45">
        <v>20198</v>
      </c>
      <c r="M25" s="45">
        <v>20257</v>
      </c>
      <c r="N25" s="45">
        <v>20101</v>
      </c>
      <c r="O25" s="45">
        <v>20662</v>
      </c>
      <c r="P25" s="45">
        <v>19568</v>
      </c>
      <c r="Q25" s="45">
        <v>19812</v>
      </c>
      <c r="R25" s="45">
        <v>19947</v>
      </c>
      <c r="S25" s="45">
        <v>20403</v>
      </c>
      <c r="T25" s="45">
        <v>19916</v>
      </c>
      <c r="U25" s="45">
        <v>19516</v>
      </c>
      <c r="V25" s="45">
        <v>19973</v>
      </c>
    </row>
    <row r="26" spans="2:22" ht="17.600000000000001" x14ac:dyDescent="0.55000000000000004">
      <c r="B26" s="77" t="s">
        <v>141</v>
      </c>
      <c r="C26" s="84">
        <f>_xlfn.STDEV.S(C25:D25)</f>
        <v>180.31222920256963</v>
      </c>
      <c r="D26" s="84"/>
      <c r="E26" s="84">
        <f t="shared" ref="E26" si="27">_xlfn.STDEV.S(E25:F25)</f>
        <v>197.98989873223331</v>
      </c>
      <c r="F26" s="84"/>
      <c r="G26" s="84">
        <f t="shared" ref="G26" si="28">_xlfn.STDEV.S(G25:H25)</f>
        <v>367.69552621700473</v>
      </c>
      <c r="H26" s="84"/>
      <c r="I26" s="84">
        <f t="shared" ref="I26" si="29">_xlfn.STDEV.S(I25:J25)</f>
        <v>80.610173055266415</v>
      </c>
      <c r="J26" s="84"/>
      <c r="K26" s="84">
        <f t="shared" ref="K26" si="30">_xlfn.STDEV.S(K25:L25)</f>
        <v>924.18856301081757</v>
      </c>
      <c r="L26" s="84"/>
      <c r="M26" s="84">
        <f t="shared" ref="M26" si="31">_xlfn.STDEV.S(M25:N25)</f>
        <v>110.30865786510141</v>
      </c>
      <c r="N26" s="84"/>
      <c r="O26" s="84">
        <f t="shared" ref="O26" si="32">_xlfn.STDEV.S(O25:P25)</f>
        <v>773.57481861808299</v>
      </c>
      <c r="P26" s="84"/>
      <c r="Q26" s="84">
        <f t="shared" ref="Q26" si="33">_xlfn.STDEV.S(Q25:R25)</f>
        <v>95.459415460183919</v>
      </c>
      <c r="R26" s="84"/>
      <c r="S26" s="84">
        <f t="shared" ref="S26" si="34">_xlfn.STDEV.S(S25:T25)</f>
        <v>344.36100243784864</v>
      </c>
      <c r="T26" s="84"/>
      <c r="U26" s="84">
        <f t="shared" ref="U26" si="35">_xlfn.STDEV.S(U25:V25)</f>
        <v>323.14779900225221</v>
      </c>
      <c r="V26" s="84"/>
    </row>
    <row r="27" spans="2:22" x14ac:dyDescent="0.4">
      <c r="B27" s="77" t="s">
        <v>18</v>
      </c>
      <c r="C27" s="84">
        <f>COUNT(C25:D25)-1</f>
        <v>1</v>
      </c>
      <c r="D27" s="84"/>
      <c r="E27" s="84">
        <f t="shared" ref="E27" si="36">COUNT(E25:F25)-1</f>
        <v>1</v>
      </c>
      <c r="F27" s="84"/>
      <c r="G27" s="84">
        <f t="shared" ref="G27" si="37">COUNT(G25:H25)-1</f>
        <v>1</v>
      </c>
      <c r="H27" s="84"/>
      <c r="I27" s="84">
        <f t="shared" ref="I27" si="38">COUNT(I25:J25)-1</f>
        <v>1</v>
      </c>
      <c r="J27" s="84"/>
      <c r="K27" s="84">
        <f t="shared" ref="K27" si="39">COUNT(K25:L25)-1</f>
        <v>1</v>
      </c>
      <c r="L27" s="84"/>
      <c r="M27" s="84">
        <f t="shared" ref="M27" si="40">COUNT(M25:N25)-1</f>
        <v>1</v>
      </c>
      <c r="N27" s="84"/>
      <c r="O27" s="84">
        <f t="shared" ref="O27" si="41">COUNT(O25:P25)-1</f>
        <v>1</v>
      </c>
      <c r="P27" s="84"/>
      <c r="Q27" s="84">
        <f t="shared" ref="Q27" si="42">COUNT(Q25:R25)-1</f>
        <v>1</v>
      </c>
      <c r="R27" s="84"/>
      <c r="S27" s="84">
        <f t="shared" ref="S27" si="43">COUNT(S25:T25)-1</f>
        <v>1</v>
      </c>
      <c r="T27" s="84"/>
      <c r="U27" s="84">
        <f t="shared" ref="U27" si="44">COUNT(U25:V25)-1</f>
        <v>1</v>
      </c>
      <c r="V27" s="84"/>
    </row>
    <row r="28" spans="2:22" ht="17.600000000000001" x14ac:dyDescent="0.55000000000000004">
      <c r="B28" s="77" t="s">
        <v>142</v>
      </c>
      <c r="C28" s="84">
        <f>C26^2*C27</f>
        <v>32512.500000000004</v>
      </c>
      <c r="D28" s="84"/>
      <c r="E28" s="84">
        <f t="shared" ref="E28" si="45">E26^2*E27</f>
        <v>39200</v>
      </c>
      <c r="F28" s="84"/>
      <c r="G28" s="84">
        <f t="shared" ref="G28" si="46">G26^2*G27</f>
        <v>135200</v>
      </c>
      <c r="H28" s="84"/>
      <c r="I28" s="84">
        <f t="shared" ref="I28" si="47">I26^2*I27</f>
        <v>6498</v>
      </c>
      <c r="J28" s="84"/>
      <c r="K28" s="84">
        <f t="shared" ref="K28" si="48">K26^2*K27</f>
        <v>854124.49999999988</v>
      </c>
      <c r="L28" s="84"/>
      <c r="M28" s="84">
        <f t="shared" ref="M28" si="49">M26^2*M27</f>
        <v>12167.999999999998</v>
      </c>
      <c r="N28" s="84"/>
      <c r="O28" s="84">
        <f t="shared" ref="O28" si="50">O26^2*O27</f>
        <v>598418</v>
      </c>
      <c r="P28" s="84"/>
      <c r="Q28" s="84">
        <f t="shared" ref="Q28" si="51">Q26^2*Q27</f>
        <v>9112.5</v>
      </c>
      <c r="R28" s="84"/>
      <c r="S28" s="84">
        <f t="shared" ref="S28" si="52">S26^2*S27</f>
        <v>118584.5</v>
      </c>
      <c r="T28" s="84"/>
      <c r="U28" s="84">
        <f t="shared" ref="U28" si="53">U26^2*U27</f>
        <v>104424.5</v>
      </c>
      <c r="V28" s="84"/>
    </row>
    <row r="30" spans="2:22" x14ac:dyDescent="0.4">
      <c r="C30" s="78" t="s">
        <v>15</v>
      </c>
      <c r="D30" s="47"/>
      <c r="E30" s="47"/>
      <c r="F30" s="48"/>
      <c r="H30" s="78" t="s">
        <v>19</v>
      </c>
      <c r="I30" s="47"/>
      <c r="J30" s="48"/>
    </row>
    <row r="31" spans="2:22" ht="17.600000000000001" x14ac:dyDescent="0.55000000000000004">
      <c r="D31" s="5" t="s">
        <v>147</v>
      </c>
      <c r="E31" s="5" t="s">
        <v>80</v>
      </c>
      <c r="F31" s="5" t="s">
        <v>81</v>
      </c>
      <c r="I31" s="5" t="s">
        <v>146</v>
      </c>
      <c r="J31" s="5" t="s">
        <v>18</v>
      </c>
    </row>
    <row r="32" spans="2:22" ht="17.149999999999999" x14ac:dyDescent="0.55000000000000004">
      <c r="C32" s="17" t="s">
        <v>16</v>
      </c>
      <c r="D32" s="17">
        <f>_xlfn.STDEV.S(C25,E25,G25,I25,K25,M25,O25,Q25,S25,U25)</f>
        <v>789.50004573921478</v>
      </c>
      <c r="E32" s="17">
        <f>COUNT(C25,E25,G25,I25,K25,M25,O25,Q25,S25,U25)-1</f>
        <v>9</v>
      </c>
      <c r="F32" s="6">
        <f>D32^2*E32</f>
        <v>5609792.9000000004</v>
      </c>
      <c r="H32" s="17" t="s">
        <v>27</v>
      </c>
      <c r="I32" s="17">
        <f>SQRT(SUM(C28:V28)/SUM(C27:V27))</f>
        <v>437.06321053138299</v>
      </c>
      <c r="J32" s="17">
        <f>SUM(C27:V27)</f>
        <v>10</v>
      </c>
    </row>
    <row r="33" spans="2:11" ht="17.149999999999999" x14ac:dyDescent="0.55000000000000004">
      <c r="C33" s="17" t="s">
        <v>17</v>
      </c>
      <c r="D33" s="17">
        <f>_xlfn.STDEV.S(D25,F25,H25,J25,L25,N25,P25,R25,T25,V25)</f>
        <v>665.40149951405704</v>
      </c>
      <c r="E33" s="17">
        <f>COUNT(D25,F25,H25,J25,L25,N25,P25,R25,T25,V25)-1</f>
        <v>9</v>
      </c>
      <c r="F33" s="6">
        <f>D33^2*E33</f>
        <v>3984832.4000000008</v>
      </c>
      <c r="H33" s="17" t="s">
        <v>28</v>
      </c>
      <c r="I33" s="1">
        <f>I32/AVERAGE(C25:V25)</f>
        <v>2.2300565624408852E-2</v>
      </c>
    </row>
    <row r="34" spans="2:11" ht="17.149999999999999" x14ac:dyDescent="0.55000000000000004">
      <c r="C34" s="17" t="s">
        <v>25</v>
      </c>
      <c r="D34" s="17">
        <f>SQRT(SUM(F32:F33)/SUM(E32:E33))</f>
        <v>730.09228107746003</v>
      </c>
      <c r="E34" s="17">
        <f>SUM(E32:E33)</f>
        <v>18</v>
      </c>
    </row>
    <row r="35" spans="2:11" ht="17.600000000000001" x14ac:dyDescent="0.55000000000000004">
      <c r="C35" s="17" t="s">
        <v>26</v>
      </c>
      <c r="D35" s="1">
        <f>D34/AVERAGE(C25:V25)</f>
        <v>3.7251981941575869E-2</v>
      </c>
      <c r="H35" s="49" t="s">
        <v>36</v>
      </c>
      <c r="I35" s="49">
        <f>AVERAGE(C25:V25)</f>
        <v>19598.75</v>
      </c>
      <c r="J35" s="49" t="s">
        <v>145</v>
      </c>
    </row>
    <row r="39" spans="2:11" ht="17.600000000000001" x14ac:dyDescent="0.55000000000000004">
      <c r="D39" s="6" t="s">
        <v>148</v>
      </c>
      <c r="E39" s="6"/>
      <c r="F39" s="7" t="s">
        <v>22</v>
      </c>
      <c r="G39" s="8" t="s">
        <v>21</v>
      </c>
      <c r="H39" s="16"/>
      <c r="I39" s="16"/>
      <c r="J39" s="16"/>
      <c r="K39" s="16"/>
    </row>
    <row r="40" spans="2:11" ht="17.600000000000001" x14ac:dyDescent="0.55000000000000004">
      <c r="D40" s="6" t="s">
        <v>34</v>
      </c>
      <c r="E40" s="6" t="s">
        <v>35</v>
      </c>
      <c r="F40" s="9" t="s">
        <v>149</v>
      </c>
      <c r="G40" s="5" t="s">
        <v>149</v>
      </c>
      <c r="H40" s="17" t="s">
        <v>24</v>
      </c>
      <c r="I40" s="17" t="s">
        <v>23</v>
      </c>
      <c r="J40" s="17" t="s">
        <v>28</v>
      </c>
      <c r="K40" s="17" t="s">
        <v>26</v>
      </c>
    </row>
    <row r="41" spans="2:11" x14ac:dyDescent="0.4">
      <c r="C41" s="6" t="s">
        <v>31</v>
      </c>
      <c r="D41" s="17">
        <f>E41/2</f>
        <v>2115</v>
      </c>
      <c r="E41" s="17">
        <f>I20</f>
        <v>4230</v>
      </c>
      <c r="F41" s="20">
        <f>I17</f>
        <v>408.25396507566217</v>
      </c>
      <c r="G41" s="17">
        <f>D19</f>
        <v>606.56515634257175</v>
      </c>
      <c r="H41" s="16"/>
      <c r="I41" s="16"/>
      <c r="J41" s="16"/>
      <c r="K41" s="16"/>
    </row>
    <row r="42" spans="2:11" x14ac:dyDescent="0.4">
      <c r="C42" s="6" t="s">
        <v>32</v>
      </c>
      <c r="D42" s="17">
        <f>E41</f>
        <v>4230</v>
      </c>
      <c r="E42" s="17">
        <f>I35</f>
        <v>19598.75</v>
      </c>
      <c r="F42" s="16" t="s">
        <v>0</v>
      </c>
      <c r="G42" s="16" t="s">
        <v>0</v>
      </c>
      <c r="H42" s="1">
        <f>I18</f>
        <v>9.6513939734199097E-2</v>
      </c>
      <c r="I42" s="1">
        <f>D20</f>
        <v>0.14339601804788929</v>
      </c>
      <c r="J42" s="16"/>
      <c r="K42" s="16"/>
    </row>
    <row r="43" spans="2:11" x14ac:dyDescent="0.4">
      <c r="C43" s="6" t="s">
        <v>33</v>
      </c>
      <c r="D43" s="17">
        <f>I35</f>
        <v>19598.75</v>
      </c>
      <c r="E43" s="17" t="s">
        <v>38</v>
      </c>
      <c r="F43" s="16" t="s">
        <v>0</v>
      </c>
      <c r="G43" s="16" t="s">
        <v>0</v>
      </c>
      <c r="H43" s="16" t="s">
        <v>0</v>
      </c>
      <c r="I43" s="16" t="s">
        <v>0</v>
      </c>
      <c r="J43" s="1">
        <f>I33</f>
        <v>2.2300565624408852E-2</v>
      </c>
      <c r="K43" s="1">
        <f>D35</f>
        <v>3.7251981941575869E-2</v>
      </c>
    </row>
    <row r="46" spans="2:11" x14ac:dyDescent="0.4">
      <c r="B46" s="25" t="s">
        <v>90</v>
      </c>
    </row>
  </sheetData>
  <sheetProtection sheet="1" objects="1" scenarios="1"/>
  <mergeCells count="80">
    <mergeCell ref="C28:D28"/>
    <mergeCell ref="E28:F28"/>
    <mergeCell ref="G28:H28"/>
    <mergeCell ref="I28:J28"/>
    <mergeCell ref="K28:L28"/>
    <mergeCell ref="M28:N28"/>
    <mergeCell ref="O26:P26"/>
    <mergeCell ref="Q26:R26"/>
    <mergeCell ref="S26:T26"/>
    <mergeCell ref="U26:V26"/>
    <mergeCell ref="M27:N27"/>
    <mergeCell ref="O28:P28"/>
    <mergeCell ref="Q28:R28"/>
    <mergeCell ref="S28:T28"/>
    <mergeCell ref="U28:V28"/>
    <mergeCell ref="O27:P27"/>
    <mergeCell ref="Q27:R27"/>
    <mergeCell ref="S27:T27"/>
    <mergeCell ref="U27:V27"/>
    <mergeCell ref="M26:N26"/>
    <mergeCell ref="C27:D27"/>
    <mergeCell ref="E27:F27"/>
    <mergeCell ref="G27:H27"/>
    <mergeCell ref="I27:J27"/>
    <mergeCell ref="K27:L27"/>
    <mergeCell ref="C26:D26"/>
    <mergeCell ref="E26:F26"/>
    <mergeCell ref="G26:H26"/>
    <mergeCell ref="I26:J26"/>
    <mergeCell ref="K26:L26"/>
    <mergeCell ref="M23:N23"/>
    <mergeCell ref="O23:P23"/>
    <mergeCell ref="Q23:R23"/>
    <mergeCell ref="S23:T23"/>
    <mergeCell ref="U23:V23"/>
    <mergeCell ref="C23:D23"/>
    <mergeCell ref="E23:F23"/>
    <mergeCell ref="G23:H23"/>
    <mergeCell ref="I23:J23"/>
    <mergeCell ref="K23:L23"/>
    <mergeCell ref="M13:N13"/>
    <mergeCell ref="O13:P13"/>
    <mergeCell ref="Q13:R13"/>
    <mergeCell ref="S13:T13"/>
    <mergeCell ref="U13:V13"/>
    <mergeCell ref="C13:D13"/>
    <mergeCell ref="E13:F13"/>
    <mergeCell ref="G13:H13"/>
    <mergeCell ref="I13:J13"/>
    <mergeCell ref="K13:L13"/>
    <mergeCell ref="O11:P11"/>
    <mergeCell ref="Q11:R11"/>
    <mergeCell ref="S11:T11"/>
    <mergeCell ref="U11:V11"/>
    <mergeCell ref="C12:D12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O8:P8"/>
    <mergeCell ref="Q8:R8"/>
    <mergeCell ref="S8:T8"/>
    <mergeCell ref="U8:V8"/>
    <mergeCell ref="C11:D11"/>
    <mergeCell ref="E11:F11"/>
    <mergeCell ref="G11:H11"/>
    <mergeCell ref="I11:J11"/>
    <mergeCell ref="K11:L11"/>
    <mergeCell ref="M11:N11"/>
    <mergeCell ref="C8:D8"/>
    <mergeCell ref="E8:F8"/>
    <mergeCell ref="G8:H8"/>
    <mergeCell ref="I8:J8"/>
    <mergeCell ref="K8:L8"/>
    <mergeCell ref="M8:N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7E32E-1C6F-4994-AC79-AC7BBF0D2EB4}">
  <sheetPr>
    <tabColor rgb="FF00B0F0"/>
  </sheetPr>
  <dimension ref="B2:AB49"/>
  <sheetViews>
    <sheetView workbookViewId="0"/>
  </sheetViews>
  <sheetFormatPr defaultColWidth="8.69140625" defaultRowHeight="14.6" x14ac:dyDescent="0.4"/>
  <cols>
    <col min="8" max="8" width="11.15234375" customWidth="1"/>
    <col min="13" max="13" width="12.3828125" customWidth="1"/>
    <col min="14" max="14" width="12" customWidth="1"/>
    <col min="26" max="26" width="10.69140625" customWidth="1"/>
  </cols>
  <sheetData>
    <row r="2" spans="2:16" x14ac:dyDescent="0.4">
      <c r="B2" s="2" t="s">
        <v>117</v>
      </c>
    </row>
    <row r="4" spans="2:16" x14ac:dyDescent="0.4">
      <c r="B4" t="s">
        <v>39</v>
      </c>
    </row>
    <row r="6" spans="2:16" ht="17.149999999999999" x14ac:dyDescent="0.55000000000000004">
      <c r="B6" t="s">
        <v>40</v>
      </c>
      <c r="E6" s="10"/>
      <c r="F6" s="3" t="s">
        <v>150</v>
      </c>
      <c r="I6" s="11"/>
    </row>
    <row r="7" spans="2:16" ht="17.149999999999999" x14ac:dyDescent="0.55000000000000004">
      <c r="B7" t="s">
        <v>118</v>
      </c>
      <c r="E7" s="10"/>
      <c r="I7" s="11"/>
      <c r="J7" t="s">
        <v>152</v>
      </c>
    </row>
    <row r="8" spans="2:16" ht="17.600000000000001" x14ac:dyDescent="0.55000000000000004">
      <c r="B8" t="s">
        <v>154</v>
      </c>
      <c r="E8" s="10"/>
      <c r="F8" s="3" t="s">
        <v>151</v>
      </c>
      <c r="I8" s="11"/>
    </row>
    <row r="11" spans="2:16" x14ac:dyDescent="0.4">
      <c r="I11" s="17" t="s">
        <v>46</v>
      </c>
      <c r="J11" s="17" t="s">
        <v>47</v>
      </c>
      <c r="K11" s="17" t="s">
        <v>48</v>
      </c>
      <c r="L11" s="17" t="s">
        <v>51</v>
      </c>
      <c r="M11" s="17" t="s">
        <v>119</v>
      </c>
    </row>
    <row r="12" spans="2:16" ht="17.600000000000001" x14ac:dyDescent="0.55000000000000004">
      <c r="B12" t="s">
        <v>155</v>
      </c>
      <c r="C12" s="3" t="s">
        <v>153</v>
      </c>
      <c r="H12" s="17" t="s">
        <v>41</v>
      </c>
      <c r="I12" s="17">
        <v>2</v>
      </c>
      <c r="J12" s="17">
        <f>SQRT(2*(0.06/SQRT(3))^2+2*(0.015)^2)</f>
        <v>5.338539126015656E-2</v>
      </c>
      <c r="K12" s="17" t="s">
        <v>49</v>
      </c>
      <c r="L12" s="1">
        <f>J12/I12</f>
        <v>2.669269563007828E-2</v>
      </c>
      <c r="M12" s="35">
        <f>L12^2/$O$14^2</f>
        <v>0.73782180750843551</v>
      </c>
      <c r="N12" s="4" t="s">
        <v>155</v>
      </c>
      <c r="O12" s="19">
        <f>(I12*I13/I14)*(I15/(I16/1000000))</f>
        <v>3919.9999999999991</v>
      </c>
      <c r="P12" s="20" t="s">
        <v>149</v>
      </c>
    </row>
    <row r="13" spans="2:16" x14ac:dyDescent="0.4">
      <c r="H13" s="17" t="s">
        <v>42</v>
      </c>
      <c r="I13" s="17">
        <v>0.98</v>
      </c>
      <c r="J13" s="17">
        <f>(1-0.98)/SQRT(3)</f>
        <v>1.1547005383792526E-2</v>
      </c>
      <c r="K13" s="17" t="s">
        <v>0</v>
      </c>
      <c r="L13" s="1">
        <f t="shared" ref="L13:L16" si="0">J13/I13</f>
        <v>1.1782658554890333E-2</v>
      </c>
      <c r="M13" s="35">
        <f t="shared" ref="M13:M16" si="1">L13^2/$O$14^2</f>
        <v>0.14376501165614461</v>
      </c>
      <c r="O13" s="16"/>
      <c r="P13" s="16"/>
    </row>
    <row r="14" spans="2:16" x14ac:dyDescent="0.4">
      <c r="H14" s="17" t="s">
        <v>43</v>
      </c>
      <c r="I14" s="17">
        <v>100</v>
      </c>
      <c r="J14" s="17">
        <f>SQRT((0.1/SQRT(3))^2+(0.02146)^2+((100*0.000207*4)/SQRT(3))^2)</f>
        <v>7.79688715663715E-2</v>
      </c>
      <c r="K14" s="17" t="s">
        <v>50</v>
      </c>
      <c r="L14" s="1">
        <f t="shared" si="0"/>
        <v>7.7968871566371498E-4</v>
      </c>
      <c r="M14" s="35">
        <f>L14^2/$O$14^2</f>
        <v>6.2951939688670139E-4</v>
      </c>
      <c r="N14" s="6" t="s">
        <v>158</v>
      </c>
      <c r="O14" s="1">
        <f>SQRT(SUMSQ(L12:L16))</f>
        <v>3.1075397360524028E-2</v>
      </c>
      <c r="P14" s="16"/>
    </row>
    <row r="15" spans="2:16" x14ac:dyDescent="0.4">
      <c r="H15" s="17" t="s">
        <v>44</v>
      </c>
      <c r="I15" s="17">
        <v>0.5</v>
      </c>
      <c r="J15" s="17">
        <f>SQRT((0.006/SQRT(3))^2+(0.004047)^2+((I15*0.000207*4)/SQRT(3))^2)</f>
        <v>5.3324798171207367E-3</v>
      </c>
      <c r="K15" s="17" t="s">
        <v>50</v>
      </c>
      <c r="L15" s="1">
        <f t="shared" si="0"/>
        <v>1.0664959634241473E-2</v>
      </c>
      <c r="M15" s="35">
        <f t="shared" si="1"/>
        <v>0.11778366143853321</v>
      </c>
    </row>
    <row r="16" spans="2:16" x14ac:dyDescent="0.4">
      <c r="H16" s="17" t="s">
        <v>45</v>
      </c>
      <c r="I16" s="17">
        <v>2.5</v>
      </c>
      <c r="J16" s="17">
        <v>0</v>
      </c>
      <c r="K16" s="17" t="s">
        <v>49</v>
      </c>
      <c r="L16" s="1">
        <f t="shared" si="0"/>
        <v>0</v>
      </c>
      <c r="M16" s="35">
        <f t="shared" si="1"/>
        <v>0</v>
      </c>
    </row>
    <row r="17" spans="2:28" x14ac:dyDescent="0.4">
      <c r="L17" s="17" t="s">
        <v>20</v>
      </c>
      <c r="M17" s="50">
        <f>SUM(M12:M16)</f>
        <v>1</v>
      </c>
    </row>
    <row r="20" spans="2:28" x14ac:dyDescent="0.4">
      <c r="I20" s="17" t="s">
        <v>46</v>
      </c>
      <c r="J20" s="75" t="s">
        <v>47</v>
      </c>
      <c r="K20" s="17" t="s">
        <v>48</v>
      </c>
      <c r="L20" s="17" t="s">
        <v>132</v>
      </c>
      <c r="M20" s="17" t="s">
        <v>119</v>
      </c>
    </row>
    <row r="21" spans="2:28" ht="17.600000000000001" x14ac:dyDescent="0.55000000000000004">
      <c r="B21" t="s">
        <v>156</v>
      </c>
      <c r="C21" s="3" t="s">
        <v>157</v>
      </c>
      <c r="H21" s="75" t="s">
        <v>41</v>
      </c>
      <c r="I21" s="17">
        <v>2</v>
      </c>
      <c r="J21" s="17">
        <f>SQRT(2*(0.06/SQRT(3))^2+2*(0.015)^2)</f>
        <v>5.338539126015656E-2</v>
      </c>
      <c r="K21" s="17" t="s">
        <v>49</v>
      </c>
      <c r="L21" s="1">
        <f>J21/I21</f>
        <v>2.669269563007828E-2</v>
      </c>
      <c r="M21" s="35">
        <f>L21^2/$O$23^2</f>
        <v>0.77052867717110951</v>
      </c>
      <c r="N21" s="4" t="s">
        <v>156</v>
      </c>
      <c r="O21" s="19">
        <f>(I21*I22/I23)*(I24/(I25/1000000))</f>
        <v>19599.999999999996</v>
      </c>
      <c r="P21" s="20" t="s">
        <v>149</v>
      </c>
    </row>
    <row r="22" spans="2:28" x14ac:dyDescent="0.4">
      <c r="H22" s="17" t="s">
        <v>42</v>
      </c>
      <c r="I22" s="17">
        <v>0.98</v>
      </c>
      <c r="J22" s="17">
        <f>(1-0.98)/SQRT(3)</f>
        <v>1.1547005383792526E-2</v>
      </c>
      <c r="K22" s="17" t="s">
        <v>0</v>
      </c>
      <c r="L22" s="1">
        <f t="shared" ref="L22:L25" si="2">J22/I22</f>
        <v>1.1782658554890333E-2</v>
      </c>
      <c r="M22" s="35">
        <f t="shared" ref="M22:M25" si="3">L22^2/$O$23^2</f>
        <v>0.15013796438055507</v>
      </c>
      <c r="O22" s="16"/>
      <c r="P22" s="16"/>
    </row>
    <row r="23" spans="2:28" x14ac:dyDescent="0.4">
      <c r="H23" s="17" t="s">
        <v>43</v>
      </c>
      <c r="I23" s="17">
        <v>100</v>
      </c>
      <c r="J23" s="17">
        <f>SQRT((0.1/SQRT(3))^2+(0.02146)^2+((100*0.000207*4)/SQRT(3))^2)</f>
        <v>7.79688715663715E-2</v>
      </c>
      <c r="K23" s="17" t="s">
        <v>50</v>
      </c>
      <c r="L23" s="1">
        <f t="shared" si="2"/>
        <v>7.7968871566371498E-4</v>
      </c>
      <c r="M23" s="35">
        <f t="shared" si="3"/>
        <v>6.574253338684612E-4</v>
      </c>
      <c r="N23" s="6" t="s">
        <v>159</v>
      </c>
      <c r="O23" s="1">
        <f>SQRT(SUMSQ(L21:L25))</f>
        <v>3.0408712388301874E-2</v>
      </c>
      <c r="P23" s="16"/>
    </row>
    <row r="24" spans="2:28" x14ac:dyDescent="0.4">
      <c r="H24" s="17" t="s">
        <v>52</v>
      </c>
      <c r="I24" s="17">
        <v>2.5</v>
      </c>
      <c r="J24" s="17">
        <f>SQRT((0.03/SQRT(3))^2+(0.01238)^2+((I24*0.000207*4)/SQRT(3))^2)</f>
        <v>2.132352456795077E-2</v>
      </c>
      <c r="K24" s="17" t="s">
        <v>50</v>
      </c>
      <c r="L24" s="1">
        <f t="shared" si="2"/>
        <v>8.5294098271803086E-3</v>
      </c>
      <c r="M24" s="35">
        <f t="shared" si="3"/>
        <v>7.8675933114466842E-2</v>
      </c>
    </row>
    <row r="25" spans="2:28" x14ac:dyDescent="0.4">
      <c r="H25" s="17" t="s">
        <v>45</v>
      </c>
      <c r="I25" s="17">
        <v>2.5</v>
      </c>
      <c r="J25" s="17">
        <v>0</v>
      </c>
      <c r="K25" s="17" t="s">
        <v>49</v>
      </c>
      <c r="L25" s="1">
        <f t="shared" si="2"/>
        <v>0</v>
      </c>
      <c r="M25" s="35">
        <f t="shared" si="3"/>
        <v>0</v>
      </c>
    </row>
    <row r="26" spans="2:28" x14ac:dyDescent="0.4">
      <c r="L26" s="17" t="s">
        <v>20</v>
      </c>
      <c r="M26" s="50">
        <f>SUM(M21:M25)</f>
        <v>0.99999999999999989</v>
      </c>
    </row>
    <row r="29" spans="2:28" x14ac:dyDescent="0.4">
      <c r="B29" s="82" t="s">
        <v>5</v>
      </c>
      <c r="C29" s="82"/>
      <c r="D29" s="82" t="s">
        <v>6</v>
      </c>
      <c r="E29" s="82"/>
      <c r="F29" s="82" t="s">
        <v>7</v>
      </c>
      <c r="G29" s="82"/>
      <c r="H29" s="82" t="s">
        <v>8</v>
      </c>
      <c r="I29" s="82"/>
      <c r="J29" s="82" t="s">
        <v>9</v>
      </c>
      <c r="K29" s="82"/>
      <c r="L29" s="82" t="s">
        <v>10</v>
      </c>
      <c r="M29" s="82"/>
      <c r="N29" s="82" t="s">
        <v>11</v>
      </c>
      <c r="O29" s="82"/>
      <c r="P29" s="82" t="s">
        <v>12</v>
      </c>
      <c r="Q29" s="82"/>
      <c r="R29" s="82" t="s">
        <v>13</v>
      </c>
      <c r="S29" s="82"/>
      <c r="T29" s="82" t="s">
        <v>14</v>
      </c>
      <c r="U29" s="82"/>
    </row>
    <row r="30" spans="2:28" x14ac:dyDescent="0.4">
      <c r="B30" s="17" t="s">
        <v>3</v>
      </c>
      <c r="C30" s="17" t="s">
        <v>4</v>
      </c>
      <c r="D30" s="17" t="s">
        <v>3</v>
      </c>
      <c r="E30" s="17" t="s">
        <v>4</v>
      </c>
      <c r="F30" s="17" t="s">
        <v>3</v>
      </c>
      <c r="G30" s="17" t="s">
        <v>4</v>
      </c>
      <c r="H30" s="17" t="s">
        <v>3</v>
      </c>
      <c r="I30" s="17" t="s">
        <v>4</v>
      </c>
      <c r="J30" s="17" t="s">
        <v>3</v>
      </c>
      <c r="K30" s="17" t="s">
        <v>4</v>
      </c>
      <c r="L30" s="17" t="s">
        <v>3</v>
      </c>
      <c r="M30" s="17" t="s">
        <v>4</v>
      </c>
      <c r="N30" s="17" t="s">
        <v>3</v>
      </c>
      <c r="O30" s="17" t="s">
        <v>4</v>
      </c>
      <c r="P30" s="17" t="s">
        <v>3</v>
      </c>
      <c r="Q30" s="17" t="s">
        <v>4</v>
      </c>
      <c r="R30" s="17" t="s">
        <v>3</v>
      </c>
      <c r="S30" s="17" t="s">
        <v>4</v>
      </c>
      <c r="T30" s="17" t="s">
        <v>3</v>
      </c>
      <c r="U30" s="17" t="s">
        <v>4</v>
      </c>
    </row>
    <row r="31" spans="2:28" x14ac:dyDescent="0.4">
      <c r="B31" s="17">
        <v>4082.9999999999995</v>
      </c>
      <c r="C31" s="17">
        <v>3946</v>
      </c>
      <c r="D31" s="17">
        <v>4783</v>
      </c>
      <c r="E31" s="17">
        <v>6559</v>
      </c>
      <c r="F31" s="17">
        <v>3607</v>
      </c>
      <c r="G31" s="17">
        <v>3832</v>
      </c>
      <c r="H31" s="17">
        <v>3917</v>
      </c>
      <c r="I31" s="17">
        <v>3790</v>
      </c>
      <c r="J31" s="17">
        <v>4018</v>
      </c>
      <c r="K31" s="17">
        <v>4147</v>
      </c>
      <c r="L31" s="17">
        <v>4219</v>
      </c>
      <c r="M31" s="17">
        <v>4238</v>
      </c>
      <c r="N31" s="17">
        <v>4129</v>
      </c>
      <c r="O31" s="17">
        <v>4251</v>
      </c>
      <c r="P31" s="17">
        <v>4107</v>
      </c>
      <c r="Q31" s="17">
        <v>4196</v>
      </c>
      <c r="R31" s="17">
        <v>4173</v>
      </c>
      <c r="S31" s="17">
        <v>4129</v>
      </c>
      <c r="T31" s="17">
        <v>4352</v>
      </c>
      <c r="U31" s="17">
        <v>4124</v>
      </c>
      <c r="V31" s="39" t="s">
        <v>36</v>
      </c>
      <c r="W31" s="39" t="s">
        <v>1</v>
      </c>
      <c r="X31" s="39" t="s">
        <v>53</v>
      </c>
      <c r="Z31" s="39" t="s">
        <v>54</v>
      </c>
      <c r="AB31" s="52" t="s">
        <v>55</v>
      </c>
    </row>
    <row r="32" spans="2:28" x14ac:dyDescent="0.4">
      <c r="B32" s="85">
        <f>AVERAGE(B31:C31)</f>
        <v>4014.5</v>
      </c>
      <c r="C32" s="86"/>
      <c r="D32" s="85">
        <f t="shared" ref="D32" si="4">AVERAGE(D31:E31)</f>
        <v>5671</v>
      </c>
      <c r="E32" s="86"/>
      <c r="F32" s="85">
        <f t="shared" ref="F32" si="5">AVERAGE(F31:G31)</f>
        <v>3719.5</v>
      </c>
      <c r="G32" s="86"/>
      <c r="H32" s="85">
        <f t="shared" ref="H32" si="6">AVERAGE(H31:I31)</f>
        <v>3853.5</v>
      </c>
      <c r="I32" s="86"/>
      <c r="J32" s="85">
        <f t="shared" ref="J32" si="7">AVERAGE(J31:K31)</f>
        <v>4082.5</v>
      </c>
      <c r="K32" s="86"/>
      <c r="L32" s="85">
        <f t="shared" ref="L32" si="8">AVERAGE(L31:M31)</f>
        <v>4228.5</v>
      </c>
      <c r="M32" s="86"/>
      <c r="N32" s="85">
        <f t="shared" ref="N32" si="9">AVERAGE(N31:O31)</f>
        <v>4190</v>
      </c>
      <c r="O32" s="86"/>
      <c r="P32" s="85">
        <f t="shared" ref="P32" si="10">AVERAGE(P31:Q31)</f>
        <v>4151.5</v>
      </c>
      <c r="Q32" s="86"/>
      <c r="R32" s="85">
        <f t="shared" ref="R32" si="11">AVERAGE(R31:S31)</f>
        <v>4151</v>
      </c>
      <c r="S32" s="86"/>
      <c r="T32" s="85">
        <f t="shared" ref="T32" si="12">AVERAGE(T31:U31)</f>
        <v>4238</v>
      </c>
      <c r="U32" s="86"/>
      <c r="V32" s="51">
        <f>AVERAGE(B32:U32)</f>
        <v>4230</v>
      </c>
      <c r="W32" s="51">
        <f>STDEV(B32:U32)</f>
        <v>533.44889373043247</v>
      </c>
      <c r="X32" s="51">
        <f>COUNT(B32:U32)</f>
        <v>10</v>
      </c>
      <c r="Z32" s="58">
        <f>V32/O12</f>
        <v>1.0790816326530615</v>
      </c>
      <c r="AB32" s="53">
        <f>Z32^2*((W32/(V32*SQRT(X32)))^2+(O14)^2)</f>
        <v>2.976337570276137E-3</v>
      </c>
    </row>
    <row r="33" spans="2:28" x14ac:dyDescent="0.4">
      <c r="B33" s="16"/>
      <c r="C33" s="16"/>
    </row>
    <row r="35" spans="2:28" x14ac:dyDescent="0.4">
      <c r="B35" s="82" t="s">
        <v>5</v>
      </c>
      <c r="C35" s="82"/>
      <c r="D35" s="82" t="s">
        <v>6</v>
      </c>
      <c r="E35" s="82"/>
      <c r="F35" s="82" t="s">
        <v>7</v>
      </c>
      <c r="G35" s="82"/>
      <c r="H35" s="82" t="s">
        <v>8</v>
      </c>
      <c r="I35" s="82"/>
      <c r="J35" s="82" t="s">
        <v>9</v>
      </c>
      <c r="K35" s="82"/>
      <c r="L35" s="82" t="s">
        <v>10</v>
      </c>
      <c r="M35" s="82"/>
      <c r="N35" s="82" t="s">
        <v>11</v>
      </c>
      <c r="O35" s="82"/>
      <c r="P35" s="82" t="s">
        <v>12</v>
      </c>
      <c r="Q35" s="82"/>
      <c r="R35" s="82" t="s">
        <v>13</v>
      </c>
      <c r="S35" s="82"/>
      <c r="T35" s="82" t="s">
        <v>14</v>
      </c>
      <c r="U35" s="82"/>
    </row>
    <row r="36" spans="2:28" x14ac:dyDescent="0.4">
      <c r="B36" s="17" t="s">
        <v>3</v>
      </c>
      <c r="C36" s="17" t="s">
        <v>4</v>
      </c>
      <c r="D36" s="17" t="s">
        <v>3</v>
      </c>
      <c r="E36" s="17" t="s">
        <v>4</v>
      </c>
      <c r="F36" s="17" t="s">
        <v>3</v>
      </c>
      <c r="G36" s="17" t="s">
        <v>4</v>
      </c>
      <c r="H36" s="17" t="s">
        <v>3</v>
      </c>
      <c r="I36" s="17" t="s">
        <v>4</v>
      </c>
      <c r="J36" s="17" t="s">
        <v>3</v>
      </c>
      <c r="K36" s="17" t="s">
        <v>4</v>
      </c>
      <c r="L36" s="17" t="s">
        <v>3</v>
      </c>
      <c r="M36" s="17" t="s">
        <v>4</v>
      </c>
      <c r="N36" s="17" t="s">
        <v>3</v>
      </c>
      <c r="O36" s="17" t="s">
        <v>4</v>
      </c>
      <c r="P36" s="17" t="s">
        <v>3</v>
      </c>
      <c r="Q36" s="17" t="s">
        <v>4</v>
      </c>
      <c r="R36" s="17" t="s">
        <v>3</v>
      </c>
      <c r="S36" s="17" t="s">
        <v>4</v>
      </c>
      <c r="T36" s="17" t="s">
        <v>3</v>
      </c>
      <c r="U36" s="17" t="s">
        <v>4</v>
      </c>
    </row>
    <row r="37" spans="2:28" x14ac:dyDescent="0.4">
      <c r="B37" s="17">
        <v>20134</v>
      </c>
      <c r="C37" s="17">
        <v>19879</v>
      </c>
      <c r="D37" s="17">
        <v>19073</v>
      </c>
      <c r="E37" s="17">
        <v>18793</v>
      </c>
      <c r="F37" s="17">
        <v>19020</v>
      </c>
      <c r="G37" s="17">
        <v>19540</v>
      </c>
      <c r="H37" s="17">
        <v>18203</v>
      </c>
      <c r="I37" s="17">
        <v>18089</v>
      </c>
      <c r="J37" s="17">
        <v>18891</v>
      </c>
      <c r="K37" s="17">
        <v>20198</v>
      </c>
      <c r="L37" s="17">
        <v>20257</v>
      </c>
      <c r="M37" s="17">
        <v>20101</v>
      </c>
      <c r="N37" s="17">
        <v>20662</v>
      </c>
      <c r="O37" s="17">
        <v>19568</v>
      </c>
      <c r="P37" s="17">
        <v>19812</v>
      </c>
      <c r="Q37" s="17">
        <v>19947</v>
      </c>
      <c r="R37" s="17">
        <v>20403</v>
      </c>
      <c r="S37" s="17">
        <v>19916</v>
      </c>
      <c r="T37" s="17">
        <v>19516</v>
      </c>
      <c r="U37" s="17">
        <v>19973</v>
      </c>
      <c r="V37" s="39" t="s">
        <v>36</v>
      </c>
      <c r="W37" s="39" t="s">
        <v>1</v>
      </c>
      <c r="X37" s="39" t="s">
        <v>53</v>
      </c>
      <c r="Z37" s="39" t="s">
        <v>54</v>
      </c>
      <c r="AB37" s="52" t="s">
        <v>55</v>
      </c>
    </row>
    <row r="38" spans="2:28" x14ac:dyDescent="0.4">
      <c r="B38" s="85">
        <f>AVERAGE(B37:C37)</f>
        <v>20006.5</v>
      </c>
      <c r="C38" s="86"/>
      <c r="D38" s="85">
        <f t="shared" ref="D38" si="13">AVERAGE(D37:E37)</f>
        <v>18933</v>
      </c>
      <c r="E38" s="86"/>
      <c r="F38" s="85">
        <f t="shared" ref="F38" si="14">AVERAGE(F37:G37)</f>
        <v>19280</v>
      </c>
      <c r="G38" s="86"/>
      <c r="H38" s="85">
        <f t="shared" ref="H38" si="15">AVERAGE(H37:I37)</f>
        <v>18146</v>
      </c>
      <c r="I38" s="86"/>
      <c r="J38" s="85">
        <f t="shared" ref="J38" si="16">AVERAGE(J37:K37)</f>
        <v>19544.5</v>
      </c>
      <c r="K38" s="86"/>
      <c r="L38" s="85">
        <f t="shared" ref="L38" si="17">AVERAGE(L37:M37)</f>
        <v>20179</v>
      </c>
      <c r="M38" s="86"/>
      <c r="N38" s="85">
        <f t="shared" ref="N38" si="18">AVERAGE(N37:O37)</f>
        <v>20115</v>
      </c>
      <c r="O38" s="86"/>
      <c r="P38" s="85">
        <f t="shared" ref="P38" si="19">AVERAGE(P37:Q37)</f>
        <v>19879.5</v>
      </c>
      <c r="Q38" s="86"/>
      <c r="R38" s="85">
        <f t="shared" ref="R38" si="20">AVERAGE(R37:S37)</f>
        <v>20159.5</v>
      </c>
      <c r="S38" s="86"/>
      <c r="T38" s="85">
        <f t="shared" ref="T38" si="21">AVERAGE(T37:U37)</f>
        <v>19744.5</v>
      </c>
      <c r="U38" s="86"/>
      <c r="V38" s="51">
        <f>AVERAGE(B38:U38)</f>
        <v>19598.75</v>
      </c>
      <c r="W38" s="51">
        <f>STDEV(B38:U38)</f>
        <v>653.38593538241662</v>
      </c>
      <c r="X38" s="51">
        <f>COUNT(B38:U38)</f>
        <v>10</v>
      </c>
      <c r="Z38" s="58">
        <f>V38/O21</f>
        <v>0.99993622448979613</v>
      </c>
      <c r="AB38" s="53">
        <f>Z38^2*((W38/(V38*SQRT(X38)))^2+(O23)^2)</f>
        <v>1.0357008514341143E-3</v>
      </c>
    </row>
    <row r="41" spans="2:28" x14ac:dyDescent="0.4">
      <c r="X41" s="54"/>
      <c r="Y41" s="55" t="s">
        <v>56</v>
      </c>
      <c r="Z41" s="59">
        <f>AVERAGE(Z32,Z38)</f>
        <v>1.0395089285714287</v>
      </c>
      <c r="AA41" s="57"/>
    </row>
    <row r="43" spans="2:28" x14ac:dyDescent="0.4">
      <c r="X43" s="54"/>
      <c r="Y43" s="56" t="s">
        <v>160</v>
      </c>
      <c r="Z43" s="59">
        <f>SQRT(AB32+AB38)/2</f>
        <v>3.1670326891706735E-2</v>
      </c>
      <c r="AA43" s="57"/>
    </row>
    <row r="45" spans="2:28" x14ac:dyDescent="0.4">
      <c r="X45" s="54"/>
      <c r="Y45" s="56" t="s">
        <v>161</v>
      </c>
      <c r="Z45" s="56">
        <f>ABS(1-Z41)/Z43</f>
        <v>1.247506181623109</v>
      </c>
      <c r="AA45" s="57" t="s">
        <v>57</v>
      </c>
    </row>
    <row r="47" spans="2:28" x14ac:dyDescent="0.4">
      <c r="X47" s="54"/>
      <c r="Y47" s="56" t="s">
        <v>162</v>
      </c>
      <c r="Z47" s="56">
        <f>Z43</f>
        <v>3.1670326891706735E-2</v>
      </c>
      <c r="AA47" s="57"/>
    </row>
    <row r="49" spans="2:2" x14ac:dyDescent="0.4">
      <c r="B49" s="25" t="s">
        <v>90</v>
      </c>
    </row>
  </sheetData>
  <sheetProtection sheet="1" objects="1" scenarios="1"/>
  <mergeCells count="40">
    <mergeCell ref="B38:C38"/>
    <mergeCell ref="D38:E38"/>
    <mergeCell ref="F38:G38"/>
    <mergeCell ref="H38:I38"/>
    <mergeCell ref="J38:K38"/>
    <mergeCell ref="L38:M38"/>
    <mergeCell ref="N32:O32"/>
    <mergeCell ref="P32:Q32"/>
    <mergeCell ref="R32:S32"/>
    <mergeCell ref="T32:U32"/>
    <mergeCell ref="L35:M35"/>
    <mergeCell ref="N38:O38"/>
    <mergeCell ref="P38:Q38"/>
    <mergeCell ref="R38:S38"/>
    <mergeCell ref="T38:U38"/>
    <mergeCell ref="N35:O35"/>
    <mergeCell ref="P35:Q35"/>
    <mergeCell ref="R35:S35"/>
    <mergeCell ref="T35:U35"/>
    <mergeCell ref="B35:C35"/>
    <mergeCell ref="D35:E35"/>
    <mergeCell ref="F35:G35"/>
    <mergeCell ref="H35:I35"/>
    <mergeCell ref="J35:K35"/>
    <mergeCell ref="N29:O29"/>
    <mergeCell ref="P29:Q29"/>
    <mergeCell ref="R29:S29"/>
    <mergeCell ref="T29:U29"/>
    <mergeCell ref="B32:C32"/>
    <mergeCell ref="D32:E32"/>
    <mergeCell ref="F32:G32"/>
    <mergeCell ref="H32:I32"/>
    <mergeCell ref="J32:K32"/>
    <mergeCell ref="L32:M32"/>
    <mergeCell ref="B29:C29"/>
    <mergeCell ref="D29:E29"/>
    <mergeCell ref="F29:G29"/>
    <mergeCell ref="H29:I29"/>
    <mergeCell ref="J29:K29"/>
    <mergeCell ref="L29:M29"/>
  </mergeCells>
  <conditionalFormatting sqref="M12:M16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{6649DC9F-64B5-4E58-AD2E-8D8D626B0B23}</x14:id>
        </ext>
      </extLst>
    </cfRule>
  </conditionalFormatting>
  <conditionalFormatting sqref="M21:M2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{F75DD232-C5F4-4B14-8E1D-0E930588E870}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49DC9F-64B5-4E58-AD2E-8D8D626B0B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M12:M16</xm:sqref>
        </x14:conditionalFormatting>
        <x14:conditionalFormatting xmlns:xm="http://schemas.microsoft.com/office/excel/2006/main">
          <x14:cfRule type="dataBar" id="{F75DD232-C5F4-4B14-8E1D-0E930588E8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M21:M25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6A3E2-97A5-4008-9E3F-1BF6A3346A92}">
  <sheetPr>
    <tabColor rgb="FF00B0F0"/>
  </sheetPr>
  <dimension ref="B2:V24"/>
  <sheetViews>
    <sheetView zoomScaleNormal="100" workbookViewId="0"/>
  </sheetViews>
  <sheetFormatPr defaultColWidth="11.3828125" defaultRowHeight="14.6" x14ac:dyDescent="0.4"/>
  <cols>
    <col min="2" max="2" width="21.3828125" customWidth="1"/>
    <col min="9" max="9" width="14.84375" bestFit="1" customWidth="1"/>
    <col min="11" max="11" width="14.84375" customWidth="1"/>
  </cols>
  <sheetData>
    <row r="2" spans="2:22" x14ac:dyDescent="0.4">
      <c r="B2" s="2" t="s">
        <v>122</v>
      </c>
    </row>
    <row r="4" spans="2:22" x14ac:dyDescent="0.4">
      <c r="B4" s="12" t="s">
        <v>123</v>
      </c>
    </row>
    <row r="5" spans="2:22" x14ac:dyDescent="0.4">
      <c r="B5" s="12"/>
    </row>
    <row r="6" spans="2:22" x14ac:dyDescent="0.4">
      <c r="B6" s="6" t="s">
        <v>163</v>
      </c>
      <c r="C6" s="62">
        <v>2.5</v>
      </c>
      <c r="D6" t="s">
        <v>124</v>
      </c>
      <c r="G6" s="63" t="s">
        <v>127</v>
      </c>
      <c r="H6" s="64"/>
      <c r="I6" s="64"/>
      <c r="J6" s="64"/>
      <c r="K6" s="64"/>
      <c r="L6" s="65"/>
    </row>
    <row r="7" spans="2:22" x14ac:dyDescent="0.4">
      <c r="B7" s="12"/>
    </row>
    <row r="8" spans="2:22" x14ac:dyDescent="0.4">
      <c r="G8" t="s">
        <v>128</v>
      </c>
      <c r="Q8" s="12"/>
      <c r="R8" s="12"/>
      <c r="S8" s="12"/>
      <c r="T8" s="66" t="s">
        <v>58</v>
      </c>
      <c r="U8" s="66"/>
      <c r="V8" s="66"/>
    </row>
    <row r="9" spans="2:22" ht="16.3" x14ac:dyDescent="0.4">
      <c r="B9" s="6" t="s">
        <v>164</v>
      </c>
      <c r="C9" s="14">
        <v>-30589.702666666708</v>
      </c>
      <c r="G9" s="87" t="s">
        <v>172</v>
      </c>
      <c r="H9" s="88"/>
    </row>
    <row r="10" spans="2:22" x14ac:dyDescent="0.4">
      <c r="B10" s="6" t="s">
        <v>165</v>
      </c>
      <c r="C10" s="14">
        <v>5103.552306898775</v>
      </c>
      <c r="G10" s="17" t="s">
        <v>34</v>
      </c>
      <c r="H10" s="17" t="s">
        <v>35</v>
      </c>
    </row>
    <row r="11" spans="2:22" ht="17.600000000000001" x14ac:dyDescent="0.55000000000000004">
      <c r="B11" s="6" t="s">
        <v>166</v>
      </c>
      <c r="C11" s="15">
        <f>432617.92</f>
        <v>432617.92</v>
      </c>
      <c r="G11" s="36">
        <f>'5-Precision'!D41/1000</f>
        <v>2.1150000000000002</v>
      </c>
      <c r="H11" s="36">
        <f>'5-Precision'!E41/1000</f>
        <v>4.2300000000000004</v>
      </c>
      <c r="I11" s="17" t="s">
        <v>185</v>
      </c>
      <c r="J11" s="67">
        <f>'5-Precision'!F41/1000</f>
        <v>0.40825396507566214</v>
      </c>
      <c r="K11" s="17" t="s">
        <v>184</v>
      </c>
      <c r="L11" s="67">
        <f>'5-Precision'!G41/1000</f>
        <v>0.6065651563425718</v>
      </c>
    </row>
    <row r="12" spans="2:22" ht="17.149999999999999" x14ac:dyDescent="0.55000000000000004">
      <c r="G12" s="36">
        <f>'5-Precision'!D42/1000</f>
        <v>4.2300000000000004</v>
      </c>
      <c r="H12" s="36">
        <f>'5-Precision'!E42/1000</f>
        <v>19.598749999999999</v>
      </c>
      <c r="I12" s="17" t="s">
        <v>180</v>
      </c>
      <c r="J12" s="40">
        <f>'5-Precision'!H42</f>
        <v>9.6513939734199097E-2</v>
      </c>
      <c r="K12" s="17" t="s">
        <v>182</v>
      </c>
      <c r="L12" s="68">
        <f>'5-Precision'!I42</f>
        <v>0.14339601804788929</v>
      </c>
    </row>
    <row r="13" spans="2:22" ht="17.600000000000001" x14ac:dyDescent="0.55000000000000004">
      <c r="B13" s="6" t="s">
        <v>167</v>
      </c>
      <c r="C13" s="6">
        <f>'4-HPLC_Sensitivity_Variation'!Y4</f>
        <v>90.761805662405266</v>
      </c>
      <c r="G13" s="36">
        <f>'5-Precision'!D43/1000</f>
        <v>19.598749999999999</v>
      </c>
      <c r="H13" s="69">
        <f>G13*10</f>
        <v>195.98749999999998</v>
      </c>
      <c r="I13" s="17" t="s">
        <v>181</v>
      </c>
      <c r="J13" s="40">
        <f>'5-Precision'!J43</f>
        <v>2.2300565624408852E-2</v>
      </c>
      <c r="K13" s="17" t="s">
        <v>183</v>
      </c>
      <c r="L13" s="68">
        <f>'5-Precision'!K43</f>
        <v>3.7251981941575869E-2</v>
      </c>
    </row>
    <row r="14" spans="2:22" ht="17.149999999999999" x14ac:dyDescent="0.55000000000000004">
      <c r="B14" s="17" t="s">
        <v>126</v>
      </c>
      <c r="C14" s="62">
        <v>1</v>
      </c>
      <c r="H14" s="17" t="s">
        <v>177</v>
      </c>
      <c r="I14" s="17" t="s">
        <v>178</v>
      </c>
      <c r="J14" s="17" t="s">
        <v>129</v>
      </c>
    </row>
    <row r="15" spans="2:22" ht="17.149999999999999" x14ac:dyDescent="0.55000000000000004">
      <c r="G15" s="17" t="s">
        <v>179</v>
      </c>
      <c r="H15" s="40">
        <f>IF(AND($C$16&gt;=$G$11,$C$16&lt;$H$11),$J$11/$C$16,IF(AND($C$16&gt;=$G$12,$C$16&lt;$H$12),$J$12,IF(AND($C$16&gt;=$G$13,$C$16&lt;=$H$13),$J$13,"Error")))</f>
        <v>9.6513939734199097E-2</v>
      </c>
      <c r="I15" s="40">
        <f>IF(AND($C$16&gt;=$G$11,$C$16&lt;$H$11),$L$11/$C$16,IF(AND($C$16&gt;=$G$12,$C$16&lt;$H$12),$L$12,IF(AND($C$16&gt;=$G$13,$C$16&lt;=$H$13),$L$13,"Error")))</f>
        <v>0.14339601804788929</v>
      </c>
      <c r="J15" s="70">
        <f>SQRT(I15^2+(H15)^2*(1-C14)/C14)</f>
        <v>0.14339601804788929</v>
      </c>
    </row>
    <row r="16" spans="2:22" ht="16.3" x14ac:dyDescent="0.4">
      <c r="B16" s="17" t="s">
        <v>169</v>
      </c>
      <c r="C16" s="17">
        <f>C13*0.025*10/C6</f>
        <v>9.0761805662405273</v>
      </c>
    </row>
    <row r="17" spans="2:8" x14ac:dyDescent="0.4">
      <c r="B17" s="17" t="s">
        <v>168</v>
      </c>
      <c r="C17" s="71">
        <f>SQRT(J15^2+H17^2+H18^2+H19^2+H20^2)</f>
        <v>0.16246836390729971</v>
      </c>
      <c r="G17" s="17" t="s">
        <v>173</v>
      </c>
      <c r="H17" s="72">
        <f>'2-Mass_of_Analytical_Portion'!C11</f>
        <v>2.1354156504062624E-2</v>
      </c>
    </row>
    <row r="18" spans="2:8" x14ac:dyDescent="0.4">
      <c r="B18" s="17" t="s">
        <v>171</v>
      </c>
      <c r="C18" s="71">
        <f>C17*2</f>
        <v>0.32493672781459942</v>
      </c>
      <c r="G18" s="17" t="s">
        <v>174</v>
      </c>
      <c r="H18" s="73">
        <f>'3-Calibrators_Values'!F10</f>
        <v>3.2023229440222456E-2</v>
      </c>
    </row>
    <row r="19" spans="2:8" x14ac:dyDescent="0.4">
      <c r="B19" s="17" t="s">
        <v>170</v>
      </c>
      <c r="C19" s="17">
        <f>C16*C18</f>
        <v>2.9491844142486552</v>
      </c>
      <c r="G19" s="17" t="s">
        <v>175</v>
      </c>
      <c r="H19" s="73">
        <f>'4-HPLC_Sensitivity_Variation'!AC19</f>
        <v>5.7871015625401631E-2</v>
      </c>
    </row>
    <row r="20" spans="2:8" x14ac:dyDescent="0.4">
      <c r="G20" s="17" t="s">
        <v>176</v>
      </c>
      <c r="H20" s="74">
        <f>'6-Recovery'!Z47</f>
        <v>3.1670326891706735E-2</v>
      </c>
    </row>
    <row r="22" spans="2:8" x14ac:dyDescent="0.4">
      <c r="B22" s="25" t="s">
        <v>90</v>
      </c>
    </row>
    <row r="23" spans="2:8" x14ac:dyDescent="0.4">
      <c r="C23" s="13"/>
    </row>
    <row r="24" spans="2:8" x14ac:dyDescent="0.4">
      <c r="C24" s="13"/>
    </row>
  </sheetData>
  <sheetProtection sheet="1" objects="1" scenarios="1"/>
  <mergeCells count="1">
    <mergeCell ref="G9:H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1-Uncontr_Temp_Vol</vt:lpstr>
      <vt:lpstr>2-Mass_of_Analytical_Portion</vt:lpstr>
      <vt:lpstr>3-Calibrators_Values</vt:lpstr>
      <vt:lpstr>4-HPLC_Sensitivity_Variation</vt:lpstr>
      <vt:lpstr>5-Precision</vt:lpstr>
      <vt:lpstr>6-Recovery</vt:lpstr>
      <vt:lpstr>7-Comb&amp;Expansion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Gutiérrez Fernández Lucía</dc:creator>
  <cp:lastModifiedBy>Ricardo Jorge Neves Bettencourt da Silva</cp:lastModifiedBy>
  <dcterms:created xsi:type="dcterms:W3CDTF">2023-09-20T08:47:03Z</dcterms:created>
  <dcterms:modified xsi:type="dcterms:W3CDTF">2024-09-27T14:54:52Z</dcterms:modified>
</cp:coreProperties>
</file>