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726"/>
  <workbookPr/>
  <mc:AlternateContent xmlns:mc="http://schemas.openxmlformats.org/markup-compatibility/2006">
    <mc:Choice Requires="x15">
      <x15ac:absPath xmlns:x15ac="http://schemas.microsoft.com/office/spreadsheetml/2010/11/ac" url="https://ynuacjpoffice365-my.sharepoint.com/personal/izato-yuichiro-tk_ynu_ac_jp/Documents/current_work/論文執筆/solvent_dmso/esi_2/"/>
    </mc:Choice>
  </mc:AlternateContent>
  <xr:revisionPtr revIDLastSave="78" documentId="13_ncr:1_{F87C2C8F-7AB9-465A-B4DB-168BDC8AA8B8}" xr6:coauthVersionLast="47" xr6:coauthVersionMax="47" xr10:uidLastSave="{AA3E2DEC-F8BF-472A-A209-75B89513EB13}"/>
  <bookViews>
    <workbookView xWindow="-90" yWindow="-90" windowWidth="19380" windowHeight="10260" activeTab="3" xr2:uid="{00000000-000D-0000-FFFF-FFFF00000000}"/>
  </bookViews>
  <sheets>
    <sheet name="reactant 1" sheetId="20" r:id="rId1"/>
    <sheet name="reactant 2" sheetId="21" r:id="rId2"/>
    <sheet name="ts" sheetId="22" r:id="rId3"/>
    <sheet name="k_tst" sheetId="23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8" i="23" l="1"/>
  <c r="E18" i="23"/>
  <c r="D18" i="23"/>
  <c r="C44" i="20"/>
  <c r="F14" i="23" l="1"/>
  <c r="E14" i="23"/>
  <c r="D14" i="23"/>
  <c r="F21" i="23"/>
  <c r="F22" i="23" s="1"/>
  <c r="E21" i="23"/>
  <c r="E22" i="23" s="1"/>
  <c r="D21" i="23"/>
  <c r="D22" i="23" s="1"/>
  <c r="C42" i="22"/>
  <c r="C42" i="21"/>
  <c r="C42" i="20"/>
  <c r="B1" i="23"/>
  <c r="B9" i="23" s="1"/>
  <c r="C52" i="22"/>
  <c r="C52" i="21"/>
  <c r="C52" i="20"/>
  <c r="C68" i="20" s="1"/>
  <c r="C54" i="22"/>
  <c r="C54" i="21"/>
  <c r="C54" i="20"/>
  <c r="C56" i="22"/>
  <c r="C56" i="21"/>
  <c r="C56" i="20"/>
  <c r="C38" i="20"/>
  <c r="G22" i="23" l="1"/>
  <c r="C72" i="20"/>
  <c r="C70" i="20"/>
  <c r="C38" i="22" l="1"/>
  <c r="C72" i="22" s="1"/>
  <c r="C38" i="21"/>
  <c r="C72" i="21" s="1"/>
  <c r="E24" i="23"/>
  <c r="F24" i="23"/>
  <c r="D24" i="23"/>
  <c r="C40" i="20"/>
  <c r="D20" i="23" s="1"/>
  <c r="F32" i="23"/>
  <c r="F30" i="23"/>
  <c r="F27" i="23"/>
  <c r="E32" i="23"/>
  <c r="E27" i="23"/>
  <c r="D32" i="23"/>
  <c r="D27" i="23"/>
  <c r="F26" i="23"/>
  <c r="F16" i="23"/>
  <c r="E16" i="23"/>
  <c r="D16" i="23"/>
  <c r="C48" i="22"/>
  <c r="F25" i="23" s="1"/>
  <c r="C46" i="22"/>
  <c r="F29" i="23"/>
  <c r="C36" i="22"/>
  <c r="F13" i="23" s="1"/>
  <c r="C34" i="22"/>
  <c r="C40" i="22" s="1"/>
  <c r="F20" i="23" s="1"/>
  <c r="C28" i="22"/>
  <c r="C29" i="22" s="1"/>
  <c r="C19" i="22"/>
  <c r="C18" i="22"/>
  <c r="C17" i="22"/>
  <c r="C50" i="22" s="1"/>
  <c r="G24" i="23" l="1"/>
  <c r="G32" i="23"/>
  <c r="G27" i="23"/>
  <c r="G16" i="23"/>
  <c r="C66" i="22"/>
  <c r="F33" i="23" s="1"/>
  <c r="F15" i="23"/>
  <c r="C44" i="22"/>
  <c r="C64" i="22"/>
  <c r="F17" i="23" s="1"/>
  <c r="C48" i="21"/>
  <c r="E25" i="23" s="1"/>
  <c r="C46" i="21"/>
  <c r="E29" i="23"/>
  <c r="C36" i="21"/>
  <c r="E13" i="23" s="1"/>
  <c r="C34" i="21"/>
  <c r="C28" i="21"/>
  <c r="C29" i="21" s="1"/>
  <c r="E26" i="23" s="1"/>
  <c r="C19" i="21"/>
  <c r="C18" i="21"/>
  <c r="C17" i="21"/>
  <c r="C50" i="21" s="1"/>
  <c r="E30" i="23" s="1"/>
  <c r="C36" i="20"/>
  <c r="D13" i="23" s="1"/>
  <c r="D29" i="23"/>
  <c r="C34" i="20"/>
  <c r="C17" i="20"/>
  <c r="G13" i="23" l="1"/>
  <c r="C74" i="22"/>
  <c r="F34" i="23" s="1"/>
  <c r="F31" i="23"/>
  <c r="F28" i="23"/>
  <c r="G29" i="23"/>
  <c r="C64" i="21"/>
  <c r="E17" i="23" s="1"/>
  <c r="C40" i="21"/>
  <c r="E20" i="23" s="1"/>
  <c r="G20" i="23" s="1"/>
  <c r="I1" i="23" s="1"/>
  <c r="I5" i="23" s="1"/>
  <c r="I8" i="23" s="1"/>
  <c r="C70" i="22"/>
  <c r="C68" i="22"/>
  <c r="C44" i="21"/>
  <c r="C66" i="21"/>
  <c r="E33" i="23" s="1"/>
  <c r="C76" i="22" l="1"/>
  <c r="F35" i="23" s="1"/>
  <c r="C70" i="21"/>
  <c r="E15" i="23"/>
  <c r="E28" i="23"/>
  <c r="C74" i="21"/>
  <c r="E34" i="23" s="1"/>
  <c r="E31" i="23"/>
  <c r="C68" i="21"/>
  <c r="C76" i="21" l="1"/>
  <c r="E35" i="23" s="1"/>
  <c r="C48" i="20"/>
  <c r="D25" i="23" s="1"/>
  <c r="G25" i="23" s="1"/>
  <c r="C46" i="20"/>
  <c r="G14" i="23" s="1"/>
  <c r="C50" i="20" l="1"/>
  <c r="D30" i="23" s="1"/>
  <c r="G30" i="23" s="1"/>
  <c r="C28" i="20" l="1"/>
  <c r="C29" i="20" s="1"/>
  <c r="D26" i="23" s="1"/>
  <c r="G26" i="23" s="1"/>
  <c r="C19" i="20"/>
  <c r="C18" i="20"/>
  <c r="D15" i="23" l="1"/>
  <c r="G15" i="23" s="1"/>
  <c r="C64" i="20"/>
  <c r="D17" i="23" s="1"/>
  <c r="G17" i="23" s="1"/>
  <c r="C66" i="20"/>
  <c r="D33" i="23" s="1"/>
  <c r="G33" i="23" s="1"/>
  <c r="C74" i="20" l="1"/>
  <c r="D34" i="23" s="1"/>
  <c r="G34" i="23" s="1"/>
  <c r="I3" i="23" s="1"/>
  <c r="D31" i="23"/>
  <c r="G31" i="23" s="1"/>
  <c r="G18" i="23"/>
  <c r="D28" i="23" l="1"/>
  <c r="G28" i="23" s="1"/>
  <c r="I2" i="23" s="1"/>
  <c r="C76" i="20"/>
  <c r="D35" i="23" s="1"/>
  <c r="G35" i="23" s="1"/>
  <c r="I4" i="23" s="1"/>
  <c r="I6" i="23" l="1"/>
  <c r="I9" i="23" s="1"/>
</calcChain>
</file>

<file path=xl/sharedStrings.xml><?xml version="1.0" encoding="utf-8"?>
<sst xmlns="http://schemas.openxmlformats.org/spreadsheetml/2006/main" count="477" uniqueCount="151">
  <si>
    <t>Inputs</t>
    <phoneticPr fontId="2"/>
  </si>
  <si>
    <t>outputs</t>
    <phoneticPr fontId="2"/>
  </si>
  <si>
    <t>constants</t>
    <phoneticPr fontId="2"/>
  </si>
  <si>
    <t>the Planck constant</t>
    <phoneticPr fontId="2"/>
  </si>
  <si>
    <t>h</t>
    <phoneticPr fontId="2"/>
  </si>
  <si>
    <t>m^2 kg / s</t>
    <phoneticPr fontId="2"/>
  </si>
  <si>
    <t>the Boltzman constant</t>
    <phoneticPr fontId="2"/>
  </si>
  <si>
    <t>kb</t>
    <phoneticPr fontId="2"/>
  </si>
  <si>
    <t>m^2 kg / (s^2 K)</t>
    <phoneticPr fontId="2"/>
  </si>
  <si>
    <t>the universal gas constant</t>
    <phoneticPr fontId="2"/>
  </si>
  <si>
    <t>R</t>
    <phoneticPr fontId="2"/>
  </si>
  <si>
    <t>m^2 kg / (s^2 K mol)</t>
    <phoneticPr fontId="2"/>
  </si>
  <si>
    <t>pi</t>
    <phoneticPr fontId="2"/>
  </si>
  <si>
    <t>π</t>
    <phoneticPr fontId="2"/>
  </si>
  <si>
    <t>the Avogadro number</t>
    <phoneticPr fontId="2"/>
  </si>
  <si>
    <t>NA</t>
    <phoneticPr fontId="2"/>
  </si>
  <si>
    <t>mol^-1</t>
    <phoneticPr fontId="2"/>
  </si>
  <si>
    <t>molar mass</t>
    <phoneticPr fontId="2"/>
  </si>
  <si>
    <t>m</t>
    <phoneticPr fontId="2"/>
  </si>
  <si>
    <t>g/mol</t>
    <phoneticPr fontId="2"/>
  </si>
  <si>
    <t>temperature</t>
    <phoneticPr fontId="2"/>
  </si>
  <si>
    <t>T</t>
    <phoneticPr fontId="2"/>
  </si>
  <si>
    <t>K</t>
    <phoneticPr fontId="2"/>
  </si>
  <si>
    <t>Volume of cavity</t>
    <phoneticPr fontId="2"/>
  </si>
  <si>
    <t>Vcav</t>
    <phoneticPr fontId="2"/>
  </si>
  <si>
    <t>A^3</t>
    <phoneticPr fontId="2"/>
  </si>
  <si>
    <t>Volume of a molecule</t>
    <phoneticPr fontId="2"/>
  </si>
  <si>
    <t>Vmol</t>
    <phoneticPr fontId="2"/>
  </si>
  <si>
    <t>V free</t>
    <phoneticPr fontId="2"/>
  </si>
  <si>
    <t>m^3</t>
    <phoneticPr fontId="2"/>
  </si>
  <si>
    <t>Translational entropy</t>
    <phoneticPr fontId="2"/>
  </si>
  <si>
    <t>J / (mol K)</t>
    <phoneticPr fontId="2"/>
  </si>
  <si>
    <t>Translational energy</t>
    <phoneticPr fontId="2"/>
  </si>
  <si>
    <t>kJ / mol</t>
    <phoneticPr fontId="2"/>
  </si>
  <si>
    <t>rotational symmetry No.</t>
    <phoneticPr fontId="2"/>
  </si>
  <si>
    <t>σ</t>
    <phoneticPr fontId="2"/>
  </si>
  <si>
    <t>-</t>
    <phoneticPr fontId="2"/>
  </si>
  <si>
    <t>Rotational temp. A</t>
    <phoneticPr fontId="2"/>
  </si>
  <si>
    <t>θA</t>
    <phoneticPr fontId="2"/>
  </si>
  <si>
    <t>Rotational temp. B</t>
    <phoneticPr fontId="2"/>
  </si>
  <si>
    <t>θB</t>
    <phoneticPr fontId="2"/>
  </si>
  <si>
    <t>Rotational temp. C</t>
    <phoneticPr fontId="2"/>
  </si>
  <si>
    <t>θC</t>
    <phoneticPr fontId="2"/>
  </si>
  <si>
    <t>Dipole moment of solute</t>
    <phoneticPr fontId="2"/>
  </si>
  <si>
    <t>debye</t>
    <phoneticPr fontId="2"/>
  </si>
  <si>
    <t>Dipole moment of solute at vacuum</t>
    <phoneticPr fontId="2"/>
  </si>
  <si>
    <t>Polarizability</t>
    <phoneticPr fontId="2"/>
  </si>
  <si>
    <t>P</t>
    <phoneticPr fontId="2"/>
  </si>
  <si>
    <t>Electric field in cavity</t>
    <phoneticPr fontId="2"/>
  </si>
  <si>
    <t>Ef</t>
    <phoneticPr fontId="2"/>
  </si>
  <si>
    <t>J / (m C)</t>
    <phoneticPr fontId="2"/>
  </si>
  <si>
    <t>X</t>
    <phoneticPr fontId="2"/>
  </si>
  <si>
    <t>Rotational entropy</t>
    <phoneticPr fontId="2"/>
  </si>
  <si>
    <t>Rotational energy</t>
    <phoneticPr fontId="2"/>
  </si>
  <si>
    <t>Vibrational entropy</t>
    <phoneticPr fontId="2"/>
  </si>
  <si>
    <t>Electronic entropy</t>
    <phoneticPr fontId="2"/>
  </si>
  <si>
    <t>total entropy</t>
    <phoneticPr fontId="2"/>
  </si>
  <si>
    <t>electron multiplicity</t>
    <phoneticPr fontId="2"/>
  </si>
  <si>
    <t>C</t>
    <phoneticPr fontId="2"/>
  </si>
  <si>
    <t>mol/L</t>
    <phoneticPr fontId="2"/>
  </si>
  <si>
    <t>Ncell</t>
    <phoneticPr fontId="2"/>
  </si>
  <si>
    <t>Nsolute</t>
    <phoneticPr fontId="2"/>
  </si>
  <si>
    <r>
      <rPr>
        <sz val="11"/>
        <color theme="1"/>
        <rFont val="Symbol"/>
        <family val="1"/>
        <charset val="2"/>
      </rPr>
      <t>m_</t>
    </r>
    <r>
      <rPr>
        <sz val="11"/>
        <color theme="1"/>
        <rFont val="Yu Gothic"/>
        <family val="3"/>
        <charset val="128"/>
        <scheme val="minor"/>
      </rPr>
      <t>p</t>
    </r>
    <phoneticPr fontId="2"/>
  </si>
  <si>
    <t>Erectric energy</t>
    <phoneticPr fontId="2"/>
  </si>
  <si>
    <t>hartree</t>
    <phoneticPr fontId="2"/>
  </si>
  <si>
    <t>ZPE</t>
    <phoneticPr fontId="2"/>
  </si>
  <si>
    <t>Vibrational energy</t>
    <phoneticPr fontId="2"/>
  </si>
  <si>
    <t>Translational partition function</t>
    <phoneticPr fontId="2"/>
  </si>
  <si>
    <t>Translational partition function per volume</t>
    <phoneticPr fontId="2"/>
  </si>
  <si>
    <t>Rotational partition function</t>
    <phoneticPr fontId="2"/>
  </si>
  <si>
    <t>total partition function</t>
    <phoneticPr fontId="2"/>
  </si>
  <si>
    <t>total partition function per volume</t>
    <phoneticPr fontId="2"/>
  </si>
  <si>
    <t>G</t>
    <phoneticPr fontId="2"/>
  </si>
  <si>
    <t>V</t>
    <phoneticPr fontId="2"/>
  </si>
  <si>
    <t>the number of possible optical isomers</t>
    <phoneticPr fontId="2"/>
  </si>
  <si>
    <t>the rotational symmetry number</t>
    <phoneticPr fontId="2"/>
  </si>
  <si>
    <t>n_iso</t>
    <phoneticPr fontId="2"/>
  </si>
  <si>
    <t>ZPE scaling factor</t>
  </si>
  <si>
    <t>Scaled ZPE</t>
    <phoneticPr fontId="2"/>
  </si>
  <si>
    <t>m^-3</t>
    <phoneticPr fontId="2"/>
  </si>
  <si>
    <t>q_trans</t>
    <phoneticPr fontId="2"/>
  </si>
  <si>
    <t>q_trans / V</t>
    <phoneticPr fontId="2"/>
  </si>
  <si>
    <t>S_elec</t>
    <phoneticPr fontId="2"/>
  </si>
  <si>
    <t>E_trans</t>
    <phoneticPr fontId="2"/>
  </si>
  <si>
    <t>a</t>
    <phoneticPr fontId="2"/>
  </si>
  <si>
    <t>q_elec</t>
    <phoneticPr fontId="2"/>
  </si>
  <si>
    <t>Electric partition function</t>
    <phoneticPr fontId="2"/>
  </si>
  <si>
    <t>q_rot</t>
    <phoneticPr fontId="2"/>
  </si>
  <si>
    <t>Vibrational partition function</t>
    <phoneticPr fontId="2"/>
  </si>
  <si>
    <t>q_vib</t>
    <phoneticPr fontId="2"/>
  </si>
  <si>
    <t>Configurational partittion function</t>
    <phoneticPr fontId="2"/>
  </si>
  <si>
    <t>Configurational entropy</t>
    <phoneticPr fontId="2"/>
  </si>
  <si>
    <t>total energy or internal energy</t>
    <phoneticPr fontId="2"/>
  </si>
  <si>
    <t>U</t>
    <phoneticPr fontId="2"/>
  </si>
  <si>
    <t>Potential energy</t>
    <phoneticPr fontId="2"/>
  </si>
  <si>
    <t>E_0</t>
    <phoneticPr fontId="2"/>
  </si>
  <si>
    <t>Gibbs energy</t>
    <phoneticPr fontId="2"/>
  </si>
  <si>
    <t>G</t>
  </si>
  <si>
    <t>v_free</t>
    <phoneticPr fontId="2"/>
  </si>
  <si>
    <t>N_cell</t>
    <phoneticPr fontId="2"/>
  </si>
  <si>
    <t>N_solute</t>
    <phoneticPr fontId="2"/>
  </si>
  <si>
    <t>standard concentration</t>
    <phoneticPr fontId="2"/>
  </si>
  <si>
    <r>
      <t>q</t>
    </r>
    <r>
      <rPr>
        <vertAlign val="subscript"/>
        <sz val="9"/>
        <color theme="1"/>
        <rFont val="Calibri"/>
        <family val="2"/>
      </rPr>
      <t>elec</t>
    </r>
    <r>
      <rPr>
        <sz val="9"/>
        <color theme="1"/>
        <rFont val="Calibri"/>
        <family val="2"/>
      </rPr>
      <t xml:space="preserve"> [-]</t>
    </r>
  </si>
  <si>
    <r>
      <t>q</t>
    </r>
    <r>
      <rPr>
        <vertAlign val="subscript"/>
        <sz val="9"/>
        <color theme="1"/>
        <rFont val="Calibri"/>
        <family val="2"/>
      </rPr>
      <t>rot</t>
    </r>
    <r>
      <rPr>
        <sz val="9"/>
        <color theme="1"/>
        <rFont val="Calibri"/>
        <family val="2"/>
      </rPr>
      <t xml:space="preserve"> [-]</t>
    </r>
  </si>
  <si>
    <r>
      <t>q</t>
    </r>
    <r>
      <rPr>
        <vertAlign val="subscript"/>
        <sz val="9"/>
        <color theme="1"/>
        <rFont val="Calibri"/>
        <family val="2"/>
      </rPr>
      <t>vib</t>
    </r>
    <r>
      <rPr>
        <sz val="9"/>
        <color theme="1"/>
        <rFont val="Calibri"/>
        <family val="2"/>
      </rPr>
      <t xml:space="preserve"> [-]</t>
    </r>
  </si>
  <si>
    <r>
      <t>q</t>
    </r>
    <r>
      <rPr>
        <vertAlign val="subscript"/>
        <sz val="9"/>
        <color theme="1"/>
        <rFont val="Calibri"/>
        <family val="2"/>
      </rPr>
      <t>config</t>
    </r>
    <r>
      <rPr>
        <sz val="9"/>
        <color theme="1"/>
        <rFont val="Calibri"/>
        <family val="2"/>
      </rPr>
      <t xml:space="preserve"> [-]</t>
    </r>
  </si>
  <si>
    <r>
      <t>E</t>
    </r>
    <r>
      <rPr>
        <vertAlign val="subscript"/>
        <sz val="9"/>
        <color theme="1"/>
        <rFont val="Calibri"/>
        <family val="2"/>
      </rPr>
      <t>elec</t>
    </r>
  </si>
  <si>
    <r>
      <t>E</t>
    </r>
    <r>
      <rPr>
        <vertAlign val="subscript"/>
        <sz val="9"/>
        <color theme="1"/>
        <rFont val="Calibri"/>
        <family val="2"/>
      </rPr>
      <t>rans</t>
    </r>
  </si>
  <si>
    <r>
      <t>E</t>
    </r>
    <r>
      <rPr>
        <vertAlign val="subscript"/>
        <sz val="9"/>
        <color theme="1"/>
        <rFont val="Calibri"/>
        <family val="2"/>
      </rPr>
      <t>rot</t>
    </r>
  </si>
  <si>
    <r>
      <t>E</t>
    </r>
    <r>
      <rPr>
        <vertAlign val="subscript"/>
        <sz val="9"/>
        <color theme="1"/>
        <rFont val="Calibri"/>
        <family val="2"/>
      </rPr>
      <t>vib</t>
    </r>
  </si>
  <si>
    <t>H</t>
  </si>
  <si>
    <t>reactant 1</t>
    <phoneticPr fontId="2"/>
  </si>
  <si>
    <t>reactant 2</t>
    <phoneticPr fontId="2"/>
  </si>
  <si>
    <t>TS</t>
    <phoneticPr fontId="2"/>
  </si>
  <si>
    <r>
      <t>qTS /</t>
    </r>
    <r>
      <rPr>
        <sz val="11"/>
        <color theme="1"/>
        <rFont val="Symbol"/>
        <family val="1"/>
        <charset val="2"/>
      </rPr>
      <t>P</t>
    </r>
    <r>
      <rPr>
        <sz val="11"/>
        <color theme="1"/>
        <rFont val="Yu Gothic"/>
        <family val="2"/>
        <scheme val="minor"/>
      </rPr>
      <t xml:space="preserve"> qreactans</t>
    </r>
    <phoneticPr fontId="2"/>
  </si>
  <si>
    <r>
      <t>D</t>
    </r>
    <r>
      <rPr>
        <i/>
        <sz val="9"/>
        <color rgb="FF000000"/>
        <rFont val="Calibri"/>
        <family val="2"/>
      </rPr>
      <t>S</t>
    </r>
    <r>
      <rPr>
        <vertAlign val="superscript"/>
        <sz val="11"/>
        <color rgb="FF000000"/>
        <rFont val="Calibri"/>
        <family val="2"/>
      </rPr>
      <t>‡</t>
    </r>
  </si>
  <si>
    <r>
      <rPr>
        <i/>
        <sz val="9"/>
        <color theme="1"/>
        <rFont val="Calibri"/>
        <family val="2"/>
      </rPr>
      <t>S</t>
    </r>
    <r>
      <rPr>
        <vertAlign val="subscript"/>
        <sz val="9"/>
        <color theme="1"/>
        <rFont val="Calibri"/>
        <family val="2"/>
      </rPr>
      <t>elec</t>
    </r>
    <phoneticPr fontId="2"/>
  </si>
  <si>
    <r>
      <rPr>
        <i/>
        <sz val="9"/>
        <color theme="1"/>
        <rFont val="Calibri"/>
        <family val="2"/>
      </rPr>
      <t>S</t>
    </r>
    <r>
      <rPr>
        <vertAlign val="subscript"/>
        <sz val="9"/>
        <color theme="1"/>
        <rFont val="Calibri"/>
        <family val="2"/>
      </rPr>
      <t>trans</t>
    </r>
    <phoneticPr fontId="2"/>
  </si>
  <si>
    <r>
      <rPr>
        <i/>
        <sz val="9"/>
        <color theme="1"/>
        <rFont val="Calibri"/>
        <family val="2"/>
      </rPr>
      <t>S</t>
    </r>
    <r>
      <rPr>
        <vertAlign val="subscript"/>
        <sz val="9"/>
        <color theme="1"/>
        <rFont val="Calibri"/>
        <family val="2"/>
      </rPr>
      <t>rot</t>
    </r>
    <phoneticPr fontId="2"/>
  </si>
  <si>
    <r>
      <rPr>
        <i/>
        <sz val="9"/>
        <color theme="1"/>
        <rFont val="Calibri"/>
        <family val="2"/>
      </rPr>
      <t>S</t>
    </r>
    <r>
      <rPr>
        <vertAlign val="subscript"/>
        <sz val="9"/>
        <color theme="1"/>
        <rFont val="Calibri"/>
        <family val="2"/>
      </rPr>
      <t>vib</t>
    </r>
    <phoneticPr fontId="2"/>
  </si>
  <si>
    <r>
      <rPr>
        <i/>
        <sz val="9"/>
        <color theme="1"/>
        <rFont val="Calibri"/>
        <family val="2"/>
      </rPr>
      <t>S</t>
    </r>
    <r>
      <rPr>
        <vertAlign val="subscript"/>
        <sz val="9"/>
        <color theme="1"/>
        <rFont val="Calibri"/>
        <family val="2"/>
      </rPr>
      <t>config</t>
    </r>
    <phoneticPr fontId="2"/>
  </si>
  <si>
    <r>
      <rPr>
        <i/>
        <sz val="9"/>
        <color theme="1"/>
        <rFont val="Calibri"/>
        <family val="2"/>
      </rPr>
      <t>S</t>
    </r>
    <r>
      <rPr>
        <vertAlign val="subscript"/>
        <sz val="9"/>
        <color theme="1"/>
        <rFont val="Calibri"/>
        <family val="2"/>
      </rPr>
      <t>tot</t>
    </r>
    <phoneticPr fontId="2"/>
  </si>
  <si>
    <r>
      <t>D</t>
    </r>
    <r>
      <rPr>
        <i/>
        <sz val="9"/>
        <color rgb="FF000000"/>
        <rFont val="Calibri"/>
        <family val="2"/>
      </rPr>
      <t>H</t>
    </r>
    <r>
      <rPr>
        <vertAlign val="superscript"/>
        <sz val="11"/>
        <color rgb="FF000000"/>
        <rFont val="Calibri"/>
        <family val="2"/>
      </rPr>
      <t>‡</t>
    </r>
    <phoneticPr fontId="2"/>
  </si>
  <si>
    <t>Electric energy</t>
    <phoneticPr fontId="2"/>
  </si>
  <si>
    <t>E_elec</t>
    <phoneticPr fontId="2"/>
  </si>
  <si>
    <r>
      <t>E</t>
    </r>
    <r>
      <rPr>
        <sz val="9"/>
        <color theme="1"/>
        <rFont val="Calibri"/>
        <family val="2"/>
      </rPr>
      <t>0</t>
    </r>
    <phoneticPr fontId="2"/>
  </si>
  <si>
    <r>
      <t>D</t>
    </r>
    <r>
      <rPr>
        <i/>
        <sz val="9"/>
        <color rgb="FF000000"/>
        <rFont val="Calibri"/>
        <family val="2"/>
      </rPr>
      <t>E</t>
    </r>
    <r>
      <rPr>
        <vertAlign val="superscript"/>
        <sz val="11"/>
        <color rgb="FF000000"/>
        <rFont val="Calibri"/>
        <family val="2"/>
      </rPr>
      <t>‡</t>
    </r>
    <phoneticPr fontId="2"/>
  </si>
  <si>
    <r>
      <t>D</t>
    </r>
    <r>
      <rPr>
        <i/>
        <sz val="9"/>
        <color rgb="FF000000"/>
        <rFont val="Calibri"/>
        <family val="2"/>
      </rPr>
      <t>G</t>
    </r>
    <r>
      <rPr>
        <vertAlign val="superscript"/>
        <sz val="11"/>
        <color rgb="FF000000"/>
        <rFont val="Calibri"/>
        <family val="2"/>
      </rPr>
      <t>‡</t>
    </r>
    <phoneticPr fontId="2"/>
  </si>
  <si>
    <r>
      <t>k</t>
    </r>
    <r>
      <rPr>
        <vertAlign val="subscript"/>
        <sz val="9"/>
        <color rgb="FF000000"/>
        <rFont val="Calibri"/>
        <family val="2"/>
      </rPr>
      <t>TST</t>
    </r>
    <r>
      <rPr>
        <i/>
        <sz val="9"/>
        <color rgb="FF000000"/>
        <rFont val="Calibri"/>
        <family val="2"/>
      </rPr>
      <t xml:space="preserve"> </t>
    </r>
    <r>
      <rPr>
        <sz val="9"/>
        <color rgb="FF000000"/>
        <rFont val="Calibri"/>
        <family val="2"/>
      </rPr>
      <t>based on DG‡</t>
    </r>
    <phoneticPr fontId="2"/>
  </si>
  <si>
    <r>
      <t>k</t>
    </r>
    <r>
      <rPr>
        <vertAlign val="subscript"/>
        <sz val="9"/>
        <color rgb="FF000000"/>
        <rFont val="Calibri"/>
        <family val="2"/>
      </rPr>
      <t>TST</t>
    </r>
    <r>
      <rPr>
        <i/>
        <sz val="9"/>
        <color rgb="FF000000"/>
        <rFont val="Calibri"/>
        <family val="2"/>
      </rPr>
      <t xml:space="preserve"> </t>
    </r>
    <r>
      <rPr>
        <sz val="9"/>
        <color rgb="FF000000"/>
        <rFont val="Calibri"/>
        <family val="2"/>
      </rPr>
      <t>based on partiton function</t>
    </r>
    <phoneticPr fontId="2"/>
  </si>
  <si>
    <t>m^3 mol^-1 s^-1</t>
    <phoneticPr fontId="2"/>
  </si>
  <si>
    <t>S_trans</t>
    <phoneticPr fontId="2"/>
  </si>
  <si>
    <t>E_rot</t>
    <phoneticPr fontId="2"/>
  </si>
  <si>
    <t>S_rot</t>
    <phoneticPr fontId="2"/>
  </si>
  <si>
    <t>E_vib</t>
    <phoneticPr fontId="2"/>
  </si>
  <si>
    <t>S_vib</t>
    <phoneticPr fontId="2"/>
  </si>
  <si>
    <t>q_config</t>
    <phoneticPr fontId="2"/>
  </si>
  <si>
    <t>S_config</t>
    <phoneticPr fontId="2"/>
  </si>
  <si>
    <t>qtot</t>
    <phoneticPr fontId="2"/>
  </si>
  <si>
    <t>qtot / V</t>
    <phoneticPr fontId="2"/>
  </si>
  <si>
    <t>S_tot</t>
    <phoneticPr fontId="2"/>
  </si>
  <si>
    <t>f_zpe</t>
    <phoneticPr fontId="2"/>
  </si>
  <si>
    <t>ZPE'</t>
    <phoneticPr fontId="2"/>
  </si>
  <si>
    <t>polar non-linear molecules</t>
    <phoneticPr fontId="2"/>
  </si>
  <si>
    <r>
      <t>q</t>
    </r>
    <r>
      <rPr>
        <vertAlign val="subscript"/>
        <sz val="9"/>
        <color theme="1"/>
        <rFont val="Calibri"/>
        <family val="2"/>
      </rPr>
      <t>rans</t>
    </r>
    <r>
      <rPr>
        <sz val="9"/>
        <color theme="1"/>
        <rFont val="Calibri"/>
        <family val="2"/>
      </rPr>
      <t xml:space="preserve">  [-]</t>
    </r>
    <phoneticPr fontId="2"/>
  </si>
  <si>
    <r>
      <t>q</t>
    </r>
    <r>
      <rPr>
        <vertAlign val="subscript"/>
        <sz val="9"/>
        <color theme="1"/>
        <rFont val="Calibri"/>
        <family val="2"/>
      </rPr>
      <t>tot</t>
    </r>
    <r>
      <rPr>
        <sz val="9"/>
        <color theme="1"/>
        <rFont val="Calibri"/>
        <family val="2"/>
      </rPr>
      <t xml:space="preserve"> </t>
    </r>
    <r>
      <rPr>
        <i/>
        <sz val="9"/>
        <color theme="1"/>
        <rFont val="Calibri"/>
        <family val="2"/>
      </rPr>
      <t xml:space="preserve"> </t>
    </r>
    <r>
      <rPr>
        <sz val="9"/>
        <color theme="1"/>
        <rFont val="Calibri"/>
        <family val="2"/>
      </rPr>
      <t>[-]</t>
    </r>
    <phoneticPr fontId="2"/>
  </si>
  <si>
    <r>
      <t>q</t>
    </r>
    <r>
      <rPr>
        <vertAlign val="subscript"/>
        <sz val="9"/>
        <color theme="1"/>
        <rFont val="Calibri"/>
        <family val="2"/>
      </rPr>
      <t>tot</t>
    </r>
    <r>
      <rPr>
        <sz val="9"/>
        <color theme="1"/>
        <rFont val="Calibri"/>
        <family val="2"/>
      </rPr>
      <t xml:space="preserve"> /</t>
    </r>
    <r>
      <rPr>
        <i/>
        <sz val="9"/>
        <color theme="1"/>
        <rFont val="Calibri"/>
        <family val="2"/>
      </rPr>
      <t xml:space="preserve">V </t>
    </r>
    <r>
      <rPr>
        <sz val="9"/>
        <color theme="1"/>
        <rFont val="Calibri"/>
        <family val="2"/>
      </rPr>
      <t>[m^3]</t>
    </r>
    <phoneticPr fontId="2"/>
  </si>
  <si>
    <t>imaginary freq of TS</t>
    <phoneticPr fontId="2"/>
  </si>
  <si>
    <t>kwig</t>
    <phoneticPr fontId="2"/>
  </si>
  <si>
    <r>
      <t>k</t>
    </r>
    <r>
      <rPr>
        <vertAlign val="subscript"/>
        <sz val="9"/>
        <color rgb="FF000000"/>
        <rFont val="Calibri"/>
        <family val="2"/>
      </rPr>
      <t>TST</t>
    </r>
    <r>
      <rPr>
        <i/>
        <sz val="9"/>
        <color rgb="FF000000"/>
        <rFont val="Calibri"/>
        <family val="2"/>
      </rPr>
      <t xml:space="preserve"> </t>
    </r>
    <r>
      <rPr>
        <sz val="9"/>
        <color rgb="FF000000"/>
        <rFont val="Calibri"/>
        <family val="2"/>
      </rPr>
      <t>based on partiton function</t>
    </r>
    <r>
      <rPr>
        <i/>
        <sz val="9"/>
        <color rgb="FF000000"/>
        <rFont val="Calibri"/>
        <family val="2"/>
      </rPr>
      <t xml:space="preserve"> * k_wig</t>
    </r>
    <phoneticPr fontId="2"/>
  </si>
  <si>
    <r>
      <t>k</t>
    </r>
    <r>
      <rPr>
        <vertAlign val="subscript"/>
        <sz val="9"/>
        <color rgb="FF000000"/>
        <rFont val="Calibri"/>
        <family val="2"/>
      </rPr>
      <t>TST</t>
    </r>
    <r>
      <rPr>
        <i/>
        <sz val="9"/>
        <color rgb="FF000000"/>
        <rFont val="Calibri"/>
        <family val="2"/>
      </rPr>
      <t xml:space="preserve"> </t>
    </r>
    <r>
      <rPr>
        <sz val="9"/>
        <color rgb="FF000000"/>
        <rFont val="Calibri"/>
        <family val="2"/>
      </rPr>
      <t>based on DG‡</t>
    </r>
    <r>
      <rPr>
        <i/>
        <sz val="9"/>
        <color rgb="FF000000"/>
        <rFont val="Calibri"/>
        <family val="2"/>
      </rPr>
      <t xml:space="preserve"> * k_wig</t>
    </r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</si>
</sst>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.0_ "/>
    <numFmt numFmtId="177" formatCode="0.00_ "/>
    <numFmt numFmtId="178" formatCode="0.0E+00"/>
  </numFmts>
  <fonts count="16">
    <font>
      <sz val="11"/>
      <color theme="1"/>
      <name val="Yu Gothic"/>
      <family val="2"/>
      <scheme val="minor"/>
    </font>
    <font>
      <b/>
      <sz val="11"/>
      <color theme="1"/>
      <name val="Yu Gothic"/>
      <family val="3"/>
      <charset val="128"/>
      <scheme val="minor"/>
    </font>
    <font>
      <sz val="6"/>
      <name val="Yu Gothic"/>
      <family val="3"/>
      <charset val="128"/>
      <scheme val="minor"/>
    </font>
    <font>
      <sz val="13"/>
      <color rgb="FF222222"/>
      <name val="Arial"/>
      <family val="2"/>
    </font>
    <font>
      <sz val="11"/>
      <color theme="1"/>
      <name val="Symbol"/>
      <family val="1"/>
      <charset val="2"/>
    </font>
    <font>
      <sz val="11"/>
      <color theme="1"/>
      <name val="Yu Gothic"/>
      <family val="1"/>
      <charset val="2"/>
      <scheme val="minor"/>
    </font>
    <font>
      <sz val="11"/>
      <color theme="1"/>
      <name val="Yu Gothic"/>
      <family val="3"/>
      <charset val="128"/>
      <scheme val="minor"/>
    </font>
    <font>
      <sz val="11"/>
      <name val="Yu Gothic"/>
      <family val="2"/>
      <scheme val="minor"/>
    </font>
    <font>
      <i/>
      <sz val="9"/>
      <color theme="1"/>
      <name val="Calibri"/>
      <family val="2"/>
    </font>
    <font>
      <vertAlign val="subscript"/>
      <sz val="9"/>
      <color theme="1"/>
      <name val="Calibri"/>
      <family val="2"/>
    </font>
    <font>
      <sz val="9"/>
      <color theme="1"/>
      <name val="Calibri"/>
      <family val="2"/>
    </font>
    <font>
      <sz val="9"/>
      <color rgb="FF000000"/>
      <name val="Symbol"/>
      <family val="1"/>
      <charset val="2"/>
    </font>
    <font>
      <i/>
      <sz val="9"/>
      <color rgb="FF000000"/>
      <name val="Calibri"/>
      <family val="2"/>
    </font>
    <font>
      <vertAlign val="superscript"/>
      <sz val="11"/>
      <color rgb="FF000000"/>
      <name val="Calibri"/>
      <family val="2"/>
    </font>
    <font>
      <sz val="9"/>
      <color rgb="FF000000"/>
      <name val="Calibri"/>
      <family val="2"/>
    </font>
    <font>
      <vertAlign val="subscript"/>
      <sz val="9"/>
      <color rgb="FF000000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7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/>
    <xf numFmtId="11" fontId="0" fillId="0" borderId="0" xfId="0" applyNumberFormat="1"/>
    <xf numFmtId="0" fontId="3" fillId="0" borderId="0" xfId="0" applyFont="1"/>
    <xf numFmtId="0" fontId="0" fillId="3" borderId="0" xfId="0" applyFill="1" applyAlignment="1">
      <alignment horizontal="center"/>
    </xf>
    <xf numFmtId="0" fontId="0" fillId="3" borderId="0" xfId="0" applyFill="1"/>
    <xf numFmtId="0" fontId="4" fillId="3" borderId="0" xfId="0" applyFont="1" applyFill="1"/>
    <xf numFmtId="0" fontId="5" fillId="3" borderId="0" xfId="0" applyFont="1" applyFill="1"/>
    <xf numFmtId="11" fontId="0" fillId="3" borderId="0" xfId="0" applyNumberFormat="1" applyFill="1"/>
    <xf numFmtId="177" fontId="0" fillId="0" borderId="0" xfId="0" applyNumberFormat="1"/>
    <xf numFmtId="176" fontId="0" fillId="0" borderId="0" xfId="0" applyNumberFormat="1"/>
    <xf numFmtId="0" fontId="0" fillId="4" borderId="0" xfId="0" applyFill="1"/>
    <xf numFmtId="11" fontId="0" fillId="4" borderId="0" xfId="0" applyNumberFormat="1" applyFill="1"/>
    <xf numFmtId="176" fontId="0" fillId="4" borderId="0" xfId="0" applyNumberFormat="1" applyFill="1"/>
    <xf numFmtId="177" fontId="0" fillId="4" borderId="0" xfId="0" applyNumberFormat="1" applyFill="1"/>
    <xf numFmtId="0" fontId="7" fillId="2" borderId="0" xfId="0" applyFont="1" applyFill="1" applyAlignment="1">
      <alignment horizontal="center"/>
    </xf>
    <xf numFmtId="0" fontId="8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0" fillId="0" borderId="0" xfId="0" applyAlignment="1">
      <alignment wrapText="1"/>
    </xf>
    <xf numFmtId="0" fontId="11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11" fillId="4" borderId="0" xfId="0" applyFont="1" applyFill="1" applyAlignment="1">
      <alignment horizontal="center" vertical="center"/>
    </xf>
    <xf numFmtId="0" fontId="12" fillId="4" borderId="0" xfId="0" applyFont="1" applyFill="1" applyAlignment="1">
      <alignment horizontal="center" vertical="center" wrapText="1"/>
    </xf>
    <xf numFmtId="178" fontId="0" fillId="4" borderId="0" xfId="0" applyNumberFormat="1" applyFill="1"/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10/relationships/person" Target="persons/perso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C4C2E3-DADD-4CBB-B22D-691F0EDFA59E}">
  <dimension ref="A1:P80"/>
  <sheetViews>
    <sheetView workbookViewId="0">
      <selection activeCell="C31" sqref="C31"/>
    </sheetView>
  </sheetViews>
  <sheetFormatPr defaultRowHeight="18"/>
  <cols>
    <col min="1" max="1" width="34.08203125" bestFit="1" customWidth="1"/>
    <col min="2" max="2" width="14.2890625" bestFit="1" customWidth="1"/>
    <col min="3" max="3" width="14.20703125" customWidth="1"/>
    <col min="4" max="4" width="20.375" bestFit="1" customWidth="1"/>
    <col min="5" max="7" width="9.125" bestFit="1" customWidth="1"/>
    <col min="8" max="8" width="12.875" bestFit="1" customWidth="1"/>
    <col min="9" max="9" width="9.95703125" bestFit="1" customWidth="1"/>
    <col min="14" max="16" width="9.125" bestFit="1" customWidth="1"/>
  </cols>
  <sheetData>
    <row r="1" spans="1:4">
      <c r="A1" s="1" t="s">
        <v>143</v>
      </c>
      <c r="C1" s="4" t="s">
        <v>0</v>
      </c>
    </row>
    <row r="2" spans="1:4">
      <c r="C2" s="15" t="s">
        <v>1</v>
      </c>
    </row>
    <row r="4" spans="1:4">
      <c r="A4" s="1" t="s">
        <v>2</v>
      </c>
    </row>
    <row r="5" spans="1:4">
      <c r="A5" t="s">
        <v>3</v>
      </c>
      <c r="B5" t="s">
        <v>4</v>
      </c>
      <c r="C5">
        <v>6.6260700399999999E-34</v>
      </c>
      <c r="D5" t="s">
        <v>5</v>
      </c>
    </row>
    <row r="6" spans="1:4">
      <c r="A6" t="s">
        <v>6</v>
      </c>
      <c r="B6" t="s">
        <v>7</v>
      </c>
      <c r="C6" s="2">
        <v>1.3806485199999999E-23</v>
      </c>
      <c r="D6" t="s">
        <v>8</v>
      </c>
    </row>
    <row r="7" spans="1:4">
      <c r="A7" t="s">
        <v>9</v>
      </c>
      <c r="B7" t="s">
        <v>10</v>
      </c>
      <c r="C7">
        <v>8.3144597999999998</v>
      </c>
      <c r="D7" t="s">
        <v>11</v>
      </c>
    </row>
    <row r="8" spans="1:4" ht="18.5">
      <c r="A8" t="s">
        <v>12</v>
      </c>
      <c r="B8" t="s">
        <v>13</v>
      </c>
      <c r="C8">
        <v>3.1415926535900001</v>
      </c>
      <c r="D8" s="3"/>
    </row>
    <row r="9" spans="1:4">
      <c r="A9" t="s">
        <v>14</v>
      </c>
      <c r="B9" t="s">
        <v>15</v>
      </c>
      <c r="C9" s="2">
        <v>6.0221408599999999E+23</v>
      </c>
      <c r="D9" t="s">
        <v>16</v>
      </c>
    </row>
    <row r="11" spans="1:4">
      <c r="A11" s="5" t="s">
        <v>57</v>
      </c>
      <c r="B11" s="5"/>
      <c r="C11" s="5">
        <v>1</v>
      </c>
      <c r="D11" s="5" t="s">
        <v>36</v>
      </c>
    </row>
    <row r="12" spans="1:4">
      <c r="A12" s="5" t="s">
        <v>17</v>
      </c>
      <c r="B12" s="5" t="s">
        <v>18</v>
      </c>
      <c r="C12" s="5">
        <v>80.062600000000003</v>
      </c>
      <c r="D12" s="5" t="s">
        <v>19</v>
      </c>
    </row>
    <row r="13" spans="1:4">
      <c r="A13" s="5" t="s">
        <v>20</v>
      </c>
      <c r="B13" s="5" t="s">
        <v>21</v>
      </c>
      <c r="C13" s="5">
        <v>298</v>
      </c>
      <c r="D13" s="5" t="s">
        <v>22</v>
      </c>
    </row>
    <row r="14" spans="1:4">
      <c r="A14" s="5" t="s">
        <v>101</v>
      </c>
      <c r="B14" s="5" t="s">
        <v>58</v>
      </c>
      <c r="C14" s="5">
        <v>1</v>
      </c>
      <c r="D14" s="5" t="s">
        <v>59</v>
      </c>
    </row>
    <row r="15" spans="1:4">
      <c r="A15" s="5" t="s">
        <v>23</v>
      </c>
      <c r="B15" s="5" t="s">
        <v>24</v>
      </c>
      <c r="C15" s="5">
        <v>168.541</v>
      </c>
      <c r="D15" s="5" t="s">
        <v>25</v>
      </c>
    </row>
    <row r="16" spans="1:4">
      <c r="A16" s="5" t="s">
        <v>26</v>
      </c>
      <c r="B16" s="5" t="s">
        <v>27</v>
      </c>
      <c r="C16" s="5">
        <v>119.565</v>
      </c>
      <c r="D16" s="5" t="s">
        <v>25</v>
      </c>
    </row>
    <row r="17" spans="1:16">
      <c r="A17" t="s">
        <v>28</v>
      </c>
      <c r="B17" t="s">
        <v>98</v>
      </c>
      <c r="C17">
        <f>(C15^(1/3)-C16^(1/3))^3*1E-30</f>
        <v>2.1310568082398369E-31</v>
      </c>
      <c r="D17" t="s">
        <v>29</v>
      </c>
    </row>
    <row r="18" spans="1:16">
      <c r="A18" t="s">
        <v>60</v>
      </c>
      <c r="B18" t="s">
        <v>99</v>
      </c>
      <c r="C18">
        <f>0.001*1E+30/C15</f>
        <v>5.9332743961409982E+24</v>
      </c>
      <c r="G18" s="2"/>
    </row>
    <row r="19" spans="1:16">
      <c r="A19" t="s">
        <v>61</v>
      </c>
      <c r="B19" t="s">
        <v>100</v>
      </c>
      <c r="C19" s="2">
        <f>C9*C14</f>
        <v>6.0221408599999999E+23</v>
      </c>
      <c r="F19" s="2"/>
    </row>
    <row r="20" spans="1:16">
      <c r="A20" s="5" t="s">
        <v>74</v>
      </c>
      <c r="B20" s="5" t="s">
        <v>76</v>
      </c>
      <c r="C20" s="5">
        <v>1</v>
      </c>
      <c r="D20" s="5" t="s">
        <v>36</v>
      </c>
      <c r="F20" s="2"/>
    </row>
    <row r="21" spans="1:16">
      <c r="A21" s="5" t="s">
        <v>75</v>
      </c>
      <c r="B21" s="5" t="s">
        <v>35</v>
      </c>
      <c r="C21" s="5">
        <v>2</v>
      </c>
      <c r="D21" s="5" t="s">
        <v>36</v>
      </c>
    </row>
    <row r="22" spans="1:16">
      <c r="A22" s="5" t="s">
        <v>37</v>
      </c>
      <c r="B22" s="5" t="s">
        <v>38</v>
      </c>
      <c r="C22" s="5">
        <v>0.24440000000000001</v>
      </c>
      <c r="D22" s="5" t="s">
        <v>22</v>
      </c>
    </row>
    <row r="23" spans="1:16">
      <c r="A23" s="5" t="s">
        <v>39</v>
      </c>
      <c r="B23" s="5" t="s">
        <v>40</v>
      </c>
      <c r="C23" s="5">
        <v>0.24396999999999999</v>
      </c>
      <c r="D23" s="5" t="s">
        <v>22</v>
      </c>
    </row>
    <row r="24" spans="1:16">
      <c r="A24" s="5" t="s">
        <v>41</v>
      </c>
      <c r="B24" s="5" t="s">
        <v>42</v>
      </c>
      <c r="C24" s="5">
        <v>0.12970000000000001</v>
      </c>
      <c r="D24" s="5" t="s">
        <v>22</v>
      </c>
    </row>
    <row r="25" spans="1:16">
      <c r="A25" s="5" t="s">
        <v>43</v>
      </c>
      <c r="B25" s="6" t="s">
        <v>18</v>
      </c>
      <c r="C25" s="8">
        <v>0.70360001000000005</v>
      </c>
      <c r="D25" s="5" t="s">
        <v>44</v>
      </c>
      <c r="H25" s="2"/>
      <c r="I25" s="2"/>
      <c r="N25" s="2"/>
      <c r="O25" s="2"/>
      <c r="P25" s="2"/>
    </row>
    <row r="26" spans="1:16">
      <c r="A26" s="5" t="s">
        <v>45</v>
      </c>
      <c r="B26" s="7" t="s">
        <v>62</v>
      </c>
      <c r="C26" s="5">
        <v>0.51570000999999999</v>
      </c>
      <c r="D26" s="5" t="s">
        <v>44</v>
      </c>
      <c r="N26" s="2"/>
      <c r="O26" s="2"/>
      <c r="P26" s="2"/>
    </row>
    <row r="27" spans="1:16">
      <c r="A27" s="5" t="s">
        <v>46</v>
      </c>
      <c r="B27" s="6" t="s">
        <v>84</v>
      </c>
      <c r="C27" s="5">
        <v>86.459553999999997</v>
      </c>
      <c r="D27" s="5" t="s">
        <v>36</v>
      </c>
      <c r="N27" s="2"/>
      <c r="O27" s="2"/>
      <c r="P27" s="2"/>
    </row>
    <row r="28" spans="1:16">
      <c r="A28" t="s">
        <v>48</v>
      </c>
      <c r="B28" t="s">
        <v>49</v>
      </c>
      <c r="C28">
        <f>(C25-C26)*3.33564E-30/(C27*1.648777E-41)</f>
        <v>439674260.49376601</v>
      </c>
      <c r="D28" t="s">
        <v>50</v>
      </c>
      <c r="N28" s="2"/>
      <c r="O28" s="2"/>
      <c r="P28" s="2"/>
    </row>
    <row r="29" spans="1:16">
      <c r="B29" t="s">
        <v>51</v>
      </c>
      <c r="C29" s="2">
        <f>2*C25*3.33564E-30*C28/C6/C13</f>
        <v>0.50161053807205958</v>
      </c>
      <c r="N29" s="2"/>
      <c r="O29" s="2"/>
      <c r="P29" s="2"/>
    </row>
    <row r="30" spans="1:16">
      <c r="N30" s="2"/>
      <c r="O30" s="2"/>
      <c r="P30" s="2"/>
    </row>
    <row r="31" spans="1:16">
      <c r="A31" s="5" t="s">
        <v>63</v>
      </c>
      <c r="B31" s="5" t="s">
        <v>124</v>
      </c>
      <c r="C31" s="5">
        <v>-233.38648000000001</v>
      </c>
      <c r="D31" s="5" t="s">
        <v>64</v>
      </c>
      <c r="N31" s="2"/>
      <c r="O31" s="2"/>
      <c r="P31" s="2"/>
    </row>
    <row r="32" spans="1:16">
      <c r="A32" s="5" t="s">
        <v>65</v>
      </c>
      <c r="B32" s="5" t="s">
        <v>65</v>
      </c>
      <c r="C32" s="5">
        <v>0.12289363932632283</v>
      </c>
      <c r="D32" s="5" t="s">
        <v>64</v>
      </c>
      <c r="E32" s="10"/>
      <c r="N32" s="2"/>
      <c r="O32" s="2"/>
      <c r="P32" s="2"/>
    </row>
    <row r="33" spans="1:16">
      <c r="A33" s="5" t="s">
        <v>77</v>
      </c>
      <c r="B33" s="5" t="s">
        <v>141</v>
      </c>
      <c r="C33" s="5">
        <v>0.97499999999999998</v>
      </c>
      <c r="D33" s="5" t="s">
        <v>36</v>
      </c>
      <c r="E33" s="10"/>
      <c r="N33" s="2"/>
      <c r="O33" s="2"/>
      <c r="P33" s="2"/>
    </row>
    <row r="34" spans="1:16">
      <c r="A34" t="s">
        <v>78</v>
      </c>
      <c r="B34" t="s">
        <v>142</v>
      </c>
      <c r="C34">
        <f>C32*C33</f>
        <v>0.11982129834316475</v>
      </c>
      <c r="D34" t="s">
        <v>64</v>
      </c>
      <c r="E34" s="10"/>
      <c r="N34" s="2"/>
      <c r="O34" s="2"/>
      <c r="P34" s="2"/>
    </row>
    <row r="35" spans="1:16">
      <c r="N35" s="2"/>
      <c r="O35" s="2"/>
      <c r="P35" s="2"/>
    </row>
    <row r="36" spans="1:16">
      <c r="A36" s="11" t="s">
        <v>86</v>
      </c>
      <c r="B36" s="11" t="s">
        <v>85</v>
      </c>
      <c r="C36" s="11">
        <f>C11</f>
        <v>1</v>
      </c>
      <c r="D36" s="11" t="s">
        <v>36</v>
      </c>
      <c r="N36" s="2"/>
      <c r="O36" s="2"/>
      <c r="P36" s="2"/>
    </row>
    <row r="37" spans="1:16">
      <c r="N37" s="2"/>
      <c r="O37" s="2"/>
      <c r="P37" s="2"/>
    </row>
    <row r="38" spans="1:16">
      <c r="A38" s="11" t="s">
        <v>123</v>
      </c>
      <c r="B38" s="11" t="s">
        <v>124</v>
      </c>
      <c r="C38" s="11">
        <f>C31*627.5094740631*4.184</f>
        <v>-612756.11909950862</v>
      </c>
      <c r="D38" s="11" t="s">
        <v>33</v>
      </c>
      <c r="N38" s="2"/>
      <c r="O38" s="2"/>
      <c r="P38" s="2"/>
    </row>
    <row r="39" spans="1:16">
      <c r="N39" s="2"/>
      <c r="O39" s="2"/>
      <c r="P39" s="2"/>
    </row>
    <row r="40" spans="1:16">
      <c r="A40" s="11" t="s">
        <v>94</v>
      </c>
      <c r="B40" s="11" t="s">
        <v>95</v>
      </c>
      <c r="C40" s="11">
        <f>(C31+C34)*627.5094740631*4.184</f>
        <v>-612441.52832390671</v>
      </c>
      <c r="D40" s="11" t="s">
        <v>33</v>
      </c>
      <c r="N40" s="2"/>
      <c r="O40" s="2"/>
      <c r="P40" s="2"/>
    </row>
    <row r="41" spans="1:16">
      <c r="N41" s="2"/>
      <c r="O41" s="2"/>
      <c r="P41" s="2"/>
    </row>
    <row r="42" spans="1:16">
      <c r="A42" s="11" t="s">
        <v>55</v>
      </c>
      <c r="B42" s="11" t="s">
        <v>82</v>
      </c>
      <c r="C42" s="11">
        <f>C7*LN(C11)</f>
        <v>0</v>
      </c>
      <c r="D42" s="11" t="s">
        <v>31</v>
      </c>
      <c r="N42" s="2"/>
      <c r="O42" s="2"/>
      <c r="P42" s="2"/>
    </row>
    <row r="43" spans="1:16">
      <c r="N43" s="2"/>
      <c r="O43" s="2"/>
      <c r="P43" s="2"/>
    </row>
    <row r="44" spans="1:16">
      <c r="A44" s="11" t="s">
        <v>67</v>
      </c>
      <c r="B44" s="11" t="s">
        <v>80</v>
      </c>
      <c r="C44" s="12">
        <f>C17*(2*C8*C12/C9/1000*C6*C13/C5/C5)^(3/2)</f>
        <v>147.59241072159261</v>
      </c>
      <c r="D44" s="11" t="s">
        <v>36</v>
      </c>
      <c r="N44" s="2"/>
      <c r="O44" s="2"/>
      <c r="P44" s="2"/>
    </row>
    <row r="45" spans="1:16">
      <c r="C45" s="2"/>
      <c r="N45" s="2"/>
      <c r="O45" s="2"/>
      <c r="P45" s="2"/>
    </row>
    <row r="46" spans="1:16">
      <c r="A46" s="11" t="s">
        <v>68</v>
      </c>
      <c r="B46" s="11" t="s">
        <v>81</v>
      </c>
      <c r="C46" s="12">
        <f>(2*C8*C12/C9/1000*C6*C13/C5/C5)^(3/2)</f>
        <v>6.9257849040400627E+32</v>
      </c>
      <c r="D46" s="11" t="s">
        <v>79</v>
      </c>
      <c r="N46" s="2"/>
      <c r="O46" s="2"/>
      <c r="P46" s="2"/>
    </row>
    <row r="47" spans="1:16">
      <c r="N47" s="2"/>
      <c r="O47" s="2"/>
      <c r="P47" s="2"/>
    </row>
    <row r="48" spans="1:16">
      <c r="A48" s="11" t="s">
        <v>32</v>
      </c>
      <c r="B48" s="11" t="s">
        <v>83</v>
      </c>
      <c r="C48" s="11">
        <f>3/2*C7*C13/1000</f>
        <v>3.7165635305999993</v>
      </c>
      <c r="D48" s="11" t="s">
        <v>33</v>
      </c>
      <c r="N48" s="2"/>
      <c r="O48" s="2"/>
      <c r="P48" s="2"/>
    </row>
    <row r="49" spans="1:16">
      <c r="N49" s="2"/>
      <c r="O49" s="2"/>
      <c r="P49" s="2"/>
    </row>
    <row r="50" spans="1:16">
      <c r="A50" s="11" t="s">
        <v>30</v>
      </c>
      <c r="B50" s="11" t="s">
        <v>131</v>
      </c>
      <c r="C50" s="13">
        <f>8.31446262*(LN(C17*(2*C8*C12/C9/1000*C6*C13/C5/C5)^(3/2))+3/2)</f>
        <v>53.997899119082135</v>
      </c>
      <c r="D50" s="11" t="s">
        <v>31</v>
      </c>
      <c r="N50" s="2"/>
      <c r="O50" s="2"/>
      <c r="P50" s="2"/>
    </row>
    <row r="51" spans="1:16">
      <c r="N51" s="2"/>
      <c r="O51" s="2"/>
      <c r="P51" s="2"/>
    </row>
    <row r="52" spans="1:16">
      <c r="A52" s="11" t="s">
        <v>69</v>
      </c>
      <c r="B52" s="11" t="s">
        <v>87</v>
      </c>
      <c r="C52" s="12">
        <f>C20/C21*(C8^0.5)*((C13^3)/C22/C23/C24)^0.5/C29*(1-EXP(-C29))</f>
        <v>40766.250902357053</v>
      </c>
      <c r="D52" s="11" t="s">
        <v>36</v>
      </c>
      <c r="E52" s="2"/>
      <c r="G52" s="2"/>
      <c r="N52" s="2"/>
      <c r="O52" s="2"/>
      <c r="P52" s="2"/>
    </row>
    <row r="53" spans="1:16">
      <c r="N53" s="2"/>
      <c r="O53" s="2"/>
      <c r="P53" s="2"/>
    </row>
    <row r="54" spans="1:16">
      <c r="A54" s="11" t="s">
        <v>53</v>
      </c>
      <c r="B54" s="11" t="s">
        <v>132</v>
      </c>
      <c r="C54" s="12">
        <f>C7*C13*(5/2-(C29*EXP(-C29)/(1-EXP(-C29))))/1000</f>
        <v>4.2862505639589017</v>
      </c>
      <c r="D54" s="11" t="s">
        <v>33</v>
      </c>
      <c r="G54" s="2"/>
      <c r="I54" s="2"/>
      <c r="N54" s="2"/>
      <c r="O54" s="2"/>
      <c r="P54" s="2"/>
    </row>
    <row r="55" spans="1:16">
      <c r="N55" s="2"/>
      <c r="O55" s="2"/>
      <c r="P55" s="2"/>
    </row>
    <row r="56" spans="1:16">
      <c r="A56" s="11" t="s">
        <v>52</v>
      </c>
      <c r="B56" s="11" t="s">
        <v>133</v>
      </c>
      <c r="C56" s="13">
        <f>C7*(LN(C20/C21*(C8^0.5)*((C13^3)/C22/C23/C24)^0.5/(C29)*(1-EXP(-C29)))-C29*EXP(-C29)/(1-EXP(-C29))+5/2)</f>
        <v>102.64645237417299</v>
      </c>
      <c r="D56" s="11" t="s">
        <v>31</v>
      </c>
      <c r="G56" s="2"/>
      <c r="N56" s="2"/>
      <c r="O56" s="2"/>
      <c r="P56" s="2"/>
    </row>
    <row r="57" spans="1:16">
      <c r="N57" s="2"/>
      <c r="O57" s="2"/>
      <c r="P57" s="2"/>
    </row>
    <row r="58" spans="1:16">
      <c r="A58" s="5" t="s">
        <v>88</v>
      </c>
      <c r="B58" s="5" t="s">
        <v>89</v>
      </c>
      <c r="C58" s="5">
        <v>3.6833815764323332</v>
      </c>
      <c r="D58" s="5" t="s">
        <v>36</v>
      </c>
    </row>
    <row r="60" spans="1:16">
      <c r="A60" s="5" t="s">
        <v>66</v>
      </c>
      <c r="B60" s="5" t="s">
        <v>134</v>
      </c>
      <c r="C60" s="5">
        <v>321.26672038978001</v>
      </c>
      <c r="D60" s="5" t="s">
        <v>33</v>
      </c>
    </row>
    <row r="62" spans="1:16">
      <c r="A62" s="5" t="s">
        <v>54</v>
      </c>
      <c r="B62" s="5" t="s">
        <v>135</v>
      </c>
      <c r="C62" s="5">
        <v>33.242275224973035</v>
      </c>
      <c r="D62" s="5" t="s">
        <v>31</v>
      </c>
    </row>
    <row r="64" spans="1:16">
      <c r="A64" s="11" t="s">
        <v>90</v>
      </c>
      <c r="B64" s="11" t="s">
        <v>136</v>
      </c>
      <c r="C64" s="12">
        <f>EXP(C18/C19*LN(C18/C19)-(C18/C19-1)*LN(C18/C19-1))</f>
        <v>25.410432849514734</v>
      </c>
      <c r="D64" s="12" t="s">
        <v>36</v>
      </c>
      <c r="G64" s="2"/>
      <c r="H64" s="2"/>
    </row>
    <row r="65" spans="1:6">
      <c r="C65" s="2"/>
    </row>
    <row r="66" spans="1:6">
      <c r="A66" s="11" t="s">
        <v>91</v>
      </c>
      <c r="B66" s="11" t="s">
        <v>137</v>
      </c>
      <c r="C66" s="12">
        <f>C6*((C18/C19*LN(C18/C19)-(C18/C19-1)*LN(C18/C19-1)))*6.02E+23</f>
        <v>26.889044175102832</v>
      </c>
      <c r="D66" s="11" t="s">
        <v>31</v>
      </c>
      <c r="F66" s="2"/>
    </row>
    <row r="68" spans="1:6">
      <c r="A68" s="11" t="s">
        <v>70</v>
      </c>
      <c r="B68" s="11" t="s">
        <v>138</v>
      </c>
      <c r="C68" s="12">
        <f>C36*C44*C52*C58*C64</f>
        <v>563149332.9582423</v>
      </c>
      <c r="D68" s="11" t="s">
        <v>36</v>
      </c>
    </row>
    <row r="69" spans="1:6">
      <c r="C69" s="2"/>
    </row>
    <row r="70" spans="1:6">
      <c r="A70" s="11" t="s">
        <v>71</v>
      </c>
      <c r="B70" s="11" t="s">
        <v>139</v>
      </c>
      <c r="C70" s="12">
        <f>C36*C46*C52*C58*C64</f>
        <v>2.6425824538360378E+39</v>
      </c>
      <c r="D70" s="11" t="s">
        <v>79</v>
      </c>
    </row>
    <row r="71" spans="1:6">
      <c r="C71" s="2"/>
    </row>
    <row r="72" spans="1:6">
      <c r="A72" s="11" t="s">
        <v>92</v>
      </c>
      <c r="B72" s="11" t="s">
        <v>93</v>
      </c>
      <c r="C72" s="12">
        <f>C38+C48+C54+C60</f>
        <v>-612426.84956502425</v>
      </c>
      <c r="D72" s="11" t="s">
        <v>33</v>
      </c>
    </row>
    <row r="74" spans="1:6">
      <c r="A74" s="11" t="s">
        <v>56</v>
      </c>
      <c r="B74" s="11" t="s">
        <v>140</v>
      </c>
      <c r="C74" s="14">
        <f>C50+C56+C62+C42+C66</f>
        <v>216.77567089333101</v>
      </c>
      <c r="D74" s="11" t="s">
        <v>31</v>
      </c>
    </row>
    <row r="76" spans="1:6">
      <c r="A76" s="11" t="s">
        <v>96</v>
      </c>
      <c r="B76" s="11" t="s">
        <v>72</v>
      </c>
      <c r="C76" s="12">
        <f>C72-C13*C74/1000</f>
        <v>-612491.44871495047</v>
      </c>
      <c r="D76" s="11" t="s">
        <v>33</v>
      </c>
    </row>
    <row r="77" spans="1:6">
      <c r="C77" s="2"/>
    </row>
    <row r="80" spans="1:6">
      <c r="C80" s="2"/>
    </row>
  </sheetData>
  <phoneticPr fontId="2"/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5F80CD-113E-4BAE-ADF7-CFB240382564}">
  <dimension ref="A1:P82"/>
  <sheetViews>
    <sheetView zoomScale="115" zoomScaleNormal="115" workbookViewId="0">
      <selection activeCell="C31" sqref="C31"/>
    </sheetView>
  </sheetViews>
  <sheetFormatPr defaultRowHeight="18"/>
  <cols>
    <col min="1" max="1" width="34.08203125" bestFit="1" customWidth="1"/>
    <col min="2" max="2" width="14.2890625" bestFit="1" customWidth="1"/>
    <col min="3" max="3" width="14.20703125" customWidth="1"/>
    <col min="4" max="4" width="20.375" bestFit="1" customWidth="1"/>
    <col min="6" max="6" width="9.45703125" bestFit="1" customWidth="1"/>
    <col min="7" max="7" width="9.125" bestFit="1" customWidth="1"/>
  </cols>
  <sheetData>
    <row r="1" spans="1:4">
      <c r="A1" s="1" t="s">
        <v>143</v>
      </c>
      <c r="C1" s="4" t="s">
        <v>0</v>
      </c>
    </row>
    <row r="2" spans="1:4">
      <c r="C2" s="15" t="s">
        <v>1</v>
      </c>
    </row>
    <row r="4" spans="1:4">
      <c r="A4" s="1" t="s">
        <v>2</v>
      </c>
    </row>
    <row r="5" spans="1:4">
      <c r="A5" t="s">
        <v>3</v>
      </c>
      <c r="B5" t="s">
        <v>4</v>
      </c>
      <c r="C5">
        <v>6.6260700399999999E-34</v>
      </c>
      <c r="D5" t="s">
        <v>5</v>
      </c>
    </row>
    <row r="6" spans="1:4">
      <c r="A6" t="s">
        <v>6</v>
      </c>
      <c r="B6" t="s">
        <v>7</v>
      </c>
      <c r="C6" s="2">
        <v>1.3806485199999999E-23</v>
      </c>
      <c r="D6" t="s">
        <v>8</v>
      </c>
    </row>
    <row r="7" spans="1:4">
      <c r="A7" t="s">
        <v>9</v>
      </c>
      <c r="B7" t="s">
        <v>10</v>
      </c>
      <c r="C7">
        <v>8.3144597999999998</v>
      </c>
      <c r="D7" t="s">
        <v>11</v>
      </c>
    </row>
    <row r="8" spans="1:4" ht="18.5">
      <c r="A8" t="s">
        <v>12</v>
      </c>
      <c r="B8" t="s">
        <v>13</v>
      </c>
      <c r="C8">
        <v>3.1415926535900001</v>
      </c>
      <c r="D8" s="3"/>
    </row>
    <row r="9" spans="1:4">
      <c r="A9" t="s">
        <v>14</v>
      </c>
      <c r="B9" t="s">
        <v>15</v>
      </c>
      <c r="C9" s="2">
        <v>6.0221408599999999E+23</v>
      </c>
      <c r="D9" t="s">
        <v>16</v>
      </c>
    </row>
    <row r="11" spans="1:4">
      <c r="A11" s="5" t="s">
        <v>57</v>
      </c>
      <c r="B11" s="5"/>
      <c r="C11" s="5">
        <v>1</v>
      </c>
      <c r="D11" s="5" t="s">
        <v>36</v>
      </c>
    </row>
    <row r="12" spans="1:4">
      <c r="A12" s="5" t="s">
        <v>17</v>
      </c>
      <c r="B12" s="5" t="s">
        <v>18</v>
      </c>
      <c r="C12" s="5">
        <v>107.03711</v>
      </c>
      <c r="D12" s="5" t="s">
        <v>19</v>
      </c>
    </row>
    <row r="13" spans="1:4">
      <c r="A13" s="5" t="s">
        <v>20</v>
      </c>
      <c r="B13" s="5" t="s">
        <v>21</v>
      </c>
      <c r="C13" s="5">
        <v>298</v>
      </c>
      <c r="D13" s="5" t="s">
        <v>22</v>
      </c>
    </row>
    <row r="14" spans="1:4">
      <c r="A14" s="5" t="s">
        <v>101</v>
      </c>
      <c r="B14" s="5" t="s">
        <v>58</v>
      </c>
      <c r="C14" s="5">
        <v>1</v>
      </c>
      <c r="D14" s="5" t="s">
        <v>59</v>
      </c>
    </row>
    <row r="15" spans="1:4">
      <c r="A15" s="5" t="s">
        <v>23</v>
      </c>
      <c r="B15" s="5" t="s">
        <v>24</v>
      </c>
      <c r="C15" s="5">
        <v>186.126</v>
      </c>
      <c r="D15" s="5" t="s">
        <v>25</v>
      </c>
    </row>
    <row r="16" spans="1:4">
      <c r="A16" s="5" t="s">
        <v>26</v>
      </c>
      <c r="B16" s="5" t="s">
        <v>27</v>
      </c>
      <c r="C16" s="5">
        <v>129.60400000000001</v>
      </c>
      <c r="D16" s="5" t="s">
        <v>25</v>
      </c>
    </row>
    <row r="17" spans="1:5">
      <c r="A17" t="s">
        <v>28</v>
      </c>
      <c r="B17" t="s">
        <v>98</v>
      </c>
      <c r="C17">
        <f>(C15^(1/3)-C16^(1/3))^3*1E-30</f>
        <v>2.7324332901025532E-31</v>
      </c>
      <c r="D17" t="s">
        <v>29</v>
      </c>
    </row>
    <row r="18" spans="1:5">
      <c r="A18" t="s">
        <v>60</v>
      </c>
      <c r="B18" t="s">
        <v>99</v>
      </c>
      <c r="C18">
        <f>0.001*1E+30/C15</f>
        <v>5.372704511997249E+24</v>
      </c>
    </row>
    <row r="19" spans="1:5">
      <c r="A19" t="s">
        <v>61</v>
      </c>
      <c r="B19" t="s">
        <v>100</v>
      </c>
      <c r="C19" s="2">
        <f>C9*C14</f>
        <v>6.0221408599999999E+23</v>
      </c>
    </row>
    <row r="20" spans="1:5">
      <c r="A20" s="5" t="s">
        <v>74</v>
      </c>
      <c r="B20" s="5" t="s">
        <v>76</v>
      </c>
      <c r="C20" s="5">
        <v>1</v>
      </c>
      <c r="D20" s="5" t="s">
        <v>36</v>
      </c>
    </row>
    <row r="21" spans="1:5">
      <c r="A21" s="5" t="s">
        <v>34</v>
      </c>
      <c r="B21" s="5" t="s">
        <v>35</v>
      </c>
      <c r="C21" s="5">
        <v>1</v>
      </c>
      <c r="D21" s="5" t="s">
        <v>36</v>
      </c>
    </row>
    <row r="22" spans="1:5">
      <c r="A22" s="5" t="s">
        <v>37</v>
      </c>
      <c r="B22" s="5" t="s">
        <v>38</v>
      </c>
      <c r="C22" s="5">
        <v>0.25379000000000002</v>
      </c>
      <c r="D22" s="5" t="s">
        <v>22</v>
      </c>
    </row>
    <row r="23" spans="1:5">
      <c r="A23" s="5" t="s">
        <v>39</v>
      </c>
      <c r="B23" s="5" t="s">
        <v>40</v>
      </c>
      <c r="C23" s="5">
        <v>7.9409999999999994E-2</v>
      </c>
      <c r="D23" s="5" t="s">
        <v>22</v>
      </c>
    </row>
    <row r="24" spans="1:5">
      <c r="A24" s="5" t="s">
        <v>41</v>
      </c>
      <c r="B24" s="5" t="s">
        <v>42</v>
      </c>
      <c r="C24" s="5">
        <v>6.0479999999999999E-2</v>
      </c>
      <c r="D24" s="5" t="s">
        <v>22</v>
      </c>
    </row>
    <row r="25" spans="1:5">
      <c r="A25" s="5" t="s">
        <v>43</v>
      </c>
      <c r="B25" s="6" t="s">
        <v>18</v>
      </c>
      <c r="C25" s="8">
        <v>4.8877461999999996</v>
      </c>
      <c r="D25" s="5" t="s">
        <v>44</v>
      </c>
    </row>
    <row r="26" spans="1:5">
      <c r="A26" s="5" t="s">
        <v>45</v>
      </c>
      <c r="B26" s="7" t="s">
        <v>62</v>
      </c>
      <c r="C26" s="5">
        <v>3.8847496000000001</v>
      </c>
      <c r="D26" s="5" t="s">
        <v>44</v>
      </c>
    </row>
    <row r="27" spans="1:5">
      <c r="A27" s="5" t="s">
        <v>46</v>
      </c>
      <c r="B27" s="5" t="s">
        <v>47</v>
      </c>
      <c r="C27" s="5">
        <v>104.42713000000001</v>
      </c>
      <c r="D27" s="5" t="s">
        <v>36</v>
      </c>
    </row>
    <row r="28" spans="1:5">
      <c r="A28" t="s">
        <v>48</v>
      </c>
      <c r="B28" t="s">
        <v>49</v>
      </c>
      <c r="C28">
        <f>(C25-C26)*3.33564E-30/(C27*1.648777E-41)</f>
        <v>1943136774.902369</v>
      </c>
      <c r="D28" t="s">
        <v>50</v>
      </c>
    </row>
    <row r="29" spans="1:5">
      <c r="B29" t="s">
        <v>51</v>
      </c>
      <c r="C29" s="2">
        <f>2*C25*3.33564E-30*C28/C6/C13</f>
        <v>15.400037943342411</v>
      </c>
    </row>
    <row r="31" spans="1:5">
      <c r="A31" s="5" t="s">
        <v>63</v>
      </c>
      <c r="B31" s="5"/>
      <c r="C31" s="5">
        <v>-361.4744</v>
      </c>
      <c r="D31" s="5" t="s">
        <v>64</v>
      </c>
      <c r="E31" s="10"/>
    </row>
    <row r="32" spans="1:5">
      <c r="A32" s="5" t="s">
        <v>65</v>
      </c>
      <c r="B32" s="5"/>
      <c r="C32" s="5">
        <v>9.7851328227522238E-2</v>
      </c>
      <c r="D32" s="5" t="s">
        <v>64</v>
      </c>
      <c r="E32" s="10"/>
    </row>
    <row r="33" spans="1:16">
      <c r="A33" s="5" t="s">
        <v>77</v>
      </c>
      <c r="B33" s="5"/>
      <c r="C33" s="5">
        <v>0.97499999999999998</v>
      </c>
      <c r="D33" s="5" t="s">
        <v>36</v>
      </c>
    </row>
    <row r="34" spans="1:16">
      <c r="A34" t="s">
        <v>78</v>
      </c>
      <c r="C34">
        <f>C32*C33</f>
        <v>9.5405045021834181E-2</v>
      </c>
      <c r="D34" t="s">
        <v>64</v>
      </c>
    </row>
    <row r="36" spans="1:16">
      <c r="A36" s="11" t="s">
        <v>86</v>
      </c>
      <c r="B36" s="11" t="s">
        <v>85</v>
      </c>
      <c r="C36" s="11">
        <f>C11</f>
        <v>1</v>
      </c>
      <c r="D36" s="11" t="s">
        <v>36</v>
      </c>
    </row>
    <row r="37" spans="1:16">
      <c r="N37" s="2"/>
      <c r="O37" s="2"/>
      <c r="P37" s="2"/>
    </row>
    <row r="38" spans="1:16">
      <c r="A38" s="11" t="s">
        <v>123</v>
      </c>
      <c r="B38" s="11" t="s">
        <v>124</v>
      </c>
      <c r="C38" s="11">
        <f>C31*627.5094740631*4.184</f>
        <v>-949050.90688125312</v>
      </c>
      <c r="D38" s="11" t="s">
        <v>33</v>
      </c>
      <c r="N38" s="2"/>
      <c r="O38" s="2"/>
      <c r="P38" s="2"/>
    </row>
    <row r="40" spans="1:16">
      <c r="A40" s="11" t="s">
        <v>94</v>
      </c>
      <c r="B40" s="11" t="s">
        <v>95</v>
      </c>
      <c r="C40" s="11">
        <f>(C31+C34)*627.5094740631*4.184</f>
        <v>-948800.42096994375</v>
      </c>
      <c r="D40" s="11" t="s">
        <v>33</v>
      </c>
    </row>
    <row r="42" spans="1:16">
      <c r="A42" s="11" t="s">
        <v>55</v>
      </c>
      <c r="B42" s="11" t="s">
        <v>82</v>
      </c>
      <c r="C42" s="11">
        <f>C7*LN(C11)</f>
        <v>0</v>
      </c>
      <c r="D42" s="11" t="s">
        <v>31</v>
      </c>
    </row>
    <row r="44" spans="1:16">
      <c r="A44" s="11" t="s">
        <v>67</v>
      </c>
      <c r="B44" s="11" t="s">
        <v>80</v>
      </c>
      <c r="C44" s="12">
        <f>C17*(2*C8*C12/C9/1000*C6*C13/C5/C5)^(3/2)</f>
        <v>292.53349167767976</v>
      </c>
      <c r="D44" s="11" t="s">
        <v>36</v>
      </c>
    </row>
    <row r="45" spans="1:16">
      <c r="C45" s="2"/>
    </row>
    <row r="46" spans="1:16">
      <c r="A46" s="11" t="s">
        <v>68</v>
      </c>
      <c r="B46" s="11" t="s">
        <v>81</v>
      </c>
      <c r="C46" s="12">
        <f>(2*C8*C12/C9/1000*C6*C13/C5/C5)^(3/2)</f>
        <v>1.0705970123307216E+33</v>
      </c>
      <c r="D46" s="11" t="s">
        <v>79</v>
      </c>
    </row>
    <row r="48" spans="1:16">
      <c r="A48" s="11" t="s">
        <v>32</v>
      </c>
      <c r="B48" s="11" t="s">
        <v>83</v>
      </c>
      <c r="C48" s="11">
        <f>3/2*C7*C13/1000</f>
        <v>3.7165635305999993</v>
      </c>
      <c r="D48" s="11" t="s">
        <v>33</v>
      </c>
    </row>
    <row r="49" spans="1:7">
      <c r="E49" s="2"/>
      <c r="G49" s="2"/>
    </row>
    <row r="50" spans="1:7">
      <c r="A50" s="11" t="s">
        <v>30</v>
      </c>
      <c r="B50" s="11" t="s">
        <v>131</v>
      </c>
      <c r="C50" s="13">
        <f>8.31446262*(LN(C17*(2*C8*C12/C9/1000*C6*C13/C5/C5)^(3/2))+3/2)</f>
        <v>59.686028103661798</v>
      </c>
      <c r="D50" s="11" t="s">
        <v>31</v>
      </c>
    </row>
    <row r="51" spans="1:7">
      <c r="G51" s="2"/>
    </row>
    <row r="52" spans="1:7">
      <c r="A52" s="11" t="s">
        <v>69</v>
      </c>
      <c r="B52" s="11" t="s">
        <v>87</v>
      </c>
      <c r="C52" s="12">
        <f>C20/C21*(C8^0.5)*((C13^3)/C22/C23/C24)^0.5/C29*(1-EXP(-C29))</f>
        <v>16958.862164734019</v>
      </c>
      <c r="D52" s="11" t="s">
        <v>36</v>
      </c>
    </row>
    <row r="53" spans="1:7">
      <c r="G53" s="2"/>
    </row>
    <row r="54" spans="1:7">
      <c r="A54" s="11" t="s">
        <v>53</v>
      </c>
      <c r="B54" s="11" t="s">
        <v>132</v>
      </c>
      <c r="C54" s="12">
        <f>C7*C13*(5/2-(C29*EXP(-C29)/(1-EXP(-C29))))/1000</f>
        <v>6.1942647271470017</v>
      </c>
      <c r="D54" s="11" t="s">
        <v>33</v>
      </c>
    </row>
    <row r="56" spans="1:7">
      <c r="A56" s="11" t="s">
        <v>52</v>
      </c>
      <c r="B56" s="11" t="s">
        <v>133</v>
      </c>
      <c r="C56" s="13">
        <f>C7*(LN(C20/C21*(C8^0.5)*((C13^3)/C22/C23/C24)^0.5/(C29)*(1-EXP(-C29)))-C29*EXP(-C29)/(1-EXP(-C29))+5/2)</f>
        <v>101.75687095761512</v>
      </c>
      <c r="D56" s="11" t="s">
        <v>31</v>
      </c>
    </row>
    <row r="58" spans="1:7">
      <c r="A58" s="5" t="s">
        <v>88</v>
      </c>
      <c r="B58" s="5" t="s">
        <v>89</v>
      </c>
      <c r="C58" s="5">
        <v>11.13954862059496</v>
      </c>
      <c r="D58" s="5" t="s">
        <v>36</v>
      </c>
    </row>
    <row r="60" spans="1:7">
      <c r="A60" s="5" t="s">
        <v>66</v>
      </c>
      <c r="B60" s="5" t="s">
        <v>134</v>
      </c>
      <c r="C60" s="5">
        <v>259.97005777498032</v>
      </c>
      <c r="D60" s="5" t="s">
        <v>33</v>
      </c>
    </row>
    <row r="62" spans="1:7">
      <c r="A62" s="5" t="s">
        <v>54</v>
      </c>
      <c r="B62" s="5" t="s">
        <v>135</v>
      </c>
      <c r="C62" s="5">
        <v>51.867316589055548</v>
      </c>
      <c r="D62" s="5" t="s">
        <v>31</v>
      </c>
    </row>
    <row r="64" spans="1:7">
      <c r="A64" s="11" t="s">
        <v>90</v>
      </c>
      <c r="B64" s="11" t="s">
        <v>136</v>
      </c>
      <c r="C64" s="12">
        <f>EXP(C18/C19*LN(C18/C19)-(C18/C19-1)*LN(C18/C19-1))</f>
        <v>22.878783808599817</v>
      </c>
      <c r="D64" s="12" t="s">
        <v>36</v>
      </c>
    </row>
    <row r="65" spans="1:7">
      <c r="C65" s="2"/>
    </row>
    <row r="66" spans="1:7">
      <c r="A66" s="11" t="s">
        <v>91</v>
      </c>
      <c r="B66" s="11" t="s">
        <v>137</v>
      </c>
      <c r="C66" s="12">
        <f>C6*((C18/C19*LN(C18/C19)-(C18/C19-1)*LN(C18/C19-1)))*6.02E+23</f>
        <v>26.016753300930876</v>
      </c>
      <c r="D66" s="11" t="s">
        <v>31</v>
      </c>
    </row>
    <row r="67" spans="1:7">
      <c r="F67" s="2"/>
      <c r="G67" s="2"/>
    </row>
    <row r="68" spans="1:7">
      <c r="A68" s="11" t="s">
        <v>70</v>
      </c>
      <c r="B68" s="11" t="s">
        <v>138</v>
      </c>
      <c r="C68" s="12">
        <f>C36*C44*C52*C58*C64</f>
        <v>1264366071.2753546</v>
      </c>
      <c r="D68" s="11" t="s">
        <v>36</v>
      </c>
    </row>
    <row r="69" spans="1:7">
      <c r="C69" s="2"/>
    </row>
    <row r="70" spans="1:7">
      <c r="A70" s="11" t="s">
        <v>71</v>
      </c>
      <c r="B70" s="11" t="s">
        <v>139</v>
      </c>
      <c r="C70" s="12">
        <f>C36*C46*C52*C58*C64</f>
        <v>4.6272532100057241E+39</v>
      </c>
      <c r="D70" s="11" t="s">
        <v>79</v>
      </c>
    </row>
    <row r="71" spans="1:7">
      <c r="C71" s="2"/>
      <c r="G71" s="2"/>
    </row>
    <row r="72" spans="1:7">
      <c r="A72" s="11" t="s">
        <v>92</v>
      </c>
      <c r="B72" s="11" t="s">
        <v>93</v>
      </c>
      <c r="C72" s="12">
        <f>C38+C48+C54+C60</f>
        <v>-948781.02599522029</v>
      </c>
      <c r="D72" s="11" t="s">
        <v>33</v>
      </c>
      <c r="G72" s="2"/>
    </row>
    <row r="74" spans="1:7">
      <c r="A74" s="11" t="s">
        <v>56</v>
      </c>
      <c r="B74" s="11" t="s">
        <v>140</v>
      </c>
      <c r="C74" s="14">
        <f>C50+C56+C62+C42+C66</f>
        <v>239.32696895126335</v>
      </c>
      <c r="D74" s="11" t="s">
        <v>31</v>
      </c>
    </row>
    <row r="76" spans="1:7">
      <c r="A76" s="11" t="s">
        <v>96</v>
      </c>
      <c r="B76" s="11" t="s">
        <v>72</v>
      </c>
      <c r="C76" s="12">
        <f>C72-C13*C74/1000</f>
        <v>-948852.34543196775</v>
      </c>
      <c r="D76" s="11" t="s">
        <v>33</v>
      </c>
    </row>
    <row r="79" spans="1:7">
      <c r="C79" s="2"/>
    </row>
    <row r="82" spans="3:3">
      <c r="C82" s="2"/>
    </row>
  </sheetData>
  <phoneticPr fontId="2"/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80D036-F16C-46DE-AAD8-044531F6761E}">
  <dimension ref="A1:P79"/>
  <sheetViews>
    <sheetView workbookViewId="0">
      <selection activeCell="G13" sqref="G13"/>
    </sheetView>
  </sheetViews>
  <sheetFormatPr defaultRowHeight="18"/>
  <cols>
    <col min="1" max="1" width="34.08203125" bestFit="1" customWidth="1"/>
    <col min="2" max="2" width="14.2890625" bestFit="1" customWidth="1"/>
    <col min="3" max="3" width="14.20703125" customWidth="1"/>
    <col min="4" max="4" width="20.375" bestFit="1" customWidth="1"/>
    <col min="5" max="5" width="9.125" bestFit="1" customWidth="1"/>
    <col min="6" max="6" width="11.7890625" bestFit="1" customWidth="1"/>
    <col min="7" max="7" width="9.125" bestFit="1" customWidth="1"/>
  </cols>
  <sheetData>
    <row r="1" spans="1:4">
      <c r="A1" s="1" t="s">
        <v>143</v>
      </c>
      <c r="C1" s="4" t="s">
        <v>0</v>
      </c>
    </row>
    <row r="2" spans="1:4">
      <c r="C2" s="15" t="s">
        <v>1</v>
      </c>
    </row>
    <row r="4" spans="1:4">
      <c r="A4" s="1" t="s">
        <v>2</v>
      </c>
    </row>
    <row r="5" spans="1:4">
      <c r="A5" t="s">
        <v>3</v>
      </c>
      <c r="B5" t="s">
        <v>4</v>
      </c>
      <c r="C5">
        <v>6.6260700399999999E-34</v>
      </c>
      <c r="D5" t="s">
        <v>5</v>
      </c>
    </row>
    <row r="6" spans="1:4">
      <c r="A6" t="s">
        <v>6</v>
      </c>
      <c r="B6" t="s">
        <v>7</v>
      </c>
      <c r="C6" s="2">
        <v>1.3806485199999999E-23</v>
      </c>
      <c r="D6" t="s">
        <v>8</v>
      </c>
    </row>
    <row r="7" spans="1:4">
      <c r="A7" t="s">
        <v>9</v>
      </c>
      <c r="B7" t="s">
        <v>10</v>
      </c>
      <c r="C7">
        <v>8.3144597999999998</v>
      </c>
      <c r="D7" t="s">
        <v>11</v>
      </c>
    </row>
    <row r="8" spans="1:4" ht="18.5">
      <c r="A8" t="s">
        <v>12</v>
      </c>
      <c r="B8" t="s">
        <v>13</v>
      </c>
      <c r="C8">
        <v>3.1415926535900001</v>
      </c>
      <c r="D8" s="3"/>
    </row>
    <row r="9" spans="1:4">
      <c r="A9" t="s">
        <v>14</v>
      </c>
      <c r="B9" t="s">
        <v>15</v>
      </c>
      <c r="C9" s="2">
        <v>6.0221408599999999E+23</v>
      </c>
      <c r="D9" t="s">
        <v>16</v>
      </c>
    </row>
    <row r="11" spans="1:4">
      <c r="A11" s="5" t="s">
        <v>57</v>
      </c>
      <c r="B11" s="5"/>
      <c r="C11" s="5">
        <v>1</v>
      </c>
      <c r="D11" s="5" t="s">
        <v>36</v>
      </c>
    </row>
    <row r="12" spans="1:4">
      <c r="A12" s="5" t="s">
        <v>17</v>
      </c>
      <c r="B12" s="5" t="s">
        <v>18</v>
      </c>
      <c r="C12" s="5">
        <v>187.09970999999999</v>
      </c>
      <c r="D12" s="5" t="s">
        <v>19</v>
      </c>
    </row>
    <row r="13" spans="1:4">
      <c r="A13" s="5" t="s">
        <v>20</v>
      </c>
      <c r="B13" s="5" t="s">
        <v>21</v>
      </c>
      <c r="C13" s="5">
        <v>298</v>
      </c>
      <c r="D13" s="5" t="s">
        <v>22</v>
      </c>
    </row>
    <row r="14" spans="1:4">
      <c r="A14" s="5" t="s">
        <v>101</v>
      </c>
      <c r="B14" s="5" t="s">
        <v>58</v>
      </c>
      <c r="C14" s="5">
        <v>1</v>
      </c>
      <c r="D14" s="5" t="s">
        <v>59</v>
      </c>
    </row>
    <row r="15" spans="1:4">
      <c r="A15" s="5" t="s">
        <v>23</v>
      </c>
      <c r="B15" s="5" t="s">
        <v>24</v>
      </c>
      <c r="C15" s="5">
        <v>320.04500000000002</v>
      </c>
      <c r="D15" s="5" t="s">
        <v>25</v>
      </c>
    </row>
    <row r="16" spans="1:4">
      <c r="A16" s="5" t="s">
        <v>26</v>
      </c>
      <c r="B16" s="5" t="s">
        <v>27</v>
      </c>
      <c r="C16" s="5">
        <v>236.31200000000001</v>
      </c>
      <c r="D16" s="5" t="s">
        <v>25</v>
      </c>
    </row>
    <row r="17" spans="1:5">
      <c r="A17" t="s">
        <v>28</v>
      </c>
      <c r="B17" t="s">
        <v>98</v>
      </c>
      <c r="C17">
        <f>(C15^(1/3)-C16^(1/3))^3*1E-30</f>
        <v>2.8457312001759751E-31</v>
      </c>
      <c r="D17" t="s">
        <v>29</v>
      </c>
    </row>
    <row r="18" spans="1:5">
      <c r="A18" t="s">
        <v>60</v>
      </c>
      <c r="B18" t="s">
        <v>99</v>
      </c>
      <c r="C18">
        <f>0.001*1E+30/C15</f>
        <v>3.1245606086644063E+24</v>
      </c>
    </row>
    <row r="19" spans="1:5">
      <c r="A19" t="s">
        <v>61</v>
      </c>
      <c r="B19" t="s">
        <v>100</v>
      </c>
      <c r="C19" s="2">
        <f>C9*C14</f>
        <v>6.0221408599999999E+23</v>
      </c>
    </row>
    <row r="20" spans="1:5">
      <c r="A20" s="5" t="s">
        <v>74</v>
      </c>
      <c r="B20" s="5" t="s">
        <v>76</v>
      </c>
      <c r="C20" s="5">
        <v>2</v>
      </c>
      <c r="D20" s="5" t="s">
        <v>36</v>
      </c>
    </row>
    <row r="21" spans="1:5">
      <c r="A21" s="5" t="s">
        <v>75</v>
      </c>
      <c r="B21" s="5" t="s">
        <v>35</v>
      </c>
      <c r="C21" s="5">
        <v>1</v>
      </c>
      <c r="D21" s="5" t="s">
        <v>36</v>
      </c>
    </row>
    <row r="22" spans="1:5">
      <c r="A22" s="5" t="s">
        <v>37</v>
      </c>
      <c r="B22" s="5" t="s">
        <v>38</v>
      </c>
      <c r="C22" s="5">
        <v>8.0869999999999997E-2</v>
      </c>
      <c r="D22" s="5" t="s">
        <v>22</v>
      </c>
    </row>
    <row r="23" spans="1:5">
      <c r="A23" s="5" t="s">
        <v>39</v>
      </c>
      <c r="B23" s="5" t="s">
        <v>40</v>
      </c>
      <c r="C23" s="5">
        <v>2.29E-2</v>
      </c>
      <c r="D23" s="5" t="s">
        <v>22</v>
      </c>
    </row>
    <row r="24" spans="1:5">
      <c r="A24" s="5" t="s">
        <v>41</v>
      </c>
      <c r="B24" s="5" t="s">
        <v>42</v>
      </c>
      <c r="C24" s="5">
        <v>2.146E-2</v>
      </c>
      <c r="D24" s="5" t="s">
        <v>22</v>
      </c>
    </row>
    <row r="25" spans="1:5">
      <c r="A25" s="5" t="s">
        <v>43</v>
      </c>
      <c r="B25" s="6" t="s">
        <v>18</v>
      </c>
      <c r="C25" s="8">
        <v>2.7798714000000002</v>
      </c>
      <c r="D25" s="5" t="s">
        <v>44</v>
      </c>
    </row>
    <row r="26" spans="1:5">
      <c r="A26" s="5" t="s">
        <v>45</v>
      </c>
      <c r="B26" s="7" t="s">
        <v>62</v>
      </c>
      <c r="C26" s="5">
        <v>1.9490375</v>
      </c>
      <c r="D26" s="5" t="s">
        <v>44</v>
      </c>
    </row>
    <row r="27" spans="1:5">
      <c r="A27" s="5" t="s">
        <v>46</v>
      </c>
      <c r="B27" s="6" t="s">
        <v>84</v>
      </c>
      <c r="C27" s="5">
        <v>215.81045</v>
      </c>
      <c r="D27" s="5" t="s">
        <v>36</v>
      </c>
    </row>
    <row r="28" spans="1:5">
      <c r="A28" t="s">
        <v>48</v>
      </c>
      <c r="B28" t="s">
        <v>49</v>
      </c>
      <c r="C28">
        <f>(C25-C26)*3.33564E-30/(C27*1.648777E-41)</f>
        <v>778859265.53287017</v>
      </c>
      <c r="D28" t="s">
        <v>50</v>
      </c>
    </row>
    <row r="29" spans="1:5">
      <c r="B29" t="s">
        <v>51</v>
      </c>
      <c r="C29" s="2">
        <f>2*C25*3.33564E-30*C28/C6/C13</f>
        <v>3.5106979786475558</v>
      </c>
    </row>
    <row r="31" spans="1:5">
      <c r="A31" s="5" t="s">
        <v>63</v>
      </c>
      <c r="B31" s="5"/>
      <c r="C31" s="5">
        <v>-594.84405000000004</v>
      </c>
      <c r="D31" s="5" t="s">
        <v>64</v>
      </c>
      <c r="E31" s="10"/>
    </row>
    <row r="32" spans="1:5">
      <c r="A32" s="5" t="s">
        <v>65</v>
      </c>
      <c r="B32" s="5"/>
      <c r="C32" s="5">
        <v>0.22337947992755242</v>
      </c>
      <c r="D32" s="5" t="s">
        <v>64</v>
      </c>
      <c r="E32" s="10"/>
    </row>
    <row r="33" spans="1:16">
      <c r="A33" s="5" t="s">
        <v>77</v>
      </c>
      <c r="B33" s="5"/>
      <c r="C33" s="5">
        <v>0.97499999999999998</v>
      </c>
      <c r="D33" s="5" t="s">
        <v>36</v>
      </c>
    </row>
    <row r="34" spans="1:16">
      <c r="A34" t="s">
        <v>78</v>
      </c>
      <c r="C34">
        <f>C32*C33</f>
        <v>0.21779499292936361</v>
      </c>
      <c r="D34" t="s">
        <v>64</v>
      </c>
    </row>
    <row r="36" spans="1:16">
      <c r="A36" s="11" t="s">
        <v>86</v>
      </c>
      <c r="B36" s="11" t="s">
        <v>85</v>
      </c>
      <c r="C36" s="11">
        <f>C11</f>
        <v>1</v>
      </c>
      <c r="D36" s="11" t="s">
        <v>36</v>
      </c>
    </row>
    <row r="37" spans="1:16">
      <c r="N37" s="2"/>
      <c r="O37" s="2"/>
      <c r="P37" s="2"/>
    </row>
    <row r="38" spans="1:16">
      <c r="A38" s="11" t="s">
        <v>123</v>
      </c>
      <c r="B38" s="11" t="s">
        <v>124</v>
      </c>
      <c r="C38" s="11">
        <f>C31*627.5094740631*4.184</f>
        <v>-1561762.8388218295</v>
      </c>
      <c r="D38" s="11" t="s">
        <v>33</v>
      </c>
      <c r="N38" s="2"/>
      <c r="O38" s="2"/>
      <c r="P38" s="2"/>
    </row>
    <row r="40" spans="1:16">
      <c r="A40" s="11" t="s">
        <v>94</v>
      </c>
      <c r="B40" s="11" t="s">
        <v>95</v>
      </c>
      <c r="C40" s="11">
        <f>(C31+C34)*627.5094740631*4.184</f>
        <v>-1561191.0181464127</v>
      </c>
      <c r="D40" s="11" t="s">
        <v>33</v>
      </c>
    </row>
    <row r="42" spans="1:16">
      <c r="A42" s="11" t="s">
        <v>55</v>
      </c>
      <c r="B42" s="11" t="s">
        <v>82</v>
      </c>
      <c r="C42" s="11">
        <f>C7*LN(C11)</f>
        <v>0</v>
      </c>
      <c r="D42" s="11" t="s">
        <v>31</v>
      </c>
    </row>
    <row r="44" spans="1:16">
      <c r="A44" s="11" t="s">
        <v>67</v>
      </c>
      <c r="B44" s="11" t="s">
        <v>80</v>
      </c>
      <c r="C44" s="12">
        <f>C17*(2*C8*C12/C9/1000*C6*C13/C5/C5)^(3/2)</f>
        <v>704.08973395983503</v>
      </c>
      <c r="D44" s="11" t="s">
        <v>36</v>
      </c>
    </row>
    <row r="45" spans="1:16">
      <c r="C45" s="2"/>
    </row>
    <row r="46" spans="1:16">
      <c r="A46" s="11" t="s">
        <v>68</v>
      </c>
      <c r="B46" s="11" t="s">
        <v>81</v>
      </c>
      <c r="C46" s="12">
        <f>(2*C8*C12/C9/1000*C6*C13/C5/C5)^(3/2)</f>
        <v>2.4741962062906551E+33</v>
      </c>
      <c r="D46" s="11" t="s">
        <v>79</v>
      </c>
    </row>
    <row r="48" spans="1:16">
      <c r="A48" s="11" t="s">
        <v>32</v>
      </c>
      <c r="B48" s="11" t="s">
        <v>83</v>
      </c>
      <c r="C48" s="11">
        <f>3/2*C7*C13/1000</f>
        <v>3.7165635305999993</v>
      </c>
      <c r="D48" s="11" t="s">
        <v>33</v>
      </c>
    </row>
    <row r="49" spans="1:7">
      <c r="E49" s="2"/>
      <c r="G49" s="2"/>
    </row>
    <row r="50" spans="1:7">
      <c r="A50" s="11" t="s">
        <v>30</v>
      </c>
      <c r="B50" s="11" t="s">
        <v>131</v>
      </c>
      <c r="C50" s="13">
        <f>8.31446262*(LN(C17*(2*C8*C12/C9/1000*C6*C13/C5/C5)^(3/2))+3/2)</f>
        <v>66.988842198806509</v>
      </c>
      <c r="D50" s="11" t="s">
        <v>31</v>
      </c>
    </row>
    <row r="51" spans="1:7">
      <c r="G51" s="2"/>
    </row>
    <row r="52" spans="1:7">
      <c r="A52" s="11" t="s">
        <v>69</v>
      </c>
      <c r="B52" s="11" t="s">
        <v>87</v>
      </c>
      <c r="C52" s="12">
        <f>C20/C21*(C8^0.5)*((C13^3)/C22/C23/C24)^0.5/C29*(1-EXP(-C29))</f>
        <v>799349.5997476246</v>
      </c>
      <c r="D52" s="11" t="s">
        <v>36</v>
      </c>
    </row>
    <row r="53" spans="1:7">
      <c r="G53" s="2"/>
    </row>
    <row r="54" spans="1:7">
      <c r="A54" s="11" t="s">
        <v>53</v>
      </c>
      <c r="B54" s="11" t="s">
        <v>132</v>
      </c>
      <c r="C54" s="12">
        <f>C7*C13*(5/2-(C29*EXP(-C29)/(1-EXP(-C29))))/1000</f>
        <v>5.9263928614638059</v>
      </c>
      <c r="D54" s="11" t="s">
        <v>33</v>
      </c>
    </row>
    <row r="56" spans="1:7">
      <c r="A56" s="11" t="s">
        <v>52</v>
      </c>
      <c r="B56" s="11" t="s">
        <v>133</v>
      </c>
      <c r="C56" s="13">
        <f>C7*(LN(C20/C21*(C8^0.5)*((C13^3)/C22/C23/C24)^0.5/(C29)*(1-EXP(-C29)))-C29*EXP(-C29)/(1-EXP(-C29))+5/2)</f>
        <v>132.8936510232337</v>
      </c>
      <c r="D56" s="11" t="s">
        <v>31</v>
      </c>
    </row>
    <row r="58" spans="1:7">
      <c r="A58" s="5" t="s">
        <v>88</v>
      </c>
      <c r="B58" s="5" t="s">
        <v>89</v>
      </c>
      <c r="C58" s="5">
        <v>2691.5644314117367</v>
      </c>
      <c r="D58" s="5" t="s">
        <v>36</v>
      </c>
    </row>
    <row r="60" spans="1:7">
      <c r="A60" s="5" t="s">
        <v>66</v>
      </c>
      <c r="B60" s="5" t="s">
        <v>134</v>
      </c>
      <c r="C60" s="5">
        <v>595.64227962446785</v>
      </c>
      <c r="D60" s="5" t="s">
        <v>33</v>
      </c>
    </row>
    <row r="62" spans="1:7">
      <c r="A62" s="5" t="s">
        <v>54</v>
      </c>
      <c r="B62" s="5" t="s">
        <v>135</v>
      </c>
      <c r="C62" s="5">
        <v>145.6032641387842</v>
      </c>
      <c r="D62" s="5" t="s">
        <v>31</v>
      </c>
    </row>
    <row r="64" spans="1:7">
      <c r="A64" s="11" t="s">
        <v>90</v>
      </c>
      <c r="B64" s="11" t="s">
        <v>136</v>
      </c>
      <c r="C64" s="12">
        <f>EXP(C18/C19*LN(C18/C19)-(C18/C19-1)*LN(C18/C19-1))</f>
        <v>12.720324263493914</v>
      </c>
      <c r="D64" s="12" t="s">
        <v>36</v>
      </c>
    </row>
    <row r="65" spans="1:7">
      <c r="C65" s="2"/>
    </row>
    <row r="66" spans="1:7">
      <c r="A66" s="11" t="s">
        <v>91</v>
      </c>
      <c r="B66" s="11" t="s">
        <v>137</v>
      </c>
      <c r="C66" s="12">
        <f>C6*((C18/C19*LN(C18/C19)-(C18/C19-1)*LN(C18/C19-1)))*6.02E+23</f>
        <v>21.13782592978535</v>
      </c>
      <c r="D66" s="11" t="s">
        <v>31</v>
      </c>
    </row>
    <row r="67" spans="1:7">
      <c r="G67" s="2"/>
    </row>
    <row r="68" spans="1:7">
      <c r="A68" s="11" t="s">
        <v>70</v>
      </c>
      <c r="B68" s="11" t="s">
        <v>138</v>
      </c>
      <c r="C68" s="12">
        <f>C36*C44*C52*C58*C64</f>
        <v>19269379803598.492</v>
      </c>
      <c r="D68" s="11" t="s">
        <v>36</v>
      </c>
    </row>
    <row r="69" spans="1:7">
      <c r="C69" s="2"/>
      <c r="F69" s="2"/>
    </row>
    <row r="70" spans="1:7">
      <c r="A70" s="11" t="s">
        <v>71</v>
      </c>
      <c r="B70" s="11" t="s">
        <v>139</v>
      </c>
      <c r="C70" s="12">
        <f>C36*C46*C52*C58*C64</f>
        <v>6.7713281572085609E+43</v>
      </c>
      <c r="D70" s="11" t="s">
        <v>79</v>
      </c>
    </row>
    <row r="71" spans="1:7">
      <c r="C71" s="2"/>
    </row>
    <row r="72" spans="1:7">
      <c r="A72" s="11" t="s">
        <v>92</v>
      </c>
      <c r="B72" s="11" t="s">
        <v>93</v>
      </c>
      <c r="C72" s="12">
        <f>C38+C48+C54+C60</f>
        <v>-1561157.5535858131</v>
      </c>
      <c r="D72" s="11" t="s">
        <v>33</v>
      </c>
    </row>
    <row r="74" spans="1:7">
      <c r="A74" s="11" t="s">
        <v>56</v>
      </c>
      <c r="B74" s="11" t="s">
        <v>140</v>
      </c>
      <c r="C74" s="14">
        <f>C50+C56+C62+C42+C66</f>
        <v>366.62358329060976</v>
      </c>
      <c r="D74" s="11" t="s">
        <v>31</v>
      </c>
    </row>
    <row r="76" spans="1:7">
      <c r="A76" s="11" t="s">
        <v>96</v>
      </c>
      <c r="B76" s="11" t="s">
        <v>72</v>
      </c>
      <c r="C76" s="12">
        <f>C72-C13*C74/1000</f>
        <v>-1561266.8074136337</v>
      </c>
      <c r="D76" s="11" t="s">
        <v>33</v>
      </c>
    </row>
    <row r="79" spans="1:7">
      <c r="C79" s="2"/>
    </row>
  </sheetData>
  <phoneticPr fontId="2"/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2190BC-9DEE-4A97-9A86-59435470B08E}">
  <dimension ref="A1:AT43"/>
  <sheetViews>
    <sheetView tabSelected="1" workbookViewId="0">
      <selection activeCell="I12" sqref="I12"/>
    </sheetView>
  </sheetViews>
  <sheetFormatPr defaultRowHeight="18"/>
  <cols>
    <col min="1" max="1" width="18.95703125" bestFit="1" customWidth="1"/>
    <col min="2" max="2" width="9.125" bestFit="1" customWidth="1"/>
    <col min="3" max="3" width="9.625" bestFit="1" customWidth="1"/>
    <col min="4" max="6" width="13.20703125" bestFit="1" customWidth="1"/>
    <col min="7" max="7" width="9.45703125" customWidth="1"/>
    <col min="8" max="8" width="26.125" bestFit="1" customWidth="1"/>
    <col min="9" max="9" width="9.125" customWidth="1"/>
    <col min="10" max="10" width="15.5390625" bestFit="1" customWidth="1"/>
    <col min="11" max="11" width="9.125" bestFit="1" customWidth="1"/>
    <col min="12" max="12" width="11.0390625" bestFit="1" customWidth="1"/>
    <col min="13" max="13" width="11.0390625" customWidth="1"/>
    <col min="14" max="14" width="11.0390625" bestFit="1" customWidth="1"/>
    <col min="15" max="16" width="9.125" bestFit="1" customWidth="1"/>
    <col min="17" max="17" width="9.125" customWidth="1"/>
    <col min="19" max="19" width="9.125" bestFit="1" customWidth="1"/>
    <col min="20" max="20" width="11.0390625" bestFit="1" customWidth="1"/>
    <col min="21" max="21" width="11.0390625" customWidth="1"/>
    <col min="22" max="22" width="11.0390625" bestFit="1" customWidth="1"/>
    <col min="23" max="24" width="9.125" bestFit="1" customWidth="1"/>
    <col min="25" max="25" width="9.125" customWidth="1"/>
    <col min="27" max="27" width="13.70703125" bestFit="1" customWidth="1"/>
    <col min="28" max="28" width="9.125" bestFit="1" customWidth="1"/>
    <col min="29" max="29" width="12.875" bestFit="1" customWidth="1"/>
    <col min="30" max="31" width="12.875" customWidth="1"/>
    <col min="32" max="32" width="15.5" customWidth="1"/>
    <col min="33" max="33" width="9.125" bestFit="1" customWidth="1"/>
    <col min="34" max="34" width="12.875" bestFit="1" customWidth="1"/>
    <col min="35" max="35" width="12.875" customWidth="1"/>
    <col min="36" max="36" width="12.875" bestFit="1" customWidth="1"/>
    <col min="37" max="37" width="9.125" bestFit="1" customWidth="1"/>
    <col min="38" max="38" width="9.125" customWidth="1"/>
    <col min="39" max="39" width="17.125" bestFit="1" customWidth="1"/>
    <col min="40" max="40" width="9.125" bestFit="1" customWidth="1"/>
    <col min="41" max="41" width="17.125" bestFit="1" customWidth="1"/>
    <col min="42" max="43" width="9.125" bestFit="1" customWidth="1"/>
    <col min="44" max="44" width="17.125" bestFit="1" customWidth="1"/>
    <col min="45" max="45" width="9.125" bestFit="1" customWidth="1"/>
  </cols>
  <sheetData>
    <row r="1" spans="1:46">
      <c r="A1" t="s">
        <v>21</v>
      </c>
      <c r="B1">
        <f>ts!C13</f>
        <v>298</v>
      </c>
      <c r="C1" t="s">
        <v>22</v>
      </c>
      <c r="H1" s="22" t="s">
        <v>126</v>
      </c>
      <c r="I1" s="13">
        <f>G20</f>
        <v>50.931147437775508</v>
      </c>
      <c r="J1" s="11"/>
    </row>
    <row r="2" spans="1:46">
      <c r="A2" t="s">
        <v>4</v>
      </c>
      <c r="B2" s="2">
        <v>6.6260700399999999E-34</v>
      </c>
      <c r="C2" t="s">
        <v>5</v>
      </c>
      <c r="H2" s="22" t="s">
        <v>122</v>
      </c>
      <c r="I2" s="13">
        <f>G28</f>
        <v>50.321974431397393</v>
      </c>
      <c r="J2" s="11"/>
    </row>
    <row r="3" spans="1:46">
      <c r="A3" t="s">
        <v>7</v>
      </c>
      <c r="B3" s="2">
        <v>1.3806485199999999E-23</v>
      </c>
      <c r="C3" t="s">
        <v>8</v>
      </c>
      <c r="H3" s="22" t="s">
        <v>115</v>
      </c>
      <c r="I3" s="13">
        <f>G34</f>
        <v>-89.479056553984606</v>
      </c>
      <c r="J3" s="11"/>
    </row>
    <row r="4" spans="1:46">
      <c r="A4" t="s">
        <v>10</v>
      </c>
      <c r="B4">
        <v>8.3144597999999998</v>
      </c>
      <c r="C4" t="s">
        <v>11</v>
      </c>
      <c r="H4" s="22" t="s">
        <v>127</v>
      </c>
      <c r="I4" s="13">
        <f>G35</f>
        <v>76.986733284546062</v>
      </c>
      <c r="J4" s="11"/>
      <c r="K4" s="2"/>
      <c r="L4" s="2"/>
      <c r="S4" s="2"/>
      <c r="T4" s="2"/>
      <c r="AA4" s="2"/>
      <c r="AB4" s="2"/>
      <c r="AG4" s="2"/>
      <c r="AH4" s="2"/>
      <c r="AI4" s="2"/>
      <c r="AN4" s="2"/>
      <c r="AO4" s="2"/>
      <c r="AP4" s="2"/>
      <c r="AQ4" s="2"/>
      <c r="AR4" s="2"/>
      <c r="AS4" s="2"/>
      <c r="AT4" s="2"/>
    </row>
    <row r="5" spans="1:46" ht="18.5">
      <c r="A5" t="s">
        <v>13</v>
      </c>
      <c r="B5">
        <v>3.1415926535900001</v>
      </c>
      <c r="C5" s="3"/>
      <c r="H5" s="23" t="s">
        <v>129</v>
      </c>
      <c r="I5" s="24">
        <f>B3*B1/B2*G22*EXP(-I1*1000/B4/B1)</f>
        <v>1.9868696233279174E-4</v>
      </c>
      <c r="J5" s="11" t="s">
        <v>130</v>
      </c>
    </row>
    <row r="6" spans="1:46">
      <c r="A6" t="s">
        <v>15</v>
      </c>
      <c r="B6" s="2">
        <v>6.0221408599999999E+23</v>
      </c>
      <c r="C6" t="s">
        <v>16</v>
      </c>
      <c r="H6" s="23" t="s">
        <v>128</v>
      </c>
      <c r="I6" s="24">
        <f>B3*B1/B2*D21*E21/F21*EXP(-I4*1000/B4/B1)</f>
        <v>1.9895628197462613E-4</v>
      </c>
      <c r="J6" s="11" t="s">
        <v>130</v>
      </c>
      <c r="K6" s="2"/>
      <c r="S6" s="2"/>
      <c r="AA6" s="2"/>
      <c r="AG6" s="2"/>
      <c r="AP6" s="2"/>
      <c r="AS6" s="2"/>
    </row>
    <row r="8" spans="1:46">
      <c r="A8" t="s">
        <v>147</v>
      </c>
      <c r="B8">
        <v>-387.72</v>
      </c>
      <c r="H8" s="23" t="s">
        <v>149</v>
      </c>
      <c r="I8" s="24">
        <f>I5*$B$9</f>
        <v>2.2769572186656507E-4</v>
      </c>
      <c r="J8" s="11" t="s">
        <v>130</v>
      </c>
    </row>
    <row r="9" spans="1:46">
      <c r="A9" t="s">
        <v>148</v>
      </c>
      <c r="B9" s="2">
        <f>1+1/24*(-B8*1.9864E-23/B3/B1)^2</f>
        <v>1.146002330465876</v>
      </c>
      <c r="H9" s="23" t="s">
        <v>150</v>
      </c>
      <c r="I9" s="24">
        <f>I6*$B$9</f>
        <v>2.2800436280374749E-4</v>
      </c>
      <c r="J9" s="11" t="s">
        <v>130</v>
      </c>
    </row>
    <row r="10" spans="1:46">
      <c r="AE10" s="2"/>
      <c r="AH10" s="2"/>
      <c r="AI10" s="2"/>
      <c r="AP10" s="2"/>
    </row>
    <row r="11" spans="1:46">
      <c r="AE11" s="2"/>
      <c r="AH11" s="2"/>
      <c r="AI11" s="2"/>
      <c r="AP11" s="2"/>
    </row>
    <row r="12" spans="1:46" ht="36">
      <c r="D12" t="s">
        <v>111</v>
      </c>
      <c r="E12" t="s">
        <v>112</v>
      </c>
      <c r="F12" t="s">
        <v>113</v>
      </c>
      <c r="G12" s="18" t="s">
        <v>114</v>
      </c>
    </row>
    <row r="13" spans="1:46">
      <c r="B13" s="2"/>
      <c r="C13" s="16" t="s">
        <v>102</v>
      </c>
      <c r="D13">
        <f>'reactant 1'!$C$36</f>
        <v>1</v>
      </c>
      <c r="E13">
        <f>'reactant 2'!$C$36</f>
        <v>1</v>
      </c>
      <c r="F13">
        <f>ts!$C$36</f>
        <v>1</v>
      </c>
      <c r="G13">
        <f>F13/E13/D13</f>
        <v>1</v>
      </c>
      <c r="AH13" s="2"/>
      <c r="AI13" s="2"/>
    </row>
    <row r="14" spans="1:46">
      <c r="B14" s="2"/>
      <c r="C14" s="16" t="s">
        <v>144</v>
      </c>
      <c r="D14" s="2">
        <f>'reactant 1'!$C$44</f>
        <v>147.59241072159261</v>
      </c>
      <c r="E14" s="2">
        <f>'reactant 2'!$C$44</f>
        <v>292.53349167767976</v>
      </c>
      <c r="F14" s="2">
        <f>ts!$C$44</f>
        <v>704.08973395983503</v>
      </c>
      <c r="G14">
        <f t="shared" ref="G14:G18" si="0">F14/E14/D14</f>
        <v>1.6307537683286754E-2</v>
      </c>
      <c r="AH14" s="2"/>
      <c r="AI14" s="2"/>
    </row>
    <row r="15" spans="1:46">
      <c r="C15" s="16" t="s">
        <v>103</v>
      </c>
      <c r="D15" s="2">
        <f>'reactant 1'!$C$52</f>
        <v>40766.250902357053</v>
      </c>
      <c r="E15" s="2">
        <f>'reactant 2'!$C$52</f>
        <v>16958.862164734019</v>
      </c>
      <c r="F15" s="2">
        <f>ts!$C$52</f>
        <v>799349.5997476246</v>
      </c>
      <c r="G15">
        <f t="shared" si="0"/>
        <v>1.1562168077015435E-3</v>
      </c>
    </row>
    <row r="16" spans="1:46">
      <c r="C16" s="16" t="s">
        <v>104</v>
      </c>
      <c r="D16">
        <f>'reactant 1'!$C$58</f>
        <v>3.6833815764323332</v>
      </c>
      <c r="E16">
        <f>'reactant 2'!$C$58</f>
        <v>11.13954862059496</v>
      </c>
      <c r="F16">
        <f>ts!$C$58</f>
        <v>2691.5644314117367</v>
      </c>
      <c r="G16">
        <f t="shared" si="0"/>
        <v>65.597981443541087</v>
      </c>
    </row>
    <row r="17" spans="3:7">
      <c r="C17" s="16" t="s">
        <v>105</v>
      </c>
      <c r="D17" s="2">
        <f>'reactant 1'!$C$64</f>
        <v>25.410432849514734</v>
      </c>
      <c r="E17" s="2">
        <f>'reactant 2'!$C$64</f>
        <v>22.878783808599817</v>
      </c>
      <c r="F17" s="2">
        <f>ts!$C$64</f>
        <v>12.720324263493914</v>
      </c>
      <c r="G17">
        <f t="shared" si="0"/>
        <v>2.1880295595288604E-2</v>
      </c>
    </row>
    <row r="18" spans="3:7">
      <c r="C18" s="16" t="s">
        <v>145</v>
      </c>
      <c r="D18" s="2">
        <f>'reactant 1'!$C$68</f>
        <v>563149332.9582423</v>
      </c>
      <c r="E18" s="2">
        <f>'reactant 2'!$C$68</f>
        <v>1264366071.2753546</v>
      </c>
      <c r="F18" s="2">
        <f>ts!$C$68</f>
        <v>19269379803598.492</v>
      </c>
      <c r="G18">
        <f t="shared" si="0"/>
        <v>2.7062712858660037E-5</v>
      </c>
    </row>
    <row r="19" spans="3:7">
      <c r="C19" s="16"/>
      <c r="D19" s="2"/>
      <c r="E19" s="2"/>
      <c r="F19" s="2"/>
    </row>
    <row r="20" spans="3:7">
      <c r="C20" s="16" t="s">
        <v>125</v>
      </c>
      <c r="D20" s="9">
        <f>'reactant 1'!C40</f>
        <v>-612441.52832390671</v>
      </c>
      <c r="E20" s="9">
        <f>'reactant 2'!$C$40</f>
        <v>-948800.42096994375</v>
      </c>
      <c r="F20" s="9">
        <f>ts!$C$40</f>
        <v>-1561191.0181464127</v>
      </c>
      <c r="G20" s="9">
        <f>F20-E20-D20</f>
        <v>50.931147437775508</v>
      </c>
    </row>
    <row r="21" spans="3:7">
      <c r="C21" s="16" t="s">
        <v>73</v>
      </c>
      <c r="D21">
        <f>0.001</f>
        <v>1E-3</v>
      </c>
      <c r="E21">
        <f>0.001</f>
        <v>1E-3</v>
      </c>
      <c r="F21">
        <f>0.001</f>
        <v>1E-3</v>
      </c>
    </row>
    <row r="22" spans="3:7">
      <c r="C22" s="16" t="s">
        <v>146</v>
      </c>
      <c r="D22" s="2">
        <f>D18/D21</f>
        <v>563149332958.24231</v>
      </c>
      <c r="E22" s="2">
        <f t="shared" ref="E22:F22" si="1">E18/E21</f>
        <v>1264366071275.3545</v>
      </c>
      <c r="F22" s="2">
        <f t="shared" si="1"/>
        <v>1.9269379803598492E+16</v>
      </c>
      <c r="G22" s="2">
        <f>F22/E22/D22</f>
        <v>2.7062712858660039E-8</v>
      </c>
    </row>
    <row r="23" spans="3:7">
      <c r="C23" s="16"/>
    </row>
    <row r="24" spans="3:7">
      <c r="C24" s="16" t="s">
        <v>106</v>
      </c>
      <c r="D24">
        <f>'reactant 1'!$C$38</f>
        <v>-612756.11909950862</v>
      </c>
      <c r="E24">
        <f>'reactant 2'!$C$38</f>
        <v>-949050.90688125312</v>
      </c>
      <c r="F24">
        <f>ts!$C$38</f>
        <v>-1561762.8388218295</v>
      </c>
      <c r="G24" s="9">
        <f>F24-E24-D24</f>
        <v>44.187158932210878</v>
      </c>
    </row>
    <row r="25" spans="3:7">
      <c r="C25" s="16" t="s">
        <v>107</v>
      </c>
      <c r="D25" s="9">
        <f>'reactant 1'!$C$48</f>
        <v>3.7165635305999993</v>
      </c>
      <c r="E25" s="9">
        <f>'reactant 2'!$C$48</f>
        <v>3.7165635305999993</v>
      </c>
      <c r="F25" s="9">
        <f>ts!$C$48</f>
        <v>3.7165635305999993</v>
      </c>
      <c r="G25" s="9">
        <f t="shared" ref="G25:G35" si="2">F25-E25-D25</f>
        <v>-3.7165635305999993</v>
      </c>
    </row>
    <row r="26" spans="3:7">
      <c r="C26" s="16" t="s">
        <v>108</v>
      </c>
      <c r="D26" s="9">
        <f>'reactant 1'!$C$54</f>
        <v>4.2862505639589017</v>
      </c>
      <c r="E26" s="9">
        <f>'reactant 2'!$C$54</f>
        <v>6.1942647271470017</v>
      </c>
      <c r="F26" s="9">
        <f>ts!$C$54</f>
        <v>5.9263928614638059</v>
      </c>
      <c r="G26" s="9">
        <f t="shared" si="2"/>
        <v>-4.5541224296420975</v>
      </c>
    </row>
    <row r="27" spans="3:7">
      <c r="C27" s="16" t="s">
        <v>109</v>
      </c>
      <c r="D27" s="9">
        <f>'reactant 1'!$C$60</f>
        <v>321.26672038978001</v>
      </c>
      <c r="E27" s="9">
        <f>'reactant 2'!$C$60</f>
        <v>259.97005777498032</v>
      </c>
      <c r="F27" s="9">
        <f>ts!$C$60</f>
        <v>595.64227962446785</v>
      </c>
      <c r="G27" s="9">
        <f t="shared" si="2"/>
        <v>14.405501459707523</v>
      </c>
    </row>
    <row r="28" spans="3:7">
      <c r="C28" s="16" t="s">
        <v>110</v>
      </c>
      <c r="D28" s="9">
        <f>'reactant 1'!$C$72</f>
        <v>-612426.84956502425</v>
      </c>
      <c r="E28" s="9">
        <f>'reactant 2'!$C$72</f>
        <v>-948781.02599522029</v>
      </c>
      <c r="F28" s="9">
        <f>ts!$C$72</f>
        <v>-1561157.5535858131</v>
      </c>
      <c r="G28" s="9">
        <f t="shared" si="2"/>
        <v>50.321974431397393</v>
      </c>
    </row>
    <row r="29" spans="3:7">
      <c r="C29" s="17" t="s">
        <v>116</v>
      </c>
      <c r="D29">
        <f>'reactant 1'!$C$42</f>
        <v>0</v>
      </c>
      <c r="E29">
        <f>'reactant 2'!$C$42</f>
        <v>0</v>
      </c>
      <c r="F29">
        <f>ts!$C$42</f>
        <v>0</v>
      </c>
      <c r="G29" s="9">
        <f t="shared" si="2"/>
        <v>0</v>
      </c>
    </row>
    <row r="30" spans="3:7">
      <c r="C30" s="17" t="s">
        <v>117</v>
      </c>
      <c r="D30" s="9">
        <f>'reactant 1'!$C$50</f>
        <v>53.997899119082135</v>
      </c>
      <c r="E30" s="9">
        <f>'reactant 2'!$C$50</f>
        <v>59.686028103661798</v>
      </c>
      <c r="F30" s="9">
        <f>ts!$C$50</f>
        <v>66.988842198806509</v>
      </c>
      <c r="G30" s="9">
        <f t="shared" si="2"/>
        <v>-46.695085023937423</v>
      </c>
    </row>
    <row r="31" spans="3:7">
      <c r="C31" s="17" t="s">
        <v>118</v>
      </c>
      <c r="D31" s="9">
        <f>'reactant 1'!$C$56</f>
        <v>102.64645237417299</v>
      </c>
      <c r="E31" s="9">
        <f>'reactant 2'!$C$56</f>
        <v>101.75687095761512</v>
      </c>
      <c r="F31" s="9">
        <f>ts!$C$56</f>
        <v>132.8936510232337</v>
      </c>
      <c r="G31" s="9">
        <f t="shared" si="2"/>
        <v>-71.509672308554414</v>
      </c>
    </row>
    <row r="32" spans="3:7">
      <c r="C32" s="17" t="s">
        <v>119</v>
      </c>
      <c r="D32" s="9">
        <f>'reactant 1'!$C$62</f>
        <v>33.242275224973035</v>
      </c>
      <c r="E32" s="9">
        <f>'reactant 2'!$C$62</f>
        <v>51.867316589055548</v>
      </c>
      <c r="F32" s="9">
        <f>ts!$C$62</f>
        <v>145.6032641387842</v>
      </c>
      <c r="G32" s="9">
        <f t="shared" si="2"/>
        <v>60.493672324755615</v>
      </c>
    </row>
    <row r="33" spans="3:7">
      <c r="C33" s="17" t="s">
        <v>120</v>
      </c>
      <c r="D33" s="9">
        <f>'reactant 1'!$C$66</f>
        <v>26.889044175102832</v>
      </c>
      <c r="E33" s="9">
        <f>'reactant 2'!$C$66</f>
        <v>26.016753300930876</v>
      </c>
      <c r="F33" s="9">
        <f>ts!$C$66</f>
        <v>21.13782592978535</v>
      </c>
      <c r="G33" s="9">
        <f t="shared" si="2"/>
        <v>-31.767971546248358</v>
      </c>
    </row>
    <row r="34" spans="3:7">
      <c r="C34" s="17" t="s">
        <v>121</v>
      </c>
      <c r="D34" s="9">
        <f>'reactant 1'!$C$74</f>
        <v>216.77567089333101</v>
      </c>
      <c r="E34" s="9">
        <f>'reactant 2'!$C$74</f>
        <v>239.32696895126335</v>
      </c>
      <c r="F34" s="9">
        <f>ts!$C$74</f>
        <v>366.62358329060976</v>
      </c>
      <c r="G34" s="9">
        <f t="shared" si="2"/>
        <v>-89.479056553984606</v>
      </c>
    </row>
    <row r="35" spans="3:7">
      <c r="C35" s="16" t="s">
        <v>97</v>
      </c>
      <c r="D35" s="9">
        <f>'reactant 1'!$C$76</f>
        <v>-612491.44871495047</v>
      </c>
      <c r="E35" s="9">
        <f>'reactant 2'!$C$76</f>
        <v>-948852.34543196775</v>
      </c>
      <c r="F35" s="9">
        <f>ts!$C$76</f>
        <v>-1561266.8074136337</v>
      </c>
      <c r="G35" s="9">
        <f t="shared" si="2"/>
        <v>76.986733284546062</v>
      </c>
    </row>
    <row r="36" spans="3:7">
      <c r="C36" s="16"/>
      <c r="D36" s="2"/>
      <c r="E36" s="2"/>
      <c r="F36" s="2"/>
    </row>
    <row r="37" spans="3:7">
      <c r="C37" s="19"/>
    </row>
    <row r="38" spans="3:7">
      <c r="C38" s="19"/>
    </row>
    <row r="39" spans="3:7">
      <c r="C39" s="19"/>
    </row>
    <row r="40" spans="3:7">
      <c r="C40" s="19"/>
    </row>
    <row r="41" spans="3:7">
      <c r="C41" s="20"/>
    </row>
    <row r="42" spans="3:7">
      <c r="C42" s="20"/>
    </row>
    <row r="43" spans="3:7">
      <c r="C43" s="21"/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reactant 1</vt:lpstr>
      <vt:lpstr>reactant 2</vt:lpstr>
      <vt:lpstr>ts</vt:lpstr>
      <vt:lpstr>k_tst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yuichiro izato</dc:creator>
  <cp:lastModifiedBy>izato-yuichiro-tk@ynu.ac.jp</cp:lastModifiedBy>
  <dcterms:created xsi:type="dcterms:W3CDTF">2015-06-05T18:19:34Z</dcterms:created>
  <dcterms:modified xsi:type="dcterms:W3CDTF">2024-07-05T06:33:18Z</dcterms:modified>
</cp:coreProperties>
</file>