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ynuacjpoffice365-my.sharepoint.com/personal/izato-yuichiro-tk_ynu_ac_jp/Documents/current_work/論文執筆/solvent_dmso/esi_2/"/>
    </mc:Choice>
  </mc:AlternateContent>
  <xr:revisionPtr revIDLastSave="28" documentId="13_ncr:1_{A6EF8847-F7A0-44A6-A6C5-9153032935A1}" xr6:coauthVersionLast="47" xr6:coauthVersionMax="47" xr10:uidLastSave="{91F1D637-2B13-461E-BC53-59FEB9EE26DF}"/>
  <bookViews>
    <workbookView xWindow="-110" yWindow="-21710" windowWidth="38620" windowHeight="21100" activeTab="5" xr2:uid="{00000000-000D-0000-FFFF-FFFF00000000}"/>
  </bookViews>
  <sheets>
    <sheet name="example c6h5no in ethanol" sheetId="28" r:id="rId1"/>
    <sheet name="polar non-linear molecule" sheetId="20" r:id="rId2"/>
    <sheet name="polar linear molecule" sheetId="24" r:id="rId3"/>
    <sheet name="non-polar non-linear molecule" sheetId="21" r:id="rId4"/>
    <sheet name="non-polar linear molecule" sheetId="25" r:id="rId5"/>
    <sheet name="IGT non-linear molecule" sheetId="26" r:id="rId6"/>
    <sheet name="IGT linear molecule" sheetId="2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26" l="1"/>
  <c r="C42" i="27"/>
  <c r="C42" i="26"/>
  <c r="C42" i="25"/>
  <c r="C42" i="21"/>
  <c r="C42" i="24"/>
  <c r="C42" i="20"/>
  <c r="C42" i="28"/>
  <c r="C17" i="27"/>
  <c r="C46" i="28"/>
  <c r="C38" i="28"/>
  <c r="C36" i="28"/>
  <c r="C34" i="28"/>
  <c r="C40" i="28" s="1"/>
  <c r="C28" i="28"/>
  <c r="C29" i="28" s="1"/>
  <c r="C19" i="28"/>
  <c r="C18" i="28"/>
  <c r="C17" i="28"/>
  <c r="C48" i="28" s="1"/>
  <c r="C64" i="28" l="1"/>
  <c r="C52" i="28"/>
  <c r="C68" i="28" s="1"/>
  <c r="C54" i="28"/>
  <c r="C70" i="28" s="1"/>
  <c r="C50" i="28"/>
  <c r="C62" i="28"/>
  <c r="C44" i="28"/>
  <c r="C66" i="28" s="1"/>
  <c r="C72" i="28" l="1"/>
  <c r="C62" i="27" l="1"/>
  <c r="C48" i="26"/>
  <c r="C62" i="26"/>
  <c r="C54" i="27" l="1"/>
  <c r="C52" i="27"/>
  <c r="C50" i="27"/>
  <c r="C48" i="27"/>
  <c r="C46" i="27"/>
  <c r="C44" i="27"/>
  <c r="C38" i="27"/>
  <c r="C36" i="27"/>
  <c r="C34" i="27"/>
  <c r="C40" i="27" s="1"/>
  <c r="C54" i="26"/>
  <c r="C70" i="26" s="1"/>
  <c r="C52" i="26"/>
  <c r="C50" i="26"/>
  <c r="C46" i="26"/>
  <c r="C38" i="26"/>
  <c r="C36" i="26"/>
  <c r="C34" i="26"/>
  <c r="C40" i="26" s="1"/>
  <c r="C54" i="25"/>
  <c r="C54" i="21"/>
  <c r="C52" i="25"/>
  <c r="C50" i="25"/>
  <c r="C46" i="25"/>
  <c r="C38" i="25"/>
  <c r="C36" i="25"/>
  <c r="C34" i="25"/>
  <c r="C40" i="25" s="1"/>
  <c r="C19" i="25"/>
  <c r="C18" i="25"/>
  <c r="C62" i="25" s="1"/>
  <c r="C17" i="25"/>
  <c r="C44" i="25" s="1"/>
  <c r="C46" i="24"/>
  <c r="C38" i="24"/>
  <c r="C36" i="24"/>
  <c r="C34" i="24"/>
  <c r="C40" i="24" s="1"/>
  <c r="C28" i="24"/>
  <c r="C29" i="24" s="1"/>
  <c r="C54" i="24" s="1"/>
  <c r="C19" i="24"/>
  <c r="C18" i="24"/>
  <c r="C17" i="24"/>
  <c r="C44" i="24" s="1"/>
  <c r="C52" i="21"/>
  <c r="C50" i="21"/>
  <c r="C38" i="20"/>
  <c r="C68" i="26" l="1"/>
  <c r="C68" i="27"/>
  <c r="C70" i="27"/>
  <c r="C66" i="27"/>
  <c r="C72" i="26"/>
  <c r="C64" i="25"/>
  <c r="C48" i="25"/>
  <c r="C68" i="25"/>
  <c r="C50" i="24"/>
  <c r="C48" i="24"/>
  <c r="C70" i="24" s="1"/>
  <c r="C64" i="24"/>
  <c r="C44" i="26"/>
  <c r="C66" i="26" s="1"/>
  <c r="C66" i="25"/>
  <c r="C52" i="24"/>
  <c r="C68" i="24" s="1"/>
  <c r="C62" i="24"/>
  <c r="C66" i="24" s="1"/>
  <c r="C70" i="25" l="1"/>
  <c r="C72" i="27"/>
  <c r="C72" i="25"/>
  <c r="C72" i="24"/>
  <c r="C38" i="21"/>
  <c r="C46" i="21" l="1"/>
  <c r="C68" i="21" s="1"/>
  <c r="C36" i="21"/>
  <c r="C34" i="21"/>
  <c r="C19" i="21"/>
  <c r="C18" i="21"/>
  <c r="C17" i="21"/>
  <c r="C48" i="21" s="1"/>
  <c r="C36" i="20"/>
  <c r="C34" i="20"/>
  <c r="C40" i="20" s="1"/>
  <c r="C17" i="20"/>
  <c r="C48" i="20" s="1"/>
  <c r="C62" i="21" l="1"/>
  <c r="C40" i="21"/>
  <c r="C44" i="21"/>
  <c r="C64" i="21"/>
  <c r="C70" i="21" l="1"/>
  <c r="C66" i="21"/>
  <c r="C72" i="21" l="1"/>
  <c r="C46" i="20"/>
  <c r="C44" i="20" l="1"/>
  <c r="C28" i="20" l="1"/>
  <c r="C29" i="20" s="1"/>
  <c r="C19" i="20"/>
  <c r="C18" i="20"/>
  <c r="C50" i="20" l="1"/>
  <c r="C54" i="20"/>
  <c r="C52" i="20"/>
  <c r="C68" i="20" s="1"/>
  <c r="C62" i="20"/>
  <c r="C64" i="20"/>
  <c r="C66" i="20" l="1"/>
  <c r="C70" i="20"/>
  <c r="C72" i="20" l="1"/>
</calcChain>
</file>

<file path=xl/sharedStrings.xml><?xml version="1.0" encoding="utf-8"?>
<sst xmlns="http://schemas.openxmlformats.org/spreadsheetml/2006/main" count="864" uniqueCount="123">
  <si>
    <t>Inputs</t>
    <phoneticPr fontId="2"/>
  </si>
  <si>
    <t>outputs</t>
    <phoneticPr fontId="2"/>
  </si>
  <si>
    <t>constants</t>
    <phoneticPr fontId="2"/>
  </si>
  <si>
    <t>the Planck constant</t>
    <phoneticPr fontId="2"/>
  </si>
  <si>
    <t>h</t>
    <phoneticPr fontId="2"/>
  </si>
  <si>
    <t>m^2 kg / s</t>
    <phoneticPr fontId="2"/>
  </si>
  <si>
    <t>the Boltzman constant</t>
    <phoneticPr fontId="2"/>
  </si>
  <si>
    <t>kb</t>
    <phoneticPr fontId="2"/>
  </si>
  <si>
    <t>m^2 kg / (s^2 K)</t>
    <phoneticPr fontId="2"/>
  </si>
  <si>
    <t>the universal gas constant</t>
    <phoneticPr fontId="2"/>
  </si>
  <si>
    <t>R</t>
    <phoneticPr fontId="2"/>
  </si>
  <si>
    <t>m^2 kg / (s^2 K mol)</t>
    <phoneticPr fontId="2"/>
  </si>
  <si>
    <t>pi</t>
    <phoneticPr fontId="2"/>
  </si>
  <si>
    <t>π</t>
    <phoneticPr fontId="2"/>
  </si>
  <si>
    <t>the Avogadro number</t>
    <phoneticPr fontId="2"/>
  </si>
  <si>
    <t>NA</t>
    <phoneticPr fontId="2"/>
  </si>
  <si>
    <t>mol^-1</t>
    <phoneticPr fontId="2"/>
  </si>
  <si>
    <t>molar mass</t>
    <phoneticPr fontId="2"/>
  </si>
  <si>
    <t>m</t>
    <phoneticPr fontId="2"/>
  </si>
  <si>
    <t>g/mol</t>
    <phoneticPr fontId="2"/>
  </si>
  <si>
    <t>temperature</t>
    <phoneticPr fontId="2"/>
  </si>
  <si>
    <t>T</t>
    <phoneticPr fontId="2"/>
  </si>
  <si>
    <t>K</t>
    <phoneticPr fontId="2"/>
  </si>
  <si>
    <t>Volume of cavity</t>
    <phoneticPr fontId="2"/>
  </si>
  <si>
    <t>Vcav</t>
    <phoneticPr fontId="2"/>
  </si>
  <si>
    <t>A^3</t>
    <phoneticPr fontId="2"/>
  </si>
  <si>
    <t>Volume of a molecule</t>
    <phoneticPr fontId="2"/>
  </si>
  <si>
    <t>Vmol</t>
    <phoneticPr fontId="2"/>
  </si>
  <si>
    <t>V free</t>
    <phoneticPr fontId="2"/>
  </si>
  <si>
    <t>m^3</t>
    <phoneticPr fontId="2"/>
  </si>
  <si>
    <t>Translational entropy</t>
    <phoneticPr fontId="2"/>
  </si>
  <si>
    <t>J / (mol K)</t>
    <phoneticPr fontId="2"/>
  </si>
  <si>
    <t>Translational energy</t>
    <phoneticPr fontId="2"/>
  </si>
  <si>
    <t>kJ / mol</t>
    <phoneticPr fontId="2"/>
  </si>
  <si>
    <t>rotational symmetry No.</t>
    <phoneticPr fontId="2"/>
  </si>
  <si>
    <t>σ</t>
    <phoneticPr fontId="2"/>
  </si>
  <si>
    <t>-</t>
    <phoneticPr fontId="2"/>
  </si>
  <si>
    <t>Rotational temp. A</t>
    <phoneticPr fontId="2"/>
  </si>
  <si>
    <t>θA</t>
    <phoneticPr fontId="2"/>
  </si>
  <si>
    <t>Rotational temp. B</t>
    <phoneticPr fontId="2"/>
  </si>
  <si>
    <t>θB</t>
    <phoneticPr fontId="2"/>
  </si>
  <si>
    <t>Rotational temp. C</t>
    <phoneticPr fontId="2"/>
  </si>
  <si>
    <t>θC</t>
    <phoneticPr fontId="2"/>
  </si>
  <si>
    <t>Dipole moment of solute</t>
    <phoneticPr fontId="2"/>
  </si>
  <si>
    <t>debye</t>
    <phoneticPr fontId="2"/>
  </si>
  <si>
    <t>Dipole moment of solute at vacuum</t>
    <phoneticPr fontId="2"/>
  </si>
  <si>
    <t>Polarizability</t>
    <phoneticPr fontId="2"/>
  </si>
  <si>
    <t>Electric field in cavity</t>
    <phoneticPr fontId="2"/>
  </si>
  <si>
    <t>Ef</t>
    <phoneticPr fontId="2"/>
  </si>
  <si>
    <t>J / (m C)</t>
    <phoneticPr fontId="2"/>
  </si>
  <si>
    <t>X</t>
    <phoneticPr fontId="2"/>
  </si>
  <si>
    <t>Rotational entropy</t>
    <phoneticPr fontId="2"/>
  </si>
  <si>
    <t>Rotational energy</t>
    <phoneticPr fontId="2"/>
  </si>
  <si>
    <t>Vibrational entropy</t>
    <phoneticPr fontId="2"/>
  </si>
  <si>
    <t>Electronic entropy</t>
    <phoneticPr fontId="2"/>
  </si>
  <si>
    <t>total entropy</t>
    <phoneticPr fontId="2"/>
  </si>
  <si>
    <t>electron multiplicity</t>
    <phoneticPr fontId="2"/>
  </si>
  <si>
    <t>C</t>
    <phoneticPr fontId="2"/>
  </si>
  <si>
    <t>mol/L</t>
    <phoneticPr fontId="2"/>
  </si>
  <si>
    <t>Ncell</t>
    <phoneticPr fontId="2"/>
  </si>
  <si>
    <t>Nsolute</t>
    <phoneticPr fontId="2"/>
  </si>
  <si>
    <r>
      <rPr>
        <sz val="11"/>
        <color theme="1"/>
        <rFont val="Symbol"/>
        <family val="1"/>
        <charset val="2"/>
      </rPr>
      <t>m_</t>
    </r>
    <r>
      <rPr>
        <sz val="11"/>
        <color theme="1"/>
        <rFont val="Yu Gothic"/>
        <family val="3"/>
        <charset val="128"/>
        <scheme val="minor"/>
      </rPr>
      <t>p</t>
    </r>
    <phoneticPr fontId="2"/>
  </si>
  <si>
    <t>Erectric energy</t>
    <phoneticPr fontId="2"/>
  </si>
  <si>
    <t>hartree</t>
    <phoneticPr fontId="2"/>
  </si>
  <si>
    <t>ZPE</t>
    <phoneticPr fontId="2"/>
  </si>
  <si>
    <t>Vibrational energy</t>
    <phoneticPr fontId="2"/>
  </si>
  <si>
    <t>Translational partition function</t>
    <phoneticPr fontId="2"/>
  </si>
  <si>
    <t>Rotational partition function</t>
    <phoneticPr fontId="2"/>
  </si>
  <si>
    <t>total partition function</t>
    <phoneticPr fontId="2"/>
  </si>
  <si>
    <t>G</t>
    <phoneticPr fontId="2"/>
  </si>
  <si>
    <t>V</t>
    <phoneticPr fontId="2"/>
  </si>
  <si>
    <t>the number of possible optical isomers</t>
    <phoneticPr fontId="2"/>
  </si>
  <si>
    <t>the rotational symmetry number</t>
    <phoneticPr fontId="2"/>
  </si>
  <si>
    <t>n_iso</t>
    <phoneticPr fontId="2"/>
  </si>
  <si>
    <t>ZPE scaling factor</t>
  </si>
  <si>
    <t>Scaled ZPE</t>
    <phoneticPr fontId="2"/>
  </si>
  <si>
    <t>q_trans</t>
    <phoneticPr fontId="2"/>
  </si>
  <si>
    <t>S_elec</t>
    <phoneticPr fontId="2"/>
  </si>
  <si>
    <t>E_trans</t>
    <phoneticPr fontId="2"/>
  </si>
  <si>
    <t>a</t>
    <phoneticPr fontId="2"/>
  </si>
  <si>
    <t>q_elec</t>
    <phoneticPr fontId="2"/>
  </si>
  <si>
    <t>Electric partition function</t>
    <phoneticPr fontId="2"/>
  </si>
  <si>
    <t>q_rot</t>
    <phoneticPr fontId="2"/>
  </si>
  <si>
    <t>Vibrational partition function</t>
    <phoneticPr fontId="2"/>
  </si>
  <si>
    <t>q_vib</t>
    <phoneticPr fontId="2"/>
  </si>
  <si>
    <t>Configurational partittion function</t>
    <phoneticPr fontId="2"/>
  </si>
  <si>
    <t>Configurational entropy</t>
    <phoneticPr fontId="2"/>
  </si>
  <si>
    <t>total energy or internal energy</t>
    <phoneticPr fontId="2"/>
  </si>
  <si>
    <t>U</t>
    <phoneticPr fontId="2"/>
  </si>
  <si>
    <t>Potential energy</t>
    <phoneticPr fontId="2"/>
  </si>
  <si>
    <t>E_0</t>
    <phoneticPr fontId="2"/>
  </si>
  <si>
    <t>Gibbs energy</t>
    <phoneticPr fontId="2"/>
  </si>
  <si>
    <t>v_free</t>
    <phoneticPr fontId="2"/>
  </si>
  <si>
    <t>N_cell</t>
    <phoneticPr fontId="2"/>
  </si>
  <si>
    <t>N_solute</t>
    <phoneticPr fontId="2"/>
  </si>
  <si>
    <t>standard concentration</t>
    <phoneticPr fontId="2"/>
  </si>
  <si>
    <t>Electric energy</t>
    <phoneticPr fontId="2"/>
  </si>
  <si>
    <t>E_elec</t>
    <phoneticPr fontId="2"/>
  </si>
  <si>
    <t>S_trans</t>
    <phoneticPr fontId="2"/>
  </si>
  <si>
    <t>E_rot</t>
    <phoneticPr fontId="2"/>
  </si>
  <si>
    <t>S_rot</t>
    <phoneticPr fontId="2"/>
  </si>
  <si>
    <t>E_vib</t>
    <phoneticPr fontId="2"/>
  </si>
  <si>
    <t>S_vib</t>
    <phoneticPr fontId="2"/>
  </si>
  <si>
    <t>q_config</t>
    <phoneticPr fontId="2"/>
  </si>
  <si>
    <t>S_config</t>
    <phoneticPr fontId="2"/>
  </si>
  <si>
    <t>qtot</t>
    <phoneticPr fontId="2"/>
  </si>
  <si>
    <t>S_tot</t>
    <phoneticPr fontId="2"/>
  </si>
  <si>
    <t>f_zpe</t>
    <phoneticPr fontId="2"/>
  </si>
  <si>
    <t>ZPE'</t>
    <phoneticPr fontId="2"/>
  </si>
  <si>
    <t>standard pressure</t>
    <phoneticPr fontId="2"/>
  </si>
  <si>
    <t>p</t>
    <phoneticPr fontId="2"/>
  </si>
  <si>
    <t>atm</t>
    <phoneticPr fontId="2"/>
  </si>
  <si>
    <t>polar linear molecules</t>
    <phoneticPr fontId="2"/>
  </si>
  <si>
    <t>polar non-linear molecules</t>
    <phoneticPr fontId="2"/>
  </si>
  <si>
    <t>non-polar non-linear molecules</t>
    <phoneticPr fontId="2"/>
  </si>
  <si>
    <t>non-polar linear molecules</t>
    <phoneticPr fontId="2"/>
  </si>
  <si>
    <t>IGT non-linear molecules</t>
    <phoneticPr fontId="2"/>
  </si>
  <si>
    <t>IGT linear molecules</t>
    <phoneticPr fontId="2"/>
  </si>
  <si>
    <t>PV work</t>
    <phoneticPr fontId="2"/>
  </si>
  <si>
    <t>w_pv</t>
    <phoneticPr fontId="2"/>
  </si>
  <si>
    <t>kJ / mol</t>
    <phoneticPr fontId="2"/>
  </si>
  <si>
    <t>Enthalpy</t>
    <phoneticPr fontId="2"/>
  </si>
  <si>
    <t>H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</si>
</sst>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0_ "/>
  </numFmts>
  <fonts count="8">
    <font>
      <sz val="11"/>
      <color theme="1"/>
      <name val="Yu Gothic"/>
      <family val="2"/>
      <scheme val="minor"/>
    </font>
    <font>
      <b/>
      <sz val="11"/>
      <color theme="1"/>
      <name val="Yu Gothic"/>
      <family val="3"/>
      <charset val="128"/>
      <scheme val="minor"/>
    </font>
    <font>
      <sz val="6"/>
      <name val="Yu Gothic"/>
      <family val="3"/>
      <charset val="128"/>
      <scheme val="minor"/>
    </font>
    <font>
      <sz val="13"/>
      <color rgb="FF222222"/>
      <name val="Arial"/>
      <family val="2"/>
    </font>
    <font>
      <sz val="11"/>
      <color theme="1"/>
      <name val="Symbol"/>
      <family val="1"/>
      <charset val="2"/>
    </font>
    <font>
      <sz val="11"/>
      <color theme="1"/>
      <name val="Yu Gothic"/>
      <family val="1"/>
      <charset val="2"/>
      <scheme val="minor"/>
    </font>
    <font>
      <sz val="11"/>
      <color theme="1"/>
      <name val="Yu Gothic"/>
      <family val="3"/>
      <charset val="128"/>
      <scheme val="minor"/>
    </font>
    <font>
      <sz val="11"/>
      <name val="Yu Gothic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11" fontId="0" fillId="0" borderId="0" xfId="0" applyNumberFormat="1"/>
    <xf numFmtId="0" fontId="3" fillId="0" borderId="0" xfId="0" applyFont="1"/>
    <xf numFmtId="0" fontId="0" fillId="3" borderId="0" xfId="0" applyFill="1" applyAlignment="1">
      <alignment horizontal="center"/>
    </xf>
    <xf numFmtId="0" fontId="0" fillId="3" borderId="0" xfId="0" applyFill="1"/>
    <xf numFmtId="0" fontId="4" fillId="3" borderId="0" xfId="0" applyFont="1" applyFill="1"/>
    <xf numFmtId="0" fontId="5" fillId="3" borderId="0" xfId="0" applyFont="1" applyFill="1"/>
    <xf numFmtId="11" fontId="0" fillId="3" borderId="0" xfId="0" applyNumberFormat="1" applyFill="1"/>
    <xf numFmtId="176" fontId="0" fillId="0" borderId="0" xfId="0" applyNumberFormat="1"/>
    <xf numFmtId="0" fontId="0" fillId="4" borderId="0" xfId="0" applyFill="1"/>
    <xf numFmtId="11" fontId="0" fillId="4" borderId="0" xfId="0" applyNumberFormat="1" applyFill="1"/>
    <xf numFmtId="176" fontId="0" fillId="4" borderId="0" xfId="0" applyNumberFormat="1" applyFill="1"/>
    <xf numFmtId="177" fontId="0" fillId="4" borderId="0" xfId="0" applyNumberFormat="1" applyFill="1"/>
    <xf numFmtId="0" fontId="7" fillId="2" borderId="0" xfId="0" applyFont="1" applyFill="1" applyAlignment="1">
      <alignment horizontal="center"/>
    </xf>
    <xf numFmtId="0" fontId="4" fillId="0" borderId="0" xfId="0" applyFont="1"/>
    <xf numFmtId="0" fontId="5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7F882-6F18-4378-BF3D-7CDCB313D944}">
  <dimension ref="A1:P76"/>
  <sheetViews>
    <sheetView topLeftCell="A24" zoomScale="115" zoomScaleNormal="115" workbookViewId="0">
      <selection activeCell="A68" sqref="A68:XFD69"/>
    </sheetView>
  </sheetViews>
  <sheetFormatPr defaultRowHeight="18"/>
  <cols>
    <col min="1" max="1" width="34.08203125" bestFit="1" customWidth="1"/>
    <col min="2" max="2" width="14.2890625" bestFit="1" customWidth="1"/>
    <col min="3" max="3" width="14.20703125" customWidth="1"/>
    <col min="4" max="4" width="20.375" bestFit="1" customWidth="1"/>
    <col min="5" max="7" width="9.125" bestFit="1" customWidth="1"/>
    <col min="8" max="8" width="12.875" bestFit="1" customWidth="1"/>
    <col min="9" max="9" width="9.95703125" bestFit="1" customWidth="1"/>
    <col min="14" max="16" width="9.125" bestFit="1" customWidth="1"/>
  </cols>
  <sheetData>
    <row r="1" spans="1:4">
      <c r="A1" s="1" t="s">
        <v>113</v>
      </c>
      <c r="C1" s="4" t="s">
        <v>0</v>
      </c>
    </row>
    <row r="2" spans="1:4">
      <c r="C2" s="14" t="s">
        <v>1</v>
      </c>
    </row>
    <row r="4" spans="1:4">
      <c r="A4" s="1" t="s">
        <v>2</v>
      </c>
    </row>
    <row r="5" spans="1:4">
      <c r="A5" t="s">
        <v>3</v>
      </c>
      <c r="B5" t="s">
        <v>4</v>
      </c>
      <c r="C5">
        <v>6.6260700399999999E-34</v>
      </c>
      <c r="D5" t="s">
        <v>5</v>
      </c>
    </row>
    <row r="6" spans="1:4">
      <c r="A6" t="s">
        <v>6</v>
      </c>
      <c r="B6" t="s">
        <v>7</v>
      </c>
      <c r="C6" s="2">
        <v>1.3806485199999999E-23</v>
      </c>
      <c r="D6" t="s">
        <v>8</v>
      </c>
    </row>
    <row r="7" spans="1:4">
      <c r="A7" t="s">
        <v>9</v>
      </c>
      <c r="B7" t="s">
        <v>10</v>
      </c>
      <c r="C7">
        <v>8.3144597999999998</v>
      </c>
      <c r="D7" t="s">
        <v>11</v>
      </c>
    </row>
    <row r="8" spans="1:4" ht="18.5">
      <c r="A8" t="s">
        <v>12</v>
      </c>
      <c r="B8" t="s">
        <v>13</v>
      </c>
      <c r="C8">
        <v>3.1415926535900001</v>
      </c>
      <c r="D8" s="3"/>
    </row>
    <row r="9" spans="1:4">
      <c r="A9" t="s">
        <v>14</v>
      </c>
      <c r="B9" t="s">
        <v>15</v>
      </c>
      <c r="C9" s="2">
        <v>6.0221408599999999E+23</v>
      </c>
      <c r="D9" t="s">
        <v>16</v>
      </c>
    </row>
    <row r="11" spans="1:4">
      <c r="A11" s="5" t="s">
        <v>56</v>
      </c>
      <c r="B11" s="5"/>
      <c r="C11" s="5">
        <v>1</v>
      </c>
      <c r="D11" s="5" t="s">
        <v>36</v>
      </c>
    </row>
    <row r="12" spans="1:4">
      <c r="A12" s="5" t="s">
        <v>17</v>
      </c>
      <c r="B12" s="5" t="s">
        <v>18</v>
      </c>
      <c r="C12" s="5">
        <v>80.062600000000003</v>
      </c>
      <c r="D12" s="5" t="s">
        <v>19</v>
      </c>
    </row>
    <row r="13" spans="1:4">
      <c r="A13" s="5" t="s">
        <v>20</v>
      </c>
      <c r="B13" s="5" t="s">
        <v>21</v>
      </c>
      <c r="C13" s="5">
        <v>298</v>
      </c>
      <c r="D13" s="5" t="s">
        <v>22</v>
      </c>
    </row>
    <row r="14" spans="1:4">
      <c r="A14" s="5" t="s">
        <v>95</v>
      </c>
      <c r="B14" s="5" t="s">
        <v>57</v>
      </c>
      <c r="C14" s="5">
        <v>1</v>
      </c>
      <c r="D14" s="5" t="s">
        <v>58</v>
      </c>
    </row>
    <row r="15" spans="1:4">
      <c r="A15" s="5" t="s">
        <v>23</v>
      </c>
      <c r="B15" s="5" t="s">
        <v>24</v>
      </c>
      <c r="C15" s="5">
        <v>168.541</v>
      </c>
      <c r="D15" s="5" t="s">
        <v>25</v>
      </c>
    </row>
    <row r="16" spans="1:4">
      <c r="A16" s="5" t="s">
        <v>26</v>
      </c>
      <c r="B16" s="5" t="s">
        <v>27</v>
      </c>
      <c r="C16" s="5">
        <v>119.565</v>
      </c>
      <c r="D16" s="5" t="s">
        <v>25</v>
      </c>
    </row>
    <row r="17" spans="1:16">
      <c r="A17" t="s">
        <v>28</v>
      </c>
      <c r="B17" t="s">
        <v>92</v>
      </c>
      <c r="C17">
        <f>(C15^(1/3)-C16^(1/3))^3*1E-30</f>
        <v>2.1310568082398369E-31</v>
      </c>
      <c r="D17" t="s">
        <v>29</v>
      </c>
    </row>
    <row r="18" spans="1:16">
      <c r="A18" t="s">
        <v>59</v>
      </c>
      <c r="B18" t="s">
        <v>93</v>
      </c>
      <c r="C18">
        <f>0.001*1E+30/C15</f>
        <v>5.9332743961409982E+24</v>
      </c>
      <c r="G18" s="2"/>
    </row>
    <row r="19" spans="1:16">
      <c r="A19" t="s">
        <v>60</v>
      </c>
      <c r="B19" t="s">
        <v>94</v>
      </c>
      <c r="C19" s="2">
        <f>C9*C14</f>
        <v>6.0221408599999999E+23</v>
      </c>
      <c r="F19" s="2"/>
    </row>
    <row r="20" spans="1:16">
      <c r="A20" s="5" t="s">
        <v>71</v>
      </c>
      <c r="B20" s="5" t="s">
        <v>73</v>
      </c>
      <c r="C20" s="5">
        <v>1</v>
      </c>
      <c r="D20" s="5" t="s">
        <v>36</v>
      </c>
      <c r="F20" s="2"/>
    </row>
    <row r="21" spans="1:16">
      <c r="A21" s="5" t="s">
        <v>72</v>
      </c>
      <c r="B21" s="5" t="s">
        <v>35</v>
      </c>
      <c r="C21" s="5">
        <v>2</v>
      </c>
      <c r="D21" s="5" t="s">
        <v>36</v>
      </c>
    </row>
    <row r="22" spans="1:16">
      <c r="A22" s="5" t="s">
        <v>37</v>
      </c>
      <c r="B22" s="5" t="s">
        <v>38</v>
      </c>
      <c r="C22" s="5">
        <v>0.24440000000000001</v>
      </c>
      <c r="D22" s="5" t="s">
        <v>22</v>
      </c>
    </row>
    <row r="23" spans="1:16">
      <c r="A23" s="5" t="s">
        <v>39</v>
      </c>
      <c r="B23" s="5" t="s">
        <v>40</v>
      </c>
      <c r="C23" s="5">
        <v>0.24396999999999999</v>
      </c>
      <c r="D23" s="5" t="s">
        <v>22</v>
      </c>
    </row>
    <row r="24" spans="1:16">
      <c r="A24" s="5" t="s">
        <v>41</v>
      </c>
      <c r="B24" s="5" t="s">
        <v>42</v>
      </c>
      <c r="C24" s="5">
        <v>0.12970000000000001</v>
      </c>
      <c r="D24" s="5" t="s">
        <v>22</v>
      </c>
    </row>
    <row r="25" spans="1:16">
      <c r="A25" s="5" t="s">
        <v>43</v>
      </c>
      <c r="B25" s="6" t="s">
        <v>18</v>
      </c>
      <c r="C25" s="8">
        <v>0.70360001000000005</v>
      </c>
      <c r="D25" s="5" t="s">
        <v>44</v>
      </c>
      <c r="H25" s="2"/>
      <c r="I25" s="2"/>
      <c r="N25" s="2"/>
      <c r="O25" s="2"/>
      <c r="P25" s="2"/>
    </row>
    <row r="26" spans="1:16">
      <c r="A26" s="5" t="s">
        <v>45</v>
      </c>
      <c r="B26" s="7" t="s">
        <v>61</v>
      </c>
      <c r="C26" s="5">
        <v>0.51570000999999999</v>
      </c>
      <c r="D26" s="5" t="s">
        <v>44</v>
      </c>
      <c r="N26" s="2"/>
      <c r="O26" s="2"/>
      <c r="P26" s="2"/>
    </row>
    <row r="27" spans="1:16">
      <c r="A27" s="5" t="s">
        <v>46</v>
      </c>
      <c r="B27" s="6" t="s">
        <v>79</v>
      </c>
      <c r="C27" s="5">
        <v>86.459553999999997</v>
      </c>
      <c r="D27" s="5" t="s">
        <v>36</v>
      </c>
      <c r="N27" s="2"/>
      <c r="O27" s="2"/>
      <c r="P27" s="2"/>
    </row>
    <row r="28" spans="1:16">
      <c r="A28" t="s">
        <v>47</v>
      </c>
      <c r="B28" t="s">
        <v>48</v>
      </c>
      <c r="C28">
        <f>(C25-C26)*3.33564E-30/(C27*1.648777E-41)</f>
        <v>439674260.49376601</v>
      </c>
      <c r="D28" t="s">
        <v>49</v>
      </c>
      <c r="N28" s="2"/>
      <c r="O28" s="2"/>
      <c r="P28" s="2"/>
    </row>
    <row r="29" spans="1:16">
      <c r="B29" t="s">
        <v>50</v>
      </c>
      <c r="C29" s="2">
        <f>2*C25*3.33564E-30*C28/C6/C13</f>
        <v>0.50161053807205958</v>
      </c>
      <c r="N29" s="2"/>
      <c r="O29" s="2"/>
      <c r="P29" s="2"/>
    </row>
    <row r="30" spans="1:16">
      <c r="N30" s="2"/>
      <c r="O30" s="2"/>
      <c r="P30" s="2"/>
    </row>
    <row r="31" spans="1:16">
      <c r="A31" s="5" t="s">
        <v>62</v>
      </c>
      <c r="B31" s="5" t="s">
        <v>97</v>
      </c>
      <c r="C31" s="5">
        <v>-233.37130999999999</v>
      </c>
      <c r="D31" s="5" t="s">
        <v>63</v>
      </c>
      <c r="N31" s="2"/>
      <c r="O31" s="2"/>
      <c r="P31" s="2"/>
    </row>
    <row r="32" spans="1:16">
      <c r="A32" s="5" t="s">
        <v>64</v>
      </c>
      <c r="B32" s="5" t="s">
        <v>64</v>
      </c>
      <c r="C32" s="5">
        <v>0.12289363932632283</v>
      </c>
      <c r="D32" s="5" t="s">
        <v>63</v>
      </c>
      <c r="E32" s="9"/>
      <c r="N32" s="2"/>
      <c r="O32" s="2"/>
      <c r="P32" s="2"/>
    </row>
    <row r="33" spans="1:16">
      <c r="A33" s="5" t="s">
        <v>74</v>
      </c>
      <c r="B33" s="5" t="s">
        <v>107</v>
      </c>
      <c r="C33" s="5">
        <v>0.97499999999999998</v>
      </c>
      <c r="D33" s="5" t="s">
        <v>36</v>
      </c>
      <c r="E33" s="9"/>
      <c r="N33" s="2"/>
      <c r="O33" s="2"/>
      <c r="P33" s="2"/>
    </row>
    <row r="34" spans="1:16">
      <c r="A34" t="s">
        <v>75</v>
      </c>
      <c r="B34" t="s">
        <v>108</v>
      </c>
      <c r="C34">
        <f>C32*C33</f>
        <v>0.11982129834316475</v>
      </c>
      <c r="D34" t="s">
        <v>63</v>
      </c>
      <c r="E34" s="9"/>
      <c r="N34" s="2"/>
      <c r="O34" s="2"/>
      <c r="P34" s="2"/>
    </row>
    <row r="35" spans="1:16">
      <c r="N35" s="2"/>
      <c r="O35" s="2"/>
      <c r="P35" s="2"/>
    </row>
    <row r="36" spans="1:16">
      <c r="A36" s="10" t="s">
        <v>81</v>
      </c>
      <c r="B36" s="10" t="s">
        <v>80</v>
      </c>
      <c r="C36" s="10">
        <f>C11</f>
        <v>1</v>
      </c>
      <c r="D36" s="10" t="s">
        <v>36</v>
      </c>
      <c r="N36" s="2"/>
      <c r="O36" s="2"/>
      <c r="P36" s="2"/>
    </row>
    <row r="37" spans="1:16">
      <c r="N37" s="2"/>
      <c r="O37" s="2"/>
      <c r="P37" s="2"/>
    </row>
    <row r="38" spans="1:16">
      <c r="A38" s="10" t="s">
        <v>96</v>
      </c>
      <c r="B38" s="10" t="s">
        <v>97</v>
      </c>
      <c r="C38" s="10">
        <f>C31*627.5094740631*4.184</f>
        <v>-612716.29026997776</v>
      </c>
      <c r="D38" s="10" t="s">
        <v>33</v>
      </c>
      <c r="N38" s="2"/>
      <c r="O38" s="2"/>
      <c r="P38" s="2"/>
    </row>
    <row r="39" spans="1:16">
      <c r="N39" s="2"/>
      <c r="O39" s="2"/>
      <c r="P39" s="2"/>
    </row>
    <row r="40" spans="1:16">
      <c r="A40" s="10" t="s">
        <v>89</v>
      </c>
      <c r="B40" s="10" t="s">
        <v>90</v>
      </c>
      <c r="C40" s="10">
        <f>(C31+C34)*627.5094740631*4.184</f>
        <v>-612401.69949437573</v>
      </c>
      <c r="D40" s="10" t="s">
        <v>33</v>
      </c>
      <c r="N40" s="2"/>
      <c r="O40" s="2"/>
      <c r="P40" s="2"/>
    </row>
    <row r="41" spans="1:16">
      <c r="N41" s="2"/>
      <c r="O41" s="2"/>
      <c r="P41" s="2"/>
    </row>
    <row r="42" spans="1:16">
      <c r="A42" s="10" t="s">
        <v>54</v>
      </c>
      <c r="B42" s="10" t="s">
        <v>77</v>
      </c>
      <c r="C42" s="10">
        <f>C7*LN(C11)</f>
        <v>0</v>
      </c>
      <c r="D42" s="10" t="s">
        <v>31</v>
      </c>
      <c r="N42" s="2"/>
      <c r="O42" s="2"/>
      <c r="P42" s="2"/>
    </row>
    <row r="43" spans="1:16">
      <c r="N43" s="2"/>
      <c r="O43" s="2"/>
      <c r="P43" s="2"/>
    </row>
    <row r="44" spans="1:16">
      <c r="A44" s="10" t="s">
        <v>66</v>
      </c>
      <c r="B44" s="10" t="s">
        <v>76</v>
      </c>
      <c r="C44" s="11">
        <f>C17*(2*C8*C12/C9/1000*C6*C13/C5/C5)^(3/2)</f>
        <v>147.59241072159261</v>
      </c>
      <c r="D44" s="10" t="s">
        <v>36</v>
      </c>
      <c r="N44" s="2"/>
      <c r="O44" s="2"/>
      <c r="P44" s="2"/>
    </row>
    <row r="45" spans="1:16">
      <c r="C45" s="2"/>
      <c r="N45" s="2"/>
      <c r="O45" s="2"/>
      <c r="P45" s="2"/>
    </row>
    <row r="46" spans="1:16">
      <c r="A46" s="10" t="s">
        <v>32</v>
      </c>
      <c r="B46" s="10" t="s">
        <v>78</v>
      </c>
      <c r="C46" s="10">
        <f>3/2*C7*C13/1000</f>
        <v>3.7165635305999993</v>
      </c>
      <c r="D46" s="10" t="s">
        <v>33</v>
      </c>
      <c r="N46" s="2"/>
      <c r="O46" s="2"/>
      <c r="P46" s="2"/>
    </row>
    <row r="47" spans="1:16">
      <c r="N47" s="2"/>
      <c r="O47" s="2"/>
      <c r="P47" s="2"/>
    </row>
    <row r="48" spans="1:16">
      <c r="A48" s="10" t="s">
        <v>30</v>
      </c>
      <c r="B48" s="10" t="s">
        <v>98</v>
      </c>
      <c r="C48" s="12">
        <f>C7*(LN(C17*(2*C8*C12/C9/1000*C6*C13/C5/C5)^(3/2))+3/2)</f>
        <v>53.997880804720459</v>
      </c>
      <c r="D48" s="10" t="s">
        <v>31</v>
      </c>
      <c r="N48" s="2"/>
      <c r="O48" s="2"/>
      <c r="P48" s="2"/>
    </row>
    <row r="49" spans="1:16">
      <c r="N49" s="2"/>
      <c r="O49" s="2"/>
      <c r="P49" s="2"/>
    </row>
    <row r="50" spans="1:16">
      <c r="A50" s="10" t="s">
        <v>67</v>
      </c>
      <c r="B50" s="10" t="s">
        <v>82</v>
      </c>
      <c r="C50" s="11">
        <f>C20/C21*(C8^0.5)*((C13^3)/C22/C23/C24)^0.5/C29*(1-EXP(-C29))</f>
        <v>40766.250902357053</v>
      </c>
      <c r="D50" s="10" t="s">
        <v>36</v>
      </c>
      <c r="E50" s="2"/>
      <c r="G50" s="2"/>
      <c r="N50" s="2"/>
      <c r="O50" s="2"/>
      <c r="P50" s="2"/>
    </row>
    <row r="51" spans="1:16">
      <c r="N51" s="2"/>
      <c r="O51" s="2"/>
      <c r="P51" s="2"/>
    </row>
    <row r="52" spans="1:16">
      <c r="A52" s="10" t="s">
        <v>52</v>
      </c>
      <c r="B52" s="10" t="s">
        <v>99</v>
      </c>
      <c r="C52" s="11">
        <f>C7*C13*(5/2-(C29*EXP(-C29)/(1-EXP(-C29))))/1000</f>
        <v>4.2862505639589017</v>
      </c>
      <c r="D52" s="10" t="s">
        <v>33</v>
      </c>
      <c r="G52" s="2"/>
      <c r="I52" s="2"/>
      <c r="N52" s="2"/>
      <c r="O52" s="2"/>
      <c r="P52" s="2"/>
    </row>
    <row r="53" spans="1:16">
      <c r="N53" s="2"/>
      <c r="O53" s="2"/>
      <c r="P53" s="2"/>
    </row>
    <row r="54" spans="1:16">
      <c r="A54" s="10" t="s">
        <v>51</v>
      </c>
      <c r="B54" s="10" t="s">
        <v>100</v>
      </c>
      <c r="C54" s="12">
        <f>C7*(LN(C20/C21*(C8^0.5)*((C13^3)/C22/C23/C24)^0.5/(C29)*(1-EXP(-C29)))-C29*EXP(-C29)/(1-EXP(-C29))+5/2)</f>
        <v>102.64645237417299</v>
      </c>
      <c r="D54" s="10" t="s">
        <v>31</v>
      </c>
      <c r="G54" s="2"/>
      <c r="N54" s="2"/>
      <c r="O54" s="2"/>
      <c r="P54" s="2"/>
    </row>
    <row r="55" spans="1:16">
      <c r="N55" s="2"/>
      <c r="O55" s="2"/>
      <c r="P55" s="2"/>
    </row>
    <row r="56" spans="1:16">
      <c r="A56" s="5" t="s">
        <v>83</v>
      </c>
      <c r="B56" s="5" t="s">
        <v>84</v>
      </c>
      <c r="C56" s="5">
        <v>3.6833815764323332</v>
      </c>
      <c r="D56" s="5" t="s">
        <v>36</v>
      </c>
    </row>
    <row r="58" spans="1:16">
      <c r="A58" s="5" t="s">
        <v>65</v>
      </c>
      <c r="B58" s="5" t="s">
        <v>101</v>
      </c>
      <c r="C58" s="5">
        <v>321.26672038978001</v>
      </c>
      <c r="D58" s="5" t="s">
        <v>33</v>
      </c>
    </row>
    <row r="60" spans="1:16">
      <c r="A60" s="5" t="s">
        <v>53</v>
      </c>
      <c r="B60" s="5" t="s">
        <v>102</v>
      </c>
      <c r="C60" s="5">
        <v>33.242275224973035</v>
      </c>
      <c r="D60" s="5" t="s">
        <v>31</v>
      </c>
    </row>
    <row r="62" spans="1:16">
      <c r="A62" s="10" t="s">
        <v>85</v>
      </c>
      <c r="B62" s="10" t="s">
        <v>103</v>
      </c>
      <c r="C62" s="11">
        <f>EXP(C18/C19*LN(C18/C19)-(C18/C19-1)*LN(C18/C19-1))</f>
        <v>25.410432849514734</v>
      </c>
      <c r="D62" s="11" t="s">
        <v>36</v>
      </c>
      <c r="G62" s="2"/>
      <c r="H62" s="2"/>
    </row>
    <row r="63" spans="1:16">
      <c r="C63" s="2"/>
    </row>
    <row r="64" spans="1:16">
      <c r="A64" s="10" t="s">
        <v>86</v>
      </c>
      <c r="B64" s="10" t="s">
        <v>104</v>
      </c>
      <c r="C64" s="11">
        <f>C6*((C18/C19*LN(C18/C19)-(C18/C19-1)*LN(C18/C19-1)))*6.02E+23</f>
        <v>26.889044175102832</v>
      </c>
      <c r="D64" s="10" t="s">
        <v>31</v>
      </c>
      <c r="F64" s="2"/>
    </row>
    <row r="66" spans="1:4">
      <c r="A66" s="10" t="s">
        <v>68</v>
      </c>
      <c r="B66" s="10" t="s">
        <v>105</v>
      </c>
      <c r="C66" s="11">
        <f>C36*C44*C50*C56*C62</f>
        <v>563149332.9582423</v>
      </c>
      <c r="D66" s="10" t="s">
        <v>36</v>
      </c>
    </row>
    <row r="67" spans="1:4">
      <c r="C67" s="2"/>
    </row>
    <row r="68" spans="1:4">
      <c r="A68" s="10" t="s">
        <v>87</v>
      </c>
      <c r="B68" s="10" t="s">
        <v>88</v>
      </c>
      <c r="C68" s="11">
        <f>C38+C46+C52+C58</f>
        <v>-612387.0207354934</v>
      </c>
      <c r="D68" s="10" t="s">
        <v>33</v>
      </c>
    </row>
    <row r="70" spans="1:4">
      <c r="A70" s="10" t="s">
        <v>55</v>
      </c>
      <c r="B70" s="10" t="s">
        <v>106</v>
      </c>
      <c r="C70" s="13">
        <f>C48+C54+C60+C42+C64</f>
        <v>216.77565257896933</v>
      </c>
      <c r="D70" s="10" t="s">
        <v>31</v>
      </c>
    </row>
    <row r="72" spans="1:4">
      <c r="A72" s="10" t="s">
        <v>91</v>
      </c>
      <c r="B72" s="10" t="s">
        <v>69</v>
      </c>
      <c r="C72" s="11">
        <f>C68-C13*C70/1000</f>
        <v>-612451.61987996195</v>
      </c>
      <c r="D72" s="10" t="s">
        <v>33</v>
      </c>
    </row>
    <row r="73" spans="1:4">
      <c r="C73" s="2"/>
    </row>
    <row r="76" spans="1:4">
      <c r="C76" s="2"/>
    </row>
  </sheetData>
  <phoneticPr fontId="2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4C2E3-DADD-4CBB-B22D-691F0EDFA59E}">
  <dimension ref="A1:P76"/>
  <sheetViews>
    <sheetView topLeftCell="A42" zoomScale="115" zoomScaleNormal="115" workbookViewId="0">
      <selection activeCell="A68" sqref="A68:XFD69"/>
    </sheetView>
  </sheetViews>
  <sheetFormatPr defaultRowHeight="18"/>
  <cols>
    <col min="1" max="1" width="34.08203125" bestFit="1" customWidth="1"/>
    <col min="2" max="2" width="14.2890625" bestFit="1" customWidth="1"/>
    <col min="3" max="3" width="14.20703125" customWidth="1"/>
    <col min="4" max="4" width="20.375" bestFit="1" customWidth="1"/>
    <col min="5" max="7" width="9.125" bestFit="1" customWidth="1"/>
    <col min="8" max="8" width="12.875" bestFit="1" customWidth="1"/>
    <col min="9" max="9" width="9.95703125" bestFit="1" customWidth="1"/>
    <col min="14" max="16" width="9.125" bestFit="1" customWidth="1"/>
  </cols>
  <sheetData>
    <row r="1" spans="1:4">
      <c r="A1" s="1" t="s">
        <v>113</v>
      </c>
      <c r="C1" s="4" t="s">
        <v>0</v>
      </c>
    </row>
    <row r="2" spans="1:4">
      <c r="C2" s="14" t="s">
        <v>1</v>
      </c>
    </row>
    <row r="4" spans="1:4">
      <c r="A4" s="1" t="s">
        <v>2</v>
      </c>
    </row>
    <row r="5" spans="1:4">
      <c r="A5" t="s">
        <v>3</v>
      </c>
      <c r="B5" t="s">
        <v>4</v>
      </c>
      <c r="C5">
        <v>6.6260700399999999E-34</v>
      </c>
      <c r="D5" t="s">
        <v>5</v>
      </c>
    </row>
    <row r="6" spans="1:4">
      <c r="A6" t="s">
        <v>6</v>
      </c>
      <c r="B6" t="s">
        <v>7</v>
      </c>
      <c r="C6" s="2">
        <v>1.3806485199999999E-23</v>
      </c>
      <c r="D6" t="s">
        <v>8</v>
      </c>
    </row>
    <row r="7" spans="1:4">
      <c r="A7" t="s">
        <v>9</v>
      </c>
      <c r="B7" t="s">
        <v>10</v>
      </c>
      <c r="C7">
        <v>8.3144597999999998</v>
      </c>
      <c r="D7" t="s">
        <v>11</v>
      </c>
    </row>
    <row r="8" spans="1:4" ht="18.5">
      <c r="A8" t="s">
        <v>12</v>
      </c>
      <c r="B8" t="s">
        <v>13</v>
      </c>
      <c r="C8">
        <v>3.1415926535900001</v>
      </c>
      <c r="D8" s="3"/>
    </row>
    <row r="9" spans="1:4">
      <c r="A9" t="s">
        <v>14</v>
      </c>
      <c r="B9" t="s">
        <v>15</v>
      </c>
      <c r="C9" s="2">
        <v>6.0221408599999999E+23</v>
      </c>
      <c r="D9" t="s">
        <v>16</v>
      </c>
    </row>
    <row r="11" spans="1:4">
      <c r="A11" s="5" t="s">
        <v>56</v>
      </c>
      <c r="B11" s="5"/>
      <c r="C11" s="5"/>
      <c r="D11" s="5" t="s">
        <v>36</v>
      </c>
    </row>
    <row r="12" spans="1:4">
      <c r="A12" s="5" t="s">
        <v>17</v>
      </c>
      <c r="B12" s="5" t="s">
        <v>18</v>
      </c>
      <c r="C12" s="5"/>
      <c r="D12" s="5" t="s">
        <v>19</v>
      </c>
    </row>
    <row r="13" spans="1:4">
      <c r="A13" s="5" t="s">
        <v>20</v>
      </c>
      <c r="B13" s="5" t="s">
        <v>21</v>
      </c>
      <c r="C13" s="5"/>
      <c r="D13" s="5" t="s">
        <v>22</v>
      </c>
    </row>
    <row r="14" spans="1:4">
      <c r="A14" s="5" t="s">
        <v>95</v>
      </c>
      <c r="B14" s="5" t="s">
        <v>57</v>
      </c>
      <c r="C14" s="5"/>
      <c r="D14" s="5" t="s">
        <v>58</v>
      </c>
    </row>
    <row r="15" spans="1:4">
      <c r="A15" s="5" t="s">
        <v>23</v>
      </c>
      <c r="B15" s="5" t="s">
        <v>24</v>
      </c>
      <c r="C15" s="5"/>
      <c r="D15" s="5" t="s">
        <v>25</v>
      </c>
    </row>
    <row r="16" spans="1:4">
      <c r="A16" s="5" t="s">
        <v>26</v>
      </c>
      <c r="B16" s="5" t="s">
        <v>27</v>
      </c>
      <c r="C16" s="5"/>
      <c r="D16" s="5" t="s">
        <v>25</v>
      </c>
    </row>
    <row r="17" spans="1:16">
      <c r="A17" t="s">
        <v>28</v>
      </c>
      <c r="B17" t="s">
        <v>92</v>
      </c>
      <c r="C17">
        <f>(C15^(1/3)-C16^(1/3))^3*1E-30</f>
        <v>0</v>
      </c>
      <c r="D17" t="s">
        <v>29</v>
      </c>
    </row>
    <row r="18" spans="1:16">
      <c r="A18" t="s">
        <v>59</v>
      </c>
      <c r="B18" t="s">
        <v>93</v>
      </c>
      <c r="C18" t="e">
        <f>0.001*1E+30/C15</f>
        <v>#DIV/0!</v>
      </c>
      <c r="G18" s="2"/>
    </row>
    <row r="19" spans="1:16">
      <c r="A19" t="s">
        <v>60</v>
      </c>
      <c r="B19" t="s">
        <v>94</v>
      </c>
      <c r="C19" s="2">
        <f>C9*C14</f>
        <v>0</v>
      </c>
      <c r="F19" s="2"/>
    </row>
    <row r="20" spans="1:16">
      <c r="A20" s="5" t="s">
        <v>71</v>
      </c>
      <c r="B20" s="5" t="s">
        <v>73</v>
      </c>
      <c r="C20" s="5"/>
      <c r="D20" s="5" t="s">
        <v>36</v>
      </c>
      <c r="F20" s="2"/>
    </row>
    <row r="21" spans="1:16">
      <c r="A21" s="5" t="s">
        <v>72</v>
      </c>
      <c r="B21" s="5" t="s">
        <v>35</v>
      </c>
      <c r="C21" s="5"/>
      <c r="D21" s="5" t="s">
        <v>36</v>
      </c>
    </row>
    <row r="22" spans="1:16">
      <c r="A22" s="5" t="s">
        <v>37</v>
      </c>
      <c r="B22" s="5" t="s">
        <v>38</v>
      </c>
      <c r="C22" s="5"/>
      <c r="D22" s="5" t="s">
        <v>22</v>
      </c>
    </row>
    <row r="23" spans="1:16">
      <c r="A23" s="5" t="s">
        <v>39</v>
      </c>
      <c r="B23" s="5" t="s">
        <v>40</v>
      </c>
      <c r="C23" s="5"/>
      <c r="D23" s="5" t="s">
        <v>22</v>
      </c>
    </row>
    <row r="24" spans="1:16">
      <c r="A24" s="5" t="s">
        <v>41</v>
      </c>
      <c r="B24" s="5" t="s">
        <v>42</v>
      </c>
      <c r="C24" s="5"/>
      <c r="D24" s="5" t="s">
        <v>22</v>
      </c>
    </row>
    <row r="25" spans="1:16">
      <c r="A25" s="5" t="s">
        <v>43</v>
      </c>
      <c r="B25" s="6" t="s">
        <v>18</v>
      </c>
      <c r="C25" s="8"/>
      <c r="D25" s="5" t="s">
        <v>44</v>
      </c>
      <c r="H25" s="2"/>
      <c r="I25" s="2"/>
      <c r="N25" s="2"/>
      <c r="O25" s="2"/>
      <c r="P25" s="2"/>
    </row>
    <row r="26" spans="1:16">
      <c r="A26" s="5" t="s">
        <v>45</v>
      </c>
      <c r="B26" s="7" t="s">
        <v>61</v>
      </c>
      <c r="C26" s="5"/>
      <c r="D26" s="5" t="s">
        <v>44</v>
      </c>
      <c r="N26" s="2"/>
      <c r="O26" s="2"/>
      <c r="P26" s="2"/>
    </row>
    <row r="27" spans="1:16">
      <c r="A27" s="5" t="s">
        <v>46</v>
      </c>
      <c r="B27" s="6" t="s">
        <v>79</v>
      </c>
      <c r="C27" s="5"/>
      <c r="D27" s="5" t="s">
        <v>36</v>
      </c>
      <c r="N27" s="2"/>
      <c r="O27" s="2"/>
      <c r="P27" s="2"/>
    </row>
    <row r="28" spans="1:16">
      <c r="A28" t="s">
        <v>47</v>
      </c>
      <c r="B28" t="s">
        <v>48</v>
      </c>
      <c r="C28" t="e">
        <f>(C25-C26)*3.33564E-30/(C27*1.648777E-41)</f>
        <v>#DIV/0!</v>
      </c>
      <c r="D28" t="s">
        <v>49</v>
      </c>
      <c r="N28" s="2"/>
      <c r="O28" s="2"/>
      <c r="P28" s="2"/>
    </row>
    <row r="29" spans="1:16">
      <c r="B29" t="s">
        <v>50</v>
      </c>
      <c r="C29" s="2" t="e">
        <f>2*C25*3.33564E-30*C28/C6/C13</f>
        <v>#DIV/0!</v>
      </c>
      <c r="N29" s="2"/>
      <c r="O29" s="2"/>
      <c r="P29" s="2"/>
    </row>
    <row r="30" spans="1:16">
      <c r="N30" s="2"/>
      <c r="O30" s="2"/>
      <c r="P30" s="2"/>
    </row>
    <row r="31" spans="1:16">
      <c r="A31" s="5" t="s">
        <v>62</v>
      </c>
      <c r="B31" s="5" t="s">
        <v>97</v>
      </c>
      <c r="C31" s="5"/>
      <c r="D31" s="5" t="s">
        <v>63</v>
      </c>
      <c r="N31" s="2"/>
      <c r="O31" s="2"/>
      <c r="P31" s="2"/>
    </row>
    <row r="32" spans="1:16">
      <c r="A32" s="5" t="s">
        <v>64</v>
      </c>
      <c r="B32" s="5" t="s">
        <v>64</v>
      </c>
      <c r="C32" s="5"/>
      <c r="D32" s="5" t="s">
        <v>63</v>
      </c>
      <c r="E32" s="9"/>
      <c r="N32" s="2"/>
      <c r="O32" s="2"/>
      <c r="P32" s="2"/>
    </row>
    <row r="33" spans="1:16">
      <c r="A33" s="5" t="s">
        <v>74</v>
      </c>
      <c r="B33" s="5" t="s">
        <v>107</v>
      </c>
      <c r="C33" s="5"/>
      <c r="D33" s="5" t="s">
        <v>36</v>
      </c>
      <c r="E33" s="9"/>
      <c r="N33" s="2"/>
      <c r="O33" s="2"/>
      <c r="P33" s="2"/>
    </row>
    <row r="34" spans="1:16">
      <c r="A34" t="s">
        <v>75</v>
      </c>
      <c r="B34" t="s">
        <v>108</v>
      </c>
      <c r="C34">
        <f>C32*C33</f>
        <v>0</v>
      </c>
      <c r="D34" t="s">
        <v>63</v>
      </c>
      <c r="E34" s="9"/>
      <c r="N34" s="2"/>
      <c r="O34" s="2"/>
      <c r="P34" s="2"/>
    </row>
    <row r="35" spans="1:16">
      <c r="N35" s="2"/>
      <c r="O35" s="2"/>
      <c r="P35" s="2"/>
    </row>
    <row r="36" spans="1:16">
      <c r="A36" s="10" t="s">
        <v>81</v>
      </c>
      <c r="B36" s="10" t="s">
        <v>80</v>
      </c>
      <c r="C36" s="10">
        <f>C11</f>
        <v>0</v>
      </c>
      <c r="D36" s="10" t="s">
        <v>36</v>
      </c>
      <c r="N36" s="2"/>
      <c r="O36" s="2"/>
      <c r="P36" s="2"/>
    </row>
    <row r="37" spans="1:16">
      <c r="N37" s="2"/>
      <c r="O37" s="2"/>
      <c r="P37" s="2"/>
    </row>
    <row r="38" spans="1:16">
      <c r="A38" s="10" t="s">
        <v>96</v>
      </c>
      <c r="B38" s="10" t="s">
        <v>97</v>
      </c>
      <c r="C38" s="10">
        <f>C31*627.5094740631*4.184</f>
        <v>0</v>
      </c>
      <c r="D38" s="10" t="s">
        <v>33</v>
      </c>
      <c r="N38" s="2"/>
      <c r="O38" s="2"/>
      <c r="P38" s="2"/>
    </row>
    <row r="39" spans="1:16">
      <c r="N39" s="2"/>
      <c r="O39" s="2"/>
      <c r="P39" s="2"/>
    </row>
    <row r="40" spans="1:16">
      <c r="A40" s="10" t="s">
        <v>89</v>
      </c>
      <c r="B40" s="10" t="s">
        <v>90</v>
      </c>
      <c r="C40" s="10">
        <f>(C31+C34)*627.5094740631*4.184</f>
        <v>0</v>
      </c>
      <c r="D40" s="10" t="s">
        <v>33</v>
      </c>
      <c r="N40" s="2"/>
      <c r="O40" s="2"/>
      <c r="P40" s="2"/>
    </row>
    <row r="41" spans="1:16">
      <c r="N41" s="2"/>
      <c r="O41" s="2"/>
      <c r="P41" s="2"/>
    </row>
    <row r="42" spans="1:16">
      <c r="A42" s="10" t="s">
        <v>54</v>
      </c>
      <c r="B42" s="10" t="s">
        <v>77</v>
      </c>
      <c r="C42" s="10" t="e">
        <f>C7*LN(C11)</f>
        <v>#NUM!</v>
      </c>
      <c r="D42" s="10" t="s">
        <v>31</v>
      </c>
      <c r="N42" s="2"/>
      <c r="O42" s="2"/>
      <c r="P42" s="2"/>
    </row>
    <row r="43" spans="1:16">
      <c r="N43" s="2"/>
      <c r="O43" s="2"/>
      <c r="P43" s="2"/>
    </row>
    <row r="44" spans="1:16">
      <c r="A44" s="10" t="s">
        <v>66</v>
      </c>
      <c r="B44" s="10" t="s">
        <v>76</v>
      </c>
      <c r="C44" s="11">
        <f>C17*(2*C8*C12/C9/1000*C6*C13/C5/C5)^(3/2)</f>
        <v>0</v>
      </c>
      <c r="D44" s="10" t="s">
        <v>36</v>
      </c>
      <c r="N44" s="2"/>
      <c r="O44" s="2"/>
      <c r="P44" s="2"/>
    </row>
    <row r="45" spans="1:16">
      <c r="C45" s="2"/>
      <c r="N45" s="2"/>
      <c r="O45" s="2"/>
      <c r="P45" s="2"/>
    </row>
    <row r="46" spans="1:16">
      <c r="A46" s="10" t="s">
        <v>32</v>
      </c>
      <c r="B46" s="10" t="s">
        <v>78</v>
      </c>
      <c r="C46" s="10">
        <f>3/2*C7*C13/1000</f>
        <v>0</v>
      </c>
      <c r="D46" s="10" t="s">
        <v>33</v>
      </c>
      <c r="N46" s="2"/>
      <c r="O46" s="2"/>
      <c r="P46" s="2"/>
    </row>
    <row r="47" spans="1:16">
      <c r="N47" s="2"/>
      <c r="O47" s="2"/>
      <c r="P47" s="2"/>
    </row>
    <row r="48" spans="1:16">
      <c r="A48" s="10" t="s">
        <v>30</v>
      </c>
      <c r="B48" s="10" t="s">
        <v>98</v>
      </c>
      <c r="C48" s="12" t="e">
        <f>C7*(LN(C17*(2*C8*C12/C9/1000*C6*C13/C5/C5)^(3/2))+3/2)</f>
        <v>#NUM!</v>
      </c>
      <c r="D48" s="10" t="s">
        <v>31</v>
      </c>
      <c r="N48" s="2"/>
      <c r="O48" s="2"/>
      <c r="P48" s="2"/>
    </row>
    <row r="49" spans="1:16">
      <c r="N49" s="2"/>
      <c r="O49" s="2"/>
      <c r="P49" s="2"/>
    </row>
    <row r="50" spans="1:16">
      <c r="A50" s="10" t="s">
        <v>67</v>
      </c>
      <c r="B50" s="10" t="s">
        <v>82</v>
      </c>
      <c r="C50" s="11" t="e">
        <f>C20/C21*(C8^0.5)*((C13^3)/C22/C23/C24)^0.5/C29*(1-EXP(-C29))</f>
        <v>#DIV/0!</v>
      </c>
      <c r="D50" s="10" t="s">
        <v>36</v>
      </c>
      <c r="E50" s="2"/>
      <c r="G50" s="2"/>
      <c r="N50" s="2"/>
      <c r="O50" s="2"/>
      <c r="P50" s="2"/>
    </row>
    <row r="51" spans="1:16">
      <c r="N51" s="2"/>
      <c r="O51" s="2"/>
      <c r="P51" s="2"/>
    </row>
    <row r="52" spans="1:16">
      <c r="A52" s="10" t="s">
        <v>52</v>
      </c>
      <c r="B52" s="10" t="s">
        <v>99</v>
      </c>
      <c r="C52" s="11" t="e">
        <f>C7*C13*(5/2-(C29*EXP(-C29)/(1-EXP(-C29))))/1000</f>
        <v>#DIV/0!</v>
      </c>
      <c r="D52" s="10" t="s">
        <v>33</v>
      </c>
      <c r="G52" s="2"/>
      <c r="I52" s="2"/>
      <c r="N52" s="2"/>
      <c r="O52" s="2"/>
      <c r="P52" s="2"/>
    </row>
    <row r="53" spans="1:16">
      <c r="N53" s="2"/>
      <c r="O53" s="2"/>
      <c r="P53" s="2"/>
    </row>
    <row r="54" spans="1:16">
      <c r="A54" s="10" t="s">
        <v>51</v>
      </c>
      <c r="B54" s="10" t="s">
        <v>100</v>
      </c>
      <c r="C54" s="12" t="e">
        <f>C7*(LN(C20/C21*(C8^0.5)*((C13^3)/C22/C23/C24)^0.5/(C29)*(1-EXP(-C29)))-C29*EXP(-C29)/(1-EXP(-C29))+5/2)</f>
        <v>#DIV/0!</v>
      </c>
      <c r="D54" s="10" t="s">
        <v>31</v>
      </c>
      <c r="G54" s="2"/>
      <c r="N54" s="2"/>
      <c r="O54" s="2"/>
      <c r="P54" s="2"/>
    </row>
    <row r="55" spans="1:16">
      <c r="N55" s="2"/>
      <c r="O55" s="2"/>
      <c r="P55" s="2"/>
    </row>
    <row r="56" spans="1:16">
      <c r="A56" s="5" t="s">
        <v>83</v>
      </c>
      <c r="B56" s="5" t="s">
        <v>84</v>
      </c>
      <c r="C56" s="5"/>
      <c r="D56" s="5" t="s">
        <v>36</v>
      </c>
    </row>
    <row r="58" spans="1:16">
      <c r="A58" s="5" t="s">
        <v>65</v>
      </c>
      <c r="B58" s="5" t="s">
        <v>101</v>
      </c>
      <c r="C58" s="5"/>
      <c r="D58" s="5" t="s">
        <v>33</v>
      </c>
    </row>
    <row r="60" spans="1:16">
      <c r="A60" s="5" t="s">
        <v>53</v>
      </c>
      <c r="B60" s="5" t="s">
        <v>102</v>
      </c>
      <c r="C60" s="5"/>
      <c r="D60" s="5" t="s">
        <v>31</v>
      </c>
    </row>
    <row r="62" spans="1:16">
      <c r="A62" s="10" t="s">
        <v>85</v>
      </c>
      <c r="B62" s="10" t="s">
        <v>103</v>
      </c>
      <c r="C62" s="11" t="e">
        <f>EXP(C18/C19*LN(C18/C19)-(C18/C19-1)*LN(C18/C19-1))</f>
        <v>#DIV/0!</v>
      </c>
      <c r="D62" s="11" t="s">
        <v>36</v>
      </c>
      <c r="G62" s="2"/>
      <c r="H62" s="2"/>
    </row>
    <row r="63" spans="1:16">
      <c r="C63" s="2"/>
    </row>
    <row r="64" spans="1:16">
      <c r="A64" s="10" t="s">
        <v>86</v>
      </c>
      <c r="B64" s="10" t="s">
        <v>104</v>
      </c>
      <c r="C64" s="11" t="e">
        <f>C6*((C18/C19*LN(C18/C19)-(C18/C19-1)*LN(C18/C19-1)))*6.02E+23</f>
        <v>#DIV/0!</v>
      </c>
      <c r="D64" s="10" t="s">
        <v>31</v>
      </c>
      <c r="F64" s="2"/>
    </row>
    <row r="66" spans="1:4">
      <c r="A66" s="10" t="s">
        <v>68</v>
      </c>
      <c r="B66" s="10" t="s">
        <v>105</v>
      </c>
      <c r="C66" s="11" t="e">
        <f>C36*C44*C50*C56*C62</f>
        <v>#DIV/0!</v>
      </c>
      <c r="D66" s="10" t="s">
        <v>36</v>
      </c>
    </row>
    <row r="67" spans="1:4">
      <c r="C67" s="2"/>
    </row>
    <row r="68" spans="1:4">
      <c r="A68" s="10" t="s">
        <v>87</v>
      </c>
      <c r="B68" s="10" t="s">
        <v>88</v>
      </c>
      <c r="C68" s="11" t="e">
        <f>C38+C46+C52+C58</f>
        <v>#DIV/0!</v>
      </c>
      <c r="D68" s="10" t="s">
        <v>33</v>
      </c>
    </row>
    <row r="70" spans="1:4">
      <c r="A70" s="10" t="s">
        <v>55</v>
      </c>
      <c r="B70" s="10" t="s">
        <v>106</v>
      </c>
      <c r="C70" s="13" t="e">
        <f>C48+C54+C60+C42+C64</f>
        <v>#NUM!</v>
      </c>
      <c r="D70" s="10" t="s">
        <v>31</v>
      </c>
    </row>
    <row r="72" spans="1:4">
      <c r="A72" s="10" t="s">
        <v>91</v>
      </c>
      <c r="B72" s="10" t="s">
        <v>69</v>
      </c>
      <c r="C72" s="11" t="e">
        <f>C68-C13*C70/1000</f>
        <v>#DIV/0!</v>
      </c>
      <c r="D72" s="10" t="s">
        <v>33</v>
      </c>
    </row>
    <row r="73" spans="1:4">
      <c r="C73" s="2"/>
    </row>
    <row r="76" spans="1:4">
      <c r="C76" s="2"/>
    </row>
  </sheetData>
  <phoneticPr fontId="2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0AC6D-EE86-4B8D-AD60-CAB3FC1412E3}">
  <dimension ref="A1:P76"/>
  <sheetViews>
    <sheetView topLeftCell="A42" workbookViewId="0">
      <selection activeCell="A68" sqref="A68:XFD69"/>
    </sheetView>
  </sheetViews>
  <sheetFormatPr defaultRowHeight="18"/>
  <cols>
    <col min="1" max="1" width="34.08203125" bestFit="1" customWidth="1"/>
    <col min="2" max="2" width="14.2890625" bestFit="1" customWidth="1"/>
    <col min="3" max="3" width="14.20703125" customWidth="1"/>
    <col min="4" max="4" width="20.375" bestFit="1" customWidth="1"/>
    <col min="5" max="7" width="9.125" bestFit="1" customWidth="1"/>
    <col min="8" max="8" width="12.875" bestFit="1" customWidth="1"/>
    <col min="9" max="9" width="9.95703125" bestFit="1" customWidth="1"/>
    <col min="14" max="16" width="9.125" bestFit="1" customWidth="1"/>
  </cols>
  <sheetData>
    <row r="1" spans="1:4">
      <c r="A1" s="1" t="s">
        <v>112</v>
      </c>
      <c r="C1" s="4" t="s">
        <v>0</v>
      </c>
    </row>
    <row r="2" spans="1:4">
      <c r="C2" s="14" t="s">
        <v>1</v>
      </c>
    </row>
    <row r="4" spans="1:4">
      <c r="A4" s="1" t="s">
        <v>2</v>
      </c>
    </row>
    <row r="5" spans="1:4">
      <c r="A5" t="s">
        <v>3</v>
      </c>
      <c r="B5" t="s">
        <v>4</v>
      </c>
      <c r="C5">
        <v>6.6260700399999999E-34</v>
      </c>
      <c r="D5" t="s">
        <v>5</v>
      </c>
    </row>
    <row r="6" spans="1:4">
      <c r="A6" t="s">
        <v>6</v>
      </c>
      <c r="B6" t="s">
        <v>7</v>
      </c>
      <c r="C6" s="2">
        <v>1.3806485199999999E-23</v>
      </c>
      <c r="D6" t="s">
        <v>8</v>
      </c>
    </row>
    <row r="7" spans="1:4">
      <c r="A7" t="s">
        <v>9</v>
      </c>
      <c r="B7" t="s">
        <v>10</v>
      </c>
      <c r="C7">
        <v>8.3144597999999998</v>
      </c>
      <c r="D7" t="s">
        <v>11</v>
      </c>
    </row>
    <row r="8" spans="1:4" ht="18.5">
      <c r="A8" t="s">
        <v>12</v>
      </c>
      <c r="B8" t="s">
        <v>13</v>
      </c>
      <c r="C8">
        <v>3.1415926535900001</v>
      </c>
      <c r="D8" s="3"/>
    </row>
    <row r="9" spans="1:4">
      <c r="A9" t="s">
        <v>14</v>
      </c>
      <c r="B9" t="s">
        <v>15</v>
      </c>
      <c r="C9" s="2">
        <v>6.0221408599999999E+23</v>
      </c>
      <c r="D9" t="s">
        <v>16</v>
      </c>
    </row>
    <row r="11" spans="1:4">
      <c r="A11" s="5" t="s">
        <v>56</v>
      </c>
      <c r="B11" s="5"/>
      <c r="C11" s="5"/>
      <c r="D11" s="5" t="s">
        <v>36</v>
      </c>
    </row>
    <row r="12" spans="1:4">
      <c r="A12" s="5" t="s">
        <v>17</v>
      </c>
      <c r="B12" s="5" t="s">
        <v>18</v>
      </c>
      <c r="C12" s="5"/>
      <c r="D12" s="5" t="s">
        <v>19</v>
      </c>
    </row>
    <row r="13" spans="1:4">
      <c r="A13" s="5" t="s">
        <v>20</v>
      </c>
      <c r="B13" s="5" t="s">
        <v>21</v>
      </c>
      <c r="C13" s="5"/>
      <c r="D13" s="5" t="s">
        <v>22</v>
      </c>
    </row>
    <row r="14" spans="1:4">
      <c r="A14" s="5" t="s">
        <v>95</v>
      </c>
      <c r="B14" s="5" t="s">
        <v>57</v>
      </c>
      <c r="C14" s="5"/>
      <c r="D14" s="5" t="s">
        <v>58</v>
      </c>
    </row>
    <row r="15" spans="1:4">
      <c r="A15" s="5" t="s">
        <v>23</v>
      </c>
      <c r="B15" s="5" t="s">
        <v>24</v>
      </c>
      <c r="C15" s="5"/>
      <c r="D15" s="5" t="s">
        <v>25</v>
      </c>
    </row>
    <row r="16" spans="1:4">
      <c r="A16" s="5" t="s">
        <v>26</v>
      </c>
      <c r="B16" s="5" t="s">
        <v>27</v>
      </c>
      <c r="C16" s="5"/>
      <c r="D16" s="5" t="s">
        <v>25</v>
      </c>
    </row>
    <row r="17" spans="1:16">
      <c r="A17" t="s">
        <v>28</v>
      </c>
      <c r="B17" t="s">
        <v>92</v>
      </c>
      <c r="C17">
        <f>(C15^(1/3)-C16^(1/3))^3*1E-30</f>
        <v>0</v>
      </c>
      <c r="D17" t="s">
        <v>29</v>
      </c>
    </row>
    <row r="18" spans="1:16">
      <c r="A18" t="s">
        <v>59</v>
      </c>
      <c r="B18" t="s">
        <v>93</v>
      </c>
      <c r="C18" t="e">
        <f>0.001*1E+30/C15</f>
        <v>#DIV/0!</v>
      </c>
      <c r="G18" s="2"/>
    </row>
    <row r="19" spans="1:16">
      <c r="A19" t="s">
        <v>60</v>
      </c>
      <c r="B19" t="s">
        <v>94</v>
      </c>
      <c r="C19" s="2">
        <f>C9*C14</f>
        <v>0</v>
      </c>
      <c r="F19" s="2"/>
    </row>
    <row r="20" spans="1:16">
      <c r="A20" s="5" t="s">
        <v>71</v>
      </c>
      <c r="B20" s="5" t="s">
        <v>73</v>
      </c>
      <c r="C20" s="5"/>
      <c r="D20" s="5" t="s">
        <v>36</v>
      </c>
      <c r="F20" s="2"/>
    </row>
    <row r="21" spans="1:16">
      <c r="A21" s="5" t="s">
        <v>72</v>
      </c>
      <c r="B21" s="5" t="s">
        <v>35</v>
      </c>
      <c r="C21" s="5"/>
      <c r="D21" s="5" t="s">
        <v>36</v>
      </c>
    </row>
    <row r="22" spans="1:16">
      <c r="A22" s="5" t="s">
        <v>37</v>
      </c>
      <c r="B22" s="5" t="s">
        <v>38</v>
      </c>
      <c r="C22" s="5"/>
      <c r="D22" s="5" t="s">
        <v>22</v>
      </c>
    </row>
    <row r="25" spans="1:16">
      <c r="A25" s="5" t="s">
        <v>43</v>
      </c>
      <c r="B25" s="6" t="s">
        <v>18</v>
      </c>
      <c r="C25" s="8"/>
      <c r="D25" s="5" t="s">
        <v>44</v>
      </c>
      <c r="H25" s="2"/>
      <c r="I25" s="2"/>
      <c r="N25" s="2"/>
      <c r="O25" s="2"/>
      <c r="P25" s="2"/>
    </row>
    <row r="26" spans="1:16">
      <c r="A26" s="5" t="s">
        <v>45</v>
      </c>
      <c r="B26" s="7" t="s">
        <v>61</v>
      </c>
      <c r="C26" s="5"/>
      <c r="D26" s="5" t="s">
        <v>44</v>
      </c>
      <c r="N26" s="2"/>
      <c r="O26" s="2"/>
      <c r="P26" s="2"/>
    </row>
    <row r="27" spans="1:16">
      <c r="A27" s="5" t="s">
        <v>46</v>
      </c>
      <c r="B27" s="6" t="s">
        <v>79</v>
      </c>
      <c r="C27" s="5"/>
      <c r="D27" s="5" t="s">
        <v>36</v>
      </c>
      <c r="N27" s="2"/>
      <c r="O27" s="2"/>
      <c r="P27" s="2"/>
    </row>
    <row r="28" spans="1:16">
      <c r="A28" t="s">
        <v>47</v>
      </c>
      <c r="B28" t="s">
        <v>48</v>
      </c>
      <c r="C28" t="e">
        <f>(C25-C26)*3.33564E-30/(C27*1.648777E-41)</f>
        <v>#DIV/0!</v>
      </c>
      <c r="D28" t="s">
        <v>49</v>
      </c>
      <c r="N28" s="2"/>
      <c r="O28" s="2"/>
      <c r="P28" s="2"/>
    </row>
    <row r="29" spans="1:16">
      <c r="B29" t="s">
        <v>50</v>
      </c>
      <c r="C29" s="2" t="e">
        <f>2*C25*3.33564E-30*C28/C6/C13</f>
        <v>#DIV/0!</v>
      </c>
      <c r="N29" s="2"/>
      <c r="O29" s="2"/>
      <c r="P29" s="2"/>
    </row>
    <row r="30" spans="1:16">
      <c r="N30" s="2"/>
      <c r="O30" s="2"/>
      <c r="P30" s="2"/>
    </row>
    <row r="31" spans="1:16">
      <c r="A31" s="5" t="s">
        <v>62</v>
      </c>
      <c r="B31" s="5" t="s">
        <v>97</v>
      </c>
      <c r="C31" s="5"/>
      <c r="D31" s="5" t="s">
        <v>63</v>
      </c>
      <c r="N31" s="2"/>
      <c r="O31" s="2"/>
      <c r="P31" s="2"/>
    </row>
    <row r="32" spans="1:16">
      <c r="A32" s="5" t="s">
        <v>64</v>
      </c>
      <c r="B32" s="5" t="s">
        <v>64</v>
      </c>
      <c r="C32" s="5"/>
      <c r="D32" s="5" t="s">
        <v>63</v>
      </c>
      <c r="E32" s="9"/>
      <c r="N32" s="2"/>
      <c r="O32" s="2"/>
      <c r="P32" s="2"/>
    </row>
    <row r="33" spans="1:16">
      <c r="A33" s="5" t="s">
        <v>74</v>
      </c>
      <c r="B33" s="5" t="s">
        <v>107</v>
      </c>
      <c r="C33" s="5"/>
      <c r="D33" s="5" t="s">
        <v>36</v>
      </c>
      <c r="E33" s="9"/>
      <c r="N33" s="2"/>
      <c r="O33" s="2"/>
      <c r="P33" s="2"/>
    </row>
    <row r="34" spans="1:16">
      <c r="A34" t="s">
        <v>75</v>
      </c>
      <c r="B34" t="s">
        <v>108</v>
      </c>
      <c r="C34">
        <f>C32*C33</f>
        <v>0</v>
      </c>
      <c r="D34" t="s">
        <v>63</v>
      </c>
      <c r="E34" s="9"/>
      <c r="N34" s="2"/>
      <c r="O34" s="2"/>
      <c r="P34" s="2"/>
    </row>
    <row r="35" spans="1:16">
      <c r="N35" s="2"/>
      <c r="O35" s="2"/>
      <c r="P35" s="2"/>
    </row>
    <row r="36" spans="1:16">
      <c r="A36" s="10" t="s">
        <v>81</v>
      </c>
      <c r="B36" s="10" t="s">
        <v>80</v>
      </c>
      <c r="C36" s="10">
        <f>C11</f>
        <v>0</v>
      </c>
      <c r="D36" s="10" t="s">
        <v>36</v>
      </c>
      <c r="N36" s="2"/>
      <c r="O36" s="2"/>
      <c r="P36" s="2"/>
    </row>
    <row r="37" spans="1:16">
      <c r="N37" s="2"/>
      <c r="O37" s="2"/>
      <c r="P37" s="2"/>
    </row>
    <row r="38" spans="1:16">
      <c r="A38" s="10" t="s">
        <v>96</v>
      </c>
      <c r="B38" s="10" t="s">
        <v>97</v>
      </c>
      <c r="C38" s="10">
        <f>C31*627.5094740631*4.184</f>
        <v>0</v>
      </c>
      <c r="D38" s="10" t="s">
        <v>33</v>
      </c>
      <c r="N38" s="2"/>
      <c r="O38" s="2"/>
      <c r="P38" s="2"/>
    </row>
    <row r="39" spans="1:16">
      <c r="N39" s="2"/>
      <c r="O39" s="2"/>
      <c r="P39" s="2"/>
    </row>
    <row r="40" spans="1:16">
      <c r="A40" s="10" t="s">
        <v>89</v>
      </c>
      <c r="B40" s="10" t="s">
        <v>90</v>
      </c>
      <c r="C40" s="10">
        <f>(C31+C34)*627.5094740631*4.184</f>
        <v>0</v>
      </c>
      <c r="D40" s="10" t="s">
        <v>33</v>
      </c>
      <c r="N40" s="2"/>
      <c r="O40" s="2"/>
      <c r="P40" s="2"/>
    </row>
    <row r="41" spans="1:16">
      <c r="N41" s="2"/>
      <c r="O41" s="2"/>
      <c r="P41" s="2"/>
    </row>
    <row r="42" spans="1:16">
      <c r="A42" s="10" t="s">
        <v>54</v>
      </c>
      <c r="B42" s="10" t="s">
        <v>77</v>
      </c>
      <c r="C42" s="10" t="e">
        <f>C7*LN(C11)</f>
        <v>#NUM!</v>
      </c>
      <c r="D42" s="10" t="s">
        <v>31</v>
      </c>
      <c r="N42" s="2"/>
      <c r="O42" s="2"/>
      <c r="P42" s="2"/>
    </row>
    <row r="43" spans="1:16">
      <c r="N43" s="2"/>
      <c r="O43" s="2"/>
      <c r="P43" s="2"/>
    </row>
    <row r="44" spans="1:16">
      <c r="A44" s="10" t="s">
        <v>66</v>
      </c>
      <c r="B44" s="10" t="s">
        <v>76</v>
      </c>
      <c r="C44" s="11">
        <f>C17*(2*C8*C12/C9/1000*C6*C13/C5/C5)^(3/2)</f>
        <v>0</v>
      </c>
      <c r="D44" s="10" t="s">
        <v>36</v>
      </c>
      <c r="N44" s="2"/>
      <c r="O44" s="2"/>
      <c r="P44" s="2"/>
    </row>
    <row r="45" spans="1:16">
      <c r="C45" s="2"/>
      <c r="N45" s="2"/>
      <c r="O45" s="2"/>
      <c r="P45" s="2"/>
    </row>
    <row r="46" spans="1:16">
      <c r="A46" s="10" t="s">
        <v>32</v>
      </c>
      <c r="B46" s="10" t="s">
        <v>78</v>
      </c>
      <c r="C46" s="10">
        <f>3/2*C7*C13/1000</f>
        <v>0</v>
      </c>
      <c r="D46" s="10" t="s">
        <v>33</v>
      </c>
      <c r="N46" s="2"/>
      <c r="O46" s="2"/>
      <c r="P46" s="2"/>
    </row>
    <row r="47" spans="1:16">
      <c r="N47" s="2"/>
      <c r="O47" s="2"/>
      <c r="P47" s="2"/>
    </row>
    <row r="48" spans="1:16">
      <c r="A48" s="10" t="s">
        <v>30</v>
      </c>
      <c r="B48" s="10" t="s">
        <v>98</v>
      </c>
      <c r="C48" s="12" t="e">
        <f>C7*(LN(C17*(2*C8*C12/C9/1000*C6*C13/C5/C5)^(3/2))+3/2)</f>
        <v>#NUM!</v>
      </c>
      <c r="D48" s="10" t="s">
        <v>31</v>
      </c>
      <c r="N48" s="2"/>
      <c r="O48" s="2"/>
      <c r="P48" s="2"/>
    </row>
    <row r="49" spans="1:16">
      <c r="N49" s="2"/>
      <c r="O49" s="2"/>
      <c r="P49" s="2"/>
    </row>
    <row r="50" spans="1:16">
      <c r="A50" s="10" t="s">
        <v>67</v>
      </c>
      <c r="B50" s="10" t="s">
        <v>82</v>
      </c>
      <c r="C50" s="11" t="e">
        <f>1/C21*(C13/C22)/C29*(1-EXP(-C29))</f>
        <v>#DIV/0!</v>
      </c>
      <c r="D50" s="10" t="s">
        <v>36</v>
      </c>
      <c r="E50" s="2"/>
      <c r="G50" s="2"/>
      <c r="N50" s="2"/>
      <c r="O50" s="2"/>
      <c r="P50" s="2"/>
    </row>
    <row r="51" spans="1:16">
      <c r="N51" s="2"/>
      <c r="O51" s="2"/>
      <c r="P51" s="2"/>
    </row>
    <row r="52" spans="1:16">
      <c r="A52" s="10" t="s">
        <v>52</v>
      </c>
      <c r="B52" s="10" t="s">
        <v>99</v>
      </c>
      <c r="C52" s="11" t="e">
        <f>C7*C13*(5/2-(C29*EXP(-C29)/(1-EXP(-C29))))/1000</f>
        <v>#DIV/0!</v>
      </c>
      <c r="D52" s="10" t="s">
        <v>33</v>
      </c>
      <c r="G52" s="2"/>
      <c r="I52" s="2"/>
      <c r="N52" s="2"/>
      <c r="O52" s="2"/>
      <c r="P52" s="2"/>
    </row>
    <row r="53" spans="1:16">
      <c r="N53" s="2"/>
      <c r="O53" s="2"/>
      <c r="P53" s="2"/>
    </row>
    <row r="54" spans="1:16">
      <c r="A54" s="10" t="s">
        <v>51</v>
      </c>
      <c r="B54" s="10" t="s">
        <v>100</v>
      </c>
      <c r="C54" s="12" t="e">
        <f>C7*(LN(1/C21*(C13/C22)/(C29)*(1-EXP(-C29)))-C29*EXP(-C29)/(1-EXP(-C29))+2)</f>
        <v>#DIV/0!</v>
      </c>
      <c r="D54" s="10" t="s">
        <v>31</v>
      </c>
      <c r="G54" s="2"/>
      <c r="N54" s="2"/>
      <c r="O54" s="2"/>
      <c r="P54" s="2"/>
    </row>
    <row r="55" spans="1:16">
      <c r="N55" s="2"/>
      <c r="O55" s="2"/>
      <c r="P55" s="2"/>
    </row>
    <row r="56" spans="1:16">
      <c r="A56" s="5" t="s">
        <v>83</v>
      </c>
      <c r="B56" s="5" t="s">
        <v>84</v>
      </c>
      <c r="C56" s="5"/>
      <c r="D56" s="5" t="s">
        <v>36</v>
      </c>
    </row>
    <row r="58" spans="1:16">
      <c r="A58" s="5" t="s">
        <v>65</v>
      </c>
      <c r="B58" s="5" t="s">
        <v>101</v>
      </c>
      <c r="C58" s="5"/>
      <c r="D58" s="5" t="s">
        <v>33</v>
      </c>
    </row>
    <row r="60" spans="1:16">
      <c r="A60" s="5" t="s">
        <v>53</v>
      </c>
      <c r="B60" s="5" t="s">
        <v>102</v>
      </c>
      <c r="C60" s="5"/>
      <c r="D60" s="5" t="s">
        <v>31</v>
      </c>
    </row>
    <row r="62" spans="1:16">
      <c r="A62" s="10" t="s">
        <v>85</v>
      </c>
      <c r="B62" s="10" t="s">
        <v>103</v>
      </c>
      <c r="C62" s="11" t="e">
        <f>EXP(C18/C19*LN(C18/C19)-(C18/C19-1)*LN(C18/C19-1))</f>
        <v>#DIV/0!</v>
      </c>
      <c r="D62" s="11" t="s">
        <v>36</v>
      </c>
      <c r="G62" s="2"/>
      <c r="H62" s="2"/>
    </row>
    <row r="63" spans="1:16">
      <c r="C63" s="2"/>
    </row>
    <row r="64" spans="1:16">
      <c r="A64" s="10" t="s">
        <v>86</v>
      </c>
      <c r="B64" s="10" t="s">
        <v>104</v>
      </c>
      <c r="C64" s="11" t="e">
        <f>C6*((C18/C19*LN(C18/C19)-(C18/C19-1)*LN(C18/C19-1)))*6.02E+23</f>
        <v>#DIV/0!</v>
      </c>
      <c r="D64" s="10" t="s">
        <v>31</v>
      </c>
      <c r="F64" s="2"/>
    </row>
    <row r="66" spans="1:4">
      <c r="A66" s="10" t="s">
        <v>68</v>
      </c>
      <c r="B66" s="10" t="s">
        <v>105</v>
      </c>
      <c r="C66" s="11" t="e">
        <f>C36*C44*C50*C56*C62</f>
        <v>#DIV/0!</v>
      </c>
      <c r="D66" s="10" t="s">
        <v>36</v>
      </c>
    </row>
    <row r="67" spans="1:4">
      <c r="C67" s="2"/>
    </row>
    <row r="68" spans="1:4">
      <c r="A68" s="10" t="s">
        <v>87</v>
      </c>
      <c r="B68" s="10" t="s">
        <v>88</v>
      </c>
      <c r="C68" s="11" t="e">
        <f>C38+C46+C52+C58</f>
        <v>#DIV/0!</v>
      </c>
      <c r="D68" s="10" t="s">
        <v>33</v>
      </c>
    </row>
    <row r="70" spans="1:4">
      <c r="A70" s="10" t="s">
        <v>55</v>
      </c>
      <c r="B70" s="10" t="s">
        <v>106</v>
      </c>
      <c r="C70" s="13" t="e">
        <f>C48+C54+C60+C42+C64</f>
        <v>#NUM!</v>
      </c>
      <c r="D70" s="10" t="s">
        <v>31</v>
      </c>
    </row>
    <row r="72" spans="1:4">
      <c r="A72" s="10" t="s">
        <v>91</v>
      </c>
      <c r="B72" s="10" t="s">
        <v>69</v>
      </c>
      <c r="C72" s="11" t="e">
        <f>C68-C13*C70/1000</f>
        <v>#DIV/0!</v>
      </c>
      <c r="D72" s="10" t="s">
        <v>33</v>
      </c>
    </row>
    <row r="73" spans="1:4">
      <c r="C73" s="2"/>
    </row>
    <row r="76" spans="1:4">
      <c r="C76" s="2"/>
    </row>
  </sheetData>
  <phoneticPr fontId="2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F80CD-113E-4BAE-ADF7-CFB240382564}">
  <dimension ref="A1:P78"/>
  <sheetViews>
    <sheetView topLeftCell="A39" zoomScale="115" zoomScaleNormal="115" workbookViewId="0">
      <selection activeCell="A68" sqref="A68:XFD69"/>
    </sheetView>
  </sheetViews>
  <sheetFormatPr defaultRowHeight="18"/>
  <cols>
    <col min="1" max="1" width="34.08203125" bestFit="1" customWidth="1"/>
    <col min="2" max="2" width="14.2890625" bestFit="1" customWidth="1"/>
    <col min="3" max="3" width="14.20703125" customWidth="1"/>
    <col min="4" max="4" width="20.375" bestFit="1" customWidth="1"/>
    <col min="6" max="6" width="9.45703125" bestFit="1" customWidth="1"/>
    <col min="7" max="7" width="9.125" bestFit="1" customWidth="1"/>
  </cols>
  <sheetData>
    <row r="1" spans="1:4">
      <c r="A1" s="1" t="s">
        <v>114</v>
      </c>
      <c r="C1" s="4" t="s">
        <v>0</v>
      </c>
    </row>
    <row r="2" spans="1:4">
      <c r="C2" s="14" t="s">
        <v>1</v>
      </c>
    </row>
    <row r="4" spans="1:4">
      <c r="A4" s="1" t="s">
        <v>2</v>
      </c>
    </row>
    <row r="5" spans="1:4">
      <c r="A5" t="s">
        <v>3</v>
      </c>
      <c r="B5" t="s">
        <v>4</v>
      </c>
      <c r="C5">
        <v>6.6260700399999999E-34</v>
      </c>
      <c r="D5" t="s">
        <v>5</v>
      </c>
    </row>
    <row r="6" spans="1:4">
      <c r="A6" t="s">
        <v>6</v>
      </c>
      <c r="B6" t="s">
        <v>7</v>
      </c>
      <c r="C6" s="2">
        <v>1.3806485199999999E-23</v>
      </c>
      <c r="D6" t="s">
        <v>8</v>
      </c>
    </row>
    <row r="7" spans="1:4">
      <c r="A7" t="s">
        <v>9</v>
      </c>
      <c r="B7" t="s">
        <v>10</v>
      </c>
      <c r="C7">
        <v>8.3144597999999998</v>
      </c>
      <c r="D7" t="s">
        <v>11</v>
      </c>
    </row>
    <row r="8" spans="1:4" ht="18.5">
      <c r="A8" t="s">
        <v>12</v>
      </c>
      <c r="B8" t="s">
        <v>13</v>
      </c>
      <c r="C8">
        <v>3.1415926535900001</v>
      </c>
      <c r="D8" s="3"/>
    </row>
    <row r="9" spans="1:4">
      <c r="A9" t="s">
        <v>14</v>
      </c>
      <c r="B9" t="s">
        <v>15</v>
      </c>
      <c r="C9" s="2">
        <v>6.0221408599999999E+23</v>
      </c>
      <c r="D9" t="s">
        <v>16</v>
      </c>
    </row>
    <row r="11" spans="1:4">
      <c r="A11" s="5" t="s">
        <v>56</v>
      </c>
      <c r="B11" s="5"/>
      <c r="C11" s="5"/>
      <c r="D11" s="5" t="s">
        <v>36</v>
      </c>
    </row>
    <row r="12" spans="1:4">
      <c r="A12" s="5" t="s">
        <v>17</v>
      </c>
      <c r="B12" s="5" t="s">
        <v>18</v>
      </c>
      <c r="C12" s="5"/>
      <c r="D12" s="5" t="s">
        <v>19</v>
      </c>
    </row>
    <row r="13" spans="1:4">
      <c r="A13" s="5" t="s">
        <v>20</v>
      </c>
      <c r="B13" s="5" t="s">
        <v>21</v>
      </c>
      <c r="C13" s="5"/>
      <c r="D13" s="5" t="s">
        <v>22</v>
      </c>
    </row>
    <row r="14" spans="1:4">
      <c r="A14" s="5" t="s">
        <v>95</v>
      </c>
      <c r="B14" s="5" t="s">
        <v>57</v>
      </c>
      <c r="C14" s="5"/>
      <c r="D14" s="5" t="s">
        <v>58</v>
      </c>
    </row>
    <row r="15" spans="1:4">
      <c r="A15" s="5" t="s">
        <v>23</v>
      </c>
      <c r="B15" s="5" t="s">
        <v>24</v>
      </c>
      <c r="C15" s="5"/>
      <c r="D15" s="5" t="s">
        <v>25</v>
      </c>
    </row>
    <row r="16" spans="1:4">
      <c r="A16" s="5" t="s">
        <v>26</v>
      </c>
      <c r="B16" s="5" t="s">
        <v>27</v>
      </c>
      <c r="C16" s="5"/>
      <c r="D16" s="5" t="s">
        <v>25</v>
      </c>
    </row>
    <row r="17" spans="1:5">
      <c r="A17" t="s">
        <v>28</v>
      </c>
      <c r="B17" t="s">
        <v>92</v>
      </c>
      <c r="C17">
        <f>(C15^(1/3)-C16^(1/3))^3*1E-30</f>
        <v>0</v>
      </c>
      <c r="D17" t="s">
        <v>29</v>
      </c>
    </row>
    <row r="18" spans="1:5">
      <c r="A18" t="s">
        <v>59</v>
      </c>
      <c r="B18" t="s">
        <v>93</v>
      </c>
      <c r="C18" t="e">
        <f>0.001*1E+30/C15</f>
        <v>#DIV/0!</v>
      </c>
    </row>
    <row r="19" spans="1:5">
      <c r="A19" t="s">
        <v>60</v>
      </c>
      <c r="B19" t="s">
        <v>94</v>
      </c>
      <c r="C19" s="2">
        <f>C9*C14</f>
        <v>0</v>
      </c>
    </row>
    <row r="20" spans="1:5">
      <c r="A20" s="5" t="s">
        <v>71</v>
      </c>
      <c r="B20" s="5" t="s">
        <v>73</v>
      </c>
      <c r="C20" s="5"/>
      <c r="D20" s="5" t="s">
        <v>36</v>
      </c>
    </row>
    <row r="21" spans="1:5">
      <c r="A21" s="5" t="s">
        <v>34</v>
      </c>
      <c r="B21" s="5" t="s">
        <v>35</v>
      </c>
      <c r="C21" s="5"/>
      <c r="D21" s="5" t="s">
        <v>36</v>
      </c>
    </row>
    <row r="22" spans="1:5">
      <c r="A22" s="5" t="s">
        <v>37</v>
      </c>
      <c r="B22" s="5" t="s">
        <v>38</v>
      </c>
      <c r="C22" s="5"/>
      <c r="D22" s="5" t="s">
        <v>22</v>
      </c>
    </row>
    <row r="23" spans="1:5">
      <c r="A23" s="5" t="s">
        <v>39</v>
      </c>
      <c r="B23" s="5" t="s">
        <v>40</v>
      </c>
      <c r="C23" s="5"/>
      <c r="D23" s="5" t="s">
        <v>22</v>
      </c>
    </row>
    <row r="24" spans="1:5">
      <c r="A24" s="5" t="s">
        <v>41</v>
      </c>
      <c r="B24" s="5" t="s">
        <v>42</v>
      </c>
      <c r="C24" s="5"/>
      <c r="D24" s="5" t="s">
        <v>22</v>
      </c>
    </row>
    <row r="25" spans="1:5">
      <c r="B25" s="15"/>
      <c r="C25" s="2"/>
    </row>
    <row r="26" spans="1:5">
      <c r="B26" s="16"/>
    </row>
    <row r="29" spans="1:5">
      <c r="C29" s="2"/>
    </row>
    <row r="31" spans="1:5">
      <c r="A31" s="5" t="s">
        <v>62</v>
      </c>
      <c r="B31" s="5"/>
      <c r="C31" s="5"/>
      <c r="D31" s="5" t="s">
        <v>63</v>
      </c>
      <c r="E31" s="9"/>
    </row>
    <row r="32" spans="1:5">
      <c r="A32" s="5" t="s">
        <v>64</v>
      </c>
      <c r="B32" s="5"/>
      <c r="C32" s="5"/>
      <c r="D32" s="5" t="s">
        <v>63</v>
      </c>
      <c r="E32" s="9"/>
    </row>
    <row r="33" spans="1:16">
      <c r="A33" s="5" t="s">
        <v>74</v>
      </c>
      <c r="B33" s="5"/>
      <c r="C33" s="5"/>
      <c r="D33" s="5" t="s">
        <v>36</v>
      </c>
    </row>
    <row r="34" spans="1:16">
      <c r="A34" t="s">
        <v>75</v>
      </c>
      <c r="C34">
        <f>C32*C33</f>
        <v>0</v>
      </c>
      <c r="D34" t="s">
        <v>63</v>
      </c>
    </row>
    <row r="36" spans="1:16">
      <c r="A36" s="10" t="s">
        <v>81</v>
      </c>
      <c r="B36" s="10" t="s">
        <v>80</v>
      </c>
      <c r="C36" s="10">
        <f>C11</f>
        <v>0</v>
      </c>
      <c r="D36" s="10" t="s">
        <v>36</v>
      </c>
    </row>
    <row r="37" spans="1:16">
      <c r="N37" s="2"/>
      <c r="O37" s="2"/>
      <c r="P37" s="2"/>
    </row>
    <row r="38" spans="1:16">
      <c r="A38" s="10" t="s">
        <v>96</v>
      </c>
      <c r="B38" s="10" t="s">
        <v>97</v>
      </c>
      <c r="C38" s="10">
        <f>C31*627.5094740631*4.184</f>
        <v>0</v>
      </c>
      <c r="D38" s="10" t="s">
        <v>33</v>
      </c>
      <c r="N38" s="2"/>
      <c r="O38" s="2"/>
      <c r="P38" s="2"/>
    </row>
    <row r="40" spans="1:16">
      <c r="A40" s="10" t="s">
        <v>89</v>
      </c>
      <c r="B40" s="10" t="s">
        <v>90</v>
      </c>
      <c r="C40" s="10">
        <f>(C31+C34)*627.5094740631*4.184</f>
        <v>0</v>
      </c>
      <c r="D40" s="10" t="s">
        <v>33</v>
      </c>
    </row>
    <row r="42" spans="1:16">
      <c r="A42" s="10" t="s">
        <v>54</v>
      </c>
      <c r="B42" s="10" t="s">
        <v>77</v>
      </c>
      <c r="C42" s="10" t="e">
        <f>C7*LN(C11)</f>
        <v>#NUM!</v>
      </c>
      <c r="D42" s="10" t="s">
        <v>31</v>
      </c>
    </row>
    <row r="44" spans="1:16">
      <c r="A44" s="10" t="s">
        <v>66</v>
      </c>
      <c r="B44" s="10" t="s">
        <v>76</v>
      </c>
      <c r="C44" s="11">
        <f>C17*(2*C8*C12/C9/1000*C6*C13/C5/C5)^(3/2)</f>
        <v>0</v>
      </c>
      <c r="D44" s="10" t="s">
        <v>36</v>
      </c>
    </row>
    <row r="45" spans="1:16">
      <c r="C45" s="2"/>
    </row>
    <row r="46" spans="1:16">
      <c r="A46" s="10" t="s">
        <v>32</v>
      </c>
      <c r="B46" s="10" t="s">
        <v>78</v>
      </c>
      <c r="C46" s="10">
        <f>3/2*C7*C13/1000</f>
        <v>0</v>
      </c>
      <c r="D46" s="10" t="s">
        <v>33</v>
      </c>
    </row>
    <row r="47" spans="1:16">
      <c r="E47" s="2"/>
      <c r="G47" s="2"/>
    </row>
    <row r="48" spans="1:16">
      <c r="A48" s="10" t="s">
        <v>30</v>
      </c>
      <c r="B48" s="10" t="s">
        <v>98</v>
      </c>
      <c r="C48" s="12" t="e">
        <f>C7*(LN(C17*(2*C8*C12/C9/1000*C6*C13/C5/C5)^(3/2))+3/2)</f>
        <v>#NUM!</v>
      </c>
      <c r="D48" s="10" t="s">
        <v>31</v>
      </c>
    </row>
    <row r="49" spans="1:7">
      <c r="G49" s="2"/>
    </row>
    <row r="50" spans="1:7">
      <c r="A50" s="10" t="s">
        <v>67</v>
      </c>
      <c r="B50" s="10" t="s">
        <v>82</v>
      </c>
      <c r="C50" s="11" t="e">
        <f>C20/C21*(C8^0.5)*((C13^3)/C22/C23/C24)^0.5</f>
        <v>#DIV/0!</v>
      </c>
      <c r="D50" s="10" t="s">
        <v>36</v>
      </c>
    </row>
    <row r="51" spans="1:7">
      <c r="G51" s="2"/>
    </row>
    <row r="52" spans="1:7">
      <c r="A52" s="10" t="s">
        <v>52</v>
      </c>
      <c r="B52" s="10" t="s">
        <v>99</v>
      </c>
      <c r="C52" s="11">
        <f>3/2*C7*C13/1000</f>
        <v>0</v>
      </c>
      <c r="D52" s="10" t="s">
        <v>33</v>
      </c>
    </row>
    <row r="54" spans="1:7">
      <c r="A54" s="10" t="s">
        <v>51</v>
      </c>
      <c r="B54" s="10" t="s">
        <v>100</v>
      </c>
      <c r="C54" s="12" t="e">
        <f>C7*(LN(C20/C21*(C8^0.5)*((C13^3)/C22/C23/C24)^0.5)+3/2)</f>
        <v>#DIV/0!</v>
      </c>
      <c r="D54" s="10" t="s">
        <v>31</v>
      </c>
    </row>
    <row r="56" spans="1:7">
      <c r="A56" s="5" t="s">
        <v>83</v>
      </c>
      <c r="B56" s="5" t="s">
        <v>84</v>
      </c>
      <c r="C56" s="5"/>
      <c r="D56" s="5" t="s">
        <v>36</v>
      </c>
    </row>
    <row r="58" spans="1:7">
      <c r="A58" s="5" t="s">
        <v>65</v>
      </c>
      <c r="B58" s="5" t="s">
        <v>101</v>
      </c>
      <c r="C58" s="5"/>
      <c r="D58" s="5" t="s">
        <v>33</v>
      </c>
    </row>
    <row r="60" spans="1:7">
      <c r="A60" s="5" t="s">
        <v>53</v>
      </c>
      <c r="B60" s="5" t="s">
        <v>102</v>
      </c>
      <c r="C60" s="5"/>
      <c r="D60" s="5" t="s">
        <v>31</v>
      </c>
    </row>
    <row r="62" spans="1:7">
      <c r="A62" s="10" t="s">
        <v>85</v>
      </c>
      <c r="B62" s="10" t="s">
        <v>103</v>
      </c>
      <c r="C62" s="11" t="e">
        <f>EXP(C18/C19*LN(C18/C19)-(C18/C19-1)*LN(C18/C19-1))</f>
        <v>#DIV/0!</v>
      </c>
      <c r="D62" s="11" t="s">
        <v>36</v>
      </c>
    </row>
    <row r="63" spans="1:7">
      <c r="C63" s="2"/>
    </row>
    <row r="64" spans="1:7">
      <c r="A64" s="10" t="s">
        <v>86</v>
      </c>
      <c r="B64" s="10" t="s">
        <v>104</v>
      </c>
      <c r="C64" s="11" t="e">
        <f>C6*((C18/C19*LN(C18/C19)-(C18/C19-1)*LN(C18/C19-1)))*6.02E+23</f>
        <v>#DIV/0!</v>
      </c>
      <c r="D64" s="10" t="s">
        <v>31</v>
      </c>
    </row>
    <row r="65" spans="1:7">
      <c r="F65" s="2"/>
      <c r="G65" s="2"/>
    </row>
    <row r="66" spans="1:7">
      <c r="A66" s="10" t="s">
        <v>68</v>
      </c>
      <c r="B66" s="10" t="s">
        <v>105</v>
      </c>
      <c r="C66" s="11" t="e">
        <f>C36*C44*C50*C56*C62</f>
        <v>#DIV/0!</v>
      </c>
      <c r="D66" s="10" t="s">
        <v>36</v>
      </c>
    </row>
    <row r="67" spans="1:7">
      <c r="C67" s="2"/>
    </row>
    <row r="68" spans="1:7">
      <c r="A68" s="10" t="s">
        <v>87</v>
      </c>
      <c r="B68" s="10" t="s">
        <v>88</v>
      </c>
      <c r="C68" s="11">
        <f>C38+C46+C52+C58</f>
        <v>0</v>
      </c>
      <c r="D68" s="10" t="s">
        <v>33</v>
      </c>
      <c r="G68" s="2"/>
    </row>
    <row r="70" spans="1:7">
      <c r="A70" s="10" t="s">
        <v>55</v>
      </c>
      <c r="B70" s="10" t="s">
        <v>106</v>
      </c>
      <c r="C70" s="13" t="e">
        <f>C48+C54+C60+C42+C64</f>
        <v>#NUM!</v>
      </c>
      <c r="D70" s="10" t="s">
        <v>31</v>
      </c>
    </row>
    <row r="72" spans="1:7">
      <c r="A72" s="10" t="s">
        <v>91</v>
      </c>
      <c r="B72" s="10" t="s">
        <v>69</v>
      </c>
      <c r="C72" s="11" t="e">
        <f>C68-C13*C70/1000</f>
        <v>#NUM!</v>
      </c>
      <c r="D72" s="10" t="s">
        <v>33</v>
      </c>
    </row>
    <row r="75" spans="1:7">
      <c r="C75" s="2"/>
    </row>
    <row r="78" spans="1:7">
      <c r="C78" s="2"/>
    </row>
  </sheetData>
  <phoneticPr fontId="2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89818-4B9A-43B9-AE56-E89B77D94F23}">
  <dimension ref="A1:P78"/>
  <sheetViews>
    <sheetView topLeftCell="A45" zoomScale="115" zoomScaleNormal="115" workbookViewId="0">
      <selection activeCell="A68" sqref="A68:XFD69"/>
    </sheetView>
  </sheetViews>
  <sheetFormatPr defaultRowHeight="18"/>
  <cols>
    <col min="1" max="1" width="34.08203125" bestFit="1" customWidth="1"/>
    <col min="2" max="2" width="14.2890625" bestFit="1" customWidth="1"/>
    <col min="3" max="3" width="14.20703125" customWidth="1"/>
    <col min="4" max="4" width="20.375" bestFit="1" customWidth="1"/>
    <col min="6" max="6" width="9.45703125" bestFit="1" customWidth="1"/>
    <col min="7" max="7" width="9.125" bestFit="1" customWidth="1"/>
  </cols>
  <sheetData>
    <row r="1" spans="1:4">
      <c r="A1" s="1" t="s">
        <v>115</v>
      </c>
      <c r="C1" s="4" t="s">
        <v>0</v>
      </c>
    </row>
    <row r="2" spans="1:4">
      <c r="C2" s="14" t="s">
        <v>1</v>
      </c>
    </row>
    <row r="4" spans="1:4">
      <c r="A4" s="1" t="s">
        <v>2</v>
      </c>
    </row>
    <row r="5" spans="1:4">
      <c r="A5" t="s">
        <v>3</v>
      </c>
      <c r="B5" t="s">
        <v>4</v>
      </c>
      <c r="C5">
        <v>6.6260700399999999E-34</v>
      </c>
      <c r="D5" t="s">
        <v>5</v>
      </c>
    </row>
    <row r="6" spans="1:4">
      <c r="A6" t="s">
        <v>6</v>
      </c>
      <c r="B6" t="s">
        <v>7</v>
      </c>
      <c r="C6" s="2">
        <v>1.3806485199999999E-23</v>
      </c>
      <c r="D6" t="s">
        <v>8</v>
      </c>
    </row>
    <row r="7" spans="1:4">
      <c r="A7" t="s">
        <v>9</v>
      </c>
      <c r="B7" t="s">
        <v>10</v>
      </c>
      <c r="C7">
        <v>8.3144597999999998</v>
      </c>
      <c r="D7" t="s">
        <v>11</v>
      </c>
    </row>
    <row r="8" spans="1:4" ht="18.5">
      <c r="A8" t="s">
        <v>12</v>
      </c>
      <c r="B8" t="s">
        <v>13</v>
      </c>
      <c r="C8">
        <v>3.1415926535900001</v>
      </c>
      <c r="D8" s="3"/>
    </row>
    <row r="9" spans="1:4">
      <c r="A9" t="s">
        <v>14</v>
      </c>
      <c r="B9" t="s">
        <v>15</v>
      </c>
      <c r="C9" s="2">
        <v>6.0221408599999999E+23</v>
      </c>
      <c r="D9" t="s">
        <v>16</v>
      </c>
    </row>
    <row r="11" spans="1:4">
      <c r="A11" s="5" t="s">
        <v>56</v>
      </c>
      <c r="B11" s="5"/>
      <c r="C11" s="5"/>
      <c r="D11" s="5" t="s">
        <v>36</v>
      </c>
    </row>
    <row r="12" spans="1:4">
      <c r="A12" s="5" t="s">
        <v>17</v>
      </c>
      <c r="B12" s="5" t="s">
        <v>18</v>
      </c>
      <c r="C12" s="5"/>
      <c r="D12" s="5" t="s">
        <v>19</v>
      </c>
    </row>
    <row r="13" spans="1:4">
      <c r="A13" s="5" t="s">
        <v>20</v>
      </c>
      <c r="B13" s="5" t="s">
        <v>21</v>
      </c>
      <c r="C13" s="5"/>
      <c r="D13" s="5" t="s">
        <v>22</v>
      </c>
    </row>
    <row r="14" spans="1:4">
      <c r="A14" s="5" t="s">
        <v>95</v>
      </c>
      <c r="B14" s="5" t="s">
        <v>57</v>
      </c>
      <c r="C14" s="5"/>
      <c r="D14" s="5" t="s">
        <v>58</v>
      </c>
    </row>
    <row r="15" spans="1:4">
      <c r="A15" s="5" t="s">
        <v>23</v>
      </c>
      <c r="B15" s="5" t="s">
        <v>24</v>
      </c>
      <c r="C15" s="5"/>
      <c r="D15" s="5" t="s">
        <v>25</v>
      </c>
    </row>
    <row r="16" spans="1:4">
      <c r="A16" s="5" t="s">
        <v>26</v>
      </c>
      <c r="B16" s="5" t="s">
        <v>27</v>
      </c>
      <c r="C16" s="5"/>
      <c r="D16" s="5" t="s">
        <v>25</v>
      </c>
    </row>
    <row r="17" spans="1:5">
      <c r="A17" t="s">
        <v>28</v>
      </c>
      <c r="B17" t="s">
        <v>92</v>
      </c>
      <c r="C17">
        <f>(C15^(1/3)-C16^(1/3))^3*1E-30</f>
        <v>0</v>
      </c>
      <c r="D17" t="s">
        <v>29</v>
      </c>
    </row>
    <row r="18" spans="1:5">
      <c r="A18" t="s">
        <v>59</v>
      </c>
      <c r="B18" t="s">
        <v>93</v>
      </c>
      <c r="C18" t="e">
        <f>0.001*1E+30/C15</f>
        <v>#DIV/0!</v>
      </c>
    </row>
    <row r="19" spans="1:5">
      <c r="A19" t="s">
        <v>60</v>
      </c>
      <c r="B19" t="s">
        <v>94</v>
      </c>
      <c r="C19" s="2">
        <f>C9*C14</f>
        <v>0</v>
      </c>
    </row>
    <row r="21" spans="1:5">
      <c r="A21" s="5" t="s">
        <v>34</v>
      </c>
      <c r="B21" s="5" t="s">
        <v>35</v>
      </c>
      <c r="C21" s="5"/>
      <c r="D21" s="5" t="s">
        <v>36</v>
      </c>
    </row>
    <row r="22" spans="1:5">
      <c r="A22" s="5" t="s">
        <v>37</v>
      </c>
      <c r="B22" s="5" t="s">
        <v>38</v>
      </c>
      <c r="C22" s="5"/>
      <c r="D22" s="5" t="s">
        <v>22</v>
      </c>
    </row>
    <row r="25" spans="1:5">
      <c r="B25" s="15"/>
      <c r="C25" s="2"/>
    </row>
    <row r="26" spans="1:5">
      <c r="B26" s="16"/>
    </row>
    <row r="29" spans="1:5">
      <c r="C29" s="2"/>
    </row>
    <row r="31" spans="1:5">
      <c r="A31" s="5" t="s">
        <v>62</v>
      </c>
      <c r="B31" s="5"/>
      <c r="C31" s="5"/>
      <c r="D31" s="5" t="s">
        <v>63</v>
      </c>
      <c r="E31" s="9"/>
    </row>
    <row r="32" spans="1:5">
      <c r="A32" s="5" t="s">
        <v>64</v>
      </c>
      <c r="B32" s="5"/>
      <c r="C32" s="5"/>
      <c r="D32" s="5" t="s">
        <v>63</v>
      </c>
      <c r="E32" s="9"/>
    </row>
    <row r="33" spans="1:16">
      <c r="A33" s="5" t="s">
        <v>74</v>
      </c>
      <c r="B33" s="5"/>
      <c r="C33" s="5"/>
      <c r="D33" s="5" t="s">
        <v>36</v>
      </c>
    </row>
    <row r="34" spans="1:16">
      <c r="A34" t="s">
        <v>75</v>
      </c>
      <c r="C34">
        <f>C32*C33</f>
        <v>0</v>
      </c>
      <c r="D34" t="s">
        <v>63</v>
      </c>
    </row>
    <row r="36" spans="1:16">
      <c r="A36" s="10" t="s">
        <v>81</v>
      </c>
      <c r="B36" s="10" t="s">
        <v>80</v>
      </c>
      <c r="C36" s="10">
        <f>C11</f>
        <v>0</v>
      </c>
      <c r="D36" s="10" t="s">
        <v>36</v>
      </c>
    </row>
    <row r="37" spans="1:16">
      <c r="N37" s="2"/>
      <c r="O37" s="2"/>
      <c r="P37" s="2"/>
    </row>
    <row r="38" spans="1:16">
      <c r="A38" s="10" t="s">
        <v>96</v>
      </c>
      <c r="B38" s="10" t="s">
        <v>97</v>
      </c>
      <c r="C38" s="10">
        <f>C31*627.5094740631*4.184</f>
        <v>0</v>
      </c>
      <c r="D38" s="10" t="s">
        <v>33</v>
      </c>
      <c r="N38" s="2"/>
      <c r="O38" s="2"/>
      <c r="P38" s="2"/>
    </row>
    <row r="40" spans="1:16">
      <c r="A40" s="10" t="s">
        <v>89</v>
      </c>
      <c r="B40" s="10" t="s">
        <v>90</v>
      </c>
      <c r="C40" s="10">
        <f>(C31+C34)*627.5094740631*4.184</f>
        <v>0</v>
      </c>
      <c r="D40" s="10" t="s">
        <v>33</v>
      </c>
    </row>
    <row r="42" spans="1:16">
      <c r="A42" s="10" t="s">
        <v>54</v>
      </c>
      <c r="B42" s="10" t="s">
        <v>77</v>
      </c>
      <c r="C42" s="10" t="e">
        <f>C7*LN(C11)</f>
        <v>#NUM!</v>
      </c>
      <c r="D42" s="10" t="s">
        <v>31</v>
      </c>
    </row>
    <row r="44" spans="1:16">
      <c r="A44" s="10" t="s">
        <v>66</v>
      </c>
      <c r="B44" s="10" t="s">
        <v>76</v>
      </c>
      <c r="C44" s="11">
        <f>C17*(2*C8*C12/C9/1000*C6*C13/C5/C5)^(3/2)</f>
        <v>0</v>
      </c>
      <c r="D44" s="10" t="s">
        <v>36</v>
      </c>
    </row>
    <row r="45" spans="1:16">
      <c r="C45" s="2"/>
    </row>
    <row r="46" spans="1:16">
      <c r="A46" s="10" t="s">
        <v>32</v>
      </c>
      <c r="B46" s="10" t="s">
        <v>78</v>
      </c>
      <c r="C46" s="10">
        <f>3/2*C7*C13/1000</f>
        <v>0</v>
      </c>
      <c r="D46" s="10" t="s">
        <v>33</v>
      </c>
    </row>
    <row r="47" spans="1:16">
      <c r="E47" s="2"/>
      <c r="G47" s="2"/>
    </row>
    <row r="48" spans="1:16">
      <c r="A48" s="10" t="s">
        <v>30</v>
      </c>
      <c r="B48" s="10" t="s">
        <v>98</v>
      </c>
      <c r="C48" s="12" t="e">
        <f>C7*(LN(C17*(2*C8*C12/C9/1000*C6*C13/C5/C5)^(3/2))+3/2)</f>
        <v>#NUM!</v>
      </c>
      <c r="D48" s="10" t="s">
        <v>31</v>
      </c>
    </row>
    <row r="49" spans="1:7">
      <c r="G49" s="2"/>
    </row>
    <row r="50" spans="1:7">
      <c r="A50" s="10" t="s">
        <v>67</v>
      </c>
      <c r="B50" s="10" t="s">
        <v>82</v>
      </c>
      <c r="C50" s="11" t="e">
        <f>1/C21*C13/C22</f>
        <v>#DIV/0!</v>
      </c>
      <c r="D50" s="10" t="s">
        <v>36</v>
      </c>
    </row>
    <row r="51" spans="1:7">
      <c r="G51" s="2"/>
    </row>
    <row r="52" spans="1:7">
      <c r="A52" s="10" t="s">
        <v>52</v>
      </c>
      <c r="B52" s="10" t="s">
        <v>99</v>
      </c>
      <c r="C52" s="11">
        <f>C7*C13/1000</f>
        <v>0</v>
      </c>
      <c r="D52" s="10" t="s">
        <v>33</v>
      </c>
    </row>
    <row r="54" spans="1:7">
      <c r="A54" s="10" t="s">
        <v>51</v>
      </c>
      <c r="B54" s="10" t="s">
        <v>100</v>
      </c>
      <c r="C54" s="12" t="e">
        <f>C7*(LN(1/C21*C13/C22)+1)</f>
        <v>#DIV/0!</v>
      </c>
      <c r="D54" s="10" t="s">
        <v>31</v>
      </c>
    </row>
    <row r="56" spans="1:7">
      <c r="A56" s="5" t="s">
        <v>83</v>
      </c>
      <c r="B56" s="5" t="s">
        <v>84</v>
      </c>
      <c r="C56" s="5"/>
      <c r="D56" s="5" t="s">
        <v>36</v>
      </c>
    </row>
    <row r="58" spans="1:7">
      <c r="A58" s="5" t="s">
        <v>65</v>
      </c>
      <c r="B58" s="5" t="s">
        <v>101</v>
      </c>
      <c r="C58" s="5"/>
      <c r="D58" s="5" t="s">
        <v>33</v>
      </c>
    </row>
    <row r="60" spans="1:7">
      <c r="A60" s="5" t="s">
        <v>53</v>
      </c>
      <c r="B60" s="5" t="s">
        <v>102</v>
      </c>
      <c r="C60" s="5"/>
      <c r="D60" s="5" t="s">
        <v>31</v>
      </c>
    </row>
    <row r="62" spans="1:7">
      <c r="A62" s="10" t="s">
        <v>85</v>
      </c>
      <c r="B62" s="10" t="s">
        <v>103</v>
      </c>
      <c r="C62" s="11" t="e">
        <f>EXP(C18/C19*LN(C18/C19)-(C18/C19-1)*LN(C18/C19-1))</f>
        <v>#DIV/0!</v>
      </c>
      <c r="D62" s="11" t="s">
        <v>36</v>
      </c>
    </row>
    <row r="63" spans="1:7">
      <c r="C63" s="2"/>
    </row>
    <row r="64" spans="1:7">
      <c r="A64" s="10" t="s">
        <v>86</v>
      </c>
      <c r="B64" s="10" t="s">
        <v>104</v>
      </c>
      <c r="C64" s="11" t="e">
        <f>C6*((C18/C19*LN(C18/C19)-(C18/C19-1)*LN(C18/C19-1)))*6.02E+23</f>
        <v>#DIV/0!</v>
      </c>
      <c r="D64" s="10" t="s">
        <v>31</v>
      </c>
    </row>
    <row r="65" spans="1:7">
      <c r="F65" s="2"/>
      <c r="G65" s="2"/>
    </row>
    <row r="66" spans="1:7">
      <c r="A66" s="10" t="s">
        <v>68</v>
      </c>
      <c r="B66" s="10" t="s">
        <v>105</v>
      </c>
      <c r="C66" s="11" t="e">
        <f>C36*C44*C50*C56*C62</f>
        <v>#DIV/0!</v>
      </c>
      <c r="D66" s="10" t="s">
        <v>36</v>
      </c>
    </row>
    <row r="67" spans="1:7">
      <c r="C67" s="2"/>
    </row>
    <row r="68" spans="1:7">
      <c r="A68" s="10" t="s">
        <v>87</v>
      </c>
      <c r="B68" s="10" t="s">
        <v>88</v>
      </c>
      <c r="C68" s="11">
        <f>C38+C46+C52+C58</f>
        <v>0</v>
      </c>
      <c r="D68" s="10" t="s">
        <v>33</v>
      </c>
      <c r="G68" s="2"/>
    </row>
    <row r="70" spans="1:7">
      <c r="A70" s="10" t="s">
        <v>55</v>
      </c>
      <c r="B70" s="10" t="s">
        <v>106</v>
      </c>
      <c r="C70" s="13" t="e">
        <f>C48+C54+C60+C42+C64</f>
        <v>#NUM!</v>
      </c>
      <c r="D70" s="10" t="s">
        <v>31</v>
      </c>
    </row>
    <row r="72" spans="1:7">
      <c r="A72" s="10" t="s">
        <v>91</v>
      </c>
      <c r="B72" s="10" t="s">
        <v>69</v>
      </c>
      <c r="C72" s="11" t="e">
        <f>C68-C13*C70/1000</f>
        <v>#NUM!</v>
      </c>
      <c r="D72" s="10" t="s">
        <v>33</v>
      </c>
    </row>
    <row r="75" spans="1:7">
      <c r="C75" s="2"/>
    </row>
    <row r="78" spans="1:7">
      <c r="C78" s="2"/>
    </row>
  </sheetData>
  <phoneticPr fontId="2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A9257-9426-457D-AAF6-504E52D0A7AC}">
  <dimension ref="A1:P78"/>
  <sheetViews>
    <sheetView tabSelected="1" zoomScaleNormal="100" workbookViewId="0">
      <selection activeCell="K15" sqref="K15"/>
    </sheetView>
  </sheetViews>
  <sheetFormatPr defaultRowHeight="18"/>
  <cols>
    <col min="1" max="1" width="34.08203125" bestFit="1" customWidth="1"/>
    <col min="2" max="2" width="14.2890625" bestFit="1" customWidth="1"/>
    <col min="3" max="3" width="14.20703125" customWidth="1"/>
    <col min="4" max="4" width="20.375" bestFit="1" customWidth="1"/>
    <col min="6" max="6" width="9.45703125" bestFit="1" customWidth="1"/>
    <col min="7" max="7" width="9.125" bestFit="1" customWidth="1"/>
  </cols>
  <sheetData>
    <row r="1" spans="1:4">
      <c r="A1" s="1" t="s">
        <v>116</v>
      </c>
      <c r="C1" s="4" t="s">
        <v>0</v>
      </c>
    </row>
    <row r="2" spans="1:4">
      <c r="C2" s="14" t="s">
        <v>1</v>
      </c>
    </row>
    <row r="4" spans="1:4">
      <c r="A4" s="1" t="s">
        <v>2</v>
      </c>
    </row>
    <row r="5" spans="1:4">
      <c r="A5" t="s">
        <v>3</v>
      </c>
      <c r="B5" t="s">
        <v>4</v>
      </c>
      <c r="C5">
        <v>6.6260700399999999E-34</v>
      </c>
      <c r="D5" t="s">
        <v>5</v>
      </c>
    </row>
    <row r="6" spans="1:4">
      <c r="A6" t="s">
        <v>6</v>
      </c>
      <c r="B6" t="s">
        <v>7</v>
      </c>
      <c r="C6" s="2">
        <v>1.3806485199999999E-23</v>
      </c>
      <c r="D6" t="s">
        <v>8</v>
      </c>
    </row>
    <row r="7" spans="1:4">
      <c r="A7" t="s">
        <v>9</v>
      </c>
      <c r="B7" t="s">
        <v>10</v>
      </c>
      <c r="C7">
        <v>8.3144597999999998</v>
      </c>
      <c r="D7" t="s">
        <v>11</v>
      </c>
    </row>
    <row r="8" spans="1:4" ht="18.5">
      <c r="A8" t="s">
        <v>12</v>
      </c>
      <c r="B8" t="s">
        <v>13</v>
      </c>
      <c r="C8">
        <v>3.1415926535900001</v>
      </c>
      <c r="D8" s="3"/>
    </row>
    <row r="9" spans="1:4">
      <c r="A9" t="s">
        <v>14</v>
      </c>
      <c r="B9" t="s">
        <v>15</v>
      </c>
      <c r="C9" s="2">
        <v>6.0221408599999999E+23</v>
      </c>
      <c r="D9" t="s">
        <v>16</v>
      </c>
    </row>
    <row r="11" spans="1:4">
      <c r="A11" s="5" t="s">
        <v>56</v>
      </c>
      <c r="B11" s="5"/>
      <c r="C11" s="5"/>
      <c r="D11" s="5" t="s">
        <v>36</v>
      </c>
    </row>
    <row r="12" spans="1:4">
      <c r="A12" s="5" t="s">
        <v>17</v>
      </c>
      <c r="B12" s="5" t="s">
        <v>18</v>
      </c>
      <c r="C12" s="5"/>
      <c r="D12" s="5" t="s">
        <v>19</v>
      </c>
    </row>
    <row r="13" spans="1:4">
      <c r="A13" s="5" t="s">
        <v>20</v>
      </c>
      <c r="B13" s="5" t="s">
        <v>21</v>
      </c>
      <c r="C13" s="5"/>
      <c r="D13" s="5" t="s">
        <v>22</v>
      </c>
    </row>
    <row r="14" spans="1:4">
      <c r="A14" s="5" t="s">
        <v>95</v>
      </c>
      <c r="B14" s="5" t="s">
        <v>57</v>
      </c>
      <c r="C14" s="5"/>
      <c r="D14" s="5" t="s">
        <v>58</v>
      </c>
    </row>
    <row r="15" spans="1:4">
      <c r="A15" s="5" t="s">
        <v>109</v>
      </c>
      <c r="B15" s="5" t="s">
        <v>110</v>
      </c>
      <c r="C15" s="5"/>
      <c r="D15" s="5" t="s">
        <v>111</v>
      </c>
    </row>
    <row r="17" spans="1:5">
      <c r="A17" t="s">
        <v>70</v>
      </c>
      <c r="B17" t="s">
        <v>70</v>
      </c>
      <c r="C17" t="e">
        <f>1/C14/1000</f>
        <v>#DIV/0!</v>
      </c>
      <c r="D17" t="s">
        <v>29</v>
      </c>
    </row>
    <row r="19" spans="1:5">
      <c r="C19" s="2"/>
    </row>
    <row r="20" spans="1:5">
      <c r="A20" s="5" t="s">
        <v>71</v>
      </c>
      <c r="B20" s="5" t="s">
        <v>73</v>
      </c>
      <c r="C20" s="5">
        <v>1</v>
      </c>
      <c r="D20" s="5" t="s">
        <v>36</v>
      </c>
    </row>
    <row r="21" spans="1:5">
      <c r="A21" s="5" t="s">
        <v>34</v>
      </c>
      <c r="B21" s="5" t="s">
        <v>35</v>
      </c>
      <c r="C21" s="5">
        <v>2</v>
      </c>
      <c r="D21" s="5" t="s">
        <v>36</v>
      </c>
    </row>
    <row r="22" spans="1:5">
      <c r="A22" s="5" t="s">
        <v>37</v>
      </c>
      <c r="B22" s="5" t="s">
        <v>38</v>
      </c>
      <c r="C22" s="5">
        <v>0.24440000000000001</v>
      </c>
      <c r="D22" s="5" t="s">
        <v>22</v>
      </c>
    </row>
    <row r="23" spans="1:5">
      <c r="A23" s="5" t="s">
        <v>39</v>
      </c>
      <c r="B23" s="5" t="s">
        <v>40</v>
      </c>
      <c r="C23" s="5">
        <v>0.24396999999999999</v>
      </c>
      <c r="D23" s="5" t="s">
        <v>22</v>
      </c>
    </row>
    <row r="24" spans="1:5">
      <c r="A24" s="5" t="s">
        <v>41</v>
      </c>
      <c r="B24" s="5" t="s">
        <v>42</v>
      </c>
      <c r="C24" s="5">
        <v>0.12970000000000001</v>
      </c>
      <c r="D24" s="5" t="s">
        <v>22</v>
      </c>
    </row>
    <row r="25" spans="1:5">
      <c r="B25" s="15"/>
      <c r="C25" s="2"/>
    </row>
    <row r="26" spans="1:5">
      <c r="B26" s="16"/>
    </row>
    <row r="29" spans="1:5">
      <c r="C29" s="2"/>
    </row>
    <row r="31" spans="1:5">
      <c r="A31" s="5" t="s">
        <v>62</v>
      </c>
      <c r="B31" s="5"/>
      <c r="C31" s="5"/>
      <c r="D31" s="5" t="s">
        <v>63</v>
      </c>
      <c r="E31" s="9"/>
    </row>
    <row r="32" spans="1:5">
      <c r="A32" s="5" t="s">
        <v>64</v>
      </c>
      <c r="B32" s="5"/>
      <c r="C32" s="5"/>
      <c r="D32" s="5" t="s">
        <v>63</v>
      </c>
      <c r="E32" s="9"/>
    </row>
    <row r="33" spans="1:16">
      <c r="A33" s="5" t="s">
        <v>74</v>
      </c>
      <c r="B33" s="5"/>
      <c r="C33" s="5"/>
      <c r="D33" s="5" t="s">
        <v>36</v>
      </c>
    </row>
    <row r="34" spans="1:16">
      <c r="A34" t="s">
        <v>75</v>
      </c>
      <c r="C34">
        <f>C32*C33</f>
        <v>0</v>
      </c>
      <c r="D34" t="s">
        <v>63</v>
      </c>
    </row>
    <row r="36" spans="1:16">
      <c r="A36" s="10" t="s">
        <v>81</v>
      </c>
      <c r="B36" s="10" t="s">
        <v>80</v>
      </c>
      <c r="C36" s="10">
        <f>C11</f>
        <v>0</v>
      </c>
      <c r="D36" s="10" t="s">
        <v>36</v>
      </c>
    </row>
    <row r="37" spans="1:16">
      <c r="N37" s="2"/>
      <c r="O37" s="2"/>
      <c r="P37" s="2"/>
    </row>
    <row r="38" spans="1:16">
      <c r="A38" s="10" t="s">
        <v>96</v>
      </c>
      <c r="B38" s="10" t="s">
        <v>97</v>
      </c>
      <c r="C38" s="10">
        <f>C31*627.5094740631*4.184</f>
        <v>0</v>
      </c>
      <c r="D38" s="10" t="s">
        <v>33</v>
      </c>
      <c r="N38" s="2"/>
      <c r="O38" s="2"/>
      <c r="P38" s="2"/>
    </row>
    <row r="40" spans="1:16">
      <c r="A40" s="10" t="s">
        <v>89</v>
      </c>
      <c r="B40" s="10" t="s">
        <v>90</v>
      </c>
      <c r="C40" s="10">
        <f>(C31+C34)*627.5094740631*4.184</f>
        <v>0</v>
      </c>
      <c r="D40" s="10" t="s">
        <v>33</v>
      </c>
    </row>
    <row r="42" spans="1:16">
      <c r="A42" s="10" t="s">
        <v>54</v>
      </c>
      <c r="B42" s="10" t="s">
        <v>77</v>
      </c>
      <c r="C42" s="10" t="e">
        <f>C7*LN(C11)</f>
        <v>#NUM!</v>
      </c>
      <c r="D42" s="10" t="s">
        <v>31</v>
      </c>
    </row>
    <row r="44" spans="1:16">
      <c r="A44" s="10" t="s">
        <v>66</v>
      </c>
      <c r="B44" s="10" t="s">
        <v>76</v>
      </c>
      <c r="C44" s="11" t="e">
        <f>C17*(2*C8*C12/C9/1000*C6*C13/C5/C5)^(3/2)</f>
        <v>#DIV/0!</v>
      </c>
      <c r="D44" s="10" t="s">
        <v>36</v>
      </c>
    </row>
    <row r="45" spans="1:16">
      <c r="C45" s="2"/>
    </row>
    <row r="46" spans="1:16">
      <c r="A46" s="10" t="s">
        <v>32</v>
      </c>
      <c r="B46" s="10" t="s">
        <v>78</v>
      </c>
      <c r="C46" s="10">
        <f>3/2*C7*C13/1000</f>
        <v>0</v>
      </c>
      <c r="D46" s="10" t="s">
        <v>33</v>
      </c>
    </row>
    <row r="47" spans="1:16">
      <c r="E47" s="2"/>
      <c r="G47" s="2"/>
    </row>
    <row r="48" spans="1:16">
      <c r="A48" s="10" t="s">
        <v>30</v>
      </c>
      <c r="B48" s="10" t="s">
        <v>98</v>
      </c>
      <c r="C48" s="12" t="e">
        <f>C7*(LN(C17/C9*(2*C8*C12/C9/1000*C6*C13/C5/C5)^(3/2))+5/2)</f>
        <v>#DIV/0!</v>
      </c>
      <c r="D48" s="10" t="s">
        <v>31</v>
      </c>
    </row>
    <row r="49" spans="1:7">
      <c r="G49" s="2"/>
    </row>
    <row r="50" spans="1:7">
      <c r="A50" s="10" t="s">
        <v>67</v>
      </c>
      <c r="B50" s="10" t="s">
        <v>82</v>
      </c>
      <c r="C50" s="11">
        <f>C20/C21*(C8^0.5)*((C13^3)/C22/C23/C24)^0.5</f>
        <v>0</v>
      </c>
      <c r="D50" s="10" t="s">
        <v>36</v>
      </c>
    </row>
    <row r="51" spans="1:7">
      <c r="G51" s="2"/>
    </row>
    <row r="52" spans="1:7">
      <c r="A52" s="10" t="s">
        <v>52</v>
      </c>
      <c r="B52" s="10" t="s">
        <v>99</v>
      </c>
      <c r="C52" s="11">
        <f>3/2*C7*C13/1000</f>
        <v>0</v>
      </c>
      <c r="D52" s="10" t="s">
        <v>33</v>
      </c>
    </row>
    <row r="54" spans="1:7">
      <c r="A54" s="10" t="s">
        <v>51</v>
      </c>
      <c r="B54" s="10" t="s">
        <v>100</v>
      </c>
      <c r="C54" s="12" t="e">
        <f>C7*(LN(C20/C21*(C8^0.5)*((C13^3)/C22/C23/C24)^0.5)+3/2)</f>
        <v>#NUM!</v>
      </c>
      <c r="D54" s="10" t="s">
        <v>31</v>
      </c>
    </row>
    <row r="56" spans="1:7">
      <c r="A56" s="5" t="s">
        <v>83</v>
      </c>
      <c r="B56" s="5" t="s">
        <v>84</v>
      </c>
      <c r="C56" s="5"/>
      <c r="D56" s="5" t="s">
        <v>36</v>
      </c>
    </row>
    <row r="58" spans="1:7">
      <c r="A58" s="5" t="s">
        <v>65</v>
      </c>
      <c r="B58" s="5" t="s">
        <v>101</v>
      </c>
      <c r="C58" s="5"/>
      <c r="D58" s="5" t="s">
        <v>33</v>
      </c>
    </row>
    <row r="60" spans="1:7">
      <c r="A60" s="5" t="s">
        <v>53</v>
      </c>
      <c r="B60" s="5" t="s">
        <v>102</v>
      </c>
      <c r="C60" s="5"/>
      <c r="D60" s="5" t="s">
        <v>31</v>
      </c>
    </row>
    <row r="62" spans="1:7">
      <c r="A62" s="10" t="s">
        <v>118</v>
      </c>
      <c r="B62" s="10" t="s">
        <v>119</v>
      </c>
      <c r="C62" s="13">
        <f>C7*C13/1000</f>
        <v>0</v>
      </c>
      <c r="D62" s="11" t="s">
        <v>120</v>
      </c>
    </row>
    <row r="63" spans="1:7">
      <c r="C63" s="2"/>
    </row>
    <row r="64" spans="1:7">
      <c r="C64" s="2"/>
    </row>
    <row r="65" spans="1:7">
      <c r="F65" s="2"/>
      <c r="G65" s="2"/>
    </row>
    <row r="66" spans="1:7">
      <c r="A66" s="10" t="s">
        <v>68</v>
      </c>
      <c r="B66" s="10" t="s">
        <v>105</v>
      </c>
      <c r="C66" s="11" t="e">
        <f>C36*C44*C50*C56</f>
        <v>#DIV/0!</v>
      </c>
      <c r="D66" s="10" t="s">
        <v>36</v>
      </c>
    </row>
    <row r="67" spans="1:7">
      <c r="C67" s="2"/>
    </row>
    <row r="68" spans="1:7">
      <c r="A68" s="10" t="s">
        <v>121</v>
      </c>
      <c r="B68" s="10" t="s">
        <v>122</v>
      </c>
      <c r="C68" s="11">
        <f>C38+C46+C52+C58+C62</f>
        <v>0</v>
      </c>
      <c r="D68" s="10" t="s">
        <v>33</v>
      </c>
      <c r="G68" s="2"/>
    </row>
    <row r="70" spans="1:7">
      <c r="A70" s="10" t="s">
        <v>55</v>
      </c>
      <c r="B70" s="10" t="s">
        <v>106</v>
      </c>
      <c r="C70" s="13" t="e">
        <f>C48+C54+C60+C42</f>
        <v>#DIV/0!</v>
      </c>
      <c r="D70" s="10" t="s">
        <v>31</v>
      </c>
    </row>
    <row r="72" spans="1:7">
      <c r="A72" s="10" t="s">
        <v>91</v>
      </c>
      <c r="B72" s="10" t="s">
        <v>69</v>
      </c>
      <c r="C72" s="11" t="e">
        <f>C68-C13*C70/1000</f>
        <v>#DIV/0!</v>
      </c>
      <c r="D72" s="10" t="s">
        <v>33</v>
      </c>
    </row>
    <row r="74" spans="1:7">
      <c r="C74" s="2"/>
    </row>
    <row r="75" spans="1:7">
      <c r="C75" s="2"/>
    </row>
    <row r="78" spans="1:7">
      <c r="C78" s="2"/>
    </row>
  </sheetData>
  <phoneticPr fontId="2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FC487-933A-42D2-B12C-F96E3ABA689A}">
  <dimension ref="A1:P78"/>
  <sheetViews>
    <sheetView topLeftCell="A36" zoomScaleNormal="100" workbookViewId="0">
      <selection activeCell="A68" sqref="A68:XFD69"/>
    </sheetView>
  </sheetViews>
  <sheetFormatPr defaultRowHeight="18"/>
  <cols>
    <col min="1" max="1" width="34.08203125" bestFit="1" customWidth="1"/>
    <col min="2" max="2" width="14.2890625" bestFit="1" customWidth="1"/>
    <col min="3" max="3" width="14.20703125" customWidth="1"/>
    <col min="4" max="4" width="20.375" bestFit="1" customWidth="1"/>
    <col min="6" max="6" width="9.45703125" bestFit="1" customWidth="1"/>
    <col min="7" max="7" width="9.125" bestFit="1" customWidth="1"/>
  </cols>
  <sheetData>
    <row r="1" spans="1:4">
      <c r="A1" s="1" t="s">
        <v>117</v>
      </c>
      <c r="C1" s="4" t="s">
        <v>0</v>
      </c>
    </row>
    <row r="2" spans="1:4">
      <c r="C2" s="14" t="s">
        <v>1</v>
      </c>
    </row>
    <row r="4" spans="1:4">
      <c r="A4" s="1" t="s">
        <v>2</v>
      </c>
    </row>
    <row r="5" spans="1:4">
      <c r="A5" t="s">
        <v>3</v>
      </c>
      <c r="B5" t="s">
        <v>4</v>
      </c>
      <c r="C5">
        <v>6.6260700399999999E-34</v>
      </c>
      <c r="D5" t="s">
        <v>5</v>
      </c>
    </row>
    <row r="6" spans="1:4">
      <c r="A6" t="s">
        <v>6</v>
      </c>
      <c r="B6" t="s">
        <v>7</v>
      </c>
      <c r="C6" s="2">
        <v>1.3806485199999999E-23</v>
      </c>
      <c r="D6" t="s">
        <v>8</v>
      </c>
    </row>
    <row r="7" spans="1:4">
      <c r="A7" t="s">
        <v>9</v>
      </c>
      <c r="B7" t="s">
        <v>10</v>
      </c>
      <c r="C7">
        <v>8.3144597999999998</v>
      </c>
      <c r="D7" t="s">
        <v>11</v>
      </c>
    </row>
    <row r="8" spans="1:4" ht="18.5">
      <c r="A8" t="s">
        <v>12</v>
      </c>
      <c r="B8" t="s">
        <v>13</v>
      </c>
      <c r="C8">
        <v>3.1415926535900001</v>
      </c>
      <c r="D8" s="3"/>
    </row>
    <row r="9" spans="1:4">
      <c r="A9" t="s">
        <v>14</v>
      </c>
      <c r="B9" t="s">
        <v>15</v>
      </c>
      <c r="C9" s="2">
        <v>6.0221408599999999E+23</v>
      </c>
      <c r="D9" t="s">
        <v>16</v>
      </c>
    </row>
    <row r="11" spans="1:4">
      <c r="A11" s="5" t="s">
        <v>56</v>
      </c>
      <c r="B11" s="5"/>
      <c r="C11" s="5"/>
      <c r="D11" s="5" t="s">
        <v>36</v>
      </c>
    </row>
    <row r="12" spans="1:4">
      <c r="A12" s="5" t="s">
        <v>17</v>
      </c>
      <c r="B12" s="5" t="s">
        <v>18</v>
      </c>
      <c r="C12" s="5"/>
      <c r="D12" s="5" t="s">
        <v>19</v>
      </c>
    </row>
    <row r="13" spans="1:4">
      <c r="A13" s="5" t="s">
        <v>20</v>
      </c>
      <c r="B13" s="5" t="s">
        <v>21</v>
      </c>
      <c r="C13" s="5"/>
      <c r="D13" s="5" t="s">
        <v>22</v>
      </c>
    </row>
    <row r="14" spans="1:4">
      <c r="A14" s="5" t="s">
        <v>95</v>
      </c>
      <c r="B14" s="5" t="s">
        <v>57</v>
      </c>
      <c r="C14" s="5"/>
      <c r="D14" s="5" t="s">
        <v>58</v>
      </c>
    </row>
    <row r="15" spans="1:4">
      <c r="A15" s="5" t="s">
        <v>109</v>
      </c>
      <c r="B15" s="5" t="s">
        <v>110</v>
      </c>
      <c r="C15" s="5"/>
      <c r="D15" s="5" t="s">
        <v>111</v>
      </c>
    </row>
    <row r="17" spans="1:5">
      <c r="A17" t="s">
        <v>70</v>
      </c>
      <c r="B17" t="s">
        <v>70</v>
      </c>
      <c r="C17" t="e">
        <f>1/C14/1000</f>
        <v>#DIV/0!</v>
      </c>
      <c r="D17" t="s">
        <v>29</v>
      </c>
    </row>
    <row r="19" spans="1:5">
      <c r="C19" s="2"/>
    </row>
    <row r="20" spans="1:5">
      <c r="A20" s="5" t="s">
        <v>71</v>
      </c>
      <c r="B20" s="5" t="s">
        <v>73</v>
      </c>
      <c r="C20" s="5"/>
      <c r="D20" s="5" t="s">
        <v>36</v>
      </c>
    </row>
    <row r="21" spans="1:5">
      <c r="A21" s="5" t="s">
        <v>34</v>
      </c>
      <c r="B21" s="5" t="s">
        <v>35</v>
      </c>
      <c r="C21" s="5"/>
      <c r="D21" s="5" t="s">
        <v>36</v>
      </c>
    </row>
    <row r="22" spans="1:5">
      <c r="A22" s="5" t="s">
        <v>37</v>
      </c>
      <c r="B22" s="5" t="s">
        <v>38</v>
      </c>
      <c r="C22" s="5"/>
      <c r="D22" s="5" t="s">
        <v>22</v>
      </c>
    </row>
    <row r="25" spans="1:5">
      <c r="B25" s="15"/>
      <c r="C25" s="2"/>
    </row>
    <row r="26" spans="1:5">
      <c r="B26" s="16"/>
    </row>
    <row r="29" spans="1:5">
      <c r="C29" s="2"/>
    </row>
    <row r="31" spans="1:5">
      <c r="A31" s="5" t="s">
        <v>62</v>
      </c>
      <c r="B31" s="5"/>
      <c r="C31" s="5"/>
      <c r="D31" s="5" t="s">
        <v>63</v>
      </c>
      <c r="E31" s="9"/>
    </row>
    <row r="32" spans="1:5">
      <c r="A32" s="5" t="s">
        <v>64</v>
      </c>
      <c r="B32" s="5"/>
      <c r="C32" s="5"/>
      <c r="D32" s="5" t="s">
        <v>63</v>
      </c>
      <c r="E32" s="9"/>
    </row>
    <row r="33" spans="1:16">
      <c r="A33" s="5" t="s">
        <v>74</v>
      </c>
      <c r="B33" s="5"/>
      <c r="C33" s="5"/>
      <c r="D33" s="5" t="s">
        <v>36</v>
      </c>
    </row>
    <row r="34" spans="1:16">
      <c r="A34" t="s">
        <v>75</v>
      </c>
      <c r="C34">
        <f>C32*C33</f>
        <v>0</v>
      </c>
      <c r="D34" t="s">
        <v>63</v>
      </c>
    </row>
    <row r="36" spans="1:16">
      <c r="A36" s="10" t="s">
        <v>81</v>
      </c>
      <c r="B36" s="10" t="s">
        <v>80</v>
      </c>
      <c r="C36" s="10">
        <f>C11</f>
        <v>0</v>
      </c>
      <c r="D36" s="10" t="s">
        <v>36</v>
      </c>
    </row>
    <row r="37" spans="1:16">
      <c r="N37" s="2"/>
      <c r="O37" s="2"/>
      <c r="P37" s="2"/>
    </row>
    <row r="38" spans="1:16">
      <c r="A38" s="10" t="s">
        <v>96</v>
      </c>
      <c r="B38" s="10" t="s">
        <v>97</v>
      </c>
      <c r="C38" s="10">
        <f>C31*627.5094740631*4.184</f>
        <v>0</v>
      </c>
      <c r="D38" s="10" t="s">
        <v>33</v>
      </c>
      <c r="N38" s="2"/>
      <c r="O38" s="2"/>
      <c r="P38" s="2"/>
    </row>
    <row r="40" spans="1:16">
      <c r="A40" s="10" t="s">
        <v>89</v>
      </c>
      <c r="B40" s="10" t="s">
        <v>90</v>
      </c>
      <c r="C40" s="10">
        <f>(C31+C34)*627.5094740631*4.184</f>
        <v>0</v>
      </c>
      <c r="D40" s="10" t="s">
        <v>33</v>
      </c>
    </row>
    <row r="42" spans="1:16">
      <c r="A42" s="10" t="s">
        <v>54</v>
      </c>
      <c r="B42" s="10" t="s">
        <v>77</v>
      </c>
      <c r="C42" s="10" t="e">
        <f>C7*LN(C11)</f>
        <v>#NUM!</v>
      </c>
      <c r="D42" s="10" t="s">
        <v>31</v>
      </c>
    </row>
    <row r="44" spans="1:16">
      <c r="A44" s="10" t="s">
        <v>66</v>
      </c>
      <c r="B44" s="10" t="s">
        <v>76</v>
      </c>
      <c r="C44" s="11" t="e">
        <f>C17*(2*C8*C12/C9/1000*C6*C13/C5/C5)^(3/2)</f>
        <v>#DIV/0!</v>
      </c>
      <c r="D44" s="10" t="s">
        <v>36</v>
      </c>
    </row>
    <row r="45" spans="1:16">
      <c r="C45" s="2"/>
    </row>
    <row r="46" spans="1:16">
      <c r="A46" s="10" t="s">
        <v>32</v>
      </c>
      <c r="B46" s="10" t="s">
        <v>78</v>
      </c>
      <c r="C46" s="10">
        <f>3/2*C7*C13/1000</f>
        <v>0</v>
      </c>
      <c r="D46" s="10" t="s">
        <v>33</v>
      </c>
    </row>
    <row r="47" spans="1:16">
      <c r="E47" s="2"/>
      <c r="G47" s="2"/>
    </row>
    <row r="48" spans="1:16">
      <c r="A48" s="10" t="s">
        <v>30</v>
      </c>
      <c r="B48" s="10" t="s">
        <v>98</v>
      </c>
      <c r="C48" s="12" t="e">
        <f>C7*(LN(C17/C9*(2*C8*C12/C9/1000*C6*C13/C5/C5)^(3/2))+5/2)</f>
        <v>#DIV/0!</v>
      </c>
      <c r="D48" s="10" t="s">
        <v>31</v>
      </c>
    </row>
    <row r="49" spans="1:7">
      <c r="G49" s="2"/>
    </row>
    <row r="50" spans="1:7">
      <c r="A50" s="10" t="s">
        <v>67</v>
      </c>
      <c r="B50" s="10" t="s">
        <v>82</v>
      </c>
      <c r="C50" s="11" t="e">
        <f>1/C21*C13/C22</f>
        <v>#DIV/0!</v>
      </c>
      <c r="D50" s="10" t="s">
        <v>36</v>
      </c>
    </row>
    <row r="51" spans="1:7">
      <c r="G51" s="2"/>
    </row>
    <row r="52" spans="1:7">
      <c r="A52" s="10" t="s">
        <v>52</v>
      </c>
      <c r="B52" s="10" t="s">
        <v>99</v>
      </c>
      <c r="C52" s="11">
        <f>C7*C13/1000</f>
        <v>0</v>
      </c>
      <c r="D52" s="10" t="s">
        <v>33</v>
      </c>
    </row>
    <row r="54" spans="1:7">
      <c r="A54" s="10" t="s">
        <v>51</v>
      </c>
      <c r="B54" s="10" t="s">
        <v>100</v>
      </c>
      <c r="C54" s="12" t="e">
        <f>C7*(LN(1/C21*C13/C22)+1)</f>
        <v>#DIV/0!</v>
      </c>
      <c r="D54" s="10" t="s">
        <v>31</v>
      </c>
    </row>
    <row r="56" spans="1:7">
      <c r="A56" s="5" t="s">
        <v>83</v>
      </c>
      <c r="B56" s="5" t="s">
        <v>84</v>
      </c>
      <c r="C56" s="5"/>
      <c r="D56" s="5" t="s">
        <v>36</v>
      </c>
    </row>
    <row r="58" spans="1:7">
      <c r="A58" s="5" t="s">
        <v>65</v>
      </c>
      <c r="B58" s="5" t="s">
        <v>101</v>
      </c>
      <c r="C58" s="5"/>
      <c r="D58" s="5" t="s">
        <v>33</v>
      </c>
    </row>
    <row r="60" spans="1:7">
      <c r="A60" s="5" t="s">
        <v>53</v>
      </c>
      <c r="B60" s="5" t="s">
        <v>102</v>
      </c>
      <c r="C60" s="5"/>
      <c r="D60" s="5" t="s">
        <v>31</v>
      </c>
    </row>
    <row r="62" spans="1:7">
      <c r="A62" s="10" t="s">
        <v>118</v>
      </c>
      <c r="B62" s="10" t="s">
        <v>119</v>
      </c>
      <c r="C62" s="13">
        <f>C7*C13/1000</f>
        <v>0</v>
      </c>
      <c r="D62" s="11" t="s">
        <v>120</v>
      </c>
    </row>
    <row r="63" spans="1:7">
      <c r="C63" s="2"/>
    </row>
    <row r="64" spans="1:7">
      <c r="C64" s="2"/>
    </row>
    <row r="65" spans="1:7">
      <c r="F65" s="2"/>
      <c r="G65" s="2"/>
    </row>
    <row r="66" spans="1:7">
      <c r="A66" s="10" t="s">
        <v>68</v>
      </c>
      <c r="B66" s="10" t="s">
        <v>105</v>
      </c>
      <c r="C66" s="11" t="e">
        <f>C36*C44*C50*C56</f>
        <v>#DIV/0!</v>
      </c>
      <c r="D66" s="10" t="s">
        <v>36</v>
      </c>
    </row>
    <row r="67" spans="1:7">
      <c r="C67" s="2"/>
    </row>
    <row r="68" spans="1:7">
      <c r="A68" s="10" t="s">
        <v>121</v>
      </c>
      <c r="B68" s="10" t="s">
        <v>122</v>
      </c>
      <c r="C68" s="11">
        <f>C38+C46+C52+C58+C62</f>
        <v>0</v>
      </c>
      <c r="D68" s="10" t="s">
        <v>33</v>
      </c>
      <c r="G68" s="2"/>
    </row>
    <row r="70" spans="1:7">
      <c r="A70" s="10" t="s">
        <v>55</v>
      </c>
      <c r="B70" s="10" t="s">
        <v>106</v>
      </c>
      <c r="C70" s="13" t="e">
        <f>C48+C54+C60+C42</f>
        <v>#DIV/0!</v>
      </c>
      <c r="D70" s="10" t="s">
        <v>31</v>
      </c>
    </row>
    <row r="72" spans="1:7">
      <c r="A72" s="10" t="s">
        <v>91</v>
      </c>
      <c r="B72" s="10" t="s">
        <v>69</v>
      </c>
      <c r="C72" s="11" t="e">
        <f>C68-C13*C70/1000</f>
        <v>#DIV/0!</v>
      </c>
      <c r="D72" s="10" t="s">
        <v>33</v>
      </c>
    </row>
    <row r="75" spans="1:7">
      <c r="C75" s="2"/>
    </row>
    <row r="78" spans="1:7">
      <c r="C78" s="2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example c6h5no in ethanol</vt:lpstr>
      <vt:lpstr>polar non-linear molecule</vt:lpstr>
      <vt:lpstr>polar linear molecule</vt:lpstr>
      <vt:lpstr>non-polar non-linear molecule</vt:lpstr>
      <vt:lpstr>non-polar linear molecule</vt:lpstr>
      <vt:lpstr>IGT non-linear molecule</vt:lpstr>
      <vt:lpstr>IGT linear molecule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yuichiro izato</dc:creator>
  <cp:lastModifiedBy>izato-yuichiro-tk@ynu.ac.jp</cp:lastModifiedBy>
  <dcterms:created xsi:type="dcterms:W3CDTF">2015-06-05T18:19:34Z</dcterms:created>
  <dcterms:modified xsi:type="dcterms:W3CDTF">2024-06-25T11:21:10Z</dcterms:modified>
</cp:coreProperties>
</file>