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Mo-Cys-DMSO" sheetId="1" r:id="rId4"/>
    <sheet name="Mo-Cys-NO3" sheetId="2" r:id="rId5"/>
    <sheet name="Mo-Asp-DMSO" sheetId="3" r:id="rId6"/>
    <sheet name="Mo-Asp-NO3" sheetId="4" r:id="rId7"/>
    <sheet name="Mo-Ser-DMSO" sheetId="5" r:id="rId8"/>
    <sheet name="Mo-Ser-NO3" sheetId="6" r:id="rId9"/>
    <sheet name="I_ij fully relaxed" sheetId="7" r:id="rId10"/>
    <sheet name="I_ij partially relaxed" sheetId="8" r:id="rId11"/>
  </sheets>
</workbook>
</file>

<file path=xl/sharedStrings.xml><?xml version="1.0" encoding="utf-8"?>
<sst xmlns="http://schemas.openxmlformats.org/spreadsheetml/2006/main" uniqueCount="71">
  <si>
    <t>FR Jorge DZ (DKH2)</t>
  </si>
  <si>
    <t>pCCD</t>
  </si>
  <si>
    <t>fpLCCD</t>
  </si>
  <si>
    <t>fpCCD</t>
  </si>
  <si>
    <t>CCD</t>
  </si>
  <si>
    <t>CCSD</t>
  </si>
  <si>
    <t>DLPNO-CCSD</t>
  </si>
  <si>
    <t>DLPNO-CCSD(T)</t>
  </si>
  <si>
    <t>DLPNO-CCSD PCM</t>
  </si>
  <si>
    <t>DLPNO-CCSD(T) PCM</t>
  </si>
  <si>
    <t>DMS</t>
  </si>
  <si>
    <t>DMSO</t>
  </si>
  <si>
    <t>1 Mo-Cys-DMSO</t>
  </si>
  <si>
    <t>2 TS1 Mo-Cys-DMSO</t>
  </si>
  <si>
    <t>3 IS Mo-Cys-DMSO</t>
  </si>
  <si>
    <t>4 TS2 Mo-Cys-DMSO</t>
  </si>
  <si>
    <t>5 Mo-Cys-O</t>
  </si>
  <si>
    <t>PR Jorge DZ (DKH2)</t>
  </si>
  <si>
    <t>NO2</t>
  </si>
  <si>
    <t>NO3</t>
  </si>
  <si>
    <t>1 Mo-Cys-NO3</t>
  </si>
  <si>
    <t>2 TS1 Mo-Cys-NO3</t>
  </si>
  <si>
    <t>3 IS Mo-Cys-NO3</t>
  </si>
  <si>
    <t>4 TS2 Mo-Cys-NO3</t>
  </si>
  <si>
    <t>UR Jorge DZ (DKH2)</t>
  </si>
  <si>
    <t>1 Mo-Asp-DMSO</t>
  </si>
  <si>
    <t>2 TS1 Mo-Asp-DMSO</t>
  </si>
  <si>
    <t>3 IS Mo-Asp-DMSO</t>
  </si>
  <si>
    <t>4 TS2 Mo-Asp-DMSO</t>
  </si>
  <si>
    <t>Table 1-1</t>
  </si>
  <si>
    <t>Partially relaxed + hydro</t>
  </si>
  <si>
    <t>Table 1</t>
  </si>
  <si>
    <t>Partially relaxed</t>
  </si>
  <si>
    <t>Relaxed</t>
  </si>
  <si>
    <t>1 Mo-Asp-NO3</t>
  </si>
  <si>
    <t>2 TS1 Mo-Asp-NO3</t>
  </si>
  <si>
    <t>3 IS Mo-Asp-NO3</t>
  </si>
  <si>
    <t>4 TS2 Mo-Asp-NO3</t>
  </si>
  <si>
    <t>5 Mo-Asp-O</t>
  </si>
  <si>
    <t>1 Mo-Ser-DMSO</t>
  </si>
  <si>
    <t>2 TS1 Mo-Ser-DMSO</t>
  </si>
  <si>
    <t>3 IS Mo-Ser-DMSO</t>
  </si>
  <si>
    <t>4 TS2 Mo-Ser-DMSO</t>
  </si>
  <si>
    <t>5 Mo-Ser-O</t>
  </si>
  <si>
    <t>1 Mo-Ser-NO3</t>
  </si>
  <si>
    <t>2 TS1 Mo-Ser-NO3</t>
  </si>
  <si>
    <t>3 IS Mo-Ser-NO3</t>
  </si>
  <si>
    <t>4 TS2 Mo-Ser-NO3</t>
  </si>
  <si>
    <t>Mo-Cys-NO3 Jorge DZ (DKH2) — fpLCCD</t>
  </si>
  <si>
    <t>2_ts1 (RDS)</t>
  </si>
  <si>
    <t>3_is</t>
  </si>
  <si>
    <t>4_ts2</t>
  </si>
  <si>
    <t>5_Mo</t>
  </si>
  <si>
    <t>orbital-pair</t>
  </si>
  <si>
    <t xml:space="preserve">i </t>
  </si>
  <si>
    <t>j</t>
  </si>
  <si>
    <t>I_ij</t>
  </si>
  <si>
    <t>(d(M)-p)-(d(M)-p)*</t>
  </si>
  <si>
    <t>(d_z2-p)-(d_z2-p)*</t>
  </si>
  <si>
    <t>σ(M-O)—σ*(M-O)</t>
  </si>
  <si>
    <t>σ(N-O)—σ*(N-O)</t>
  </si>
  <si>
    <t>-</t>
  </si>
  <si>
    <t>π(NO3)—π*(NO3)</t>
  </si>
  <si>
    <t>π(Op)—π*(Op)</t>
  </si>
  <si>
    <t>Mo-Ser-NO3 Jorge DZ (DKH2) — fpLCCD-1</t>
  </si>
  <si>
    <t>2_ts1</t>
  </si>
  <si>
    <t>4_ts2 (RDS)</t>
  </si>
  <si>
    <t>Mo-Asp-NO3 Jorge DZ (DKH2) — fpLCCD</t>
  </si>
  <si>
    <t>Mo-Cys-DMSO Jorge DZ (DKH2) — fpLCCD</t>
  </si>
  <si>
    <t>σ(S-O)—σ*(S-O)</t>
  </si>
  <si>
    <t>Mo-Asp-DMSO Jorge DZ (DKH2) — fpLCCD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</si>
</sst>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0.0000000"/>
    <numFmt numFmtId="60" formatCode="0.000"/>
  </numFmts>
  <fonts count="5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  <font>
      <sz val="11"/>
      <color indexed="8"/>
      <name val="Helvetica Neue"/>
    </font>
    <font>
      <sz val="12"/>
      <color indexed="13"/>
      <name val="Helvetica Neue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6"/>
        <bgColor auto="1"/>
      </patternFill>
    </fill>
  </fills>
  <borders count="19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medium">
        <color indexed="8"/>
      </right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68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0" fontId="2" fillId="2" borderId="1" applyNumberFormat="0" applyFont="1" applyFill="1" applyBorder="1" applyAlignment="1" applyProtection="0">
      <alignment vertical="top" wrapText="1"/>
    </xf>
    <xf numFmtId="49" fontId="2" fillId="2" borderId="1" applyNumberFormat="1" applyFont="1" applyFill="1" applyBorder="1" applyAlignment="1" applyProtection="0">
      <alignment vertical="top" wrapText="1"/>
    </xf>
    <xf numFmtId="49" fontId="2" fillId="2" borderId="2" applyNumberFormat="1" applyFont="1" applyFill="1" applyBorder="1" applyAlignment="1" applyProtection="0">
      <alignment vertical="top" wrapText="1"/>
    </xf>
    <xf numFmtId="49" fontId="2" fillId="3" borderId="3" applyNumberFormat="1" applyFont="1" applyFill="1" applyBorder="1" applyAlignment="1" applyProtection="0">
      <alignment vertical="top" wrapText="1"/>
    </xf>
    <xf numFmtId="59" fontId="0" borderId="4" applyNumberFormat="1" applyFont="1" applyFill="0" applyBorder="1" applyAlignment="1" applyProtection="0">
      <alignment vertical="top" wrapText="1"/>
    </xf>
    <xf numFmtId="59" fontId="0" borderId="5" applyNumberFormat="1" applyFont="1" applyFill="0" applyBorder="1" applyAlignment="1" applyProtection="0">
      <alignment vertical="top" wrapText="1"/>
    </xf>
    <xf numFmtId="0" fontId="0" borderId="5" applyNumberFormat="1" applyFont="1" applyFill="0" applyBorder="1" applyAlignment="1" applyProtection="0">
      <alignment vertical="top" wrapText="1"/>
    </xf>
    <xf numFmtId="59" fontId="0" fillId="4" borderId="5" applyNumberFormat="1" applyFont="1" applyFill="1" applyBorder="1" applyAlignment="1" applyProtection="0">
      <alignment vertical="top" wrapText="1"/>
    </xf>
    <xf numFmtId="59" fontId="0" fillId="4" borderId="6" applyNumberFormat="1" applyFont="1" applyFill="1" applyBorder="1" applyAlignment="1" applyProtection="0">
      <alignment vertical="top" wrapText="1"/>
    </xf>
    <xf numFmtId="49" fontId="2" fillId="3" borderId="7" applyNumberFormat="1" applyFont="1" applyFill="1" applyBorder="1" applyAlignment="1" applyProtection="0">
      <alignment vertical="top" wrapText="1"/>
    </xf>
    <xf numFmtId="59" fontId="0" borderId="8" applyNumberFormat="1" applyFont="1" applyFill="0" applyBorder="1" applyAlignment="1" applyProtection="0">
      <alignment vertical="top" wrapText="1"/>
    </xf>
    <xf numFmtId="59" fontId="0" borderId="9" applyNumberFormat="1" applyFont="1" applyFill="0" applyBorder="1" applyAlignment="1" applyProtection="0">
      <alignment vertical="top" wrapText="1"/>
    </xf>
    <xf numFmtId="0" fontId="0" borderId="9" applyNumberFormat="1" applyFont="1" applyFill="0" applyBorder="1" applyAlignment="1" applyProtection="0">
      <alignment vertical="top" wrapText="1"/>
    </xf>
    <xf numFmtId="59" fontId="0" fillId="4" borderId="9" applyNumberFormat="1" applyFont="1" applyFill="1" applyBorder="1" applyAlignment="1" applyProtection="0">
      <alignment vertical="top" wrapText="1"/>
    </xf>
    <xf numFmtId="59" fontId="0" fillId="4" borderId="10" applyNumberFormat="1" applyFont="1" applyFill="1" applyBorder="1" applyAlignment="1" applyProtection="0">
      <alignment vertical="top" wrapText="1"/>
    </xf>
    <xf numFmtId="0" fontId="0" fillId="4" borderId="8" applyNumberFormat="1" applyFont="1" applyFill="1" applyBorder="1" applyAlignment="1" applyProtection="0">
      <alignment vertical="top" wrapText="1"/>
    </xf>
    <xf numFmtId="0" fontId="0" fillId="4" borderId="9" applyNumberFormat="1" applyFont="1" applyFill="1" applyBorder="1" applyAlignment="1" applyProtection="0">
      <alignment vertical="top" wrapText="1"/>
    </xf>
    <xf numFmtId="0" fontId="0" fillId="4" borderId="10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59" fontId="0" fillId="4" borderId="11" applyNumberFormat="1" applyFont="1" applyFill="1" applyBorder="1" applyAlignment="1" applyProtection="0">
      <alignment vertical="top" wrapText="1"/>
    </xf>
    <xf numFmtId="59" fontId="0" fillId="4" borderId="12" applyNumberFormat="1" applyFont="1" applyFill="1" applyBorder="1" applyAlignment="1" applyProtection="0">
      <alignment vertical="top" wrapText="1"/>
    </xf>
    <xf numFmtId="59" fontId="0" fillId="4" borderId="13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59" fontId="0" borderId="6" applyNumberFormat="1" applyFont="1" applyFill="0" applyBorder="1" applyAlignment="1" applyProtection="0">
      <alignment vertical="top" wrapText="1"/>
    </xf>
    <xf numFmtId="59" fontId="0" borderId="10" applyNumberFormat="1" applyFont="1" applyFill="0" applyBorder="1" applyAlignment="1" applyProtection="0">
      <alignment vertical="top" wrapText="1"/>
    </xf>
    <xf numFmtId="59" fontId="3" fillId="4" borderId="9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59" fontId="0" fillId="4" borderId="14" applyNumberFormat="1" applyFont="1" applyFill="1" applyBorder="1" applyAlignment="1" applyProtection="0">
      <alignment vertical="top" wrapText="1"/>
    </xf>
    <xf numFmtId="59" fontId="0" fillId="4" borderId="8" applyNumberFormat="1" applyFont="1" applyFill="1" applyBorder="1" applyAlignment="1" applyProtection="0">
      <alignment vertical="top" wrapText="1"/>
    </xf>
    <xf numFmtId="59" fontId="0" fillId="4" borderId="15" applyNumberFormat="1" applyFont="1" applyFill="1" applyBorder="1" applyAlignment="1" applyProtection="0">
      <alignment vertical="top" wrapText="1"/>
    </xf>
    <xf numFmtId="59" fontId="0" fillId="4" borderId="16" applyNumberFormat="1" applyFont="1" applyFill="1" applyBorder="1" applyAlignment="1" applyProtection="0">
      <alignment vertical="top" wrapText="1"/>
    </xf>
    <xf numFmtId="59" fontId="0" fillId="4" borderId="17" applyNumberFormat="1" applyFont="1" applyFill="1" applyBorder="1" applyAlignment="1" applyProtection="0">
      <alignment vertical="top" wrapText="1"/>
    </xf>
    <xf numFmtId="0" fontId="0" fillId="4" borderId="18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2" fillId="2" borderId="9" applyNumberFormat="0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borderId="8" applyNumberFormat="1" applyFont="1" applyFill="0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borderId="9" applyNumberFormat="0" applyFont="1" applyFill="0" applyBorder="1" applyAlignment="1" applyProtection="0">
      <alignment vertical="top" wrapText="1"/>
    </xf>
    <xf numFmtId="49" fontId="0" borderId="9" applyNumberFormat="1" applyFont="1" applyFill="0" applyBorder="1" applyAlignment="1" applyProtection="0">
      <alignment vertical="top" wrapText="1"/>
    </xf>
    <xf numFmtId="0" fontId="0" fillId="4" borderId="9" applyNumberFormat="0" applyFont="1" applyFill="1" applyBorder="1" applyAlignment="1" applyProtection="0">
      <alignment vertical="top" wrapText="1"/>
    </xf>
    <xf numFmtId="0" fontId="0" fillId="5" borderId="9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2" fillId="2" borderId="9" applyNumberFormat="1" applyFont="1" applyFill="1" applyBorder="1" applyAlignment="1" applyProtection="0">
      <alignment horizontal="center" vertical="top" wrapText="1"/>
    </xf>
    <xf numFmtId="0" fontId="2" fillId="2" borderId="10" applyNumberFormat="0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1" fontId="0" borderId="4" applyNumberFormat="1" applyFont="1" applyFill="0" applyBorder="1" applyAlignment="1" applyProtection="0">
      <alignment vertical="top" wrapText="1"/>
    </xf>
    <xf numFmtId="1" fontId="0" borderId="5" applyNumberFormat="1" applyFont="1" applyFill="0" applyBorder="1" applyAlignment="1" applyProtection="0">
      <alignment vertical="top" wrapText="1"/>
    </xf>
    <xf numFmtId="60" fontId="0" borderId="5" applyNumberFormat="1" applyFont="1" applyFill="0" applyBorder="1" applyAlignment="1" applyProtection="0">
      <alignment vertical="top" wrapText="1"/>
    </xf>
    <xf numFmtId="1" fontId="0" borderId="8" applyNumberFormat="1" applyFont="1" applyFill="0" applyBorder="1" applyAlignment="1" applyProtection="0">
      <alignment vertical="top" wrapText="1"/>
    </xf>
    <xf numFmtId="1" fontId="0" borderId="9" applyNumberFormat="1" applyFont="1" applyFill="0" applyBorder="1" applyAlignment="1" applyProtection="0">
      <alignment vertical="top" wrapText="1"/>
    </xf>
    <xf numFmtId="60" fontId="0" borderId="9" applyNumberFormat="1" applyFont="1" applyFill="0" applyBorder="1" applyAlignment="1" applyProtection="0">
      <alignment vertical="top" wrapText="1"/>
    </xf>
    <xf numFmtId="0" fontId="2" fillId="3" borderId="7" applyNumberFormat="0" applyFont="1" applyFill="1" applyBorder="1" applyAlignment="1" applyProtection="0">
      <alignment vertical="top" wrapText="1"/>
    </xf>
    <xf numFmtId="0" fontId="0" borderId="8" applyNumberFormat="0" applyFont="1" applyFill="0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fffefffe"/>
      <rgbColor rgb="ffb8b8b8"/>
      <rgbColor rgb="ff919191"/>
      <rgbColor rgb="ffb417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autoTitleDeleted val="1"/>
    <c:plotArea>
      <c:layout>
        <c:manualLayout>
          <c:layoutTarget val="inner"/>
          <c:xMode val="edge"/>
          <c:yMode val="edge"/>
          <c:x val="0.0632528"/>
          <c:y val="0.0390667"/>
          <c:w val="0.912378"/>
          <c:h val="0.89495"/>
        </c:manualLayout>
      </c:layout>
      <c:scatterChart>
        <c:scatterStyle val="smoothMarker"/>
        <c:varyColors val="0"/>
        <c:ser>
          <c:idx val="0"/>
          <c:order val="0"/>
          <c:tx>
            <c:v>May</c:v>
          </c:tx>
          <c:spPr>
            <a:noFill/>
            <a:ln w="38100" cap="flat">
              <a:solidFill>
                <a:schemeClr val="accent1"/>
              </a:solidFill>
              <a:prstDash val="solid"/>
              <a:miter lim="400000"/>
            </a:ln>
            <a:effectLst/>
          </c:spPr>
          <c:marker>
            <c:symbol val="circle"/>
            <c:size val="11"/>
            <c:spPr>
              <a:solidFill>
                <a:schemeClr val="accent1"/>
              </a:solidFill>
              <a:ln w="38100" cap="flat">
                <a:solidFill>
                  <a:schemeClr val="accent1"/>
                </a:solidFill>
                <a:prstDash val="solid"/>
                <a:miter lim="400000"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Helvetica Neue"/>
                  </a:defRPr>
                </a:pPr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xVal>
            <c:numLit>
              <c:ptCount val="8"/>
              <c:pt idx="0">
                <c:v>1.000000</c:v>
              </c:pt>
              <c:pt idx="1">
                <c:v>3.000000</c:v>
              </c:pt>
              <c:pt idx="2">
                <c:v>5.000000</c:v>
              </c:pt>
              <c:pt idx="3">
                <c:v>6.000000</c:v>
              </c:pt>
              <c:pt idx="4">
                <c:v>8.000000</c:v>
              </c:pt>
              <c:pt idx="5">
                <c:v>9.000000</c:v>
              </c:pt>
              <c:pt idx="6">
                <c:v>11.000000</c:v>
              </c:pt>
              <c:pt idx="7">
                <c:v>12.000000</c:v>
              </c:pt>
            </c:numLit>
          </c:xVal>
          <c:yVal>
            <c:numLit>
              <c:ptCount val="8"/>
              <c:pt idx="0">
                <c:v>2.000000</c:v>
              </c:pt>
              <c:pt idx="1">
                <c:v>4.000000</c:v>
              </c:pt>
              <c:pt idx="2">
                <c:v>5.000000</c:v>
              </c:pt>
              <c:pt idx="3">
                <c:v>8.000000</c:v>
              </c:pt>
              <c:pt idx="4">
                <c:v>13.000000</c:v>
              </c:pt>
              <c:pt idx="5">
                <c:v>16.000000</c:v>
              </c:pt>
              <c:pt idx="6">
                <c:v>18.000000</c:v>
              </c:pt>
              <c:pt idx="7">
                <c:v>20.000000</c:v>
              </c:pt>
            </c:numLit>
          </c:yVal>
          <c:smooth val="1"/>
        </c:ser>
        <c:ser>
          <c:idx val="1"/>
          <c:order val="1"/>
          <c:tx>
            <c:v>June</c:v>
          </c:tx>
          <c:spPr>
            <a:noFill/>
            <a:ln w="38100" cap="flat">
              <a:noFill/>
              <a:prstDash val="solid"/>
              <a:miter lim="400000"/>
            </a:ln>
            <a:effectLst/>
          </c:spPr>
          <c:marker>
            <c:symbol val="circle"/>
            <c:size val="11"/>
            <c:spPr>
              <a:solidFill>
                <a:schemeClr val="accent3"/>
              </a:solidFill>
              <a:ln w="38100" cap="flat">
                <a:solidFill>
                  <a:schemeClr val="accent3"/>
                </a:solidFill>
                <a:prstDash val="solid"/>
                <a:miter lim="400000"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Helvetica Neue"/>
                  </a:defRPr>
                </a:pPr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xVal>
            <c:numLit>
              <c:ptCount val="8"/>
              <c:pt idx="0">
                <c:v>1.000000</c:v>
              </c:pt>
              <c:pt idx="1">
                <c:v>3.000000</c:v>
              </c:pt>
              <c:pt idx="2">
                <c:v>5.000000</c:v>
              </c:pt>
              <c:pt idx="3">
                <c:v>6.000000</c:v>
              </c:pt>
              <c:pt idx="4">
                <c:v>8.000000</c:v>
              </c:pt>
              <c:pt idx="5">
                <c:v>9.000000</c:v>
              </c:pt>
              <c:pt idx="6">
                <c:v>11.000000</c:v>
              </c:pt>
              <c:pt idx="7">
                <c:v>12.000000</c:v>
              </c:pt>
            </c:numLit>
          </c:xVal>
          <c:yVal>
            <c:numLit>
              <c:ptCount val="8"/>
              <c:pt idx="0">
                <c:v>4.000000</c:v>
              </c:pt>
              <c:pt idx="1">
                <c:v>7.000000</c:v>
              </c:pt>
              <c:pt idx="2">
                <c:v>8.000000</c:v>
              </c:pt>
              <c:pt idx="3">
                <c:v>11.000000</c:v>
              </c:pt>
              <c:pt idx="4">
                <c:v>14.000000</c:v>
              </c:pt>
              <c:pt idx="5">
                <c:v>15.000000</c:v>
              </c:pt>
              <c:pt idx="6">
                <c:v>17.000000</c:v>
              </c:pt>
              <c:pt idx="7">
                <c:v>20.000000</c:v>
              </c:pt>
            </c:numLit>
          </c:yVal>
          <c:smooth val="0"/>
        </c:ser>
        <c:ser>
          <c:idx val="2"/>
          <c:order val="2"/>
          <c:tx>
            <c:v>July</c:v>
          </c:tx>
          <c:spPr>
            <a:noFill/>
            <a:ln w="38100" cap="flat">
              <a:noFill/>
              <a:prstDash val="solid"/>
              <a:miter lim="400000"/>
            </a:ln>
            <a:effectLst/>
          </c:spPr>
          <c:marker>
            <c:symbol val="circle"/>
            <c:size val="11"/>
            <c:spPr>
              <a:solidFill>
                <a:srgbClr val="929292"/>
              </a:solidFill>
              <a:ln w="38100" cap="flat">
                <a:solidFill>
                  <a:srgbClr val="929292"/>
                </a:solidFill>
                <a:prstDash val="solid"/>
                <a:miter lim="400000"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Helvetica Neue"/>
                  </a:defRPr>
                </a:pPr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xVal>
            <c:numLit>
              <c:ptCount val="8"/>
              <c:pt idx="0">
                <c:v>1.000000</c:v>
              </c:pt>
              <c:pt idx="1">
                <c:v>3.000000</c:v>
              </c:pt>
              <c:pt idx="2">
                <c:v>5.000000</c:v>
              </c:pt>
              <c:pt idx="3">
                <c:v>6.000000</c:v>
              </c:pt>
              <c:pt idx="4">
                <c:v>8.000000</c:v>
              </c:pt>
              <c:pt idx="5">
                <c:v>9.000000</c:v>
              </c:pt>
              <c:pt idx="6">
                <c:v>11.000000</c:v>
              </c:pt>
              <c:pt idx="7">
                <c:v>12.000000</c:v>
              </c:pt>
            </c:numLit>
          </c:xVal>
          <c:yVal>
            <c:numLit>
              <c:ptCount val="8"/>
              <c:pt idx="0">
                <c:v>0.000000</c:v>
              </c:pt>
              <c:pt idx="1">
                <c:v>2.000000</c:v>
              </c:pt>
              <c:pt idx="2">
                <c:v>4.000000</c:v>
              </c:pt>
              <c:pt idx="3">
                <c:v>6.000000</c:v>
              </c:pt>
              <c:pt idx="4">
                <c:v>8.000000</c:v>
              </c:pt>
              <c:pt idx="5">
                <c:v>12.000000</c:v>
              </c:pt>
              <c:pt idx="6">
                <c:v>15.000000</c:v>
              </c:pt>
              <c:pt idx="7">
                <c:v>18.000000</c:v>
              </c:pt>
            </c:numLit>
          </c:yVal>
          <c:smooth val="0"/>
        </c:ser>
        <c:axId val="2094734552"/>
        <c:axId val="2094734553"/>
      </c:scatterChart>
      <c:valAx>
        <c:axId val="2094734552"/>
        <c:scaling>
          <c:orientation val="minMax"/>
          <c:min val="28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3"/>
        <c:crosses val="autoZero"/>
        <c:crossBetween val="between"/>
        <c:majorUnit val="2.5"/>
        <c:minorUnit val="1.25"/>
      </c:valAx>
      <c:valAx>
        <c:axId val="2094734553"/>
        <c:scaling>
          <c:orientation val="minMax"/>
        </c:scaling>
        <c:delete val="0"/>
        <c:axPos val="l"/>
        <c:majorGridlines>
          <c:spPr>
            <a:ln w="6350" cap="flat">
              <a:solidFill>
                <a:srgbClr val="B8B8B8"/>
              </a:solidFill>
              <a:prstDash val="solid"/>
              <a:miter lim="400000"/>
            </a:ln>
          </c:spPr>
        </c:majorGridlines>
        <c:numFmt formatCode="General" sourceLinked="1"/>
        <c:majorTickMark val="none"/>
        <c:minorTickMark val="none"/>
        <c:tickLblPos val="nextTo"/>
        <c:spPr>
          <a:ln w="12700" cap="flat">
            <a:noFill/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2"/>
        <c:crosses val="autoZero"/>
        <c:crossBetween val="between"/>
        <c:majorUnit val="5"/>
        <c:minorUnit val="2.5"/>
      </c:valAx>
      <c:spPr>
        <a:noFill/>
        <a:ln w="12700" cap="flat">
          <a:noFill/>
          <a:miter lim="400000"/>
        </a:ln>
        <a:effectLst/>
      </c:spPr>
    </c:plotArea>
    <c:plotVisOnly val="1"/>
    <c:dispBlanksAs val="gap"/>
  </c:chart>
  <c:spPr>
    <a:noFill/>
    <a:ln>
      <a:noFill/>
    </a:ln>
    <a:effectLst/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autoTitleDeleted val="1"/>
    <c:plotArea>
      <c:layout>
        <c:manualLayout>
          <c:layoutTarget val="inner"/>
          <c:xMode val="edge"/>
          <c:yMode val="edge"/>
          <c:x val="0.152287"/>
          <c:y val="0.0390667"/>
          <c:w val="0.82122"/>
          <c:h val="0.89495"/>
        </c:manualLayout>
      </c:layout>
      <c:scatterChart>
        <c:scatterStyle val="smoothMarker"/>
        <c:varyColors val="0"/>
        <c:ser>
          <c:idx val="0"/>
          <c:order val="0"/>
          <c:tx>
            <c:v>Untitled 2</c:v>
          </c:tx>
          <c:spPr>
            <a:noFill/>
            <a:ln w="38100" cap="flat">
              <a:solidFill>
                <a:schemeClr val="accent1"/>
              </a:solidFill>
              <a:prstDash val="solid"/>
              <a:miter lim="400000"/>
            </a:ln>
            <a:effectLst/>
          </c:spPr>
          <c:marker>
            <c:symbol val="circle"/>
            <c:size val="11"/>
            <c:spPr>
              <a:solidFill>
                <a:schemeClr val="accent1"/>
              </a:solidFill>
              <a:ln w="38100" cap="flat">
                <a:solidFill>
                  <a:schemeClr val="accent1"/>
                </a:solidFill>
                <a:prstDash val="solid"/>
                <a:miter lim="400000"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Helvetica Neue"/>
                  </a:defRPr>
                </a:pPr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xVal>
            <c:numRef>
              <c:f>'Mo-Asp-DMSO'!$Z$39:$Z$45</c:f>
              <c:numCache>
                <c:ptCount val="7"/>
                <c:pt idx="0">
                  <c:v>1.660000</c:v>
                </c:pt>
                <c:pt idx="1">
                  <c:v>1.680000</c:v>
                </c:pt>
                <c:pt idx="2">
                  <c:v>1.700000</c:v>
                </c:pt>
                <c:pt idx="3">
                  <c:v>1.710000</c:v>
                </c:pt>
                <c:pt idx="4">
                  <c:v>1.720000</c:v>
                </c:pt>
                <c:pt idx="5">
                  <c:v>1.730000</c:v>
                </c:pt>
                <c:pt idx="6">
                  <c:v>1.740000</c:v>
                </c:pt>
              </c:numCache>
            </c:numRef>
          </c:xVal>
          <c:yVal>
            <c:numRef>
              <c:f>'Mo-Asp-DMSO'!$AA$39:$AA$45</c:f>
              <c:numCache>
                <c:ptCount val="6"/>
                <c:pt idx="1">
                  <c:v>-6910.889498</c:v>
                </c:pt>
                <c:pt idx="2">
                  <c:v>-6910.888035</c:v>
                </c:pt>
                <c:pt idx="3">
                  <c:v>-6910.887481</c:v>
                </c:pt>
                <c:pt idx="4">
                  <c:v>-6910.887112</c:v>
                </c:pt>
                <c:pt idx="5">
                  <c:v>-6910.886917</c:v>
                </c:pt>
                <c:pt idx="6">
                  <c:v>-6910.887112</c:v>
                </c:pt>
              </c:numCache>
            </c:numRef>
          </c:yVal>
          <c:smooth val="1"/>
        </c:ser>
        <c:axId val="2094734552"/>
        <c:axId val="2094734553"/>
      </c:scatterChart>
      <c:valAx>
        <c:axId val="209473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3"/>
        <c:crosses val="autoZero"/>
        <c:crossBetween val="between"/>
        <c:majorUnit val="0.0225"/>
        <c:minorUnit val="0.01125"/>
      </c:valAx>
      <c:valAx>
        <c:axId val="2094734553"/>
        <c:scaling>
          <c:orientation val="minMax"/>
        </c:scaling>
        <c:delete val="0"/>
        <c:axPos val="l"/>
        <c:majorGridlines>
          <c:spPr>
            <a:ln w="6350" cap="flat">
              <a:solidFill>
                <a:srgbClr val="B8B8B8"/>
              </a:solidFill>
              <a:prstDash val="solid"/>
              <a:miter lim="400000"/>
            </a:ln>
          </c:spPr>
        </c:majorGridlines>
        <c:numFmt formatCode="General" sourceLinked="1"/>
        <c:majorTickMark val="none"/>
        <c:minorTickMark val="none"/>
        <c:tickLblPos val="nextTo"/>
        <c:spPr>
          <a:ln w="12700" cap="flat">
            <a:noFill/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2"/>
        <c:crosses val="autoZero"/>
        <c:crossBetween val="between"/>
        <c:majorUnit val="0.00125"/>
        <c:minorUnit val="0.000625"/>
      </c:valAx>
      <c:spPr>
        <a:noFill/>
        <a:ln w="12700" cap="flat">
          <a:noFill/>
          <a:miter lim="400000"/>
        </a:ln>
        <a:effectLst/>
      </c:spPr>
    </c:plotArea>
    <c:plotVisOnly val="1"/>
    <c:dispBlanksAs val="gap"/>
  </c:chart>
  <c:spPr>
    <a:noFill/>
    <a:ln>
      <a:noFill/>
    </a:ln>
    <a:effectLst/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autoTitleDeleted val="1"/>
    <c:plotArea>
      <c:layout>
        <c:manualLayout>
          <c:layoutTarget val="inner"/>
          <c:xMode val="edge"/>
          <c:yMode val="edge"/>
          <c:x val="0.147525"/>
          <c:y val="0.0390667"/>
          <c:w val="0.826811"/>
          <c:h val="0.89495"/>
        </c:manualLayout>
      </c:layout>
      <c:scatterChart>
        <c:scatterStyle val="smoothMarker"/>
        <c:varyColors val="0"/>
        <c:ser>
          <c:idx val="0"/>
          <c:order val="0"/>
          <c:tx>
            <c:v>Untitled 2</c:v>
          </c:tx>
          <c:spPr>
            <a:noFill/>
            <a:ln w="38100" cap="flat">
              <a:solidFill>
                <a:schemeClr val="accent1"/>
              </a:solidFill>
              <a:prstDash val="solid"/>
              <a:miter lim="400000"/>
            </a:ln>
            <a:effectLst/>
          </c:spPr>
          <c:marker>
            <c:symbol val="circle"/>
            <c:size val="11"/>
            <c:spPr>
              <a:solidFill>
                <a:schemeClr val="accent1"/>
              </a:solidFill>
              <a:ln w="38100" cap="flat">
                <a:solidFill>
                  <a:schemeClr val="accent1"/>
                </a:solidFill>
                <a:prstDash val="solid"/>
                <a:miter lim="400000"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Helvetica Neue"/>
                  </a:defRPr>
                </a:pPr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xVal>
            <c:numRef>
              <c:f>'Mo-Asp-DMSO'!$AB$38:$AB$45</c:f>
              <c:numCache>
                <c:ptCount val="7"/>
                <c:pt idx="1">
                  <c:v>2.800000</c:v>
                </c:pt>
                <c:pt idx="2">
                  <c:v>2.900000</c:v>
                </c:pt>
                <c:pt idx="3">
                  <c:v>2.950000</c:v>
                </c:pt>
                <c:pt idx="4">
                  <c:v>3.000000</c:v>
                </c:pt>
                <c:pt idx="5">
                  <c:v>3.100000</c:v>
                </c:pt>
                <c:pt idx="6">
                  <c:v>3.200000</c:v>
                </c:pt>
                <c:pt idx="7">
                  <c:v>3.400000</c:v>
                </c:pt>
              </c:numCache>
            </c:numRef>
          </c:xVal>
          <c:yVal>
            <c:numRef>
              <c:f>'Mo-Asp-DMSO'!$AC$38:$AC$45</c:f>
              <c:numCache>
                <c:ptCount val="7"/>
                <c:pt idx="1">
                  <c:v>-6910.885997</c:v>
                </c:pt>
                <c:pt idx="2">
                  <c:v>-6910.885647</c:v>
                </c:pt>
                <c:pt idx="3">
                  <c:v>-6910.885618</c:v>
                </c:pt>
                <c:pt idx="4">
                  <c:v>-6910.885660</c:v>
                </c:pt>
                <c:pt idx="5">
                  <c:v>-6910.885915</c:v>
                </c:pt>
                <c:pt idx="6">
                  <c:v>-6910.886321</c:v>
                </c:pt>
                <c:pt idx="7">
                  <c:v>-6910.887292</c:v>
                </c:pt>
              </c:numCache>
            </c:numRef>
          </c:yVal>
          <c:smooth val="1"/>
        </c:ser>
        <c:axId val="2094734552"/>
        <c:axId val="2094734553"/>
      </c:scatterChart>
      <c:valAx>
        <c:axId val="2094734552"/>
        <c:scaling>
          <c:orientation val="minMax"/>
          <c:min val="2.8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3"/>
        <c:crosses val="autoZero"/>
        <c:crossBetween val="between"/>
        <c:majorUnit val="0.15"/>
        <c:minorUnit val="0.075"/>
      </c:valAx>
      <c:valAx>
        <c:axId val="2094734553"/>
        <c:scaling>
          <c:orientation val="minMax"/>
        </c:scaling>
        <c:delete val="0"/>
        <c:axPos val="l"/>
        <c:majorGridlines>
          <c:spPr>
            <a:ln w="6350" cap="flat">
              <a:solidFill>
                <a:srgbClr val="B8B8B8"/>
              </a:solidFill>
              <a:prstDash val="solid"/>
              <a:miter lim="400000"/>
            </a:ln>
          </c:spPr>
        </c:majorGridlines>
        <c:numFmt formatCode="General" sourceLinked="1"/>
        <c:majorTickMark val="none"/>
        <c:minorTickMark val="none"/>
        <c:tickLblPos val="nextTo"/>
        <c:spPr>
          <a:ln w="12700" cap="flat">
            <a:noFill/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2"/>
        <c:crosses val="autoZero"/>
        <c:crossBetween val="between"/>
        <c:majorUnit val="0.001"/>
        <c:minorUnit val="0.0005"/>
      </c:valAx>
      <c:spPr>
        <a:noFill/>
        <a:ln w="12700" cap="flat">
          <a:noFill/>
          <a:miter lim="400000"/>
        </a:ln>
        <a:effectLst/>
      </c:spPr>
    </c:plotArea>
    <c:plotVisOnly val="1"/>
    <c:dispBlanksAs val="gap"/>
  </c:chart>
  <c:spPr>
    <a:noFill/>
    <a:ln>
      <a:noFill/>
    </a:ln>
    <a:effectLst/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autoTitleDeleted val="1"/>
    <c:plotArea>
      <c:layout>
        <c:manualLayout>
          <c:layoutTarget val="inner"/>
          <c:xMode val="edge"/>
          <c:yMode val="edge"/>
          <c:x val="0.146503"/>
          <c:y val="0.0390667"/>
          <c:w val="0.82801"/>
          <c:h val="0.89495"/>
        </c:manualLayout>
      </c:layout>
      <c:scatterChart>
        <c:scatterStyle val="smoothMarker"/>
        <c:varyColors val="0"/>
        <c:ser>
          <c:idx val="0"/>
          <c:order val="0"/>
          <c:tx>
            <c:v>Untitled 2</c:v>
          </c:tx>
          <c:spPr>
            <a:noFill/>
            <a:ln w="38100" cap="flat">
              <a:solidFill>
                <a:schemeClr val="accent1"/>
              </a:solidFill>
              <a:prstDash val="solid"/>
              <a:miter lim="400000"/>
            </a:ln>
            <a:effectLst/>
          </c:spPr>
          <c:marker>
            <c:symbol val="circle"/>
            <c:size val="11"/>
            <c:spPr>
              <a:solidFill>
                <a:schemeClr val="accent1"/>
              </a:solidFill>
              <a:ln w="38100" cap="flat">
                <a:solidFill>
                  <a:schemeClr val="accent1"/>
                </a:solidFill>
                <a:prstDash val="solid"/>
                <a:miter lim="400000"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Helvetica Neue"/>
                  </a:defRPr>
                </a:pPr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xVal>
            <c:numRef>
              <c:f>'Mo-Asp-DMSO'!$V$22:$V$35</c:f>
              <c:numCache>
                <c:ptCount val="12"/>
                <c:pt idx="1">
                  <c:v>1.660000</c:v>
                </c:pt>
                <c:pt idx="2">
                  <c:v>1.680000</c:v>
                </c:pt>
                <c:pt idx="3">
                  <c:v>1.700000</c:v>
                </c:pt>
                <c:pt idx="4">
                  <c:v>1.720000</c:v>
                </c:pt>
                <c:pt idx="5">
                  <c:v>1.730000</c:v>
                </c:pt>
                <c:pt idx="6">
                  <c:v>1.740000</c:v>
                </c:pt>
                <c:pt idx="7">
                  <c:v>1.750000</c:v>
                </c:pt>
                <c:pt idx="8">
                  <c:v>1.760000</c:v>
                </c:pt>
                <c:pt idx="9">
                  <c:v>1.770000</c:v>
                </c:pt>
                <c:pt idx="10">
                  <c:v>1.780000</c:v>
                </c:pt>
                <c:pt idx="11">
                  <c:v>1.800000</c:v>
                </c:pt>
                <c:pt idx="12">
                  <c:v>1.820000</c:v>
                </c:pt>
              </c:numCache>
            </c:numRef>
          </c:xVal>
          <c:yVal>
            <c:numRef>
              <c:f>'Mo-Asp-DMSO'!$W$22:$W$35</c:f>
              <c:numCache>
                <c:ptCount val="11"/>
                <c:pt idx="2">
                  <c:v>-6910.900129</c:v>
                </c:pt>
                <c:pt idx="3">
                  <c:v>-6910.898616</c:v>
                </c:pt>
                <c:pt idx="4">
                  <c:v>-6910.897257</c:v>
                </c:pt>
                <c:pt idx="5">
                  <c:v>-6910.896727</c:v>
                </c:pt>
                <c:pt idx="6">
                  <c:v>-6910.896338</c:v>
                </c:pt>
                <c:pt idx="7">
                  <c:v>-6910.896085</c:v>
                </c:pt>
                <c:pt idx="8">
                  <c:v>-6910.895962</c:v>
                </c:pt>
                <c:pt idx="9">
                  <c:v>-6910.895963</c:v>
                </c:pt>
                <c:pt idx="10">
                  <c:v>-6910.896080</c:v>
                </c:pt>
                <c:pt idx="11">
                  <c:v>-6910.896635</c:v>
                </c:pt>
                <c:pt idx="12">
                  <c:v>-6910.897563</c:v>
                </c:pt>
              </c:numCache>
            </c:numRef>
          </c:yVal>
          <c:smooth val="1"/>
        </c:ser>
        <c:axId val="2094734552"/>
        <c:axId val="2094734553"/>
      </c:scatterChart>
      <c:valAx>
        <c:axId val="2094734552"/>
        <c:scaling>
          <c:orientation val="minMax"/>
          <c:max val="1.82"/>
          <c:min val="1.68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3"/>
        <c:crosses val="autoZero"/>
        <c:crossBetween val="between"/>
        <c:majorUnit val="0.035"/>
        <c:minorUnit val="0.0175"/>
      </c:valAx>
      <c:valAx>
        <c:axId val="2094734553"/>
        <c:scaling>
          <c:orientation val="minMax"/>
        </c:scaling>
        <c:delete val="0"/>
        <c:axPos val="l"/>
        <c:majorGridlines>
          <c:spPr>
            <a:ln w="6350" cap="flat">
              <a:solidFill>
                <a:srgbClr val="B8B8B8"/>
              </a:solidFill>
              <a:prstDash val="solid"/>
              <a:miter lim="400000"/>
            </a:ln>
          </c:spPr>
        </c:majorGridlines>
        <c:numFmt formatCode="General" sourceLinked="1"/>
        <c:majorTickMark val="none"/>
        <c:minorTickMark val="none"/>
        <c:tickLblPos val="nextTo"/>
        <c:spPr>
          <a:ln w="12700" cap="flat">
            <a:noFill/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2"/>
        <c:crosses val="autoZero"/>
        <c:crossBetween val="between"/>
        <c:majorUnit val="0.00175"/>
        <c:minorUnit val="0.000875"/>
      </c:valAx>
      <c:spPr>
        <a:noFill/>
        <a:ln w="12700" cap="flat">
          <a:noFill/>
          <a:miter lim="400000"/>
        </a:ln>
        <a:effectLst/>
      </c:spPr>
    </c:plotArea>
    <c:plotVisOnly val="1"/>
    <c:dispBlanksAs val="gap"/>
  </c:chart>
  <c:spPr>
    <a:noFill/>
    <a:ln>
      <a:noFill/>
    </a:ln>
    <a:effectLst/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autoTitleDeleted val="1"/>
    <c:plotArea>
      <c:layout>
        <c:manualLayout>
          <c:layoutTarget val="inner"/>
          <c:xMode val="edge"/>
          <c:yMode val="edge"/>
          <c:x val="0.147525"/>
          <c:y val="0.0390667"/>
          <c:w val="0.826811"/>
          <c:h val="0.89495"/>
        </c:manualLayout>
      </c:layout>
      <c:scatterChart>
        <c:scatterStyle val="smoothMarker"/>
        <c:varyColors val="0"/>
        <c:ser>
          <c:idx val="0"/>
          <c:order val="0"/>
          <c:tx>
            <c:v>Untitled 2</c:v>
          </c:tx>
          <c:spPr>
            <a:noFill/>
            <a:ln w="38100" cap="flat">
              <a:solidFill>
                <a:schemeClr val="accent1"/>
              </a:solidFill>
              <a:prstDash val="solid"/>
              <a:miter lim="400000"/>
            </a:ln>
            <a:effectLst/>
          </c:spPr>
          <c:marker>
            <c:symbol val="circle"/>
            <c:size val="11"/>
            <c:spPr>
              <a:solidFill>
                <a:schemeClr val="accent1"/>
              </a:solidFill>
              <a:ln w="38100" cap="flat">
                <a:solidFill>
                  <a:schemeClr val="accent1"/>
                </a:solidFill>
                <a:prstDash val="solid"/>
                <a:miter lim="400000"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Helvetica Neue"/>
                  </a:defRPr>
                </a:pPr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xVal>
            <c:numRef>
              <c:f>'Mo-Asp-DMSO'!$X$22:$X$29</c:f>
              <c:numCache>
                <c:ptCount val="5"/>
                <c:pt idx="1">
                  <c:v>2.800000</c:v>
                </c:pt>
                <c:pt idx="2">
                  <c:v>3.000000</c:v>
                </c:pt>
                <c:pt idx="3">
                  <c:v>3.100000</c:v>
                </c:pt>
                <c:pt idx="4">
                  <c:v>3.200000</c:v>
                </c:pt>
                <c:pt idx="5">
                  <c:v>3.400000</c:v>
                </c:pt>
              </c:numCache>
            </c:numRef>
          </c:xVal>
          <c:yVal>
            <c:numRef>
              <c:f>'Mo-Asp-DMSO'!$Y$22:$Y$29</c:f>
              <c:numCache>
                <c:ptCount val="5"/>
                <c:pt idx="1">
                  <c:v>-6910.894887</c:v>
                </c:pt>
                <c:pt idx="2">
                  <c:v>-6910.893617</c:v>
                </c:pt>
                <c:pt idx="3">
                  <c:v>-6910.893510</c:v>
                </c:pt>
                <c:pt idx="4">
                  <c:v>-6910.893605</c:v>
                </c:pt>
                <c:pt idx="5">
                  <c:v>-6910.894159</c:v>
                </c:pt>
              </c:numCache>
            </c:numRef>
          </c:yVal>
          <c:smooth val="1"/>
        </c:ser>
        <c:axId val="2094734552"/>
        <c:axId val="2094734553"/>
      </c:scatterChart>
      <c:valAx>
        <c:axId val="2094734552"/>
        <c:scaling>
          <c:orientation val="minMax"/>
          <c:min val="2.8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3"/>
        <c:crosses val="autoZero"/>
        <c:crossBetween val="between"/>
        <c:majorUnit val="0.15"/>
        <c:minorUnit val="0.075"/>
      </c:valAx>
      <c:valAx>
        <c:axId val="2094734553"/>
        <c:scaling>
          <c:orientation val="minMax"/>
        </c:scaling>
        <c:delete val="0"/>
        <c:axPos val="l"/>
        <c:majorGridlines>
          <c:spPr>
            <a:ln w="6350" cap="flat">
              <a:solidFill>
                <a:srgbClr val="B8B8B8"/>
              </a:solidFill>
              <a:prstDash val="solid"/>
              <a:miter lim="400000"/>
            </a:ln>
          </c:spPr>
        </c:majorGridlines>
        <c:numFmt formatCode="General" sourceLinked="1"/>
        <c:majorTickMark val="none"/>
        <c:minorTickMark val="none"/>
        <c:tickLblPos val="nextTo"/>
        <c:spPr>
          <a:ln w="12700" cap="flat">
            <a:noFill/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2"/>
        <c:crosses val="autoZero"/>
        <c:crossBetween val="between"/>
        <c:majorUnit val="0.00075"/>
        <c:minorUnit val="0.000375"/>
      </c:valAx>
      <c:spPr>
        <a:noFill/>
        <a:ln w="12700" cap="flat">
          <a:noFill/>
          <a:miter lim="400000"/>
        </a:ln>
        <a:effectLst/>
      </c:spPr>
    </c:plotArea>
    <c:plotVisOnly val="1"/>
    <c:dispBlanksAs val="gap"/>
  </c:chart>
  <c:spPr>
    <a:noFill/>
    <a:ln>
      <a:noFill/>
    </a:ln>
    <a:effectLst/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autoTitleDeleted val="1"/>
    <c:plotArea>
      <c:layout>
        <c:manualLayout>
          <c:layoutTarget val="inner"/>
          <c:xMode val="edge"/>
          <c:yMode val="edge"/>
          <c:x val="0.0362118"/>
          <c:y val="0.0556935"/>
          <c:w val="0.951495"/>
          <c:h val="0.907723"/>
        </c:manualLayout>
      </c:layout>
      <c:lineChart>
        <c:grouping val="standard"/>
        <c:varyColors val="0"/>
        <c:ser>
          <c:idx val="0"/>
          <c:order val="0"/>
          <c:tx>
            <c:strRef>
              <c:f>'Mo-Asp-DMSO'!$H$2:$H$2</c:f>
              <c:strCache>
                <c:ptCount val="1"/>
                <c:pt idx="0">
                  <c:v>Region 1</c:v>
                </c:pt>
              </c:strCache>
            </c:strRef>
          </c:tx>
          <c:spPr>
            <a:solidFill>
              <a:srgbClr val="FFFFFF"/>
            </a:solidFill>
            <a:ln w="50800" cap="flat">
              <a:solidFill>
                <a:schemeClr val="accent1"/>
              </a:solidFill>
              <a:prstDash val="solid"/>
              <a:miter lim="400000"/>
            </a:ln>
            <a:effectLst/>
          </c:spPr>
          <c:marker>
            <c:symbol val="none"/>
            <c:size val="4"/>
            <c:spPr>
              <a:solidFill>
                <a:srgbClr val="FFFFFF"/>
              </a:solidFill>
              <a:ln w="50800" cap="flat">
                <a:solidFill>
                  <a:schemeClr val="accent1"/>
                </a:solidFill>
                <a:prstDash val="solid"/>
                <a:miter lim="400000"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Helvetica Neue"/>
                  </a:defRPr>
                </a:pPr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4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</c:strLit>
          </c:cat>
          <c:val>
            <c:numLit>
              <c:ptCount val="4"/>
              <c:pt idx="0">
                <c:v>17.000000</c:v>
              </c:pt>
              <c:pt idx="1">
                <c:v>26.000000</c:v>
              </c:pt>
              <c:pt idx="2">
                <c:v>53.000000</c:v>
              </c:pt>
              <c:pt idx="3">
                <c:v>96.000000</c:v>
              </c:pt>
            </c:numLit>
          </c:val>
          <c:smooth val="0"/>
        </c:ser>
        <c:ser>
          <c:idx val="1"/>
          <c:order val="1"/>
          <c:tx>
            <c:strRef>
              <c:f>'Mo-Asp-DMSO'!$I$2:$I$2</c:f>
              <c:strCache>
                <c:ptCount val="1"/>
                <c:pt idx="0">
                  <c:v>Region 2</c:v>
                </c:pt>
              </c:strCache>
            </c:strRef>
          </c:tx>
          <c:spPr>
            <a:solidFill>
              <a:srgbClr val="FFFFFF"/>
            </a:solidFill>
            <a:ln w="50800" cap="flat">
              <a:solidFill>
                <a:schemeClr val="accent3"/>
              </a:solidFill>
              <a:prstDash val="solid"/>
              <a:miter lim="400000"/>
            </a:ln>
            <a:effectLst/>
          </c:spPr>
          <c:marker>
            <c:symbol val="none"/>
            <c:size val="4"/>
            <c:spPr>
              <a:solidFill>
                <a:srgbClr val="FFFFFF"/>
              </a:solidFill>
              <a:ln w="50800" cap="flat">
                <a:solidFill>
                  <a:schemeClr val="accent3"/>
                </a:solidFill>
                <a:prstDash val="solid"/>
                <a:miter lim="400000"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Helvetica Neue"/>
                  </a:defRPr>
                </a:pPr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4"/>
              <c:pt idx="0">
                <c:v>April</c:v>
              </c:pt>
              <c:pt idx="1">
                <c:v>May</c:v>
              </c:pt>
              <c:pt idx="2">
                <c:v>June</c:v>
              </c:pt>
              <c:pt idx="3">
                <c:v>July</c:v>
              </c:pt>
            </c:strLit>
          </c:cat>
          <c:val>
            <c:numLit>
              <c:ptCount val="4"/>
              <c:pt idx="0">
                <c:v>55.000000</c:v>
              </c:pt>
              <c:pt idx="1">
                <c:v>43.000000</c:v>
              </c:pt>
              <c:pt idx="2">
                <c:v>70.000000</c:v>
              </c:pt>
              <c:pt idx="3">
                <c:v>58.000000</c:v>
              </c:pt>
            </c:numLit>
          </c:val>
          <c:smooth val="0"/>
        </c:ser>
        <c:marker val="1"/>
        <c:axId val="2094734552"/>
        <c:axId val="2094734553"/>
      </c:lineChart>
      <c:catAx>
        <c:axId val="209473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3"/>
        <c:crosses val="autoZero"/>
        <c:auto val="1"/>
        <c:lblAlgn val="ctr"/>
        <c:noMultiLvlLbl val="1"/>
      </c:catAx>
      <c:valAx>
        <c:axId val="2094734553"/>
        <c:scaling>
          <c:orientation val="minMax"/>
        </c:scaling>
        <c:delete val="0"/>
        <c:axPos val="l"/>
        <c:majorGridlines>
          <c:spPr>
            <a:ln w="6350" cap="flat">
              <a:solidFill>
                <a:srgbClr val="B8B8B8"/>
              </a:solidFill>
              <a:prstDash val="solid"/>
              <a:miter lim="400000"/>
            </a:ln>
          </c:spPr>
        </c:majorGridlines>
        <c:numFmt formatCode="General" sourceLinked="1"/>
        <c:majorTickMark val="none"/>
        <c:minorTickMark val="none"/>
        <c:tickLblPos val="nextTo"/>
        <c:spPr>
          <a:ln w="12700" cap="flat">
            <a:noFill/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2"/>
        <c:crosses val="autoZero"/>
        <c:crossBetween val="midCat"/>
        <c:majorUnit val="25"/>
        <c:minorUnit val="12.5"/>
      </c:valAx>
      <c:spPr>
        <a:noFill/>
        <a:ln w="12700" cap="flat">
          <a:noFill/>
          <a:miter lim="400000"/>
        </a:ln>
        <a:effectLst/>
      </c:spPr>
    </c:plotArea>
    <c:legend>
      <c:legendPos val="t"/>
      <c:layout>
        <c:manualLayout>
          <c:xMode val="edge"/>
          <c:yMode val="edge"/>
          <c:x val="0.0615465"/>
          <c:y val="0"/>
          <c:w val="0.938453"/>
          <c:h val="0.0425918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b="0" i="0" strike="noStrike" sz="1000" u="none">
              <a:solidFill>
                <a:srgbClr val="000000"/>
              </a:solidFill>
              <a:latin typeface="Helvetica Neue"/>
            </a:defRPr>
          </a:pPr>
        </a:p>
      </c:txPr>
    </c:legend>
    <c:plotVisOnly val="1"/>
    <c:dispBlanksAs val="gap"/>
  </c:chart>
  <c:spPr>
    <a:noFill/>
    <a:ln>
      <a:noFill/>
    </a:ln>
    <a:effectLst/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/Relationships>
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Relationship Id="rId3" Type="http://schemas.openxmlformats.org/officeDocument/2006/relationships/chart" Target="../charts/chart4.xml"/><Relationship Id="rId4" Type="http://schemas.openxmlformats.org/officeDocument/2006/relationships/chart" Target="../charts/chart5.xml"/><Relationship Id="rId5" Type="http://schemas.openxmlformats.org/officeDocument/2006/relationships/chart" Target="../charts/chart6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14</xdr:col>
      <xdr:colOff>542318</xdr:colOff>
      <xdr:row>57</xdr:row>
      <xdr:rowOff>58476</xdr:rowOff>
    </xdr:from>
    <xdr:to>
      <xdr:col>18</xdr:col>
      <xdr:colOff>170843</xdr:colOff>
      <xdr:row>72</xdr:row>
      <xdr:rowOff>77526</xdr:rowOff>
    </xdr:to>
    <xdr:graphicFrame>
      <xdr:nvGraphicFramePr>
        <xdr:cNvPr id="2" name="Scatter Chart"/>
        <xdr:cNvGraphicFramePr/>
      </xdr:nvGraphicFramePr>
      <xdr:xfrm>
        <a:off x="18195318" y="15212116"/>
        <a:ext cx="4606926" cy="3810001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0</xdr:col>
      <xdr:colOff>0</xdr:colOff>
      <xdr:row>60</xdr:row>
      <xdr:rowOff>11767</xdr:rowOff>
    </xdr:from>
    <xdr:to>
      <xdr:col>3</xdr:col>
      <xdr:colOff>1221043</xdr:colOff>
      <xdr:row>75</xdr:row>
      <xdr:rowOff>30818</xdr:rowOff>
    </xdr:to>
    <xdr:graphicFrame>
      <xdr:nvGraphicFramePr>
        <xdr:cNvPr id="4" name="Scatter Chart"/>
        <xdr:cNvGraphicFramePr/>
      </xdr:nvGraphicFramePr>
      <xdr:xfrm>
        <a:off x="-48383" y="16109017"/>
        <a:ext cx="4904045" cy="3810002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  <xdr:twoCellAnchor>
    <xdr:from>
      <xdr:col>5</xdr:col>
      <xdr:colOff>288992</xdr:colOff>
      <xdr:row>42</xdr:row>
      <xdr:rowOff>146023</xdr:rowOff>
    </xdr:from>
    <xdr:to>
      <xdr:col>9</xdr:col>
      <xdr:colOff>372939</xdr:colOff>
      <xdr:row>57</xdr:row>
      <xdr:rowOff>159358</xdr:rowOff>
    </xdr:to>
    <xdr:graphicFrame>
      <xdr:nvGraphicFramePr>
        <xdr:cNvPr id="5" name="Scatter Chart"/>
        <xdr:cNvGraphicFramePr/>
      </xdr:nvGraphicFramePr>
      <xdr:xfrm>
        <a:off x="6461191" y="11688418"/>
        <a:ext cx="5062349" cy="3810001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2"/>
        </a:graphicData>
      </a:graphic>
    </xdr:graphicFrame>
    <xdr:clientData/>
  </xdr:twoCellAnchor>
  <xdr:twoCellAnchor>
    <xdr:from>
      <xdr:col>0</xdr:col>
      <xdr:colOff>0</xdr:colOff>
      <xdr:row>41</xdr:row>
      <xdr:rowOff>251813</xdr:rowOff>
    </xdr:from>
    <xdr:to>
      <xdr:col>4</xdr:col>
      <xdr:colOff>170053</xdr:colOff>
      <xdr:row>57</xdr:row>
      <xdr:rowOff>10513</xdr:rowOff>
    </xdr:to>
    <xdr:graphicFrame>
      <xdr:nvGraphicFramePr>
        <xdr:cNvPr id="6" name="Scatter Chart"/>
        <xdr:cNvGraphicFramePr/>
      </xdr:nvGraphicFramePr>
      <xdr:xfrm>
        <a:off x="-42613" y="11539573"/>
        <a:ext cx="5097654" cy="3810001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3"/>
        </a:graphicData>
      </a:graphic>
    </xdr:graphicFrame>
    <xdr:clientData/>
  </xdr:twoCellAnchor>
  <xdr:twoCellAnchor>
    <xdr:from>
      <xdr:col>4</xdr:col>
      <xdr:colOff>769116</xdr:colOff>
      <xdr:row>60</xdr:row>
      <xdr:rowOff>160611</xdr:rowOff>
    </xdr:from>
    <xdr:to>
      <xdr:col>8</xdr:col>
      <xdr:colOff>853063</xdr:colOff>
      <xdr:row>75</xdr:row>
      <xdr:rowOff>179661</xdr:rowOff>
    </xdr:to>
    <xdr:graphicFrame>
      <xdr:nvGraphicFramePr>
        <xdr:cNvPr id="7" name="Scatter Chart"/>
        <xdr:cNvGraphicFramePr/>
      </xdr:nvGraphicFramePr>
      <xdr:xfrm>
        <a:off x="5696716" y="16257861"/>
        <a:ext cx="5062348" cy="3810001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4"/>
        </a:graphicData>
      </a:graphic>
    </xdr:graphicFrame>
    <xdr:clientData/>
  </xdr:twoCellAnchor>
  <xdr:twoCellAnchor>
    <xdr:from>
      <xdr:col>19</xdr:col>
      <xdr:colOff>147307</xdr:colOff>
      <xdr:row>33</xdr:row>
      <xdr:rowOff>242996</xdr:rowOff>
    </xdr:from>
    <xdr:to>
      <xdr:col>27</xdr:col>
      <xdr:colOff>187605</xdr:colOff>
      <xdr:row>66</xdr:row>
      <xdr:rowOff>246399</xdr:rowOff>
    </xdr:to>
    <xdr:graphicFrame>
      <xdr:nvGraphicFramePr>
        <xdr:cNvPr id="8" name="2D Line Chart"/>
        <xdr:cNvGraphicFramePr/>
      </xdr:nvGraphicFramePr>
      <xdr:xfrm>
        <a:off x="24239207" y="9399061"/>
        <a:ext cx="9997099" cy="8460969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5"/>
        </a:graphicData>
      </a:graphic>
    </xdr:graphicFrame>
    <xdr:clientData/>
  </xdr:twoCellAnchor>
  <xdr:twoCellAnchor>
    <xdr:from>
      <xdr:col>19</xdr:col>
      <xdr:colOff>509320</xdr:colOff>
      <xdr:row>41</xdr:row>
      <xdr:rowOff>173095</xdr:rowOff>
    </xdr:from>
    <xdr:to>
      <xdr:col>27</xdr:col>
      <xdr:colOff>64705</xdr:colOff>
      <xdr:row>41</xdr:row>
      <xdr:rowOff>173095</xdr:rowOff>
    </xdr:to>
    <xdr:sp>
      <xdr:nvSpPr>
        <xdr:cNvPr id="9" name="Line"/>
        <xdr:cNvSpPr/>
      </xdr:nvSpPr>
      <xdr:spPr>
        <a:xfrm>
          <a:off x="24601220" y="11460855"/>
          <a:ext cx="9512186" cy="1"/>
        </a:xfrm>
        <a:prstGeom prst="line">
          <a:avLst/>
        </a:prstGeom>
        <a:noFill/>
        <a:ln w="50800" cap="flat">
          <a:solidFill>
            <a:srgbClr val="000000"/>
          </a:solidFill>
          <a:prstDash val="solid"/>
          <a:miter lim="400000"/>
        </a:ln>
        <a:effectLst/>
      </xdr:spPr>
      <xdr:txBody>
        <a:bodyPr/>
        <a:lstStyle/>
        <a:p>
          <a:pPr/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B2:U19"/>
  <sheetViews>
    <sheetView workbookViewId="0" showGridLines="0" defaultGridColor="1">
      <pane topLeftCell="C3" xSplit="2" ySplit="2" activePane="bottomRight" state="frozen"/>
    </sheetView>
  </sheetViews>
  <sheetFormatPr defaultColWidth="16.3333" defaultRowHeight="19.9" customHeight="1" outlineLevelRow="0" outlineLevelCol="0"/>
  <cols>
    <col min="1" max="1" width="11.6172" style="1" customWidth="1"/>
    <col min="2" max="2" width="22.8203" style="1" customWidth="1"/>
    <col min="3" max="11" width="16.3516" style="1" customWidth="1"/>
    <col min="12" max="12" width="22.8203" style="21" customWidth="1"/>
    <col min="13" max="21" width="16.3516" style="21" customWidth="1"/>
    <col min="22" max="16384" width="16.3516" style="21" customWidth="1"/>
  </cols>
  <sheetData>
    <row r="1" ht="27.65" customHeight="1">
      <c r="B1" t="s" s="2">
        <v>0</v>
      </c>
      <c r="C1" s="2"/>
      <c r="D1" s="2"/>
      <c r="E1" s="2"/>
      <c r="F1" s="2"/>
      <c r="G1" s="2"/>
      <c r="H1" s="2"/>
      <c r="I1" s="2"/>
      <c r="J1" s="2"/>
      <c r="K1" s="2"/>
    </row>
    <row r="2" ht="32.25" customHeight="1">
      <c r="B2" s="3"/>
      <c r="C2" t="s" s="4">
        <v>1</v>
      </c>
      <c r="D2" t="s" s="4">
        <v>2</v>
      </c>
      <c r="E2" t="s" s="4">
        <v>3</v>
      </c>
      <c r="F2" t="s" s="4">
        <v>4</v>
      </c>
      <c r="G2" t="s" s="4">
        <v>5</v>
      </c>
      <c r="H2" t="s" s="4">
        <v>6</v>
      </c>
      <c r="I2" t="s" s="4">
        <v>7</v>
      </c>
      <c r="J2" t="s" s="4">
        <v>8</v>
      </c>
      <c r="K2" t="s" s="5">
        <v>9</v>
      </c>
    </row>
    <row r="3" ht="20.25" customHeight="1">
      <c r="B3" t="s" s="6">
        <v>10</v>
      </c>
      <c r="C3" s="7">
        <v>-478.087809239390</v>
      </c>
      <c r="D3" s="8">
        <v>-478.35127679</v>
      </c>
      <c r="E3" s="8">
        <v>-478.35665266</v>
      </c>
      <c r="F3" s="9">
        <f>-478.34673807</f>
        <v>-478.34673807</v>
      </c>
      <c r="G3" s="9">
        <f>-478.34907831</f>
        <v>-478.34907831</v>
      </c>
      <c r="H3" s="10">
        <f>-478.349120959</f>
        <v>-478.349120959</v>
      </c>
      <c r="I3" s="10">
        <f>-478.362275535</f>
        <v>-478.362275535</v>
      </c>
      <c r="J3" s="10">
        <f>-478.35240181</f>
        <v>-478.35240181</v>
      </c>
      <c r="K3" s="11">
        <f>-478.36550256</f>
        <v>-478.36550256</v>
      </c>
    </row>
    <row r="4" ht="20.05" customHeight="1">
      <c r="B4" t="s" s="12">
        <v>11</v>
      </c>
      <c r="C4" s="13">
        <v>-553.008217873952</v>
      </c>
      <c r="D4" s="14">
        <v>-553.39843363</v>
      </c>
      <c r="E4" s="14">
        <v>-553.39188518</v>
      </c>
      <c r="F4" s="15">
        <f>-553.3916108</f>
        <v>-553.3916108</v>
      </c>
      <c r="G4" s="15">
        <f>-553.39781858</f>
        <v>-553.39781858</v>
      </c>
      <c r="H4" s="16">
        <f>-553.397482937</f>
        <v>-553.3974829369999</v>
      </c>
      <c r="I4" s="16">
        <f>-553.416933405</f>
        <v>-553.416933405</v>
      </c>
      <c r="J4" s="16">
        <f>-553.409094443</f>
        <v>-553.409094443</v>
      </c>
      <c r="K4" s="17">
        <f>-553.427979434</f>
        <v>-553.427979434</v>
      </c>
    </row>
    <row r="5" ht="20.05" customHeight="1">
      <c r="B5" t="s" s="12">
        <v>12</v>
      </c>
      <c r="C5" s="18">
        <f>-6514.4288116762</f>
        <v>-6514.4288116762</v>
      </c>
      <c r="D5" s="19">
        <f>-6516.05387486</f>
        <v>-6516.05387486</v>
      </c>
      <c r="E5" s="19">
        <f>-6516.01908835</f>
        <v>-6516.01908835</v>
      </c>
      <c r="F5" s="19">
        <f>-6515.99414689</f>
        <v>-6515.99414689</v>
      </c>
      <c r="G5" s="19">
        <f>-6516.02472665</f>
        <v>-6516.02472665</v>
      </c>
      <c r="H5" s="16">
        <f>-6516.025408475</f>
        <v>-6516.025408475</v>
      </c>
      <c r="I5" s="16">
        <f>-6516.125223806</f>
        <v>-6516.125223806</v>
      </c>
      <c r="J5" s="16">
        <f>-6516.091706783</f>
        <v>-6516.091706783</v>
      </c>
      <c r="K5" s="17">
        <f>-6516.190787572</f>
        <v>-6516.190787572</v>
      </c>
    </row>
    <row r="6" ht="20.05" customHeight="1">
      <c r="B6" t="s" s="12">
        <v>13</v>
      </c>
      <c r="C6" s="18">
        <f>-7067.41990297839</f>
        <v>-7067.419902978390</v>
      </c>
      <c r="D6" s="19">
        <f>-7069.44564211</f>
        <v>-7069.44564211</v>
      </c>
      <c r="E6" s="19">
        <f>-7069.40395161</f>
        <v>-7069.40395161</v>
      </c>
      <c r="F6" s="19">
        <f>-7069.37857073</f>
        <v>-7069.37857073</v>
      </c>
      <c r="G6" s="19">
        <f>-7069.41589565</f>
        <v>-7069.41589565</v>
      </c>
      <c r="H6" s="16">
        <f>-7069.417202565</f>
        <v>-7069.417202565</v>
      </c>
      <c r="I6" s="16">
        <f>-7069.536827057</f>
        <v>-7069.536827057</v>
      </c>
      <c r="J6" s="16">
        <f>-7069.493394371</f>
        <v>-7069.493394371</v>
      </c>
      <c r="K6" s="17">
        <f>-7069.611800345</f>
        <v>-7069.611800345</v>
      </c>
    </row>
    <row r="7" ht="20.05" customHeight="1">
      <c r="B7" t="s" s="12">
        <v>14</v>
      </c>
      <c r="C7" s="18">
        <f>-7067.42687789457</f>
        <v>-7067.426877894570</v>
      </c>
      <c r="D7" s="19">
        <f>-7069.46285407</f>
        <v>-7069.46285407</v>
      </c>
      <c r="E7" s="19">
        <f>-7069.42075268</f>
        <v>-7069.42075268</v>
      </c>
      <c r="F7" s="19">
        <f>-7069.39608696</f>
        <v>-7069.39608696</v>
      </c>
      <c r="G7" s="19">
        <f>-7069.43318827</f>
        <v>-7069.43318827</v>
      </c>
      <c r="H7" s="16">
        <f>-7069.43425895</f>
        <v>-7069.43425895</v>
      </c>
      <c r="I7" s="16">
        <f>-7069.554361235</f>
        <v>-7069.554361235</v>
      </c>
      <c r="J7" s="16">
        <f>-7069.515984098</f>
        <v>-7069.515984098</v>
      </c>
      <c r="K7" s="17">
        <f>-7069.634812598</f>
        <v>-7069.634812598</v>
      </c>
    </row>
    <row r="8" ht="20.05" customHeight="1">
      <c r="B8" t="s" s="12">
        <v>15</v>
      </c>
      <c r="C8" s="18">
        <f>-7067.42050562886</f>
        <v>-7067.420505628860</v>
      </c>
      <c r="D8" s="19">
        <f>-7069.45997854</f>
        <v>-7069.45997854</v>
      </c>
      <c r="E8" s="19">
        <f>-7069.41738993</f>
        <v>-7069.41738993</v>
      </c>
      <c r="F8" s="19">
        <f>-7069.39173948</f>
        <v>-7069.39173948</v>
      </c>
      <c r="G8" s="19">
        <f>-7069.43186668</f>
        <v>-7069.43186668</v>
      </c>
      <c r="H8" s="16">
        <f>-7069.432223331</f>
        <v>-7069.432223331</v>
      </c>
      <c r="I8" s="16">
        <f>-7069.554172932</f>
        <v>-7069.554172932</v>
      </c>
      <c r="J8" s="16">
        <f>-7069.513040251</f>
        <v>-7069.513040251</v>
      </c>
      <c r="K8" s="17">
        <f>-7069.632890709</f>
        <v>-7069.632890709</v>
      </c>
    </row>
    <row r="9" ht="20.05" customHeight="1">
      <c r="B9" t="s" s="12">
        <v>16</v>
      </c>
      <c r="C9" s="18">
        <f>-6589.47451682942</f>
        <v>-6589.474516829420</v>
      </c>
      <c r="D9" s="19">
        <f>-6591.24055453</f>
        <v>-6591.24055453</v>
      </c>
      <c r="E9" s="19">
        <f>-6591.20349551</f>
        <v>-6591.20349551</v>
      </c>
      <c r="F9" s="19">
        <f>-6591.16789306</f>
        <v>-6591.16789306</v>
      </c>
      <c r="G9" s="19">
        <f>-6591.19745567</f>
        <v>-6591.19745567</v>
      </c>
      <c r="H9" s="19">
        <f>-6591.198688889</f>
        <v>-6591.198688889</v>
      </c>
      <c r="I9" s="19">
        <f>-6591.308644394</f>
        <v>-6591.308644394</v>
      </c>
      <c r="J9" s="19">
        <f>-6591.265874474</f>
        <v>-6591.265874474</v>
      </c>
      <c r="K9" s="20">
        <f>-6591.375061641</f>
        <v>-6591.375061641</v>
      </c>
    </row>
    <row r="11" ht="27.65" customHeight="1">
      <c r="L11" t="s" s="2">
        <v>17</v>
      </c>
      <c r="M11" s="2"/>
      <c r="N11" s="2"/>
      <c r="O11" s="2"/>
      <c r="P11" s="2"/>
      <c r="Q11" s="2"/>
      <c r="R11" s="2"/>
      <c r="S11" s="2"/>
      <c r="T11" s="2"/>
      <c r="U11" s="2"/>
    </row>
    <row r="12" ht="32.25" customHeight="1">
      <c r="L12" s="3"/>
      <c r="M12" t="s" s="4">
        <v>1</v>
      </c>
      <c r="N12" t="s" s="4">
        <v>2</v>
      </c>
      <c r="O12" t="s" s="4">
        <v>3</v>
      </c>
      <c r="P12" t="s" s="4">
        <v>4</v>
      </c>
      <c r="Q12" t="s" s="4">
        <v>5</v>
      </c>
      <c r="R12" t="s" s="4">
        <v>6</v>
      </c>
      <c r="S12" t="s" s="4">
        <v>7</v>
      </c>
      <c r="T12" t="s" s="4">
        <v>8</v>
      </c>
      <c r="U12" t="s" s="5">
        <v>9</v>
      </c>
    </row>
    <row r="13" ht="20.25" customHeight="1">
      <c r="L13" t="s" s="6">
        <v>10</v>
      </c>
      <c r="M13" s="7">
        <v>-478.087809239390</v>
      </c>
      <c r="N13" s="10">
        <v>-478.35127679</v>
      </c>
      <c r="O13" s="8">
        <v>-478.35665266</v>
      </c>
      <c r="P13" s="9">
        <f>-478.34673807</f>
        <v>-478.34673807</v>
      </c>
      <c r="Q13" s="9">
        <f>-478.34907831</f>
        <v>-478.34907831</v>
      </c>
      <c r="R13" s="10">
        <f>-478.349120959</f>
        <v>-478.349120959</v>
      </c>
      <c r="S13" s="10">
        <f>-478.362275535</f>
        <v>-478.362275535</v>
      </c>
      <c r="T13" s="10">
        <f>-478.35240181</f>
        <v>-478.35240181</v>
      </c>
      <c r="U13" s="11">
        <f>-478.36550256</f>
        <v>-478.36550256</v>
      </c>
    </row>
    <row r="14" ht="20.05" customHeight="1">
      <c r="L14" t="s" s="12">
        <v>11</v>
      </c>
      <c r="M14" s="13">
        <v>-553.008217873952</v>
      </c>
      <c r="N14" s="16">
        <v>-553.39843363</v>
      </c>
      <c r="O14" s="14">
        <v>-553.39188518</v>
      </c>
      <c r="P14" s="15">
        <f>-553.3916108</f>
        <v>-553.3916108</v>
      </c>
      <c r="Q14" s="15">
        <f>-553.39781858</f>
        <v>-553.39781858</v>
      </c>
      <c r="R14" s="16">
        <f>-553.397482937</f>
        <v>-553.3974829369999</v>
      </c>
      <c r="S14" s="16">
        <f>-553.416933405</f>
        <v>-553.416933405</v>
      </c>
      <c r="T14" s="16">
        <f>-553.409094443</f>
        <v>-553.409094443</v>
      </c>
      <c r="U14" s="17">
        <f>-553.427979434</f>
        <v>-553.427979434</v>
      </c>
    </row>
    <row r="15" ht="20.05" customHeight="1">
      <c r="L15" t="s" s="12">
        <v>12</v>
      </c>
      <c r="M15" s="18">
        <f>-6514.36606691217</f>
        <v>-6514.366066912170</v>
      </c>
      <c r="N15" s="19">
        <f>-6516.00066425</f>
        <v>-6516.00066425</v>
      </c>
      <c r="O15" s="19">
        <f>-6515.96544915</f>
        <v>-6515.96544915</v>
      </c>
      <c r="P15" s="19">
        <f>-6515.94049585</f>
        <v>-6515.94049585</v>
      </c>
      <c r="Q15" s="19">
        <f>-6515.97146768</f>
        <v>-6515.97146768</v>
      </c>
      <c r="R15" s="16">
        <f>-6515.972478262</f>
        <v>-6515.972478262</v>
      </c>
      <c r="S15" s="16">
        <f>-6516.073619209</f>
        <v>-6516.073619209</v>
      </c>
      <c r="T15" s="22">
        <f>-6516.038590696</f>
        <v>-6516.038590696</v>
      </c>
      <c r="U15" s="23">
        <f>-6516.138820466</f>
        <v>-6516.138820466</v>
      </c>
    </row>
    <row r="16" ht="20.05" customHeight="1">
      <c r="L16" t="s" s="12">
        <v>13</v>
      </c>
      <c r="M16" s="18">
        <f>-7067.3628669955</f>
        <v>-7067.3628669955</v>
      </c>
      <c r="N16" s="19">
        <f>-7069.39796138</f>
        <v>-7069.39796138</v>
      </c>
      <c r="O16" s="19">
        <f>-7069.35592335</f>
        <v>-7069.35592335</v>
      </c>
      <c r="P16" s="19">
        <f>-7069.33141679</f>
        <v>-7069.33141679</v>
      </c>
      <c r="Q16" s="19">
        <f>-7069.36948782</f>
        <v>-7069.36948782</v>
      </c>
      <c r="R16" s="16">
        <f>-7069.371057133</f>
        <v>-7069.371057133</v>
      </c>
      <c r="S16" s="16">
        <f>-7069.491854056</f>
        <v>-7069.491854056</v>
      </c>
      <c r="T16" s="16">
        <f>-7069.450925206</f>
        <v>-7069.450925206</v>
      </c>
      <c r="U16" s="17">
        <f>-7069.570360015</f>
        <v>-7069.570360015</v>
      </c>
    </row>
    <row r="17" ht="20.05" customHeight="1">
      <c r="L17" t="s" s="12">
        <v>14</v>
      </c>
      <c r="M17" s="18">
        <f>-7067.37501667572</f>
        <v>-7067.375016675720</v>
      </c>
      <c r="N17" s="19">
        <f>-7069.41618592</f>
        <v>-7069.41618592</v>
      </c>
      <c r="O17" s="19">
        <f>-7069.37399183</f>
        <v>-7069.37399183</v>
      </c>
      <c r="P17" s="19">
        <f>-7069.34915086</f>
        <v>-7069.34915086</v>
      </c>
      <c r="Q17" s="19">
        <f>-7069.38638633</f>
        <v>-7069.38638633</v>
      </c>
      <c r="R17" s="16">
        <f>-7069.388370084</f>
        <v>-7069.388370084</v>
      </c>
      <c r="S17" s="22">
        <f>-7069.508812642</f>
        <v>-7069.508812642</v>
      </c>
      <c r="T17" s="24">
        <f>-7069.476035543</f>
        <v>-7069.476035543</v>
      </c>
      <c r="U17" s="17">
        <f>-7069.595118296</f>
        <v>-7069.595118296</v>
      </c>
    </row>
    <row r="18" ht="20.05" customHeight="1">
      <c r="L18" t="s" s="12">
        <v>15</v>
      </c>
      <c r="M18" s="18">
        <f>-7067.36505661314</f>
        <v>-7067.365056613140</v>
      </c>
      <c r="N18" s="19">
        <f>-7069.40884781</f>
        <v>-7069.40884781</v>
      </c>
      <c r="O18" s="19">
        <f>-7069.36618187</f>
        <v>-7069.36618187</v>
      </c>
      <c r="P18" s="19">
        <f>-7069.33911769</f>
        <v>-7069.33911769</v>
      </c>
      <c r="Q18" s="19">
        <f>-7069.3788935</f>
        <v>-7069.3788935</v>
      </c>
      <c r="R18" s="16">
        <f>-7069.379830983</f>
        <v>-7069.379830983</v>
      </c>
      <c r="S18" s="16">
        <f>-7069.501801275</f>
        <v>-7069.501801275</v>
      </c>
      <c r="T18" s="16">
        <f>-7069.470053849</f>
        <v>-7069.470053849</v>
      </c>
      <c r="U18" s="17">
        <f>-7069.589915005</f>
        <v>-7069.589915005</v>
      </c>
    </row>
    <row r="19" ht="20.05" customHeight="1">
      <c r="L19" t="s" s="12">
        <v>16</v>
      </c>
      <c r="M19" s="18">
        <f>-6589.42479108809</f>
        <v>-6589.424791088090</v>
      </c>
      <c r="N19" s="19">
        <f>-6591.19378912</f>
        <v>-6591.19378912</v>
      </c>
      <c r="O19" s="19">
        <f>-6591.15658356</f>
        <v>-6591.15658356</v>
      </c>
      <c r="P19" s="19">
        <f>-6591.12225475</f>
        <v>-6591.12225475</v>
      </c>
      <c r="Q19" s="19">
        <f>-6591.15215064</f>
        <v>-6591.15215064</v>
      </c>
      <c r="R19" s="19">
        <f>-6591.154060659</f>
        <v>-6591.154060659</v>
      </c>
      <c r="S19" s="19">
        <f>-6591.264779819</f>
        <v>-6591.264779819</v>
      </c>
      <c r="T19" s="19">
        <f>-6591.222873136</f>
        <v>-6591.222873136</v>
      </c>
      <c r="U19" s="20">
        <f>-6591.33262982</f>
        <v>-6591.33262982</v>
      </c>
    </row>
  </sheetData>
  <mergeCells count="2">
    <mergeCell ref="B1:K1"/>
    <mergeCell ref="L11:U11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dimension ref="A3:Y31"/>
  <sheetViews>
    <sheetView workbookViewId="0" showGridLines="0" defaultGridColor="1">
      <pane topLeftCell="B4" xSplit="1" ySplit="3" activePane="bottomRight" state="frozen"/>
    </sheetView>
  </sheetViews>
  <sheetFormatPr defaultColWidth="16.3333" defaultRowHeight="19.9" customHeight="1" outlineLevelRow="0" outlineLevelCol="0"/>
  <cols>
    <col min="1" max="1" width="17.8281" style="25" customWidth="1"/>
    <col min="2" max="10" width="16.3516" style="25" customWidth="1"/>
    <col min="11" max="11" width="17.8281" style="29" customWidth="1"/>
    <col min="12" max="20" width="16.3516" style="29" customWidth="1"/>
    <col min="21" max="21" width="17.8281" style="36" customWidth="1"/>
    <col min="22" max="25" width="16.3516" style="36" customWidth="1"/>
    <col min="26" max="16384" width="16.3516" style="36" customWidth="1"/>
  </cols>
  <sheetData>
    <row r="1" ht="14.6" customHeight="1"/>
    <row r="2" ht="27.65" customHeight="1">
      <c r="A2" t="s" s="2">
        <v>0</v>
      </c>
      <c r="B2" s="2"/>
      <c r="C2" s="2"/>
      <c r="D2" s="2"/>
      <c r="E2" s="2"/>
      <c r="F2" s="2"/>
      <c r="G2" s="2"/>
      <c r="H2" s="2"/>
      <c r="I2" s="2"/>
      <c r="J2" s="2"/>
    </row>
    <row r="3" ht="32.25" customHeight="1">
      <c r="A3" s="3"/>
      <c r="B3" t="s" s="4">
        <v>1</v>
      </c>
      <c r="C3" t="s" s="4">
        <v>2</v>
      </c>
      <c r="D3" t="s" s="4">
        <v>3</v>
      </c>
      <c r="E3" t="s" s="4">
        <v>4</v>
      </c>
      <c r="F3" t="s" s="4">
        <v>5</v>
      </c>
      <c r="G3" t="s" s="4">
        <v>6</v>
      </c>
      <c r="H3" t="s" s="4">
        <v>7</v>
      </c>
      <c r="I3" t="s" s="4">
        <v>8</v>
      </c>
      <c r="J3" t="s" s="5">
        <v>9</v>
      </c>
    </row>
    <row r="4" ht="20.25" customHeight="1">
      <c r="A4" t="s" s="6">
        <v>18</v>
      </c>
      <c r="B4" s="7">
        <v>-204.423071676185</v>
      </c>
      <c r="C4" s="8">
        <v>-204.79449438</v>
      </c>
      <c r="D4" s="8">
        <v>-204.7877331621</v>
      </c>
      <c r="E4" s="8">
        <v>-204.77333331</v>
      </c>
      <c r="F4" s="8">
        <v>-204.78163813</v>
      </c>
      <c r="G4" s="8">
        <f>-204.781370333</f>
        <v>-204.781370333</v>
      </c>
      <c r="H4" s="8">
        <f>-204.799568055</f>
        <v>-204.799568055</v>
      </c>
      <c r="I4" s="8">
        <f>-204.865080725</f>
        <v>-204.865080725</v>
      </c>
      <c r="J4" s="26">
        <f>-204.883166603</f>
        <v>-204.883166603</v>
      </c>
    </row>
    <row r="5" ht="20.05" customHeight="1">
      <c r="A5" t="s" s="12">
        <v>19</v>
      </c>
      <c r="B5" s="13">
        <v>-279.383081540739</v>
      </c>
      <c r="C5" s="14">
        <v>-279.89435489</v>
      </c>
      <c r="D5" s="14">
        <v>-279.8846044252</v>
      </c>
      <c r="E5" s="14">
        <v>-279.86905216</v>
      </c>
      <c r="F5" s="14">
        <v>-279.87836657</v>
      </c>
      <c r="G5" s="14">
        <f>-279.877922226</f>
        <v>-279.877922226</v>
      </c>
      <c r="H5" s="14">
        <f>-279.90267319</f>
        <v>-279.90267319</v>
      </c>
      <c r="I5" s="14">
        <f>-279.956045495</f>
        <v>-279.956045495</v>
      </c>
      <c r="J5" s="27">
        <f>-279.980761901</f>
        <v>-279.980761901</v>
      </c>
    </row>
    <row r="6" ht="20.05" customHeight="1">
      <c r="A6" t="s" s="12">
        <v>20</v>
      </c>
      <c r="B6" s="18">
        <f>-6514.4288116762</f>
        <v>-6514.4288116762</v>
      </c>
      <c r="C6" s="19">
        <f>-6516.05387486</f>
        <v>-6516.05387486</v>
      </c>
      <c r="D6" s="19">
        <f>-6516.01908835</f>
        <v>-6516.01908835</v>
      </c>
      <c r="E6" s="19">
        <f>-6515.99414689</f>
        <v>-6515.99414689</v>
      </c>
      <c r="F6" s="19">
        <f>-6516.02472665</f>
        <v>-6516.02472665</v>
      </c>
      <c r="G6" s="16">
        <f>-6516.025408475</f>
        <v>-6516.025408475</v>
      </c>
      <c r="H6" s="16">
        <f>-6516.125223806</f>
        <v>-6516.125223806</v>
      </c>
      <c r="I6" s="16">
        <f>-6516.091706783</f>
        <v>-6516.091706783</v>
      </c>
      <c r="J6" s="17">
        <f>-6516.190787572</f>
        <v>-6516.190787572</v>
      </c>
    </row>
    <row r="7" ht="20.05" customHeight="1">
      <c r="A7" t="s" s="12">
        <v>21</v>
      </c>
      <c r="B7" s="13">
        <v>-6793.7093963362</v>
      </c>
      <c r="C7" s="14">
        <v>-6795.8450993388</v>
      </c>
      <c r="D7" s="14">
        <v>-6795.80042176</v>
      </c>
      <c r="E7" s="14">
        <v>-6795.76549479</v>
      </c>
      <c r="F7" s="14">
        <v>-6795.80634565</v>
      </c>
      <c r="G7" s="16">
        <f>-6795.807141091</f>
        <v>-6795.807141091</v>
      </c>
      <c r="H7" s="16">
        <f>-6795.932082728</f>
        <v>-6795.932082728</v>
      </c>
      <c r="I7" s="16">
        <f>-6796.013517369</f>
        <v>-6796.013517369</v>
      </c>
      <c r="J7" s="17">
        <f>-6796.137541926</f>
        <v>-6796.137541926</v>
      </c>
    </row>
    <row r="8" ht="20.05" customHeight="1">
      <c r="A8" t="s" s="12">
        <v>22</v>
      </c>
      <c r="B8" s="13">
        <v>-6793.729354391710</v>
      </c>
      <c r="C8" s="14">
        <v>-6795.8792786815</v>
      </c>
      <c r="D8" s="14">
        <v>-6795.83409409</v>
      </c>
      <c r="E8" s="14">
        <v>-6795.79561932</v>
      </c>
      <c r="F8" s="14">
        <v>-6795.83690564</v>
      </c>
      <c r="G8" s="16">
        <f>-6795.838211806</f>
        <v>-6795.838211806</v>
      </c>
      <c r="H8" s="16">
        <f>-6795.964522524</f>
        <v>-6795.964522524</v>
      </c>
      <c r="I8" s="28">
        <f>-6796.038256873</f>
        <v>-6796.038256873</v>
      </c>
      <c r="J8" s="17">
        <f>-6796.163654099</f>
        <v>-6796.163654099</v>
      </c>
    </row>
    <row r="9" ht="20.05" customHeight="1">
      <c r="A9" t="s" s="12">
        <v>23</v>
      </c>
      <c r="B9" s="13">
        <v>-6793.709836903190</v>
      </c>
      <c r="C9" s="14">
        <v>-6795.8635000778</v>
      </c>
      <c r="D9" s="14">
        <v>-6795.81778353</v>
      </c>
      <c r="E9" s="14">
        <v>-6795.7755771</v>
      </c>
      <c r="F9" s="14">
        <v>-6795.82059007</v>
      </c>
      <c r="G9" s="16">
        <f>-6795.821684819</f>
        <v>-6795.821684819</v>
      </c>
      <c r="H9" s="16">
        <f>-6795.95141418</f>
        <v>-6795.95141418</v>
      </c>
      <c r="I9" s="16">
        <f>-6796.022052286</f>
        <v>-6796.022052286</v>
      </c>
      <c r="J9" s="17">
        <f>-6796.150922607</f>
        <v>-6796.150922607</v>
      </c>
    </row>
    <row r="10" ht="20.05" customHeight="1">
      <c r="A10" t="s" s="12">
        <v>16</v>
      </c>
      <c r="B10" s="18">
        <f>-6589.47451682942</f>
        <v>-6589.474516829420</v>
      </c>
      <c r="C10" s="19">
        <f>-6591.24055453</f>
        <v>-6591.24055453</v>
      </c>
      <c r="D10" s="19">
        <f>-6591.20349551</f>
        <v>-6591.20349551</v>
      </c>
      <c r="E10" s="19">
        <f>-6591.16789306</f>
        <v>-6591.16789306</v>
      </c>
      <c r="F10" s="19">
        <f>-6591.19745567</f>
        <v>-6591.19745567</v>
      </c>
      <c r="G10" s="19">
        <f>-6591.198688889</f>
        <v>-6591.198688889</v>
      </c>
      <c r="H10" s="19">
        <f>-6591.308644394</f>
        <v>-6591.308644394</v>
      </c>
      <c r="I10" s="19">
        <f>-6591.265874474</f>
        <v>-6591.265874474</v>
      </c>
      <c r="J10" s="20">
        <f>-6591.375061641</f>
        <v>-6591.375061641</v>
      </c>
    </row>
    <row r="12" ht="27.65" customHeight="1">
      <c r="K12" t="s" s="2">
        <v>17</v>
      </c>
      <c r="L12" s="2"/>
      <c r="M12" s="2"/>
      <c r="N12" s="2"/>
      <c r="O12" s="2"/>
      <c r="P12" s="2"/>
      <c r="Q12" s="2"/>
      <c r="R12" s="2"/>
      <c r="S12" s="2"/>
      <c r="T12" s="2"/>
    </row>
    <row r="13" ht="32.25" customHeight="1">
      <c r="K13" s="3"/>
      <c r="L13" t="s" s="4">
        <v>1</v>
      </c>
      <c r="M13" t="s" s="4">
        <v>2</v>
      </c>
      <c r="N13" t="s" s="4">
        <v>3</v>
      </c>
      <c r="O13" t="s" s="4">
        <v>4</v>
      </c>
      <c r="P13" t="s" s="4">
        <v>5</v>
      </c>
      <c r="Q13" t="s" s="4">
        <v>6</v>
      </c>
      <c r="R13" t="s" s="4">
        <v>7</v>
      </c>
      <c r="S13" t="s" s="4">
        <v>8</v>
      </c>
      <c r="T13" t="s" s="5">
        <v>9</v>
      </c>
    </row>
    <row r="14" ht="20.25" customHeight="1">
      <c r="K14" t="s" s="6">
        <v>18</v>
      </c>
      <c r="L14" s="7">
        <v>-204.423071676185</v>
      </c>
      <c r="M14" s="8">
        <v>-204.79449438</v>
      </c>
      <c r="N14" s="8">
        <v>-204.7877331621</v>
      </c>
      <c r="O14" s="8">
        <v>-204.77333331</v>
      </c>
      <c r="P14" s="8">
        <v>-204.78163813</v>
      </c>
      <c r="Q14" s="8">
        <f>-204.781370333</f>
        <v>-204.781370333</v>
      </c>
      <c r="R14" s="8">
        <f>-204.799568055</f>
        <v>-204.799568055</v>
      </c>
      <c r="S14" s="8">
        <f>-204.865080725</f>
        <v>-204.865080725</v>
      </c>
      <c r="T14" s="26">
        <f>-204.883166603</f>
        <v>-204.883166603</v>
      </c>
    </row>
    <row r="15" ht="20.05" customHeight="1">
      <c r="K15" t="s" s="12">
        <v>19</v>
      </c>
      <c r="L15" s="13">
        <v>-279.383081540739</v>
      </c>
      <c r="M15" s="14">
        <v>-279.89435489</v>
      </c>
      <c r="N15" s="14">
        <v>-279.8846044252</v>
      </c>
      <c r="O15" s="14">
        <v>-279.86905216</v>
      </c>
      <c r="P15" s="14">
        <v>-279.87836657</v>
      </c>
      <c r="Q15" s="14">
        <f>-279.877922226</f>
        <v>-279.877922226</v>
      </c>
      <c r="R15" s="14">
        <f>-279.90267319</f>
        <v>-279.90267319</v>
      </c>
      <c r="S15" s="14">
        <f>-279.956045495</f>
        <v>-279.956045495</v>
      </c>
      <c r="T15" s="27">
        <f>-279.980761901</f>
        <v>-279.980761901</v>
      </c>
    </row>
    <row r="16" ht="20.05" customHeight="1">
      <c r="K16" t="s" s="12">
        <v>20</v>
      </c>
      <c r="L16" s="18">
        <f>-6514.36606691217</f>
        <v>-6514.366066912170</v>
      </c>
      <c r="M16" s="19">
        <f>-6516.00066425</f>
        <v>-6516.00066425</v>
      </c>
      <c r="N16" s="19">
        <f>-6515.96544915</f>
        <v>-6515.96544915</v>
      </c>
      <c r="O16" s="19">
        <f>-6515.94049585</f>
        <v>-6515.94049585</v>
      </c>
      <c r="P16" s="19">
        <f>-6515.97146768</f>
        <v>-6515.97146768</v>
      </c>
      <c r="Q16" s="30">
        <f>-6515.972387781</f>
        <v>-6515.972387781</v>
      </c>
      <c r="R16" s="30">
        <f>-6516.07349701</f>
        <v>-6516.07349701</v>
      </c>
      <c r="S16" s="22">
        <f>-6516.038553528</f>
        <v>-6516.038553528</v>
      </c>
      <c r="T16" s="23">
        <f>-6516.138755807</f>
        <v>-6516.138755807</v>
      </c>
    </row>
    <row r="17" ht="20.05" customHeight="1">
      <c r="K17" t="s" s="12">
        <v>21</v>
      </c>
      <c r="L17" s="31">
        <f>-6793.66233006421</f>
        <v>-6793.662330064210</v>
      </c>
      <c r="M17" s="16">
        <f>-6795.81220155</f>
        <v>-6795.81220155</v>
      </c>
      <c r="N17" s="16">
        <f>-6795.76704402</f>
        <v>-6795.76704402</v>
      </c>
      <c r="O17" s="16">
        <f>-6795.7289582</f>
        <v>-6795.7289582</v>
      </c>
      <c r="P17" s="16">
        <f>-6795.7704229</f>
        <v>-6795.7704229</v>
      </c>
      <c r="Q17" s="32">
        <f>-6795.772087149</f>
        <v>-6795.772087149</v>
      </c>
      <c r="R17" s="33">
        <f>-6795.89819515</f>
        <v>-6795.89819515</v>
      </c>
      <c r="S17" s="34">
        <f>-6795.975098065</f>
        <v>-6795.975098065</v>
      </c>
      <c r="T17" s="23">
        <f>-6796.10029633</f>
        <v>-6796.10029633</v>
      </c>
    </row>
    <row r="18" ht="20.05" customHeight="1">
      <c r="K18" t="s" s="12">
        <v>22</v>
      </c>
      <c r="L18" s="31">
        <f>-6793.68752861162</f>
        <v>-6793.687528611620</v>
      </c>
      <c r="M18" s="16">
        <f>-6795.84375732</f>
        <v>-6795.84375732</v>
      </c>
      <c r="N18" s="16">
        <f>-6795.7983509</f>
        <v>-6795.7983509</v>
      </c>
      <c r="O18" s="16">
        <f>-6795.75877598</f>
        <v>-6795.75877598</v>
      </c>
      <c r="P18" s="16">
        <f>-6795.8001674</f>
        <v>-6795.8001674</v>
      </c>
      <c r="Q18" s="35">
        <f>-6795.802347234</f>
        <v>-6795.802347234</v>
      </c>
      <c r="R18" s="35">
        <f>-6795.928950217</f>
        <v>-6795.928950217</v>
      </c>
      <c r="S18" s="22">
        <f>-6795.999140498</f>
        <v>-6795.999140498</v>
      </c>
      <c r="T18" s="23">
        <f>-6796.124791726</f>
        <v>-6796.124791726</v>
      </c>
    </row>
    <row r="19" ht="20.05" customHeight="1">
      <c r="K19" t="s" s="12">
        <v>23</v>
      </c>
      <c r="L19" s="31">
        <f>-6793.67270117081</f>
        <v>-6793.672701170810</v>
      </c>
      <c r="M19" s="16">
        <f>-6795.83242862</f>
        <v>-6795.83242862</v>
      </c>
      <c r="N19" s="16">
        <f>-6795.78665222</f>
        <v>-6795.78665222</v>
      </c>
      <c r="O19" s="16">
        <f>-6795.7441924</f>
        <v>-6795.7441924</v>
      </c>
      <c r="P19" s="16">
        <f>-6795.7883166</f>
        <v>-6795.7883166</v>
      </c>
      <c r="Q19" s="22">
        <f>-6795.790247815</f>
        <v>-6795.790247815</v>
      </c>
      <c r="R19" s="34">
        <f>-6795.919510526</f>
        <v>-6795.919510526</v>
      </c>
      <c r="S19" s="34">
        <f>-6795.987308461</f>
        <v>-6795.987308461</v>
      </c>
      <c r="T19" s="23">
        <f>-6796.115670157</f>
        <v>-6796.115670157</v>
      </c>
    </row>
    <row r="20" ht="20.05" customHeight="1">
      <c r="K20" t="s" s="12">
        <v>16</v>
      </c>
      <c r="L20" s="18">
        <f>-6589.42479108809</f>
        <v>-6589.424791088090</v>
      </c>
      <c r="M20" s="19">
        <f>-6591.19378912</f>
        <v>-6591.19378912</v>
      </c>
      <c r="N20" s="19">
        <f>-6591.15658356</f>
        <v>-6591.15658356</v>
      </c>
      <c r="O20" s="19">
        <f>-6591.12225475</f>
        <v>-6591.12225475</v>
      </c>
      <c r="P20" s="19">
        <f>-6591.15215064</f>
        <v>-6591.15215064</v>
      </c>
      <c r="Q20" s="19">
        <f>-6591.154060659</f>
        <v>-6591.154060659</v>
      </c>
      <c r="R20" s="19">
        <f>-6591.264779819</f>
        <v>-6591.264779819</v>
      </c>
      <c r="S20" s="19">
        <f>-6591.222873136</f>
        <v>-6591.222873136</v>
      </c>
      <c r="T20" s="20">
        <f>-6591.33262982</f>
        <v>-6591.33262982</v>
      </c>
    </row>
    <row r="22" ht="27.65" customHeight="1">
      <c r="U22" t="s" s="2">
        <v>24</v>
      </c>
      <c r="V22" s="2"/>
      <c r="W22" s="2"/>
      <c r="X22" s="2"/>
      <c r="Y22" s="2"/>
    </row>
    <row r="23" ht="20.05" customHeight="1">
      <c r="U23" s="37"/>
      <c r="V23" s="37"/>
      <c r="W23" s="37"/>
      <c r="X23" s="37"/>
      <c r="Y23" s="37"/>
    </row>
    <row r="24" ht="32.25" customHeight="1">
      <c r="U24" s="3"/>
      <c r="V24" t="s" s="4">
        <v>6</v>
      </c>
      <c r="W24" t="s" s="4">
        <v>7</v>
      </c>
      <c r="X24" t="s" s="4">
        <v>8</v>
      </c>
      <c r="Y24" t="s" s="5">
        <v>9</v>
      </c>
    </row>
    <row r="25" ht="20.25" customHeight="1">
      <c r="U25" t="s" s="6">
        <v>18</v>
      </c>
      <c r="V25" s="7">
        <f>-204.781370333</f>
        <v>-204.781370333</v>
      </c>
      <c r="W25" s="8">
        <f>-204.799568055</f>
        <v>-204.799568055</v>
      </c>
      <c r="X25" s="8">
        <f>-204.865080725</f>
        <v>-204.865080725</v>
      </c>
      <c r="Y25" s="26">
        <f>-204.883166603</f>
        <v>-204.883166603</v>
      </c>
    </row>
    <row r="26" ht="20.05" customHeight="1">
      <c r="U26" t="s" s="12">
        <v>19</v>
      </c>
      <c r="V26" s="31">
        <f>-279.877922226</f>
        <v>-279.877922226</v>
      </c>
      <c r="W26" s="14">
        <f>-279.90267319</f>
        <v>-279.90267319</v>
      </c>
      <c r="X26" s="14">
        <f>-279.956045495</f>
        <v>-279.956045495</v>
      </c>
      <c r="Y26" s="27">
        <f>-279.980761901</f>
        <v>-279.980761901</v>
      </c>
    </row>
    <row r="27" ht="20.05" customHeight="1">
      <c r="U27" t="s" s="12">
        <v>20</v>
      </c>
      <c r="V27" s="31">
        <f>-6515.918442959</f>
        <v>-6515.918442959</v>
      </c>
      <c r="W27" s="16">
        <f>-6516.020286546</f>
        <v>-6516.020286546</v>
      </c>
      <c r="X27" s="16">
        <f>-6515.984178672</f>
        <v>-6515.984178672</v>
      </c>
      <c r="Y27" s="17">
        <f>-6516.084619711</f>
        <v>-6516.084619711</v>
      </c>
    </row>
    <row r="28" ht="20.05" customHeight="1">
      <c r="U28" t="s" s="12">
        <v>21</v>
      </c>
      <c r="V28" s="31">
        <f>-6795.741159886</f>
        <v>-6795.741159886</v>
      </c>
      <c r="W28" s="14">
        <f>-6795.866840853</f>
        <v>-6795.866840853</v>
      </c>
      <c r="X28" s="14">
        <f>-6795.934154331</f>
        <v>-6795.934154331</v>
      </c>
      <c r="Y28" s="27">
        <f>-6796.059089039</f>
        <v>-6796.059089039</v>
      </c>
    </row>
    <row r="29" ht="20.05" customHeight="1">
      <c r="U29" t="s" s="12">
        <v>22</v>
      </c>
      <c r="V29" s="31">
        <f>-6795.779031148</f>
        <v>-6795.779031148</v>
      </c>
      <c r="W29" s="16">
        <f>-6795.905226827</f>
        <v>-6795.905226827</v>
      </c>
      <c r="X29" s="16">
        <f>-6795.975661027</f>
        <v>-6795.975661027</v>
      </c>
      <c r="Y29" s="17">
        <f>-6796.100899494</f>
        <v>-6796.100899494</v>
      </c>
    </row>
    <row r="30" ht="20.05" customHeight="1">
      <c r="U30" t="s" s="12">
        <v>23</v>
      </c>
      <c r="V30" s="31">
        <f>-6795.767639392</f>
        <v>-6795.767639392</v>
      </c>
      <c r="W30" s="16">
        <f>-6795.89653031</f>
        <v>-6795.89653031</v>
      </c>
      <c r="X30" s="16">
        <f>-6795.964599821</f>
        <v>-6795.964599821</v>
      </c>
      <c r="Y30" s="17">
        <f>-6796.092570939</f>
        <v>-6796.092570939</v>
      </c>
    </row>
    <row r="31" ht="20.05" customHeight="1">
      <c r="U31" t="s" s="12">
        <v>16</v>
      </c>
      <c r="V31" s="18">
        <f>-6591.125922412</f>
        <v>-6591.125922412</v>
      </c>
      <c r="W31" s="19">
        <f>-6591.236872555</f>
        <v>-6591.236872555</v>
      </c>
      <c r="X31" s="19">
        <f>-6591.194493507</f>
        <v>-6591.194493507</v>
      </c>
      <c r="Y31" s="20">
        <f>-6591.30440405</f>
        <v>-6591.30440405</v>
      </c>
    </row>
  </sheetData>
  <mergeCells count="3">
    <mergeCell ref="A2:J2"/>
    <mergeCell ref="K12:T12"/>
    <mergeCell ref="U22:Y22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dimension ref="B2:AC45"/>
  <sheetViews>
    <sheetView workbookViewId="0" showGridLines="0" defaultGridColor="1">
      <pane topLeftCell="C3" xSplit="2" ySplit="2" activePane="bottomRight" state="frozen"/>
    </sheetView>
  </sheetViews>
  <sheetFormatPr defaultColWidth="16.3333" defaultRowHeight="19.9" customHeight="1" outlineLevelRow="0" outlineLevelCol="0"/>
  <cols>
    <col min="1" max="1" width="9.17188" style="38" customWidth="1"/>
    <col min="2" max="2" width="22.8203" style="38" customWidth="1"/>
    <col min="3" max="11" width="16.3516" style="38" customWidth="1"/>
    <col min="12" max="12" width="22.8203" style="40" customWidth="1"/>
    <col min="13" max="21" width="16.3516" style="40" customWidth="1"/>
    <col min="22" max="25" width="16.3516" style="41" customWidth="1"/>
    <col min="26" max="29" width="16.3516" style="46" customWidth="1"/>
    <col min="30" max="16384" width="16.3516" style="46" customWidth="1"/>
  </cols>
  <sheetData>
    <row r="1" ht="27.65" customHeight="1">
      <c r="B1" t="s" s="2">
        <v>0</v>
      </c>
      <c r="C1" s="2"/>
      <c r="D1" s="2"/>
      <c r="E1" s="2"/>
      <c r="F1" s="2"/>
      <c r="G1" s="2"/>
      <c r="H1" s="2"/>
      <c r="I1" s="2"/>
      <c r="J1" s="2"/>
      <c r="K1" s="2"/>
    </row>
    <row r="2" ht="32.25" customHeight="1">
      <c r="B2" s="3"/>
      <c r="C2" t="s" s="4">
        <v>1</v>
      </c>
      <c r="D2" t="s" s="4">
        <v>2</v>
      </c>
      <c r="E2" t="s" s="4">
        <v>3</v>
      </c>
      <c r="F2" t="s" s="4">
        <v>4</v>
      </c>
      <c r="G2" t="s" s="4">
        <v>5</v>
      </c>
      <c r="H2" t="s" s="4">
        <v>6</v>
      </c>
      <c r="I2" t="s" s="4">
        <v>7</v>
      </c>
      <c r="J2" t="s" s="4">
        <v>8</v>
      </c>
      <c r="K2" t="s" s="5">
        <v>9</v>
      </c>
    </row>
    <row r="3" ht="20.25" customHeight="1">
      <c r="B3" t="s" s="6">
        <v>10</v>
      </c>
      <c r="C3" s="7">
        <v>-478.087809239390</v>
      </c>
      <c r="D3" s="8">
        <v>-478.35127679</v>
      </c>
      <c r="E3" s="8">
        <v>-478.35665266</v>
      </c>
      <c r="F3" s="9">
        <f>-478.34673807</f>
        <v>-478.34673807</v>
      </c>
      <c r="G3" s="9">
        <f>-478.34907831</f>
        <v>-478.34907831</v>
      </c>
      <c r="H3" s="10">
        <f>-478.349120959</f>
        <v>-478.349120959</v>
      </c>
      <c r="I3" s="10">
        <f>-478.362275535</f>
        <v>-478.362275535</v>
      </c>
      <c r="J3" s="10">
        <f>-478.35240181</f>
        <v>-478.35240181</v>
      </c>
      <c r="K3" s="11">
        <f>-478.36550256</f>
        <v>-478.36550256</v>
      </c>
    </row>
    <row r="4" ht="20.05" customHeight="1">
      <c r="B4" t="s" s="12">
        <v>11</v>
      </c>
      <c r="C4" s="13">
        <v>-553.008217873952</v>
      </c>
      <c r="D4" s="14">
        <v>-553.39843363</v>
      </c>
      <c r="E4" s="14">
        <v>-553.39188518</v>
      </c>
      <c r="F4" s="15">
        <f>-553.3916108</f>
        <v>-553.3916108</v>
      </c>
      <c r="G4" s="15">
        <f>-553.39781858</f>
        <v>-553.39781858</v>
      </c>
      <c r="H4" s="16">
        <f>-553.397482937</f>
        <v>-553.3974829369999</v>
      </c>
      <c r="I4" s="16">
        <f>-553.416933405</f>
        <v>-553.416933405</v>
      </c>
      <c r="J4" s="16">
        <f>-553.409094443</f>
        <v>-553.409094443</v>
      </c>
      <c r="K4" s="17">
        <f>-553.427979434</f>
        <v>-553.427979434</v>
      </c>
    </row>
    <row r="5" ht="20.05" customHeight="1">
      <c r="B5" t="s" s="12">
        <v>25</v>
      </c>
      <c r="C5" s="39">
        <f>-6303.73309484079</f>
        <v>-6303.733094840790</v>
      </c>
      <c r="D5" s="19">
        <f>-6305.57856593</f>
        <v>-6305.57856593</v>
      </c>
      <c r="E5" s="19">
        <f>-6305.54136298</f>
        <v>-6305.54136298</v>
      </c>
      <c r="F5" s="19">
        <f>-6305.50501486</f>
        <v>-6305.50501486</v>
      </c>
      <c r="G5" s="19">
        <f>-6305.53984094</f>
        <v>-6305.53984094</v>
      </c>
      <c r="H5" s="16">
        <f>-6305.540294346</f>
        <v>-6305.540294346</v>
      </c>
      <c r="I5" s="16">
        <f>-6305.646704155</f>
        <v>-6305.646704155</v>
      </c>
      <c r="J5" s="16">
        <f>-6305.60625716</f>
        <v>-6305.60625716</v>
      </c>
      <c r="K5" s="17">
        <f>-6305.711812773</f>
        <v>-6305.711812773</v>
      </c>
    </row>
    <row r="6" ht="20.05" customHeight="1">
      <c r="B6" t="s" s="12">
        <v>26</v>
      </c>
      <c r="C6" s="39">
        <f>-6856.72059223908</f>
        <v>-6856.720592239080</v>
      </c>
      <c r="D6" s="19">
        <f>-6858.9693381838</f>
        <v>-6858.9693381838</v>
      </c>
      <c r="E6" s="15">
        <f>-6858.92506771</f>
        <v>-6858.92506771</v>
      </c>
      <c r="F6" s="15">
        <f>-6858.89031034</f>
        <v>-6858.89031034</v>
      </c>
      <c r="G6" s="15">
        <f>-6858.93290458</f>
        <v>-6858.93290458</v>
      </c>
      <c r="H6" s="16">
        <f>-6858.933570465</f>
        <v>-6858.933570465</v>
      </c>
      <c r="I6" s="16">
        <f>-6859.060680868</f>
        <v>-6859.060680868</v>
      </c>
      <c r="J6" s="16">
        <f>-6859.012309924</f>
        <v>-6859.012309924</v>
      </c>
      <c r="K6" s="17">
        <f>-6859.138030074</f>
        <v>-6859.138030074</v>
      </c>
    </row>
    <row r="7" ht="20.05" customHeight="1">
      <c r="B7" t="s" s="12">
        <v>27</v>
      </c>
      <c r="C7" s="39">
        <f>-6856.72456022486</f>
        <v>-6856.724560224860</v>
      </c>
      <c r="D7" s="19">
        <f>-6858.98590733</f>
        <v>-6858.98590733</v>
      </c>
      <c r="E7" s="15">
        <f>-6858.94098071</f>
        <v>-6858.94098071</v>
      </c>
      <c r="F7" s="15">
        <f>-6858.90700415</f>
        <v>-6858.90700415</v>
      </c>
      <c r="G7" s="15">
        <f>-6858.95037672</f>
        <v>-6858.95037672</v>
      </c>
      <c r="H7" s="16">
        <f>-6858.95100888</f>
        <v>-6858.95100888</v>
      </c>
      <c r="I7" s="16">
        <f>-6859.079188317</f>
        <v>-6859.079188317</v>
      </c>
      <c r="J7" s="16">
        <f>-6859.03167475</f>
        <v>-6859.03167475</v>
      </c>
      <c r="K7" s="17">
        <f>-6859.158503716</f>
        <v>-6859.158503716</v>
      </c>
    </row>
    <row r="8" ht="20.05" customHeight="1">
      <c r="B8" t="s" s="12">
        <v>28</v>
      </c>
      <c r="C8" s="39">
        <f>-6856.71734247674</f>
        <v>-6856.717342476740</v>
      </c>
      <c r="D8" s="19">
        <f>-6858.98304755</f>
        <v>-6858.98304755</v>
      </c>
      <c r="E8" s="15">
        <f>-6858.93769701</f>
        <v>-6858.93769701</v>
      </c>
      <c r="F8" s="15">
        <f>-6858.90294073</f>
        <v>-6858.90294073</v>
      </c>
      <c r="G8" s="15">
        <f>-6858.94844901</f>
        <v>-6858.94844901</v>
      </c>
      <c r="H8" s="16">
        <f>-6858.94855114</f>
        <v>-6858.94855114</v>
      </c>
      <c r="I8" s="16">
        <f>-6859.078328718</f>
        <v>-6859.078328718</v>
      </c>
      <c r="J8" s="16">
        <f>-6859.028363731</f>
        <v>-6859.028363731</v>
      </c>
      <c r="K8" s="17">
        <f>-6859.156193433</f>
        <v>-6859.156193433</v>
      </c>
    </row>
    <row r="9" ht="20.05" customHeight="1">
      <c r="B9" t="s" s="12">
        <v>16</v>
      </c>
      <c r="C9" s="39">
        <f>-6378.76231342945</f>
        <v>-6378.762313429450</v>
      </c>
      <c r="D9" s="19">
        <f>-6380.75534537</f>
        <v>-6380.75534537</v>
      </c>
      <c r="E9" s="19">
        <f>-6380.71569141</f>
        <v>-6380.71569141</v>
      </c>
      <c r="F9" s="19">
        <f>-6380.67001406</f>
        <v>-6380.67001406</v>
      </c>
      <c r="G9" s="19">
        <f>-6380.7051059</f>
        <v>-6380.7051059</v>
      </c>
      <c r="H9" s="19">
        <f>-6380.706067133</f>
        <v>-6380.706067133</v>
      </c>
      <c r="I9" s="19">
        <f>-6380.824240463</f>
        <v>-6380.824240463</v>
      </c>
      <c r="J9" s="19">
        <f>-6380.772939334</f>
        <v>-6380.772939334</v>
      </c>
      <c r="K9" s="20">
        <f>-6380.890244861</f>
        <v>-6380.890244861</v>
      </c>
    </row>
    <row r="11" ht="27.65" customHeight="1">
      <c r="L11" t="s" s="2">
        <v>17</v>
      </c>
      <c r="M11" s="2"/>
      <c r="N11" s="2"/>
      <c r="O11" s="2"/>
      <c r="P11" s="2"/>
      <c r="Q11" s="2"/>
      <c r="R11" s="2"/>
      <c r="S11" s="2"/>
      <c r="T11" s="2"/>
      <c r="U11" s="2"/>
    </row>
    <row r="12" ht="32.25" customHeight="1">
      <c r="L12" s="3"/>
      <c r="M12" t="s" s="4">
        <v>1</v>
      </c>
      <c r="N12" t="s" s="4">
        <v>2</v>
      </c>
      <c r="O12" t="s" s="4">
        <v>3</v>
      </c>
      <c r="P12" t="s" s="4">
        <v>4</v>
      </c>
      <c r="Q12" t="s" s="4">
        <v>5</v>
      </c>
      <c r="R12" t="s" s="4">
        <v>6</v>
      </c>
      <c r="S12" t="s" s="4">
        <v>7</v>
      </c>
      <c r="T12" t="s" s="4">
        <v>8</v>
      </c>
      <c r="U12" t="s" s="5">
        <v>9</v>
      </c>
    </row>
    <row r="13" ht="20.25" customHeight="1">
      <c r="L13" t="s" s="6">
        <v>10</v>
      </c>
      <c r="M13" s="7">
        <v>-478.087809239390</v>
      </c>
      <c r="N13" s="8">
        <v>-478.35127679</v>
      </c>
      <c r="O13" s="8">
        <v>-478.35665266</v>
      </c>
      <c r="P13" s="9">
        <f>-478.34673807</f>
        <v>-478.34673807</v>
      </c>
      <c r="Q13" s="9">
        <f>-478.34907831</f>
        <v>-478.34907831</v>
      </c>
      <c r="R13" s="10">
        <f>-478.349120959</f>
        <v>-478.349120959</v>
      </c>
      <c r="S13" s="10">
        <f>-478.362275535</f>
        <v>-478.362275535</v>
      </c>
      <c r="T13" s="10">
        <f>-478.35240181</f>
        <v>-478.35240181</v>
      </c>
      <c r="U13" s="11">
        <f>-478.36550256</f>
        <v>-478.36550256</v>
      </c>
    </row>
    <row r="14" ht="20.05" customHeight="1">
      <c r="L14" t="s" s="12">
        <v>11</v>
      </c>
      <c r="M14" s="13">
        <v>-553.008217873952</v>
      </c>
      <c r="N14" s="14">
        <v>-553.39843363</v>
      </c>
      <c r="O14" s="14">
        <v>-553.39188518</v>
      </c>
      <c r="P14" s="15">
        <f>-553.3916108</f>
        <v>-553.3916108</v>
      </c>
      <c r="Q14" s="15">
        <f>-553.39781858</f>
        <v>-553.39781858</v>
      </c>
      <c r="R14" s="16">
        <f>-553.397482937</f>
        <v>-553.3974829369999</v>
      </c>
      <c r="S14" s="16">
        <f>-553.416933405</f>
        <v>-553.416933405</v>
      </c>
      <c r="T14" s="16">
        <f>-553.409094443</f>
        <v>-553.409094443</v>
      </c>
      <c r="U14" s="17">
        <f>-553.427979434</f>
        <v>-553.427979434</v>
      </c>
    </row>
    <row r="15" ht="20.05" customHeight="1">
      <c r="L15" t="s" s="12">
        <v>25</v>
      </c>
      <c r="M15" s="18">
        <f>-6303.65170049164</f>
        <v>-6303.651700491640</v>
      </c>
      <c r="N15" s="19">
        <f>-6305.51350162</f>
        <v>-6305.51350162</v>
      </c>
      <c r="O15" s="19">
        <f>-6305.47553711</f>
        <v>-6305.47553711</v>
      </c>
      <c r="P15" s="19">
        <f>-6305.43966232</f>
        <v>-6305.43966232</v>
      </c>
      <c r="Q15" s="19">
        <f>-6305.47487752</f>
        <v>-6305.47487752</v>
      </c>
      <c r="R15" s="16">
        <f>-6305.475725473</f>
        <v>-6305.475725473</v>
      </c>
      <c r="S15" s="16">
        <f>-6305.584292632</f>
        <v>-6305.584292632</v>
      </c>
      <c r="T15" s="22">
        <f>-6305.541388911</f>
        <v>-6305.541388911</v>
      </c>
      <c r="U15" s="23">
        <f>-6305.648838526</f>
        <v>-6305.648838526</v>
      </c>
    </row>
    <row r="16" ht="20.05" customHeight="1">
      <c r="L16" t="s" s="12">
        <v>26</v>
      </c>
      <c r="M16" s="18">
        <f>-6856.64646392811</f>
        <v>-6856.646463928110</v>
      </c>
      <c r="N16" s="19">
        <f>-6858.91071795</f>
        <v>-6858.91071795</v>
      </c>
      <c r="O16" s="19">
        <f>-6858.86581166</f>
        <v>-6858.86581166</v>
      </c>
      <c r="P16" s="19">
        <f>-6858.83115889</f>
        <v>-6858.83115889</v>
      </c>
      <c r="Q16" s="19">
        <f>-6858.87384185</f>
        <v>-6858.87384185</v>
      </c>
      <c r="R16" s="16">
        <f>-6858.875422105</f>
        <v>-6858.875422105</v>
      </c>
      <c r="S16" s="16">
        <f>-6859.004297571</f>
        <v>-6859.004297571</v>
      </c>
      <c r="T16" s="16">
        <f>-6858.955123356</f>
        <v>-6858.955123356</v>
      </c>
      <c r="U16" s="17">
        <f>-6859.082512149</f>
        <v>-6859.082512149</v>
      </c>
    </row>
    <row r="17" ht="20.05" customHeight="1">
      <c r="L17" t="s" s="12">
        <v>27</v>
      </c>
      <c r="M17" s="18">
        <f>-6856.65434289454</f>
        <v>-6856.654342894540</v>
      </c>
      <c r="N17" s="19">
        <f>-6858.92723991</f>
        <v>-6858.92723991</v>
      </c>
      <c r="O17" s="19">
        <f>-6858.88205028</f>
        <v>-6858.88205028</v>
      </c>
      <c r="P17" s="19">
        <f>-6858.84807612</f>
        <v>-6858.84807612</v>
      </c>
      <c r="Q17" s="19">
        <f>-6858.8904073</f>
        <v>-6858.8904073</v>
      </c>
      <c r="R17" s="16">
        <f>-6858.892263794</f>
        <v>-6858.892263794</v>
      </c>
      <c r="S17" s="22">
        <f>-6859.021526157</f>
        <v>-6859.021526157</v>
      </c>
      <c r="T17" s="24">
        <f>-6858.979770299</f>
        <v>-6858.979770299</v>
      </c>
      <c r="U17" s="17">
        <f>-6859.107549906</f>
        <v>-6859.107549906</v>
      </c>
    </row>
    <row r="18" ht="20.05" customHeight="1">
      <c r="L18" t="s" s="12">
        <v>28</v>
      </c>
      <c r="M18" s="18">
        <f>-6856.64421792866</f>
        <v>-6856.644217928660</v>
      </c>
      <c r="N18" s="19">
        <f>-6858.91973565</f>
        <v>-6858.91973565</v>
      </c>
      <c r="O18" s="19">
        <f>-6858.87404043</f>
        <v>-6858.87404043</v>
      </c>
      <c r="P18" s="19">
        <f>-6858.83744024</f>
        <v>-6858.83744024</v>
      </c>
      <c r="Q18" s="19">
        <f>-6858.88281424</f>
        <v>-6858.88281424</v>
      </c>
      <c r="R18" s="16">
        <f>-6858.883298412</f>
        <v>-6858.883298412</v>
      </c>
      <c r="S18" s="16">
        <f>-6859.014039984</f>
        <v>-6859.014039984</v>
      </c>
      <c r="T18" s="16">
        <f>-6858.97326757</f>
        <v>-6858.97326757</v>
      </c>
      <c r="U18" s="17">
        <f>-6859.101822264</f>
        <v>-6859.101822264</v>
      </c>
    </row>
    <row r="19" ht="20.05" customHeight="1">
      <c r="L19" t="s" s="12">
        <v>16</v>
      </c>
      <c r="M19" s="18">
        <f>-6378.69697002583</f>
        <v>-6378.696970025830</v>
      </c>
      <c r="N19" s="19">
        <f>-6380.69843326</f>
        <v>-6380.69843326</v>
      </c>
      <c r="O19" s="19">
        <f>-6380.65821161</f>
        <v>-6380.65821161</v>
      </c>
      <c r="P19" s="19">
        <f>-6380.6133679</f>
        <v>-6380.6133679</v>
      </c>
      <c r="Q19" s="19">
        <f>-6380.64847117</f>
        <v>-6380.64847117</v>
      </c>
      <c r="R19" s="19">
        <f>-6380.650935432</f>
        <v>-6380.650935432</v>
      </c>
      <c r="S19" s="19">
        <f>-6380.770886794</f>
        <v>-6380.770886794</v>
      </c>
      <c r="T19" s="19">
        <f>-6380.720380798</f>
        <v>-6380.720380798</v>
      </c>
      <c r="U19" s="20">
        <f>-6380.839176982</f>
        <v>-6380.839176982</v>
      </c>
    </row>
    <row r="21" ht="27.65" customHeight="1">
      <c r="V21" t="s" s="2">
        <v>29</v>
      </c>
      <c r="W21" s="2"/>
      <c r="X21" s="2"/>
      <c r="Y21" s="2"/>
    </row>
    <row r="22" ht="32.05" customHeight="1">
      <c r="V22" s="42"/>
      <c r="W22" t="s" s="43">
        <v>30</v>
      </c>
      <c r="X22" s="42"/>
      <c r="Y22" t="s" s="43">
        <v>30</v>
      </c>
    </row>
    <row r="23" ht="20.05" customHeight="1">
      <c r="V23" s="15">
        <v>1.66</v>
      </c>
      <c r="W23" s="44"/>
      <c r="X23" s="15">
        <v>2.8</v>
      </c>
      <c r="Y23" s="15">
        <f>-6910.89488741142</f>
        <v>-6910.894887411420</v>
      </c>
    </row>
    <row r="24" ht="20.05" customHeight="1">
      <c r="V24" s="15">
        <v>1.68</v>
      </c>
      <c r="W24" s="19">
        <f>-6910.90012937165</f>
        <v>-6910.900129371650</v>
      </c>
      <c r="X24" s="15">
        <v>3</v>
      </c>
      <c r="Y24" s="15">
        <f>-6910.89361704116</f>
        <v>-6910.893617041160</v>
      </c>
    </row>
    <row r="25" ht="20.05" customHeight="1">
      <c r="V25" s="15">
        <v>1.7</v>
      </c>
      <c r="W25" s="19">
        <f>-6910.89861578704</f>
        <v>-6910.898615787040</v>
      </c>
      <c r="X25" s="45">
        <v>3.1</v>
      </c>
      <c r="Y25" s="45">
        <f>-6910.89350960421</f>
        <v>-6910.893509604210</v>
      </c>
    </row>
    <row r="26" ht="20.05" customHeight="1">
      <c r="V26" s="15">
        <v>1.72</v>
      </c>
      <c r="W26" s="19">
        <f>-6910.89725663667</f>
        <v>-6910.897256636670</v>
      </c>
      <c r="X26" s="15">
        <v>3.2</v>
      </c>
      <c r="Y26" s="15">
        <f>-6910.8936051992</f>
        <v>-6910.8936051992</v>
      </c>
    </row>
    <row r="27" ht="20.05" customHeight="1">
      <c r="V27" s="15">
        <v>1.73</v>
      </c>
      <c r="W27" s="19">
        <f>-6910.89672727373</f>
        <v>-6910.896727273730</v>
      </c>
      <c r="X27" s="15">
        <v>3.4</v>
      </c>
      <c r="Y27" s="15">
        <f>-6910.89415926121</f>
        <v>-6910.894159261210</v>
      </c>
    </row>
    <row r="28" ht="20.05" customHeight="1">
      <c r="V28" s="15">
        <v>1.74</v>
      </c>
      <c r="W28" s="19">
        <f>-6910.89633834167</f>
        <v>-6910.896338341670</v>
      </c>
      <c r="X28" s="42"/>
      <c r="Y28" s="42"/>
    </row>
    <row r="29" ht="20.05" customHeight="1">
      <c r="V29" s="15">
        <v>1.75</v>
      </c>
      <c r="W29" s="15">
        <f>-6910.89608507597</f>
        <v>-6910.896085075970</v>
      </c>
      <c r="X29" s="42"/>
      <c r="Y29" s="42"/>
    </row>
    <row r="30" ht="20.05" customHeight="1">
      <c r="V30" s="45">
        <v>1.76</v>
      </c>
      <c r="W30" s="45">
        <f>-6910.89596224307</f>
        <v>-6910.895962243070</v>
      </c>
      <c r="X30" s="42"/>
      <c r="Y30" s="42"/>
    </row>
    <row r="31" ht="20.05" customHeight="1">
      <c r="V31" s="15">
        <v>1.77</v>
      </c>
      <c r="W31" s="15">
        <f>-6910.89596299416</f>
        <v>-6910.895962994160</v>
      </c>
      <c r="X31" s="42"/>
      <c r="Y31" s="42"/>
    </row>
    <row r="32" ht="20.05" customHeight="1">
      <c r="V32" s="15">
        <v>1.78</v>
      </c>
      <c r="W32" s="19">
        <f>-6910.89608020534</f>
        <v>-6910.896080205340</v>
      </c>
      <c r="X32" s="42"/>
      <c r="Y32" s="42"/>
    </row>
    <row r="33" ht="20.05" customHeight="1">
      <c r="V33" s="15">
        <v>1.8</v>
      </c>
      <c r="W33" s="19">
        <f>-6910.8966347933</f>
        <v>-6910.8966347933</v>
      </c>
      <c r="X33" s="42"/>
      <c r="Y33" s="42"/>
    </row>
    <row r="34" ht="20.05" customHeight="1">
      <c r="V34" s="15">
        <v>1.82</v>
      </c>
      <c r="W34" s="19">
        <f>-6910.89756344444</f>
        <v>-6910.897563444440</v>
      </c>
      <c r="X34" s="42"/>
      <c r="Y34" s="42"/>
    </row>
    <row r="35" ht="20.05" customHeight="1">
      <c r="V35" s="42"/>
      <c r="W35" s="44"/>
      <c r="X35" s="42"/>
      <c r="Y35" s="42"/>
    </row>
    <row r="37" ht="27.65" customHeight="1">
      <c r="Z37" t="s" s="2">
        <v>31</v>
      </c>
      <c r="AA37" s="2"/>
      <c r="AB37" s="2"/>
      <c r="AC37" s="2"/>
    </row>
    <row r="38" ht="20.05" customHeight="1">
      <c r="Z38" s="42"/>
      <c r="AA38" t="s" s="43">
        <v>32</v>
      </c>
      <c r="AB38" s="42"/>
      <c r="AC38" t="s" s="43">
        <v>32</v>
      </c>
    </row>
    <row r="39" ht="20.05" customHeight="1">
      <c r="Z39" s="15">
        <v>1.66</v>
      </c>
      <c r="AA39" s="44"/>
      <c r="AB39" s="15">
        <v>2.8</v>
      </c>
      <c r="AC39" s="15">
        <f>-6910.88599655478</f>
        <v>-6910.885996554780</v>
      </c>
    </row>
    <row r="40" ht="20.05" customHeight="1">
      <c r="Z40" s="15">
        <v>1.68</v>
      </c>
      <c r="AA40" s="19">
        <f>-6910.88949795103</f>
        <v>-6910.889497951030</v>
      </c>
      <c r="AB40" s="15">
        <v>2.9</v>
      </c>
      <c r="AC40" s="15">
        <f>-6910.88564697861</f>
        <v>-6910.885646978610</v>
      </c>
    </row>
    <row r="41" ht="20.05" customHeight="1">
      <c r="Z41" s="15">
        <v>1.7</v>
      </c>
      <c r="AA41" s="19">
        <f>-6910.88803517681</f>
        <v>-6910.888035176810</v>
      </c>
      <c r="AB41" s="45">
        <v>2.95</v>
      </c>
      <c r="AC41" s="45">
        <f>-6910.88561786531</f>
        <v>-6910.885617865310</v>
      </c>
    </row>
    <row r="42" ht="20.05" customHeight="1">
      <c r="Z42" s="15">
        <v>1.71</v>
      </c>
      <c r="AA42" s="19">
        <f>-6910.88748130643</f>
        <v>-6910.887481306430</v>
      </c>
      <c r="AB42" s="15">
        <v>3</v>
      </c>
      <c r="AC42" s="15">
        <f>-6910.8856599914</f>
        <v>-6910.8856599914</v>
      </c>
    </row>
    <row r="43" ht="20.05" customHeight="1">
      <c r="Z43" s="15">
        <v>1.72</v>
      </c>
      <c r="AA43" s="19">
        <f t="shared" si="137" ref="AA43:AA45">-6910.88711208712</f>
        <v>-6910.887112087120</v>
      </c>
      <c r="AB43" s="15">
        <v>3.1</v>
      </c>
      <c r="AC43" s="15">
        <f>-6910.88591488563</f>
        <v>-6910.885914885630</v>
      </c>
    </row>
    <row r="44" ht="20.05" customHeight="1">
      <c r="Z44" s="45">
        <v>1.73</v>
      </c>
      <c r="AA44" s="45">
        <f>-6910.88691689579</f>
        <v>-6910.886916895790</v>
      </c>
      <c r="AB44" s="15">
        <v>3.2</v>
      </c>
      <c r="AC44" s="15">
        <f>-6910.88632087413</f>
        <v>-6910.886320874130</v>
      </c>
    </row>
    <row r="45" ht="20.05" customHeight="1">
      <c r="Z45" s="15">
        <v>1.74</v>
      </c>
      <c r="AA45" s="19">
        <f t="shared" si="137"/>
        <v>-6910.887112087120</v>
      </c>
      <c r="AB45" s="15">
        <v>3.4</v>
      </c>
      <c r="AC45" s="15">
        <f>-6910.88729155062</f>
        <v>-6910.887291550620</v>
      </c>
    </row>
  </sheetData>
  <mergeCells count="4">
    <mergeCell ref="B1:K1"/>
    <mergeCell ref="L11:U11"/>
    <mergeCell ref="V21:Y21"/>
    <mergeCell ref="Z37:AC37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dimension ref="A2:T20"/>
  <sheetViews>
    <sheetView workbookViewId="0" showGridLines="0" defaultGridColor="1">
      <pane topLeftCell="B4" xSplit="1" ySplit="3" activePane="bottomRight" state="frozen"/>
    </sheetView>
  </sheetViews>
  <sheetFormatPr defaultColWidth="16.3333" defaultRowHeight="19.9" customHeight="1" outlineLevelRow="0" outlineLevelCol="0"/>
  <cols>
    <col min="1" max="1" width="18.6641" style="47" customWidth="1"/>
    <col min="2" max="10" width="16.3516" style="47" customWidth="1"/>
    <col min="11" max="11" width="18.6641" style="50" customWidth="1"/>
    <col min="12" max="20" width="16.3516" style="50" customWidth="1"/>
    <col min="21" max="16384" width="16.3516" style="50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</row>
    <row r="2" ht="20.05" customHeight="1">
      <c r="A2" s="37"/>
      <c r="B2" s="37"/>
      <c r="C2" s="37"/>
      <c r="D2" s="37"/>
      <c r="E2" s="37"/>
      <c r="F2" s="37"/>
      <c r="G2" t="s" s="48">
        <v>33</v>
      </c>
      <c r="H2" s="37"/>
      <c r="I2" s="37"/>
      <c r="J2" s="49"/>
    </row>
    <row r="3" ht="32.25" customHeight="1">
      <c r="A3" s="3"/>
      <c r="B3" t="s" s="4">
        <v>1</v>
      </c>
      <c r="C3" t="s" s="4">
        <v>2</v>
      </c>
      <c r="D3" t="s" s="4">
        <v>3</v>
      </c>
      <c r="E3" t="s" s="4">
        <v>4</v>
      </c>
      <c r="F3" t="s" s="4">
        <v>5</v>
      </c>
      <c r="G3" t="s" s="4">
        <v>6</v>
      </c>
      <c r="H3" t="s" s="4">
        <v>7</v>
      </c>
      <c r="I3" t="s" s="4">
        <v>8</v>
      </c>
      <c r="J3" t="s" s="5">
        <v>9</v>
      </c>
    </row>
    <row r="4" ht="20.25" customHeight="1">
      <c r="A4" t="s" s="6">
        <v>18</v>
      </c>
      <c r="B4" s="7">
        <v>-204.423071676185</v>
      </c>
      <c r="C4" s="8">
        <v>-204.79449438</v>
      </c>
      <c r="D4" s="8">
        <v>-204.7877331621</v>
      </c>
      <c r="E4" s="8">
        <v>-204.77333331</v>
      </c>
      <c r="F4" s="8">
        <v>-204.78163813</v>
      </c>
      <c r="G4" s="8">
        <f>-204.781370333</f>
        <v>-204.781370333</v>
      </c>
      <c r="H4" s="8">
        <f>-204.799568055</f>
        <v>-204.799568055</v>
      </c>
      <c r="I4" s="8">
        <f>-204.865080725</f>
        <v>-204.865080725</v>
      </c>
      <c r="J4" s="26">
        <f>-204.883166603</f>
        <v>-204.883166603</v>
      </c>
    </row>
    <row r="5" ht="20.05" customHeight="1">
      <c r="A5" t="s" s="12">
        <v>19</v>
      </c>
      <c r="B5" s="13">
        <v>-279.383081540739</v>
      </c>
      <c r="C5" s="14">
        <v>-279.89435489</v>
      </c>
      <c r="D5" s="14">
        <v>-279.8846044252</v>
      </c>
      <c r="E5" s="14">
        <v>-279.86905216</v>
      </c>
      <c r="F5" s="14">
        <v>-279.87836657</v>
      </c>
      <c r="G5" s="14">
        <f>-279.877922226</f>
        <v>-279.877922226</v>
      </c>
      <c r="H5" s="14">
        <f>-279.90267319</f>
        <v>-279.90267319</v>
      </c>
      <c r="I5" s="14">
        <f>-279.956045495</f>
        <v>-279.956045495</v>
      </c>
      <c r="J5" s="27">
        <f>-279.980761901</f>
        <v>-279.980761901</v>
      </c>
    </row>
    <row r="6" ht="20.05" customHeight="1">
      <c r="A6" t="s" s="12">
        <v>34</v>
      </c>
      <c r="B6" s="39">
        <f>-6303.73309484079</f>
        <v>-6303.733094840790</v>
      </c>
      <c r="C6" s="19">
        <f>-6305.57856593</f>
        <v>-6305.57856593</v>
      </c>
      <c r="D6" s="19">
        <f>-6305.54136298</f>
        <v>-6305.54136298</v>
      </c>
      <c r="E6" s="19">
        <f>-6305.50501486</f>
        <v>-6305.50501486</v>
      </c>
      <c r="F6" s="19">
        <f>-6305.53984094</f>
        <v>-6305.53984094</v>
      </c>
      <c r="G6" s="16">
        <f>-6305.540294346</f>
        <v>-6305.540294346</v>
      </c>
      <c r="H6" s="16">
        <f>-6305.646704155</f>
        <v>-6305.646704155</v>
      </c>
      <c r="I6" s="16">
        <f>-6305.60625716</f>
        <v>-6305.60625716</v>
      </c>
      <c r="J6" s="17">
        <f>-6305.711812773</f>
        <v>-6305.711812773</v>
      </c>
    </row>
    <row r="7" ht="20.05" customHeight="1">
      <c r="A7" t="s" s="12">
        <v>35</v>
      </c>
      <c r="B7" s="13">
        <v>-6583.024357948880</v>
      </c>
      <c r="C7" s="14">
        <v>-6585.3846431724</v>
      </c>
      <c r="D7" s="14">
        <v>-6585.3373302</v>
      </c>
      <c r="E7" s="14">
        <v>-6585.29199369</v>
      </c>
      <c r="F7" s="14">
        <v>-6585.3380353</v>
      </c>
      <c r="G7" s="16">
        <f>-6585.338569803</f>
        <v>-6585.338569803</v>
      </c>
      <c r="H7" s="16">
        <f>-6585.470935047</f>
        <v>-6585.470935047</v>
      </c>
      <c r="I7" s="16">
        <f>-6585.538899972</f>
        <v>-6585.538899972</v>
      </c>
      <c r="J7" s="17">
        <f>-6585.670305864</f>
        <v>-6585.670305864</v>
      </c>
    </row>
    <row r="8" ht="20.05" customHeight="1">
      <c r="A8" t="s" s="12">
        <v>36</v>
      </c>
      <c r="B8" s="13">
        <v>-6583.024798232520</v>
      </c>
      <c r="C8" s="14">
        <v>-6585.39675399</v>
      </c>
      <c r="D8" s="14">
        <v>-6585.3490915</v>
      </c>
      <c r="E8" s="14">
        <v>-6585.30108847</v>
      </c>
      <c r="F8" s="14">
        <v>-6585.34829548</v>
      </c>
      <c r="G8" s="16">
        <f>-6585.34924597</f>
        <v>-6585.34924597</v>
      </c>
      <c r="H8" s="16">
        <f>-6585.483161869</f>
        <v>-6585.483161869</v>
      </c>
      <c r="I8" s="16">
        <f>-6585.546979183</f>
        <v>-6585.546979183</v>
      </c>
      <c r="J8" s="17">
        <f>-6585.679783676</f>
        <v>-6585.679783676</v>
      </c>
    </row>
    <row r="9" ht="20.05" customHeight="1">
      <c r="A9" t="s" s="12">
        <v>37</v>
      </c>
      <c r="B9" s="13">
        <v>-6582.9901077602</v>
      </c>
      <c r="C9" s="14">
        <v>-6585.3687241809</v>
      </c>
      <c r="D9" s="14">
        <v>-6585.32029242</v>
      </c>
      <c r="E9" s="14">
        <v>-6585.26910023</v>
      </c>
      <c r="F9" s="14">
        <v>-6585.32101271</v>
      </c>
      <c r="G9" s="16">
        <f>-6585.320862737</f>
        <v>-6585.320862737</v>
      </c>
      <c r="H9" s="16">
        <f>-6585.459605089</f>
        <v>-6585.459605089</v>
      </c>
      <c r="I9" s="16">
        <f>-6585.519538967</f>
        <v>-6585.519538967</v>
      </c>
      <c r="J9" s="17">
        <f>-6585.657235831</f>
        <v>-6585.657235831</v>
      </c>
    </row>
    <row r="10" ht="20.05" customHeight="1">
      <c r="A10" t="s" s="12">
        <v>38</v>
      </c>
      <c r="B10" s="39">
        <f>-6378.76231342945</f>
        <v>-6378.762313429450</v>
      </c>
      <c r="C10" s="19">
        <f>-6380.75534537</f>
        <v>-6380.75534537</v>
      </c>
      <c r="D10" s="19">
        <f>-6380.71569141</f>
        <v>-6380.71569141</v>
      </c>
      <c r="E10" s="19">
        <f>-6380.67001406</f>
        <v>-6380.67001406</v>
      </c>
      <c r="F10" s="19">
        <f>-6380.7051059</f>
        <v>-6380.7051059</v>
      </c>
      <c r="G10" s="19">
        <f>-6380.706067133</f>
        <v>-6380.706067133</v>
      </c>
      <c r="H10" s="19">
        <f>-6380.824240463</f>
        <v>-6380.824240463</v>
      </c>
      <c r="I10" s="19">
        <f>-6380.772939334</f>
        <v>-6380.772939334</v>
      </c>
      <c r="J10" s="20">
        <f>-6380.890244861</f>
        <v>-6380.890244861</v>
      </c>
    </row>
    <row r="12" ht="27.65" customHeight="1">
      <c r="K12" t="s" s="2">
        <v>17</v>
      </c>
      <c r="L12" s="2"/>
      <c r="M12" s="2"/>
      <c r="N12" s="2"/>
      <c r="O12" s="2"/>
      <c r="P12" s="2"/>
      <c r="Q12" s="2"/>
      <c r="R12" s="2"/>
      <c r="S12" s="2"/>
      <c r="T12" s="2"/>
    </row>
    <row r="13" ht="32.25" customHeight="1">
      <c r="K13" s="3"/>
      <c r="L13" t="s" s="4">
        <v>1</v>
      </c>
      <c r="M13" t="s" s="4">
        <v>2</v>
      </c>
      <c r="N13" t="s" s="4">
        <v>3</v>
      </c>
      <c r="O13" t="s" s="4">
        <v>4</v>
      </c>
      <c r="P13" t="s" s="4">
        <v>5</v>
      </c>
      <c r="Q13" t="s" s="4">
        <v>6</v>
      </c>
      <c r="R13" t="s" s="4">
        <v>7</v>
      </c>
      <c r="S13" t="s" s="4">
        <v>8</v>
      </c>
      <c r="T13" t="s" s="5">
        <v>9</v>
      </c>
    </row>
    <row r="14" ht="20.25" customHeight="1">
      <c r="K14" t="s" s="6">
        <v>18</v>
      </c>
      <c r="L14" s="7">
        <v>-204.423071676185</v>
      </c>
      <c r="M14" s="10">
        <v>-204.79449438</v>
      </c>
      <c r="N14" s="8">
        <v>-204.7877331621</v>
      </c>
      <c r="O14" s="8">
        <v>-204.77333331</v>
      </c>
      <c r="P14" s="8">
        <v>-204.78163813</v>
      </c>
      <c r="Q14" s="8">
        <f>-204.781370333</f>
        <v>-204.781370333</v>
      </c>
      <c r="R14" s="8">
        <f>-204.799568055</f>
        <v>-204.799568055</v>
      </c>
      <c r="S14" s="8">
        <f>-204.865080725</f>
        <v>-204.865080725</v>
      </c>
      <c r="T14" s="26">
        <f>-204.883166603</f>
        <v>-204.883166603</v>
      </c>
    </row>
    <row r="15" ht="20.05" customHeight="1">
      <c r="K15" t="s" s="12">
        <v>19</v>
      </c>
      <c r="L15" s="13">
        <v>-279.383081540739</v>
      </c>
      <c r="M15" s="16">
        <v>-279.89435489</v>
      </c>
      <c r="N15" s="14">
        <v>-279.8846044252</v>
      </c>
      <c r="O15" s="14">
        <v>-279.86905216</v>
      </c>
      <c r="P15" s="14">
        <v>-279.87836657</v>
      </c>
      <c r="Q15" s="14">
        <f>-279.877922226</f>
        <v>-279.877922226</v>
      </c>
      <c r="R15" s="14">
        <f>-279.90267319</f>
        <v>-279.90267319</v>
      </c>
      <c r="S15" s="14">
        <f>-279.956045495</f>
        <v>-279.956045495</v>
      </c>
      <c r="T15" s="27">
        <f>-279.980761901</f>
        <v>-279.980761901</v>
      </c>
    </row>
    <row r="16" ht="20.05" customHeight="1">
      <c r="K16" t="s" s="12">
        <v>34</v>
      </c>
      <c r="L16" s="18">
        <f>-6303.65170049164</f>
        <v>-6303.651700491640</v>
      </c>
      <c r="M16" s="19">
        <f>-6305.51350162</f>
        <v>-6305.51350162</v>
      </c>
      <c r="N16" s="19">
        <f>-6305.47553711</f>
        <v>-6305.47553711</v>
      </c>
      <c r="O16" s="19">
        <f>-6305.43966232</f>
        <v>-6305.43966232</v>
      </c>
      <c r="P16" s="19">
        <f>-6305.47487752</f>
        <v>-6305.47487752</v>
      </c>
      <c r="Q16" s="16">
        <f>-6305.475725473</f>
        <v>-6305.475725473</v>
      </c>
      <c r="R16" s="16">
        <f>-6305.584292632</f>
        <v>-6305.584292632</v>
      </c>
      <c r="S16" s="22">
        <f>-6305.541388911</f>
        <v>-6305.541388911</v>
      </c>
      <c r="T16" s="23">
        <f>-6305.648838526</f>
        <v>-6305.648838526</v>
      </c>
    </row>
    <row r="17" ht="20.05" customHeight="1">
      <c r="K17" t="s" s="12">
        <v>35</v>
      </c>
      <c r="L17" s="31">
        <f>-6582.95051464511</f>
        <v>-6582.950514645110</v>
      </c>
      <c r="M17" s="16">
        <f>-6585.32616247</f>
        <v>-6585.32616247</v>
      </c>
      <c r="N17" s="16">
        <f>-6585.27817801</f>
        <v>-6585.27817801</v>
      </c>
      <c r="O17" s="16">
        <f>-6585.23328174</f>
        <v>-6585.23328174</v>
      </c>
      <c r="P17" s="16">
        <f>-6585.27942649</f>
        <v>-6585.27942649</v>
      </c>
      <c r="Q17" s="16">
        <f>-6585.281949231</f>
        <v>-6585.281949231</v>
      </c>
      <c r="R17" s="16">
        <f>-6585.416385795</f>
        <v>-6585.416385795</v>
      </c>
      <c r="S17" s="16">
        <f>-6585.481982146</f>
        <v>-6585.481982146</v>
      </c>
      <c r="T17" s="17">
        <f>-6585.615230734</f>
        <v>-6585.615230734</v>
      </c>
    </row>
    <row r="18" ht="20.05" customHeight="1">
      <c r="K18" t="s" s="12">
        <v>36</v>
      </c>
      <c r="L18" s="31">
        <f>-6582.96523002463</f>
        <v>-6582.965230024630</v>
      </c>
      <c r="M18" s="16">
        <f>-6585.35588111</f>
        <v>-6585.35588111</v>
      </c>
      <c r="N18" s="16">
        <f>-6585.30738022</f>
        <v>-6585.30738022</v>
      </c>
      <c r="O18" s="16">
        <f>-6585.25860966</f>
        <v>-6585.25860966</v>
      </c>
      <c r="P18" s="16">
        <f>-6585.30526022</f>
        <v>-6585.30526022</v>
      </c>
      <c r="Q18" s="16">
        <f>-6585.307119356</f>
        <v>-6585.307119356</v>
      </c>
      <c r="R18" s="22">
        <f>-6585.442886744</f>
        <v>-6585.442886744</v>
      </c>
      <c r="S18" s="24">
        <f>-6585.503471804</f>
        <v>-6585.503471804</v>
      </c>
      <c r="T18" s="17">
        <f>-6585.638014982</f>
        <v>-6585.638014982</v>
      </c>
    </row>
    <row r="19" ht="20.05" customHeight="1">
      <c r="K19" t="s" s="12">
        <v>37</v>
      </c>
      <c r="L19" s="31">
        <f>-6582.94207844683</f>
        <v>-6582.942078446830</v>
      </c>
      <c r="M19" s="16">
        <f>-6585.33787041</f>
        <v>-6585.33787041</v>
      </c>
      <c r="N19" s="16">
        <f>-6585.28878221</f>
        <v>-6585.28878221</v>
      </c>
      <c r="O19" s="16">
        <f>-6585.23640951</f>
        <v>-6585.23640951</v>
      </c>
      <c r="P19" s="16">
        <f>-6585.2867126</f>
        <v>-6585.2867126</v>
      </c>
      <c r="Q19" s="16">
        <f>-6585.288499563</f>
        <v>-6585.288499563</v>
      </c>
      <c r="R19" s="16">
        <f>-6585.428221768</f>
        <v>-6585.428221768</v>
      </c>
      <c r="S19" s="16">
        <f>-6585.485473068</f>
        <v>-6585.485473068</v>
      </c>
      <c r="T19" s="17">
        <f>-6585.624047345</f>
        <v>-6585.624047345</v>
      </c>
    </row>
    <row r="20" ht="20.05" customHeight="1">
      <c r="K20" t="s" s="12">
        <v>38</v>
      </c>
      <c r="L20" s="18">
        <f>-6378.69697002583</f>
        <v>-6378.696970025830</v>
      </c>
      <c r="M20" s="19">
        <f>-6380.69843326</f>
        <v>-6380.69843326</v>
      </c>
      <c r="N20" s="19">
        <f>-6380.65821161</f>
        <v>-6380.65821161</v>
      </c>
      <c r="O20" s="19">
        <f>-6380.6133679</f>
        <v>-6380.6133679</v>
      </c>
      <c r="P20" s="19">
        <f>-6380.64847117</f>
        <v>-6380.64847117</v>
      </c>
      <c r="Q20" s="19">
        <f>-6380.650935432</f>
        <v>-6380.650935432</v>
      </c>
      <c r="R20" s="19">
        <f>-6380.770886794</f>
        <v>-6380.770886794</v>
      </c>
      <c r="S20" s="19">
        <f>-6380.720380798</f>
        <v>-6380.720380798</v>
      </c>
      <c r="T20" s="20">
        <f>-6380.839176982</f>
        <v>-6380.839176982</v>
      </c>
    </row>
  </sheetData>
  <mergeCells count="3">
    <mergeCell ref="A1:J1"/>
    <mergeCell ref="G2:J2"/>
    <mergeCell ref="K12:T12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dimension ref="B3:K10"/>
  <sheetViews>
    <sheetView workbookViewId="0" showGridLines="0" defaultGridColor="1">
      <pane topLeftCell="C4" xSplit="2" ySplit="3" activePane="bottomRight" state="frozen"/>
    </sheetView>
  </sheetViews>
  <sheetFormatPr defaultColWidth="16.3333" defaultRowHeight="19.9" customHeight="1" outlineLevelRow="0" outlineLevelCol="0"/>
  <cols>
    <col min="1" max="1" width="20.6172" style="51" customWidth="1"/>
    <col min="2" max="2" width="22.8203" style="51" customWidth="1"/>
    <col min="3" max="11" width="16.3516" style="51" customWidth="1"/>
    <col min="12" max="16384" width="16.3516" style="51" customWidth="1"/>
  </cols>
  <sheetData>
    <row r="1" ht="30.1" customHeight="1"/>
    <row r="2" ht="27.65" customHeight="1">
      <c r="B2" t="s" s="2">
        <v>0</v>
      </c>
      <c r="C2" s="2"/>
      <c r="D2" s="2"/>
      <c r="E2" s="2"/>
      <c r="F2" s="2"/>
      <c r="G2" s="2"/>
      <c r="H2" s="2"/>
      <c r="I2" s="2"/>
      <c r="J2" s="2"/>
      <c r="K2" s="2"/>
    </row>
    <row r="3" ht="32.25" customHeight="1">
      <c r="B3" s="3"/>
      <c r="C3" t="s" s="4">
        <v>1</v>
      </c>
      <c r="D3" t="s" s="4">
        <v>2</v>
      </c>
      <c r="E3" t="s" s="4">
        <v>3</v>
      </c>
      <c r="F3" t="s" s="4">
        <v>4</v>
      </c>
      <c r="G3" t="s" s="4">
        <v>5</v>
      </c>
      <c r="H3" t="s" s="4">
        <v>6</v>
      </c>
      <c r="I3" t="s" s="4">
        <v>7</v>
      </c>
      <c r="J3" t="s" s="4">
        <v>8</v>
      </c>
      <c r="K3" t="s" s="5">
        <v>9</v>
      </c>
    </row>
    <row r="4" ht="20.25" customHeight="1">
      <c r="B4" t="s" s="6">
        <v>10</v>
      </c>
      <c r="C4" s="7">
        <v>-478.087809239390</v>
      </c>
      <c r="D4" s="8">
        <v>-478.35127679</v>
      </c>
      <c r="E4" s="8">
        <v>-478.35665266</v>
      </c>
      <c r="F4" s="9">
        <f>-478.34673807</f>
        <v>-478.34673807</v>
      </c>
      <c r="G4" s="9">
        <f>-478.34907831</f>
        <v>-478.34907831</v>
      </c>
      <c r="H4" s="10">
        <f>-478.349120959</f>
        <v>-478.349120959</v>
      </c>
      <c r="I4" s="10">
        <f>-478.362275535</f>
        <v>-478.362275535</v>
      </c>
      <c r="J4" s="10">
        <f>-478.35240181</f>
        <v>-478.35240181</v>
      </c>
      <c r="K4" s="11">
        <f>-478.36550256</f>
        <v>-478.36550256</v>
      </c>
    </row>
    <row r="5" ht="20.05" customHeight="1">
      <c r="B5" t="s" s="12">
        <v>11</v>
      </c>
      <c r="C5" s="13">
        <v>-553.008217873952</v>
      </c>
      <c r="D5" s="14">
        <v>-553.39843363</v>
      </c>
      <c r="E5" s="14">
        <v>-553.39188518</v>
      </c>
      <c r="F5" s="15">
        <f>-553.3916108</f>
        <v>-553.3916108</v>
      </c>
      <c r="G5" s="15">
        <f>-553.39781858</f>
        <v>-553.39781858</v>
      </c>
      <c r="H5" s="16">
        <f>-553.397482937</f>
        <v>-553.3974829369999</v>
      </c>
      <c r="I5" s="16">
        <f>-553.416933405</f>
        <v>-553.416933405</v>
      </c>
      <c r="J5" s="16">
        <f>-553.409094443</f>
        <v>-553.409094443</v>
      </c>
      <c r="K5" s="17">
        <f>-553.427979434</f>
        <v>-553.427979434</v>
      </c>
    </row>
    <row r="6" ht="20.05" customHeight="1">
      <c r="B6" t="s" s="12">
        <v>39</v>
      </c>
      <c r="C6" s="18">
        <f>-6190.78509205752</f>
        <v>-6190.785092057520</v>
      </c>
      <c r="D6" s="19">
        <f>-6192.42028403</f>
        <v>-6192.42028403</v>
      </c>
      <c r="E6" s="19">
        <f>-6192.38691429</f>
        <v>-6192.38691429</v>
      </c>
      <c r="F6" s="19">
        <f>-6192.35749609</f>
        <v>-6192.35749609</v>
      </c>
      <c r="G6" s="19">
        <f>-6192.38795412</f>
        <v>-6192.38795412</v>
      </c>
      <c r="H6" s="14">
        <f>-6192.388728509</f>
        <v>-6192.388728509</v>
      </c>
      <c r="I6" s="14">
        <f>-6192.484382702</f>
        <v>-6192.484382702</v>
      </c>
      <c r="J6" s="14">
        <f>-6192.458268944</f>
        <v>-6192.458268944</v>
      </c>
      <c r="K6" s="14">
        <f>-6192.553201756</f>
        <v>-6192.553201756</v>
      </c>
    </row>
    <row r="7" ht="20.05" customHeight="1">
      <c r="B7" t="s" s="12">
        <v>40</v>
      </c>
      <c r="C7" s="18">
        <f>-6743.77109935927</f>
        <v>-6743.771099359270</v>
      </c>
      <c r="D7" s="19">
        <f>-6745.81570556</f>
        <v>-6745.81570556</v>
      </c>
      <c r="E7" s="19">
        <f>-6745.77501878</f>
        <v>-6745.77501878</v>
      </c>
      <c r="F7" s="19">
        <f>-6745.74619575</f>
        <v>-6745.74619575</v>
      </c>
      <c r="G7" s="19">
        <f>-6745.78435265</f>
        <v>-6745.78435265</v>
      </c>
      <c r="H7" s="14">
        <f>-6745.785267954</f>
        <v>-6745.785267954</v>
      </c>
      <c r="I7" s="14">
        <f>-6745.902116858</f>
        <v>-6745.902116858</v>
      </c>
      <c r="J7" s="14">
        <f>-6745.862429804</f>
        <v>-6745.862429804</v>
      </c>
      <c r="K7" s="14">
        <f>-6745.978153584</f>
        <v>-6745.978153584</v>
      </c>
    </row>
    <row r="8" ht="20.05" customHeight="1">
      <c r="B8" t="s" s="12">
        <v>41</v>
      </c>
      <c r="C8" s="18">
        <f>-6743.7730464673</f>
        <v>-6743.7730464673</v>
      </c>
      <c r="D8" s="19">
        <f>-6745.82595072</f>
        <v>-6745.82595072</v>
      </c>
      <c r="E8" s="19">
        <f>-6745.78476704</f>
        <v>-6745.78476704</v>
      </c>
      <c r="F8" s="19">
        <f>-6745.75596789</f>
        <v>-6745.75596789</v>
      </c>
      <c r="G8" s="19">
        <f>-6745.79509162</f>
        <v>-6745.79509162</v>
      </c>
      <c r="H8" s="14">
        <f>-6745.795654154</f>
        <v>-6745.795654154</v>
      </c>
      <c r="I8" s="14">
        <f>-6745.913733615</f>
        <v>-6745.913733615</v>
      </c>
      <c r="J8" s="14">
        <f>-6745.877045016</f>
        <v>-6745.877045016</v>
      </c>
      <c r="K8" s="14">
        <f>-6745.993656235</f>
        <v>-6745.993656235</v>
      </c>
    </row>
    <row r="9" ht="20.05" customHeight="1">
      <c r="B9" t="s" s="12">
        <v>42</v>
      </c>
      <c r="C9" s="18">
        <f>-6743.76812872678</f>
        <v>-6743.768128726780</v>
      </c>
      <c r="D9" s="19">
        <f>-6745.82403483</f>
        <v>-6745.82403483</v>
      </c>
      <c r="E9" s="19">
        <f>-6745.78254587</f>
        <v>-6745.78254587</v>
      </c>
      <c r="F9" s="19">
        <f>-6745.75311914</f>
        <v>-6745.75311914</v>
      </c>
      <c r="G9" s="19">
        <f>-6745.79396004</f>
        <v>-6745.79396004</v>
      </c>
      <c r="H9" s="14">
        <f>-6745.794013899</f>
        <v>-6745.794013899</v>
      </c>
      <c r="I9" s="14">
        <f>-6745.913244163</f>
        <v>-6745.913244163</v>
      </c>
      <c r="J9" s="14">
        <f>-6745.875010953</f>
        <v>-6745.875010953</v>
      </c>
      <c r="K9" s="14">
        <f>-6745.992329515</f>
        <v>-6745.992329515</v>
      </c>
    </row>
    <row r="10" ht="20.05" customHeight="1">
      <c r="B10" t="s" s="12">
        <v>43</v>
      </c>
      <c r="C10" s="18">
        <f>-6265.8266666304</f>
        <v>-6265.8266666304</v>
      </c>
      <c r="D10" s="19">
        <f>-6267.60767817</f>
        <v>-6267.60767817</v>
      </c>
      <c r="E10" s="19">
        <f>-6267.57195948</f>
        <v>-6267.57195948</v>
      </c>
      <c r="F10" s="19">
        <f>-6267.53225009</f>
        <v>-6267.53225009</v>
      </c>
      <c r="G10" s="19">
        <f>-6267.56296863</f>
        <v>-6267.56296863</v>
      </c>
      <c r="H10" s="15">
        <f>-6267.564019115</f>
        <v>-6267.564019115</v>
      </c>
      <c r="I10" s="15">
        <f>-6267.671070835</f>
        <v>-6267.671070835</v>
      </c>
      <c r="J10" s="15">
        <f>-6267.628522594</f>
        <v>-6267.628522594</v>
      </c>
      <c r="K10" s="15">
        <f>-6267.734845633</f>
        <v>-6267.734845633</v>
      </c>
    </row>
  </sheetData>
  <mergeCells count="1">
    <mergeCell ref="B2:K2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dimension ref="A2:J9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0" width="16.3516" style="52" customWidth="1"/>
    <col min="11" max="16384" width="16.3516" style="52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25" customHeight="1">
      <c r="A2" s="3"/>
      <c r="B2" t="s" s="4">
        <v>1</v>
      </c>
      <c r="C2" t="s" s="4">
        <v>2</v>
      </c>
      <c r="D2" t="s" s="4">
        <v>3</v>
      </c>
      <c r="E2" t="s" s="4">
        <v>4</v>
      </c>
      <c r="F2" t="s" s="4">
        <v>5</v>
      </c>
      <c r="G2" t="s" s="4">
        <v>6</v>
      </c>
      <c r="H2" t="s" s="4">
        <v>7</v>
      </c>
      <c r="I2" t="s" s="4">
        <v>8</v>
      </c>
      <c r="J2" t="s" s="5">
        <v>9</v>
      </c>
    </row>
    <row r="3" ht="20.25" customHeight="1">
      <c r="A3" t="s" s="6">
        <v>18</v>
      </c>
      <c r="B3" s="7">
        <v>-204.423071676185</v>
      </c>
      <c r="C3" s="8">
        <v>-204.79449438</v>
      </c>
      <c r="D3" s="8">
        <v>-204.7877331621</v>
      </c>
      <c r="E3" s="8">
        <v>-204.77333331</v>
      </c>
      <c r="F3" s="8">
        <v>-204.78163813</v>
      </c>
      <c r="G3" s="8">
        <f>-204.781370333</f>
        <v>-204.781370333</v>
      </c>
      <c r="H3" s="8">
        <f>-204.799568055</f>
        <v>-204.799568055</v>
      </c>
      <c r="I3" s="8">
        <f>-204.865080725</f>
        <v>-204.865080725</v>
      </c>
      <c r="J3" s="26">
        <f>-204.883166603</f>
        <v>-204.883166603</v>
      </c>
    </row>
    <row r="4" ht="20.05" customHeight="1">
      <c r="A4" t="s" s="12">
        <v>19</v>
      </c>
      <c r="B4" s="13">
        <v>-279.383081540739</v>
      </c>
      <c r="C4" s="14">
        <v>-279.89435489</v>
      </c>
      <c r="D4" s="14">
        <v>-279.8846044252</v>
      </c>
      <c r="E4" s="14">
        <v>-279.86905216</v>
      </c>
      <c r="F4" s="14">
        <v>-279.87836657</v>
      </c>
      <c r="G4" s="14">
        <f>-279.877922226</f>
        <v>-279.877922226</v>
      </c>
      <c r="H4" s="14">
        <f>-279.90267319</f>
        <v>-279.90267319</v>
      </c>
      <c r="I4" s="14">
        <f>-279.956045495</f>
        <v>-279.956045495</v>
      </c>
      <c r="J4" s="27">
        <f>-279.980761901</f>
        <v>-279.980761901</v>
      </c>
    </row>
    <row r="5" ht="20.05" customHeight="1">
      <c r="A5" t="s" s="12">
        <v>44</v>
      </c>
      <c r="B5" s="18">
        <f>-6190.78509205752</f>
        <v>-6190.785092057520</v>
      </c>
      <c r="C5" s="15">
        <f>-6192.42028403</f>
        <v>-6192.42028403</v>
      </c>
      <c r="D5" s="19">
        <f>-6192.38691429</f>
        <v>-6192.38691429</v>
      </c>
      <c r="E5" s="19">
        <f>-6192.35749609</f>
        <v>-6192.35749609</v>
      </c>
      <c r="F5" s="19">
        <f>-6192.38795412</f>
        <v>-6192.38795412</v>
      </c>
      <c r="G5" s="14">
        <f>-6192.388728509</f>
        <v>-6192.388728509</v>
      </c>
      <c r="H5" s="14">
        <f>-6192.484382702</f>
        <v>-6192.484382702</v>
      </c>
      <c r="I5" s="14">
        <f>-6192.458268944</f>
        <v>-6192.458268944</v>
      </c>
      <c r="J5" s="14">
        <f>-6192.553201756</f>
        <v>-6192.553201756</v>
      </c>
    </row>
    <row r="6" ht="20.05" customHeight="1">
      <c r="A6" t="s" s="12">
        <v>45</v>
      </c>
      <c r="B6" s="13">
        <v>-6470.070062064070</v>
      </c>
      <c r="C6" s="14">
        <v>-6472.2188072584</v>
      </c>
      <c r="D6" s="14">
        <v>-6472.17536872</v>
      </c>
      <c r="E6" s="14">
        <v>-6472.1368463</v>
      </c>
      <c r="F6" s="14">
        <v>-6472.17847839</v>
      </c>
      <c r="G6" s="14">
        <f>-6472.179403931</f>
        <v>-6472.179403931</v>
      </c>
      <c r="H6" s="14">
        <f>-6472.300694099</f>
        <v>-6472.300694099</v>
      </c>
      <c r="I6" s="14">
        <f>-6472.386336182</f>
        <v>-6472.386336182</v>
      </c>
      <c r="J6" s="14">
        <f>-6472.50677626</f>
        <v>-6472.50677626</v>
      </c>
    </row>
    <row r="7" ht="20.05" customHeight="1">
      <c r="A7" t="s" s="12">
        <v>46</v>
      </c>
      <c r="B7" s="13">
        <v>-6470.065629520680</v>
      </c>
      <c r="C7" s="14">
        <v>-6472.2245819402</v>
      </c>
      <c r="D7" s="14">
        <v>-6472.18078734</v>
      </c>
      <c r="E7" s="14">
        <v>-6472.13844543</v>
      </c>
      <c r="F7" s="14">
        <v>-6472.18108739</v>
      </c>
      <c r="G7" s="14">
        <f>-6472.181896159</f>
        <v>-6472.181896159</v>
      </c>
      <c r="H7" s="14">
        <f>-6472.304914124</f>
        <v>-6472.304914124</v>
      </c>
      <c r="I7" s="14">
        <f>-6472.387024461</f>
        <v>-6472.387024461</v>
      </c>
      <c r="J7" s="14">
        <f>-6472.508996448</f>
        <v>-6472.508996448</v>
      </c>
    </row>
    <row r="8" ht="20.05" customHeight="1">
      <c r="A8" t="s" s="12">
        <v>47</v>
      </c>
      <c r="B8" s="13">
        <v>-6470.028141303060</v>
      </c>
      <c r="C8" s="14">
        <v>-6472.1954913252</v>
      </c>
      <c r="D8" s="14">
        <v>-6472.15081821</v>
      </c>
      <c r="E8" s="14">
        <v>-6472.10481643</v>
      </c>
      <c r="F8" s="14">
        <v>-6472.15269267</v>
      </c>
      <c r="G8" s="14">
        <f>-6472.152333639</f>
        <v>-6472.152333639</v>
      </c>
      <c r="H8" s="14">
        <f>-6472.280625585</f>
        <v>-6472.280625585</v>
      </c>
      <c r="I8" s="14">
        <f>-6472.356629378</f>
        <v>-6472.356629378</v>
      </c>
      <c r="J8" s="14">
        <f>-6472.484060736</f>
        <v>-6472.484060736</v>
      </c>
    </row>
    <row r="9" ht="20.05" customHeight="1">
      <c r="A9" t="s" s="12">
        <v>43</v>
      </c>
      <c r="B9" s="18">
        <f>-6265.8266666304</f>
        <v>-6265.8266666304</v>
      </c>
      <c r="C9" s="15">
        <f>-6267.60767817</f>
        <v>-6267.60767817</v>
      </c>
      <c r="D9" s="19">
        <f>-6267.57195948</f>
        <v>-6267.57195948</v>
      </c>
      <c r="E9" s="19">
        <f>-6267.53225009</f>
        <v>-6267.53225009</v>
      </c>
      <c r="F9" s="19">
        <f>-6267.56296863</f>
        <v>-6267.56296863</v>
      </c>
      <c r="G9" s="15">
        <f>-6267.564019115</f>
        <v>-6267.564019115</v>
      </c>
      <c r="H9" s="15">
        <f>-6267.671070835</f>
        <v>-6267.671070835</v>
      </c>
      <c r="I9" s="15">
        <f>-6267.628522594</f>
        <v>-6267.628522594</v>
      </c>
      <c r="J9" s="15">
        <f>-6267.734845633</f>
        <v>-6267.734845633</v>
      </c>
    </row>
  </sheetData>
  <mergeCells count="1">
    <mergeCell ref="A1:J1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dimension ref="A2:BD65"/>
  <sheetViews>
    <sheetView workbookViewId="0" showGridLines="0" defaultGridColor="1">
      <pane topLeftCell="B4" xSplit="1" ySplit="3" activePane="bottomRight" state="frozen"/>
    </sheetView>
  </sheetViews>
  <sheetFormatPr defaultColWidth="16.3333" defaultRowHeight="19.9" customHeight="1" outlineLevelRow="0" outlineLevelCol="0"/>
  <cols>
    <col min="1" max="1" width="17.8281" style="53" customWidth="1"/>
    <col min="2" max="3" width="6.15625" style="53" customWidth="1"/>
    <col min="4" max="4" width="52.8906" style="53" customWidth="1"/>
    <col min="5" max="5" width="6.15625" style="53" customWidth="1"/>
    <col min="6" max="6" width="6.20312" style="53" customWidth="1"/>
    <col min="7" max="7" width="61.9297" style="53" customWidth="1"/>
    <col min="8" max="8" width="4.57812" style="53" customWidth="1"/>
    <col min="9" max="9" width="5.3125" style="53" customWidth="1"/>
    <col min="10" max="10" width="66.7734" style="53" customWidth="1"/>
    <col min="11" max="11" width="4.57812" style="53" customWidth="1"/>
    <col min="12" max="12" width="8.17188" style="53" customWidth="1"/>
    <col min="13" max="13" width="71.7344" style="53" customWidth="1"/>
    <col min="14" max="14" width="17.8281" style="62" customWidth="1"/>
    <col min="15" max="15" width="6.15625" style="62" customWidth="1"/>
    <col min="16" max="16" width="6.20312" style="62" customWidth="1"/>
    <col min="17" max="17" width="52.5547" style="62" customWidth="1"/>
    <col min="18" max="18" width="4.57812" style="62" customWidth="1"/>
    <col min="19" max="19" width="5.3125" style="62" customWidth="1"/>
    <col min="20" max="20" width="64.3906" style="62" customWidth="1"/>
    <col min="21" max="21" width="4.57812" style="62" customWidth="1"/>
    <col min="22" max="22" width="8.17188" style="62" customWidth="1"/>
    <col min="23" max="23" width="63.9531" style="62" customWidth="1"/>
    <col min="24" max="24" width="4.00781" style="62" customWidth="1"/>
    <col min="25" max="25" width="4.40625" style="62" customWidth="1"/>
    <col min="26" max="26" width="76.1016" style="62" customWidth="1"/>
    <col min="27" max="27" width="17.8281" style="63" customWidth="1"/>
    <col min="28" max="29" width="6.15625" style="63" customWidth="1"/>
    <col min="30" max="30" width="52.8906" style="63" customWidth="1"/>
    <col min="31" max="31" width="6.15625" style="63" customWidth="1"/>
    <col min="32" max="32" width="6.20312" style="63" customWidth="1"/>
    <col min="33" max="33" width="61.9297" style="63" customWidth="1"/>
    <col min="34" max="34" width="4.57812" style="63" customWidth="1"/>
    <col min="35" max="35" width="5.3125" style="63" customWidth="1"/>
    <col min="36" max="36" width="66.7734" style="63" customWidth="1"/>
    <col min="37" max="37" width="17.8281" style="64" customWidth="1"/>
    <col min="38" max="39" width="6.15625" style="64" customWidth="1"/>
    <col min="40" max="40" width="52.8906" style="64" customWidth="1"/>
    <col min="41" max="41" width="6.15625" style="64" customWidth="1"/>
    <col min="42" max="42" width="6.20312" style="64" customWidth="1"/>
    <col min="43" max="43" width="61.9297" style="64" customWidth="1"/>
    <col min="44" max="44" width="4.57812" style="64" customWidth="1"/>
    <col min="45" max="45" width="5.3125" style="64" customWidth="1"/>
    <col min="46" max="46" width="66.7734" style="64" customWidth="1"/>
    <col min="47" max="47" width="17.8281" style="65" customWidth="1"/>
    <col min="48" max="49" width="6.15625" style="65" customWidth="1"/>
    <col min="50" max="50" width="52.8906" style="65" customWidth="1"/>
    <col min="51" max="51" width="6.15625" style="65" customWidth="1"/>
    <col min="52" max="52" width="6.20312" style="65" customWidth="1"/>
    <col min="53" max="53" width="61.9297" style="65" customWidth="1"/>
    <col min="54" max="54" width="4.57812" style="65" customWidth="1"/>
    <col min="55" max="55" width="5.3125" style="65" customWidth="1"/>
    <col min="56" max="56" width="66.7734" style="65" customWidth="1"/>
    <col min="57" max="16384" width="16.3516" style="65" customWidth="1"/>
  </cols>
  <sheetData>
    <row r="1" ht="27.65" customHeight="1">
      <c r="A1" t="s" s="2">
        <v>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0.05" customHeight="1">
      <c r="A2" s="37"/>
      <c r="B2" t="s" s="48">
        <v>49</v>
      </c>
      <c r="C2" s="37"/>
      <c r="D2" s="37"/>
      <c r="E2" t="s" s="48">
        <v>50</v>
      </c>
      <c r="F2" s="37"/>
      <c r="G2" s="37"/>
      <c r="H2" t="s" s="48">
        <v>51</v>
      </c>
      <c r="I2" s="37"/>
      <c r="J2" s="37"/>
      <c r="K2" t="s" s="48">
        <v>52</v>
      </c>
      <c r="L2" s="37"/>
      <c r="M2" s="37"/>
    </row>
    <row r="3" ht="20.25" customHeight="1">
      <c r="A3" t="s" s="4">
        <v>53</v>
      </c>
      <c r="B3" t="s" s="4">
        <v>54</v>
      </c>
      <c r="C3" t="s" s="4">
        <v>55</v>
      </c>
      <c r="D3" t="s" s="4">
        <v>56</v>
      </c>
      <c r="E3" t="s" s="4">
        <v>54</v>
      </c>
      <c r="F3" t="s" s="4">
        <v>55</v>
      </c>
      <c r="G3" t="s" s="4">
        <v>56</v>
      </c>
      <c r="H3" t="s" s="4">
        <v>54</v>
      </c>
      <c r="I3" t="s" s="4">
        <v>55</v>
      </c>
      <c r="J3" t="s" s="4">
        <v>56</v>
      </c>
      <c r="K3" t="s" s="4">
        <v>54</v>
      </c>
      <c r="L3" t="s" s="4">
        <v>55</v>
      </c>
      <c r="M3" t="s" s="4">
        <v>56</v>
      </c>
    </row>
    <row r="4" ht="20.25" customHeight="1">
      <c r="A4" t="s" s="6">
        <v>57</v>
      </c>
      <c r="B4" s="54">
        <v>100</v>
      </c>
      <c r="C4" s="55">
        <v>172</v>
      </c>
      <c r="D4" s="56">
        <v>0.059348901512</v>
      </c>
      <c r="E4" s="55">
        <v>98</v>
      </c>
      <c r="F4" s="55">
        <v>167</v>
      </c>
      <c r="G4" s="56">
        <v>0.059673741096</v>
      </c>
      <c r="H4" s="55">
        <v>97</v>
      </c>
      <c r="I4" s="55">
        <v>163</v>
      </c>
      <c r="J4" s="56">
        <v>0.060849367890</v>
      </c>
      <c r="K4" s="55">
        <v>82</v>
      </c>
      <c r="L4" s="55">
        <v>150</v>
      </c>
      <c r="M4" s="56">
        <v>0.060314405943</v>
      </c>
    </row>
    <row r="5" ht="20.05" customHeight="1">
      <c r="A5" t="s" s="12">
        <v>57</v>
      </c>
      <c r="B5" s="57">
        <v>97</v>
      </c>
      <c r="C5" s="58">
        <v>179</v>
      </c>
      <c r="D5" s="59">
        <v>0.058012122889</v>
      </c>
      <c r="E5" s="58">
        <v>96</v>
      </c>
      <c r="F5" s="58">
        <v>176</v>
      </c>
      <c r="G5" s="59">
        <v>0.056864566844</v>
      </c>
      <c r="H5" s="58">
        <v>96</v>
      </c>
      <c r="I5" s="58">
        <v>175</v>
      </c>
      <c r="J5" s="59">
        <v>0.056891283604</v>
      </c>
      <c r="K5" s="58">
        <v>84</v>
      </c>
      <c r="L5" s="58">
        <v>157</v>
      </c>
      <c r="M5" s="59">
        <v>0.054499544516</v>
      </c>
    </row>
    <row r="6" ht="20.05" customHeight="1">
      <c r="A6" t="s" s="12">
        <v>58</v>
      </c>
      <c r="B6" s="57">
        <v>76</v>
      </c>
      <c r="C6" s="58">
        <v>174</v>
      </c>
      <c r="D6" s="59">
        <v>0.064566269858</v>
      </c>
      <c r="E6" s="58">
        <v>74</v>
      </c>
      <c r="F6" s="58">
        <v>174</v>
      </c>
      <c r="G6" s="59">
        <v>0.061997670727</v>
      </c>
      <c r="H6" s="58">
        <v>71</v>
      </c>
      <c r="I6" s="58">
        <v>180</v>
      </c>
      <c r="J6" s="59">
        <v>0.058884929101</v>
      </c>
      <c r="K6" s="58">
        <v>68</v>
      </c>
      <c r="L6" s="58">
        <v>147</v>
      </c>
      <c r="M6" s="59">
        <v>0.07166659282100001</v>
      </c>
    </row>
    <row r="7" ht="20.05" customHeight="1">
      <c r="A7" t="s" s="12">
        <v>59</v>
      </c>
      <c r="B7" s="57">
        <v>72</v>
      </c>
      <c r="C7" s="58">
        <v>144</v>
      </c>
      <c r="D7" s="59">
        <v>0.09508894599999999</v>
      </c>
      <c r="E7" s="58">
        <v>78</v>
      </c>
      <c r="F7" s="58">
        <v>138</v>
      </c>
      <c r="G7" s="59">
        <v>0.114643051003</v>
      </c>
      <c r="H7" s="58">
        <v>79</v>
      </c>
      <c r="I7" s="58">
        <v>138</v>
      </c>
      <c r="J7" s="59">
        <v>0.117127090688</v>
      </c>
      <c r="K7" s="58">
        <v>61</v>
      </c>
      <c r="L7" s="58">
        <v>132</v>
      </c>
      <c r="M7" s="59">
        <v>0.111458694141</v>
      </c>
    </row>
    <row r="8" ht="20.05" customHeight="1">
      <c r="A8" t="s" s="12">
        <v>60</v>
      </c>
      <c r="B8" s="57">
        <v>96</v>
      </c>
      <c r="C8" s="58">
        <v>122</v>
      </c>
      <c r="D8" s="59">
        <v>0.158171323376</v>
      </c>
      <c r="E8" s="58">
        <v>111</v>
      </c>
      <c r="F8" s="58">
        <v>120</v>
      </c>
      <c r="G8" s="59">
        <v>0.180978549612</v>
      </c>
      <c r="H8" s="58">
        <v>112</v>
      </c>
      <c r="I8" s="58">
        <v>119</v>
      </c>
      <c r="J8" s="59">
        <v>0.305698472212</v>
      </c>
      <c r="K8" t="s" s="43">
        <v>61</v>
      </c>
      <c r="L8" t="s" s="43">
        <v>61</v>
      </c>
      <c r="M8" t="s" s="43">
        <v>61</v>
      </c>
    </row>
    <row r="9" ht="20.05" customHeight="1">
      <c r="A9" t="s" s="12">
        <v>62</v>
      </c>
      <c r="B9" s="57">
        <v>111</v>
      </c>
      <c r="C9" s="58">
        <v>120</v>
      </c>
      <c r="D9" s="59">
        <v>0.182472366158</v>
      </c>
      <c r="E9" s="58">
        <v>113</v>
      </c>
      <c r="F9" s="58">
        <v>116</v>
      </c>
      <c r="G9" s="59">
        <v>0.309276617674</v>
      </c>
      <c r="H9" s="58">
        <v>113</v>
      </c>
      <c r="I9" s="58">
        <v>116</v>
      </c>
      <c r="J9" s="59">
        <v>0.327358955031</v>
      </c>
      <c r="K9" t="s" s="43">
        <v>61</v>
      </c>
      <c r="L9" t="s" s="43">
        <v>61</v>
      </c>
      <c r="M9" t="s" s="43">
        <v>61</v>
      </c>
    </row>
    <row r="10" ht="20.05" customHeight="1">
      <c r="A10" t="s" s="12">
        <v>62</v>
      </c>
      <c r="B10" s="57">
        <v>112</v>
      </c>
      <c r="C10" s="58">
        <v>119</v>
      </c>
      <c r="D10" s="59">
        <v>0.183517568144</v>
      </c>
      <c r="E10" s="58">
        <v>91</v>
      </c>
      <c r="F10" s="58">
        <v>116</v>
      </c>
      <c r="G10" s="59">
        <v>0.081489625850</v>
      </c>
      <c r="H10" s="58">
        <v>98</v>
      </c>
      <c r="I10" s="58">
        <v>116</v>
      </c>
      <c r="J10" s="59">
        <v>0.098059223248</v>
      </c>
      <c r="K10" t="s" s="43">
        <v>61</v>
      </c>
      <c r="L10" t="s" s="43">
        <v>61</v>
      </c>
      <c r="M10" t="s" s="43">
        <v>61</v>
      </c>
    </row>
    <row r="11" ht="20.05" customHeight="1">
      <c r="A11" t="s" s="12">
        <v>63</v>
      </c>
      <c r="B11" s="57">
        <v>68</v>
      </c>
      <c r="C11" s="58">
        <v>149</v>
      </c>
      <c r="D11" s="59">
        <v>0.09003499704700001</v>
      </c>
      <c r="E11" s="58">
        <v>70</v>
      </c>
      <c r="F11" s="58">
        <v>150</v>
      </c>
      <c r="G11" s="59">
        <v>0.087708898959</v>
      </c>
      <c r="H11" s="58">
        <v>76</v>
      </c>
      <c r="I11" s="58">
        <v>146</v>
      </c>
      <c r="J11" s="59">
        <v>0.09996869395499999</v>
      </c>
      <c r="K11" s="58">
        <v>99</v>
      </c>
      <c r="L11" s="58">
        <v>108</v>
      </c>
      <c r="M11" s="59">
        <v>0.245876997712</v>
      </c>
    </row>
    <row r="12" ht="20.05" customHeight="1">
      <c r="A12" t="s" s="12">
        <v>63</v>
      </c>
      <c r="B12" s="57">
        <v>63</v>
      </c>
      <c r="C12" s="58">
        <v>165</v>
      </c>
      <c r="D12" s="59">
        <v>0.085027211984</v>
      </c>
      <c r="E12" s="58">
        <v>61</v>
      </c>
      <c r="F12" s="58">
        <v>165</v>
      </c>
      <c r="G12" s="59">
        <v>0.080201194038</v>
      </c>
      <c r="H12" s="58">
        <v>61</v>
      </c>
      <c r="I12" s="58">
        <v>173</v>
      </c>
      <c r="J12" s="59">
        <v>0.078076416865</v>
      </c>
      <c r="K12" s="58">
        <v>101</v>
      </c>
      <c r="L12" s="58">
        <v>106</v>
      </c>
      <c r="M12" s="59">
        <v>0.357189256094</v>
      </c>
    </row>
    <row r="13" ht="344.15" customHeight="1">
      <c r="A13" s="60"/>
      <c r="B13" s="61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</row>
    <row r="15" ht="27.65" customHeight="1">
      <c r="N15" t="s" s="2">
        <v>64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0.05" customHeight="1">
      <c r="N16" s="37"/>
      <c r="O16" t="s" s="48">
        <v>65</v>
      </c>
      <c r="P16" s="37"/>
      <c r="Q16" s="37"/>
      <c r="R16" t="s" s="48">
        <v>50</v>
      </c>
      <c r="S16" s="37"/>
      <c r="T16" s="37"/>
      <c r="U16" t="s" s="48">
        <v>66</v>
      </c>
      <c r="V16" s="37"/>
      <c r="W16" s="37"/>
      <c r="X16" t="s" s="48">
        <v>52</v>
      </c>
      <c r="Y16" s="37"/>
      <c r="Z16" s="37"/>
    </row>
    <row r="17" ht="20.25" customHeight="1">
      <c r="N17" t="s" s="4">
        <v>53</v>
      </c>
      <c r="O17" t="s" s="4">
        <v>54</v>
      </c>
      <c r="P17" t="s" s="4">
        <v>55</v>
      </c>
      <c r="Q17" t="s" s="4">
        <v>56</v>
      </c>
      <c r="R17" t="s" s="4">
        <v>54</v>
      </c>
      <c r="S17" t="s" s="4">
        <v>55</v>
      </c>
      <c r="T17" t="s" s="4">
        <v>56</v>
      </c>
      <c r="U17" t="s" s="4">
        <v>54</v>
      </c>
      <c r="V17" t="s" s="4">
        <v>55</v>
      </c>
      <c r="W17" t="s" s="4">
        <v>56</v>
      </c>
      <c r="X17" t="s" s="4">
        <v>54</v>
      </c>
      <c r="Y17" t="s" s="4">
        <v>55</v>
      </c>
      <c r="Z17" t="s" s="4">
        <v>56</v>
      </c>
    </row>
    <row r="18" ht="20.25" customHeight="1">
      <c r="N18" t="s" s="6">
        <v>57</v>
      </c>
      <c r="O18" s="54">
        <v>74</v>
      </c>
      <c r="P18" s="55">
        <v>142</v>
      </c>
      <c r="Q18" s="56">
        <v>0.101947456952</v>
      </c>
      <c r="R18" s="55">
        <v>68</v>
      </c>
      <c r="S18" s="55">
        <v>145</v>
      </c>
      <c r="T18" s="56">
        <v>0.094327080745</v>
      </c>
      <c r="U18" s="55">
        <v>69</v>
      </c>
      <c r="V18" s="55">
        <v>145</v>
      </c>
      <c r="W18" s="56">
        <v>0.096019322578</v>
      </c>
      <c r="X18" s="55">
        <v>57</v>
      </c>
      <c r="Y18" s="55">
        <v>138</v>
      </c>
      <c r="Z18" s="56">
        <v>0.090413193665</v>
      </c>
    </row>
    <row r="19" ht="20.05" customHeight="1">
      <c r="N19" t="s" s="12">
        <v>57</v>
      </c>
      <c r="O19" s="57">
        <v>79</v>
      </c>
      <c r="P19" s="58">
        <v>136</v>
      </c>
      <c r="Q19" s="59">
        <v>0.116486686742</v>
      </c>
      <c r="R19" s="58">
        <v>78</v>
      </c>
      <c r="S19" s="58">
        <v>137</v>
      </c>
      <c r="T19" s="59">
        <v>0.116868245349</v>
      </c>
      <c r="U19" s="58">
        <v>78</v>
      </c>
      <c r="V19" s="58">
        <v>135</v>
      </c>
      <c r="W19" s="59">
        <v>0.116784834248</v>
      </c>
      <c r="X19" s="58">
        <v>69</v>
      </c>
      <c r="Y19" s="58">
        <v>121</v>
      </c>
      <c r="Z19" s="59">
        <v>0.119412551096</v>
      </c>
    </row>
    <row r="20" ht="20.05" customHeight="1">
      <c r="N20" t="s" s="12">
        <v>58</v>
      </c>
      <c r="O20" s="57">
        <v>75</v>
      </c>
      <c r="P20" s="58">
        <v>138</v>
      </c>
      <c r="Q20" s="59">
        <v>0.117485804893</v>
      </c>
      <c r="R20" s="58">
        <v>76</v>
      </c>
      <c r="S20" s="58">
        <v>135</v>
      </c>
      <c r="T20" s="59">
        <v>0.120372381370</v>
      </c>
      <c r="U20" s="58">
        <v>79</v>
      </c>
      <c r="V20" s="58">
        <v>134</v>
      </c>
      <c r="W20" s="59">
        <v>0.122150163866</v>
      </c>
      <c r="X20" s="58">
        <v>71</v>
      </c>
      <c r="Y20" s="58">
        <v>119</v>
      </c>
      <c r="Z20" s="59">
        <v>0.1326528291</v>
      </c>
    </row>
    <row r="21" ht="20.05" customHeight="1">
      <c r="N21" t="s" s="12">
        <v>59</v>
      </c>
      <c r="O21" s="39">
        <v>66</v>
      </c>
      <c r="P21" s="15">
        <v>147</v>
      </c>
      <c r="Q21" s="59">
        <v>0.092002811002</v>
      </c>
      <c r="R21" s="58">
        <v>73</v>
      </c>
      <c r="S21" s="58">
        <v>141</v>
      </c>
      <c r="T21" s="59">
        <v>0.108981063858</v>
      </c>
      <c r="U21" s="58">
        <v>73</v>
      </c>
      <c r="V21" s="58">
        <v>141</v>
      </c>
      <c r="W21" s="59">
        <v>0.111556358580</v>
      </c>
      <c r="X21" s="58">
        <v>55</v>
      </c>
      <c r="Y21" s="58">
        <v>131</v>
      </c>
      <c r="Z21" s="59">
        <v>0.109234557941</v>
      </c>
    </row>
    <row r="22" ht="20.05" customHeight="1">
      <c r="N22" t="s" s="12">
        <v>60</v>
      </c>
      <c r="O22" s="39">
        <v>94</v>
      </c>
      <c r="P22" s="15">
        <v>118</v>
      </c>
      <c r="Q22" s="59">
        <v>0.158166306044</v>
      </c>
      <c r="R22" s="58">
        <v>98</v>
      </c>
      <c r="S22" s="58">
        <v>116</v>
      </c>
      <c r="T22" s="59">
        <v>0.172642869235</v>
      </c>
      <c r="U22" s="58">
        <v>108</v>
      </c>
      <c r="V22" s="58">
        <v>115</v>
      </c>
      <c r="W22" s="59">
        <v>0.321137427096</v>
      </c>
      <c r="X22" t="s" s="43">
        <v>61</v>
      </c>
      <c r="Y22" t="s" s="43">
        <v>61</v>
      </c>
      <c r="Z22" s="59"/>
    </row>
    <row r="23" ht="20.05" customHeight="1">
      <c r="N23" t="s" s="12">
        <v>62</v>
      </c>
      <c r="O23" s="39">
        <v>107</v>
      </c>
      <c r="P23" s="15">
        <v>116</v>
      </c>
      <c r="Q23" s="59">
        <v>0.185077045072</v>
      </c>
      <c r="R23" s="58">
        <v>109</v>
      </c>
      <c r="S23" s="58">
        <v>114</v>
      </c>
      <c r="T23" s="59">
        <v>0.302668140474</v>
      </c>
      <c r="U23" s="58">
        <v>111</v>
      </c>
      <c r="V23" s="58">
        <v>112</v>
      </c>
      <c r="W23" s="59">
        <v>0.347282024725</v>
      </c>
      <c r="X23" t="s" s="43">
        <v>61</v>
      </c>
      <c r="Y23" t="s" s="43">
        <v>61</v>
      </c>
      <c r="Z23" s="59"/>
    </row>
    <row r="24" ht="20.05" customHeight="1">
      <c r="N24" t="s" s="12">
        <v>62</v>
      </c>
      <c r="O24" s="39">
        <v>108</v>
      </c>
      <c r="P24" s="15">
        <v>115</v>
      </c>
      <c r="Q24" s="59">
        <v>0.187513510903</v>
      </c>
      <c r="R24" s="58">
        <v>82</v>
      </c>
      <c r="S24" s="58">
        <v>114</v>
      </c>
      <c r="T24" s="59">
        <v>0.069434021067</v>
      </c>
      <c r="U24" s="58">
        <v>93</v>
      </c>
      <c r="V24" s="58">
        <v>112</v>
      </c>
      <c r="W24" s="59">
        <v>0.093232494138</v>
      </c>
      <c r="X24" t="s" s="43">
        <v>61</v>
      </c>
      <c r="Y24" t="s" s="43">
        <v>61</v>
      </c>
      <c r="Z24" s="59"/>
    </row>
    <row r="25" ht="20.05" customHeight="1">
      <c r="N25" t="s" s="12">
        <v>63</v>
      </c>
      <c r="O25" s="39">
        <v>64</v>
      </c>
      <c r="P25" s="15">
        <v>148</v>
      </c>
      <c r="Q25" s="59">
        <v>0.089870283265</v>
      </c>
      <c r="R25" s="58">
        <v>61</v>
      </c>
      <c r="S25" s="58">
        <v>162</v>
      </c>
      <c r="T25" s="59">
        <v>0.080694568152</v>
      </c>
      <c r="U25" s="58">
        <v>66</v>
      </c>
      <c r="V25" s="58">
        <v>154</v>
      </c>
      <c r="W25" s="59">
        <v>0.08760714212200001</v>
      </c>
      <c r="X25" s="58">
        <v>95</v>
      </c>
      <c r="Y25" s="58">
        <v>104</v>
      </c>
      <c r="Z25" s="59">
        <v>0.283573553071</v>
      </c>
    </row>
    <row r="26" ht="20.05" customHeight="1">
      <c r="N26" t="s" s="12">
        <v>63</v>
      </c>
      <c r="O26" s="39">
        <v>59</v>
      </c>
      <c r="P26" s="15">
        <v>154</v>
      </c>
      <c r="Q26" s="59">
        <v>0.087712431539</v>
      </c>
      <c r="R26" s="58">
        <v>63</v>
      </c>
      <c r="S26" s="58">
        <v>154</v>
      </c>
      <c r="T26" s="59">
        <v>0.08464007251400001</v>
      </c>
      <c r="U26" s="58">
        <v>67</v>
      </c>
      <c r="V26" s="58">
        <v>147</v>
      </c>
      <c r="W26" s="59">
        <v>0.09039327006599999</v>
      </c>
      <c r="X26" s="58">
        <v>96</v>
      </c>
      <c r="Y26" s="58">
        <v>103</v>
      </c>
      <c r="Z26" s="59">
        <v>0.316109867576</v>
      </c>
    </row>
    <row r="27" ht="401.75" customHeight="1">
      <c r="N27" s="60"/>
      <c r="O27" s="61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9" ht="27.65" customHeight="1">
      <c r="AA29" t="s" s="2">
        <v>67</v>
      </c>
      <c r="AB29" s="2"/>
      <c r="AC29" s="2"/>
      <c r="AD29" s="2"/>
      <c r="AE29" s="2"/>
      <c r="AF29" s="2"/>
      <c r="AG29" s="2"/>
      <c r="AH29" s="2"/>
      <c r="AI29" s="2"/>
      <c r="AJ29" s="2"/>
    </row>
    <row r="30" ht="20.05" customHeight="1">
      <c r="AA30" s="37"/>
      <c r="AB30" t="s" s="48">
        <v>49</v>
      </c>
      <c r="AC30" s="37"/>
      <c r="AD30" s="37"/>
      <c r="AE30" t="s" s="48">
        <v>50</v>
      </c>
      <c r="AF30" s="37"/>
      <c r="AG30" s="37"/>
      <c r="AH30" t="s" s="48">
        <v>51</v>
      </c>
      <c r="AI30" s="37"/>
      <c r="AJ30" s="37"/>
    </row>
    <row r="31" ht="20.25" customHeight="1">
      <c r="AA31" t="s" s="4">
        <v>53</v>
      </c>
      <c r="AB31" t="s" s="4">
        <v>54</v>
      </c>
      <c r="AC31" t="s" s="4">
        <v>55</v>
      </c>
      <c r="AD31" t="s" s="4">
        <v>56</v>
      </c>
      <c r="AE31" t="s" s="4">
        <v>54</v>
      </c>
      <c r="AF31" t="s" s="4">
        <v>55</v>
      </c>
      <c r="AG31" t="s" s="4">
        <v>56</v>
      </c>
      <c r="AH31" t="s" s="4">
        <v>54</v>
      </c>
      <c r="AI31" t="s" s="4">
        <v>55</v>
      </c>
      <c r="AJ31" t="s" s="4">
        <v>56</v>
      </c>
    </row>
    <row r="32" ht="20.25" customHeight="1">
      <c r="AA32" t="s" s="6">
        <v>57</v>
      </c>
      <c r="AB32" s="54">
        <v>78</v>
      </c>
      <c r="AC32" s="55">
        <v>151</v>
      </c>
      <c r="AD32" s="56">
        <v>0.099793182391</v>
      </c>
      <c r="AE32" s="9">
        <v>70</v>
      </c>
      <c r="AF32" s="9">
        <v>159</v>
      </c>
      <c r="AG32" s="56">
        <v>0.090362065098</v>
      </c>
      <c r="AH32" s="9">
        <v>78</v>
      </c>
      <c r="AI32" s="9">
        <v>153</v>
      </c>
      <c r="AJ32" s="56">
        <v>0.099718956439</v>
      </c>
    </row>
    <row r="33" ht="20.05" customHeight="1">
      <c r="AA33" t="s" s="12">
        <v>57</v>
      </c>
      <c r="AB33" s="57">
        <v>80</v>
      </c>
      <c r="AC33" s="58">
        <v>149</v>
      </c>
      <c r="AD33" s="59">
        <v>0.105349246915</v>
      </c>
      <c r="AE33" s="15">
        <v>78</v>
      </c>
      <c r="AF33" s="15">
        <v>151</v>
      </c>
      <c r="AG33" s="59">
        <v>0.098960681451</v>
      </c>
      <c r="AH33" s="15">
        <v>83</v>
      </c>
      <c r="AI33" s="15">
        <v>144</v>
      </c>
      <c r="AJ33" s="59">
        <v>0.113316081314</v>
      </c>
    </row>
    <row r="34" ht="20.05" customHeight="1">
      <c r="AA34" t="s" s="12">
        <v>58</v>
      </c>
      <c r="AB34" s="57">
        <v>81</v>
      </c>
      <c r="AC34" s="58">
        <v>147</v>
      </c>
      <c r="AD34" s="59">
        <v>0.115099659012</v>
      </c>
      <c r="AE34" s="15">
        <v>80</v>
      </c>
      <c r="AF34" s="15">
        <v>146</v>
      </c>
      <c r="AG34" s="59">
        <v>0.113704032241</v>
      </c>
      <c r="AH34" s="15">
        <v>81</v>
      </c>
      <c r="AI34" s="15">
        <v>142</v>
      </c>
      <c r="AJ34" s="59">
        <v>0.116092654372</v>
      </c>
    </row>
    <row r="35" ht="20.05" customHeight="1">
      <c r="AA35" t="s" s="12">
        <v>59</v>
      </c>
      <c r="AB35" s="57">
        <v>75</v>
      </c>
      <c r="AC35" s="58">
        <v>154</v>
      </c>
      <c r="AD35" s="59">
        <v>0.092666171767</v>
      </c>
      <c r="AE35" s="58">
        <v>79</v>
      </c>
      <c r="AF35" s="58">
        <v>149</v>
      </c>
      <c r="AG35" s="59">
        <v>0.108708387128</v>
      </c>
      <c r="AH35" s="58">
        <v>79</v>
      </c>
      <c r="AI35" s="58">
        <v>149</v>
      </c>
      <c r="AJ35" s="59">
        <v>0.111937925069</v>
      </c>
    </row>
    <row r="36" ht="20.05" customHeight="1">
      <c r="AA36" t="s" s="12">
        <v>60</v>
      </c>
      <c r="AB36" s="57">
        <v>100</v>
      </c>
      <c r="AC36" s="58">
        <v>126</v>
      </c>
      <c r="AD36" s="59">
        <v>0.1588662595</v>
      </c>
      <c r="AE36" s="58">
        <v>106</v>
      </c>
      <c r="AF36" s="58">
        <v>124</v>
      </c>
      <c r="AG36" s="59">
        <v>0.173379058376</v>
      </c>
      <c r="AH36" s="15">
        <v>115</v>
      </c>
      <c r="AI36" s="15">
        <v>122</v>
      </c>
      <c r="AJ36" s="59">
        <v>0.323684530689</v>
      </c>
    </row>
    <row r="37" ht="20.05" customHeight="1">
      <c r="AA37" t="s" s="12">
        <v>62</v>
      </c>
      <c r="AB37" s="57">
        <v>113</v>
      </c>
      <c r="AC37" s="58">
        <v>124</v>
      </c>
      <c r="AD37" s="59">
        <v>0.183580838797</v>
      </c>
      <c r="AE37" s="58">
        <v>116</v>
      </c>
      <c r="AF37" s="58">
        <v>121</v>
      </c>
      <c r="AG37" s="59">
        <v>0.300374930660</v>
      </c>
      <c r="AH37" s="58">
        <v>118</v>
      </c>
      <c r="AI37" s="58">
        <v>119</v>
      </c>
      <c r="AJ37" s="59">
        <v>0.340189172804</v>
      </c>
    </row>
    <row r="38" ht="20.05" customHeight="1">
      <c r="AA38" t="s" s="12">
        <v>62</v>
      </c>
      <c r="AB38" s="57">
        <v>114</v>
      </c>
      <c r="AC38" s="58">
        <v>123</v>
      </c>
      <c r="AD38" s="59">
        <v>0.192990978846</v>
      </c>
      <c r="AE38" s="58">
        <v>93</v>
      </c>
      <c r="AF38" s="58">
        <v>121</v>
      </c>
      <c r="AG38" s="59">
        <v>0.074737507649</v>
      </c>
      <c r="AH38" s="58">
        <v>100</v>
      </c>
      <c r="AI38" s="58">
        <v>119</v>
      </c>
      <c r="AJ38" s="59">
        <v>0.09684830187100001</v>
      </c>
    </row>
    <row r="39" ht="20.05" customHeight="1">
      <c r="AA39" t="s" s="12">
        <v>63</v>
      </c>
      <c r="AB39" s="57">
        <v>61</v>
      </c>
      <c r="AC39" s="58">
        <v>169</v>
      </c>
      <c r="AD39" s="59">
        <v>0.086032280477</v>
      </c>
      <c r="AE39" s="58">
        <v>59</v>
      </c>
      <c r="AF39" s="58">
        <v>174</v>
      </c>
      <c r="AG39" s="59">
        <v>0.08008715336900001</v>
      </c>
      <c r="AH39" s="58">
        <v>67</v>
      </c>
      <c r="AI39" s="58">
        <v>168</v>
      </c>
      <c r="AJ39" s="59">
        <v>0.08755374072700001</v>
      </c>
    </row>
    <row r="40" ht="20.05" customHeight="1">
      <c r="AA40" t="s" s="12">
        <v>63</v>
      </c>
      <c r="AB40" s="57">
        <v>65</v>
      </c>
      <c r="AC40" s="58">
        <v>162</v>
      </c>
      <c r="AD40" s="59">
        <v>0.089983186272</v>
      </c>
      <c r="AE40" s="58">
        <v>66</v>
      </c>
      <c r="AF40" s="58">
        <v>166</v>
      </c>
      <c r="AG40" s="59">
        <v>0.085189395325</v>
      </c>
      <c r="AH40" s="58">
        <v>68</v>
      </c>
      <c r="AI40" s="58">
        <v>159</v>
      </c>
      <c r="AJ40" s="59">
        <v>0.09087183396700001</v>
      </c>
    </row>
    <row r="41" ht="386.45" customHeight="1">
      <c r="AA41" s="60"/>
      <c r="AB41" s="61"/>
      <c r="AC41" s="42"/>
      <c r="AD41" s="42"/>
      <c r="AE41" s="42"/>
      <c r="AF41" s="42"/>
      <c r="AG41" s="42"/>
      <c r="AH41" s="42"/>
      <c r="AI41" s="42"/>
      <c r="AJ41" s="42"/>
    </row>
    <row r="43" ht="27.65" customHeight="1">
      <c r="AK43" t="s" s="2">
        <v>68</v>
      </c>
      <c r="AL43" s="2"/>
      <c r="AM43" s="2"/>
      <c r="AN43" s="2"/>
      <c r="AO43" s="2"/>
      <c r="AP43" s="2"/>
      <c r="AQ43" s="2"/>
      <c r="AR43" s="2"/>
      <c r="AS43" s="2"/>
      <c r="AT43" s="2"/>
    </row>
    <row r="44" ht="20.05" customHeight="1">
      <c r="AK44" s="37"/>
      <c r="AL44" t="s" s="48">
        <v>49</v>
      </c>
      <c r="AM44" s="37"/>
      <c r="AN44" s="37"/>
      <c r="AO44" t="s" s="48">
        <v>50</v>
      </c>
      <c r="AP44" s="37"/>
      <c r="AQ44" s="37"/>
      <c r="AR44" t="s" s="48">
        <v>51</v>
      </c>
      <c r="AS44" s="37"/>
      <c r="AT44" s="37"/>
    </row>
    <row r="45" ht="20.25" customHeight="1">
      <c r="AK45" t="s" s="4">
        <v>53</v>
      </c>
      <c r="AL45" t="s" s="4">
        <v>54</v>
      </c>
      <c r="AM45" t="s" s="4">
        <v>55</v>
      </c>
      <c r="AN45" t="s" s="4">
        <v>56</v>
      </c>
      <c r="AO45" t="s" s="4">
        <v>54</v>
      </c>
      <c r="AP45" t="s" s="4">
        <v>55</v>
      </c>
      <c r="AQ45" t="s" s="4">
        <v>56</v>
      </c>
      <c r="AR45" t="s" s="4">
        <v>54</v>
      </c>
      <c r="AS45" t="s" s="4">
        <v>55</v>
      </c>
      <c r="AT45" t="s" s="4">
        <v>56</v>
      </c>
    </row>
    <row r="46" ht="20.25" customHeight="1">
      <c r="AK46" t="s" s="6">
        <v>57</v>
      </c>
      <c r="AL46" s="54">
        <v>99</v>
      </c>
      <c r="AM46" s="55">
        <v>184</v>
      </c>
      <c r="AN46" s="56">
        <v>0.057317193594</v>
      </c>
      <c r="AO46" s="9">
        <v>90</v>
      </c>
      <c r="AP46" s="9">
        <v>183</v>
      </c>
      <c r="AQ46" s="56">
        <v>0.056728229176</v>
      </c>
      <c r="AR46" s="9">
        <v>90</v>
      </c>
      <c r="AS46" s="9">
        <v>186</v>
      </c>
      <c r="AT46" s="56">
        <v>0.056070141027</v>
      </c>
    </row>
    <row r="47" ht="20.05" customHeight="1">
      <c r="AK47" t="s" s="12">
        <v>57</v>
      </c>
      <c r="AL47" s="57">
        <v>100</v>
      </c>
      <c r="AM47" s="58">
        <v>178</v>
      </c>
      <c r="AN47" s="59">
        <v>0.058842020096</v>
      </c>
      <c r="AO47" s="58">
        <v>96</v>
      </c>
      <c r="AP47" s="58">
        <v>180</v>
      </c>
      <c r="AQ47" s="59">
        <v>0.058289450239</v>
      </c>
      <c r="AR47" s="15">
        <v>99</v>
      </c>
      <c r="AS47" s="15">
        <v>174</v>
      </c>
      <c r="AT47" s="59">
        <v>0.059407656442</v>
      </c>
    </row>
    <row r="48" ht="20.05" customHeight="1">
      <c r="AK48" t="s" s="12">
        <v>58</v>
      </c>
      <c r="AL48" s="57">
        <v>73</v>
      </c>
      <c r="AM48" s="58">
        <v>182</v>
      </c>
      <c r="AN48" s="59">
        <v>0.063623950879</v>
      </c>
      <c r="AO48" s="58">
        <v>71</v>
      </c>
      <c r="AP48" s="58">
        <v>185</v>
      </c>
      <c r="AQ48" s="59">
        <v>0.059711804664</v>
      </c>
      <c r="AR48" s="58">
        <v>70</v>
      </c>
      <c r="AS48" s="58">
        <v>191</v>
      </c>
      <c r="AT48" s="59">
        <v>0.058115034154</v>
      </c>
    </row>
    <row r="49" ht="20.05" customHeight="1">
      <c r="AK49" t="s" s="12">
        <v>59</v>
      </c>
      <c r="AL49" s="57">
        <v>70</v>
      </c>
      <c r="AM49" s="58">
        <v>156</v>
      </c>
      <c r="AN49" s="59">
        <v>0.097531406936</v>
      </c>
      <c r="AO49" s="58">
        <v>77</v>
      </c>
      <c r="AP49" s="58">
        <v>153</v>
      </c>
      <c r="AQ49" s="59">
        <v>0.108509149614</v>
      </c>
      <c r="AR49" s="58">
        <v>77</v>
      </c>
      <c r="AS49" s="58">
        <v>153</v>
      </c>
      <c r="AT49" s="59">
        <v>0.107872374981</v>
      </c>
    </row>
    <row r="50" ht="20.05" customHeight="1">
      <c r="AK50" t="s" s="12">
        <v>69</v>
      </c>
      <c r="AL50" s="57">
        <v>85</v>
      </c>
      <c r="AM50" s="58">
        <v>142</v>
      </c>
      <c r="AN50" s="59">
        <v>0.137513468362</v>
      </c>
      <c r="AO50" s="58">
        <v>98</v>
      </c>
      <c r="AP50" s="58">
        <v>125</v>
      </c>
      <c r="AQ50" s="59">
        <v>0.155346925676</v>
      </c>
      <c r="AR50" s="58">
        <v>117</v>
      </c>
      <c r="AS50" s="58">
        <v>124</v>
      </c>
      <c r="AT50" s="59">
        <v>0.224646433905</v>
      </c>
    </row>
    <row r="51" ht="20.05" customHeight="1">
      <c r="AK51" t="s" s="12">
        <v>63</v>
      </c>
      <c r="AL51" s="57">
        <v>75</v>
      </c>
      <c r="AM51" s="58">
        <v>154</v>
      </c>
      <c r="AN51" s="59">
        <v>0.106539937338</v>
      </c>
      <c r="AO51" s="58">
        <v>74</v>
      </c>
      <c r="AP51" s="58">
        <v>158</v>
      </c>
      <c r="AQ51" s="59">
        <v>0.100000901912</v>
      </c>
      <c r="AR51" s="58">
        <v>71</v>
      </c>
      <c r="AS51" s="58">
        <v>156</v>
      </c>
      <c r="AT51" s="59">
        <v>0.095599795480</v>
      </c>
    </row>
    <row r="52" ht="20.05" customHeight="1">
      <c r="AK52" t="s" s="12">
        <v>63</v>
      </c>
      <c r="AL52" s="57">
        <v>77</v>
      </c>
      <c r="AM52" s="58">
        <v>153</v>
      </c>
      <c r="AN52" s="59">
        <v>0.113991123324</v>
      </c>
      <c r="AO52" s="58">
        <v>75</v>
      </c>
      <c r="AP52" s="58">
        <v>156</v>
      </c>
      <c r="AQ52" s="59">
        <v>0.101993747589</v>
      </c>
      <c r="AR52" s="58">
        <v>72</v>
      </c>
      <c r="AS52" s="58">
        <v>155</v>
      </c>
      <c r="AT52" s="59">
        <v>0.09551237289099999</v>
      </c>
    </row>
    <row r="53" ht="316.8" customHeight="1">
      <c r="AK53" s="60"/>
      <c r="AL53" s="61"/>
      <c r="AM53" s="42"/>
      <c r="AN53" s="42"/>
      <c r="AO53" s="42"/>
      <c r="AP53" s="42"/>
      <c r="AQ53" s="42"/>
      <c r="AR53" s="42"/>
      <c r="AS53" s="42"/>
      <c r="AT53" s="42"/>
    </row>
    <row r="55" ht="27.65" customHeight="1">
      <c r="AU55" t="s" s="2">
        <v>70</v>
      </c>
      <c r="AV55" s="2"/>
      <c r="AW55" s="2"/>
      <c r="AX55" s="2"/>
      <c r="AY55" s="2"/>
      <c r="AZ55" s="2"/>
      <c r="BA55" s="2"/>
      <c r="BB55" s="2"/>
      <c r="BC55" s="2"/>
      <c r="BD55" s="2"/>
    </row>
    <row r="56" ht="20.05" customHeight="1">
      <c r="AU56" s="37"/>
      <c r="AV56" t="s" s="48">
        <v>49</v>
      </c>
      <c r="AW56" s="37"/>
      <c r="AX56" s="37"/>
      <c r="AY56" t="s" s="48">
        <v>50</v>
      </c>
      <c r="AZ56" s="37"/>
      <c r="BA56" s="37"/>
      <c r="BB56" t="s" s="48">
        <v>51</v>
      </c>
      <c r="BC56" s="37"/>
      <c r="BD56" s="37"/>
    </row>
    <row r="57" ht="20.25" customHeight="1">
      <c r="AU57" t="s" s="4">
        <v>53</v>
      </c>
      <c r="AV57" t="s" s="4">
        <v>54</v>
      </c>
      <c r="AW57" t="s" s="4">
        <v>55</v>
      </c>
      <c r="AX57" t="s" s="4">
        <v>56</v>
      </c>
      <c r="AY57" t="s" s="4">
        <v>54</v>
      </c>
      <c r="AZ57" t="s" s="4">
        <v>55</v>
      </c>
      <c r="BA57" t="s" s="4">
        <v>56</v>
      </c>
      <c r="BB57" t="s" s="4">
        <v>54</v>
      </c>
      <c r="BC57" t="s" s="4">
        <v>55</v>
      </c>
      <c r="BD57" t="s" s="4">
        <v>56</v>
      </c>
    </row>
    <row r="58" ht="20.25" customHeight="1">
      <c r="AU58" t="s" s="6">
        <v>57</v>
      </c>
      <c r="AV58" s="54">
        <v>76</v>
      </c>
      <c r="AW58" s="55">
        <v>162</v>
      </c>
      <c r="AX58" s="56">
        <v>0.099615177665</v>
      </c>
      <c r="AY58" s="9">
        <v>70</v>
      </c>
      <c r="AZ58" s="9">
        <v>166</v>
      </c>
      <c r="BA58" s="56">
        <v>0.092800083181</v>
      </c>
      <c r="BB58" s="9">
        <v>72</v>
      </c>
      <c r="BC58" s="9">
        <v>163</v>
      </c>
      <c r="BD58" s="56">
        <v>0.094271244489</v>
      </c>
    </row>
    <row r="59" ht="20.05" customHeight="1">
      <c r="AU59" t="s" s="12">
        <v>57</v>
      </c>
      <c r="AV59" s="57">
        <v>77</v>
      </c>
      <c r="AW59" s="58">
        <v>161</v>
      </c>
      <c r="AX59" s="59">
        <v>0.101781860831</v>
      </c>
      <c r="AY59" s="15">
        <v>73</v>
      </c>
      <c r="AZ59" s="15">
        <v>165</v>
      </c>
      <c r="BA59" s="59">
        <v>0.095405532371</v>
      </c>
      <c r="BB59" s="15">
        <v>73</v>
      </c>
      <c r="BC59" s="15">
        <v>165</v>
      </c>
      <c r="BD59" s="59">
        <v>0.094774311587</v>
      </c>
    </row>
    <row r="60" ht="20.05" customHeight="1">
      <c r="AU60" t="s" s="12">
        <v>58</v>
      </c>
      <c r="AV60" s="57">
        <v>78</v>
      </c>
      <c r="AW60" s="58">
        <v>159</v>
      </c>
      <c r="AX60" s="59">
        <v>0.109109264755</v>
      </c>
      <c r="AY60" s="15">
        <v>80</v>
      </c>
      <c r="AZ60" s="15">
        <v>158</v>
      </c>
      <c r="BA60" s="59">
        <v>0.108328707850</v>
      </c>
      <c r="BB60" s="58">
        <v>80</v>
      </c>
      <c r="BC60" s="58">
        <v>158</v>
      </c>
      <c r="BD60" s="59">
        <v>0.106493100711</v>
      </c>
    </row>
    <row r="61" ht="20.05" customHeight="1">
      <c r="AU61" t="s" s="12">
        <v>59</v>
      </c>
      <c r="AV61" s="57">
        <v>70</v>
      </c>
      <c r="AW61" s="58">
        <v>166</v>
      </c>
      <c r="AX61" s="59">
        <v>0.096109858395</v>
      </c>
      <c r="AY61" s="58">
        <v>77</v>
      </c>
      <c r="AZ61" s="58">
        <v>159</v>
      </c>
      <c r="BA61" s="59">
        <v>0.106282442910</v>
      </c>
      <c r="BB61" s="58">
        <v>77</v>
      </c>
      <c r="BC61" s="58">
        <v>159</v>
      </c>
      <c r="BD61" s="59">
        <v>0.106520009054</v>
      </c>
    </row>
    <row r="62" ht="20.05" customHeight="1">
      <c r="AU62" t="s" s="12">
        <v>69</v>
      </c>
      <c r="AV62" s="57">
        <v>89</v>
      </c>
      <c r="AW62" s="58">
        <v>145</v>
      </c>
      <c r="AX62" s="59">
        <v>0.136890790151</v>
      </c>
      <c r="AY62" s="58">
        <v>103</v>
      </c>
      <c r="AZ62" s="58">
        <v>128</v>
      </c>
      <c r="BA62" s="59">
        <v>0.165507631380</v>
      </c>
      <c r="BB62" s="58">
        <v>119</v>
      </c>
      <c r="BC62" s="58">
        <v>128</v>
      </c>
      <c r="BD62" s="59">
        <v>0.217578138074</v>
      </c>
    </row>
    <row r="63" ht="20.05" customHeight="1">
      <c r="AU63" t="s" s="12">
        <v>63</v>
      </c>
      <c r="AV63" s="57">
        <v>79</v>
      </c>
      <c r="AW63" s="58">
        <v>160</v>
      </c>
      <c r="AX63" s="59">
        <v>0.109627808092</v>
      </c>
      <c r="AY63" s="58">
        <v>75</v>
      </c>
      <c r="AZ63" s="58">
        <v>162</v>
      </c>
      <c r="BA63" s="59">
        <v>0.100941328877</v>
      </c>
      <c r="BB63" s="58">
        <v>74</v>
      </c>
      <c r="BC63" s="58">
        <v>164</v>
      </c>
      <c r="BD63" s="59">
        <v>0.09683852222600001</v>
      </c>
    </row>
    <row r="64" ht="20.05" customHeight="1">
      <c r="AU64" t="s" s="12">
        <v>63</v>
      </c>
      <c r="AV64" s="57">
        <v>80</v>
      </c>
      <c r="AW64" s="58">
        <v>158</v>
      </c>
      <c r="AX64" s="59">
        <v>0.113537217410</v>
      </c>
      <c r="AY64" s="58">
        <v>76</v>
      </c>
      <c r="AZ64" s="58">
        <v>163</v>
      </c>
      <c r="BA64" s="59">
        <v>0.100966697391</v>
      </c>
      <c r="BB64" s="58">
        <v>75</v>
      </c>
      <c r="BC64" s="58">
        <v>166</v>
      </c>
      <c r="BD64" s="59">
        <v>0.096776528064</v>
      </c>
    </row>
    <row r="65" ht="361.7" customHeight="1">
      <c r="AU65" s="60"/>
      <c r="AV65" s="61"/>
      <c r="AW65" s="42"/>
      <c r="AX65" s="42"/>
      <c r="AY65" s="42"/>
      <c r="AZ65" s="42"/>
      <c r="BA65" s="42"/>
      <c r="BB65" s="42"/>
      <c r="BC65" s="42"/>
      <c r="BD65" s="42"/>
    </row>
  </sheetData>
  <mergeCells count="39">
    <mergeCell ref="A1:M1"/>
    <mergeCell ref="E2:G2"/>
    <mergeCell ref="H2:J2"/>
    <mergeCell ref="K2:M2"/>
    <mergeCell ref="E13:G13"/>
    <mergeCell ref="H13:J13"/>
    <mergeCell ref="K13:M13"/>
    <mergeCell ref="B2:D2"/>
    <mergeCell ref="B13:D13"/>
    <mergeCell ref="N15:Z15"/>
    <mergeCell ref="R16:T16"/>
    <mergeCell ref="U16:W16"/>
    <mergeCell ref="X16:Z16"/>
    <mergeCell ref="R27:T27"/>
    <mergeCell ref="U27:W27"/>
    <mergeCell ref="X27:Z27"/>
    <mergeCell ref="O27:Q27"/>
    <mergeCell ref="O16:Q16"/>
    <mergeCell ref="AA29:AJ29"/>
    <mergeCell ref="AE30:AG30"/>
    <mergeCell ref="AH30:AJ30"/>
    <mergeCell ref="AB30:AD30"/>
    <mergeCell ref="AE41:AG41"/>
    <mergeCell ref="AB41:AD41"/>
    <mergeCell ref="AH41:AJ41"/>
    <mergeCell ref="AK43:AT43"/>
    <mergeCell ref="AO44:AQ44"/>
    <mergeCell ref="AR44:AT44"/>
    <mergeCell ref="AL44:AN44"/>
    <mergeCell ref="AL53:AN53"/>
    <mergeCell ref="AO53:AQ53"/>
    <mergeCell ref="AR53:AT53"/>
    <mergeCell ref="AU55:BD55"/>
    <mergeCell ref="AY56:BA56"/>
    <mergeCell ref="BB56:BD56"/>
    <mergeCell ref="AV56:AX56"/>
    <mergeCell ref="AV65:AX65"/>
    <mergeCell ref="AY65:BA65"/>
    <mergeCell ref="BB65:BD65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dimension ref="A2:Z26"/>
  <sheetViews>
    <sheetView workbookViewId="0" showGridLines="0" defaultGridColor="1">
      <pane topLeftCell="B4" xSplit="1" ySplit="3" activePane="bottomRight" state="frozen"/>
    </sheetView>
  </sheetViews>
  <sheetFormatPr defaultColWidth="16.3333" defaultRowHeight="19.9" customHeight="1" outlineLevelRow="0" outlineLevelCol="0"/>
  <cols>
    <col min="1" max="1" width="17.8281" style="66" customWidth="1"/>
    <col min="2" max="3" width="6.15625" style="66" customWidth="1"/>
    <col min="4" max="4" width="52.8906" style="66" customWidth="1"/>
    <col min="5" max="5" width="6.15625" style="66" customWidth="1"/>
    <col min="6" max="6" width="6.20312" style="66" customWidth="1"/>
    <col min="7" max="7" width="61.9297" style="66" customWidth="1"/>
    <col min="8" max="8" width="4.57812" style="66" customWidth="1"/>
    <col min="9" max="9" width="5.3125" style="66" customWidth="1"/>
    <col min="10" max="10" width="66.7734" style="66" customWidth="1"/>
    <col min="11" max="11" width="4.57812" style="66" customWidth="1"/>
    <col min="12" max="12" width="8.17188" style="66" customWidth="1"/>
    <col min="13" max="13" width="71.7344" style="66" customWidth="1"/>
    <col min="14" max="14" width="17.8281" style="67" customWidth="1"/>
    <col min="15" max="15" width="6.15625" style="67" customWidth="1"/>
    <col min="16" max="16" width="6.20312" style="67" customWidth="1"/>
    <col min="17" max="17" width="52.5547" style="67" customWidth="1"/>
    <col min="18" max="18" width="4.57812" style="67" customWidth="1"/>
    <col min="19" max="19" width="5.3125" style="67" customWidth="1"/>
    <col min="20" max="20" width="64.3906" style="67" customWidth="1"/>
    <col min="21" max="21" width="4.57812" style="67" customWidth="1"/>
    <col min="22" max="22" width="8.17188" style="67" customWidth="1"/>
    <col min="23" max="23" width="63.9531" style="67" customWidth="1"/>
    <col min="24" max="24" width="4.00781" style="67" customWidth="1"/>
    <col min="25" max="25" width="4.40625" style="67" customWidth="1"/>
    <col min="26" max="26" width="76.1016" style="67" customWidth="1"/>
    <col min="27" max="16384" width="16.3516" style="67" customWidth="1"/>
  </cols>
  <sheetData>
    <row r="1" ht="27.65" customHeight="1">
      <c r="A1" t="s" s="2">
        <v>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0.05" customHeight="1">
      <c r="A2" s="37"/>
      <c r="B2" t="s" s="48">
        <v>49</v>
      </c>
      <c r="C2" s="37"/>
      <c r="D2" s="37"/>
      <c r="E2" t="s" s="48">
        <v>50</v>
      </c>
      <c r="F2" s="37"/>
      <c r="G2" s="37"/>
      <c r="H2" t="s" s="48">
        <v>51</v>
      </c>
      <c r="I2" s="37"/>
      <c r="J2" s="37"/>
      <c r="K2" t="s" s="48">
        <v>52</v>
      </c>
      <c r="L2" s="37"/>
      <c r="M2" s="37"/>
    </row>
    <row r="3" ht="20.25" customHeight="1">
      <c r="A3" t="s" s="4">
        <v>53</v>
      </c>
      <c r="B3" t="s" s="4">
        <v>54</v>
      </c>
      <c r="C3" t="s" s="4">
        <v>55</v>
      </c>
      <c r="D3" t="s" s="4">
        <v>56</v>
      </c>
      <c r="E3" t="s" s="4">
        <v>54</v>
      </c>
      <c r="F3" t="s" s="4">
        <v>55</v>
      </c>
      <c r="G3" t="s" s="4">
        <v>56</v>
      </c>
      <c r="H3" t="s" s="4">
        <v>54</v>
      </c>
      <c r="I3" t="s" s="4">
        <v>55</v>
      </c>
      <c r="J3" t="s" s="4">
        <v>56</v>
      </c>
      <c r="K3" t="s" s="4">
        <v>54</v>
      </c>
      <c r="L3" t="s" s="4">
        <v>55</v>
      </c>
      <c r="M3" t="s" s="4">
        <v>56</v>
      </c>
    </row>
    <row r="4" ht="20.25" customHeight="1">
      <c r="A4" t="s" s="6">
        <v>57</v>
      </c>
      <c r="B4" s="54">
        <v>98</v>
      </c>
      <c r="C4" s="55">
        <v>171</v>
      </c>
      <c r="D4" s="56">
        <v>0.060732126744</v>
      </c>
      <c r="E4" s="55">
        <v>98</v>
      </c>
      <c r="F4" s="55">
        <v>172</v>
      </c>
      <c r="G4" s="56">
        <v>0.057651937782</v>
      </c>
      <c r="H4" s="55">
        <v>97</v>
      </c>
      <c r="I4" s="55">
        <v>182</v>
      </c>
      <c r="J4" s="56">
        <v>0.053438495040</v>
      </c>
      <c r="K4" s="55"/>
      <c r="L4" s="55"/>
      <c r="M4" s="56"/>
    </row>
    <row r="5" ht="20.05" customHeight="1">
      <c r="A5" t="s" s="12">
        <v>57</v>
      </c>
      <c r="B5" s="57">
        <v>100</v>
      </c>
      <c r="C5" s="58">
        <v>177</v>
      </c>
      <c r="D5" s="59">
        <v>0.057050729961</v>
      </c>
      <c r="E5" s="58">
        <v>99</v>
      </c>
      <c r="F5" s="58">
        <v>180</v>
      </c>
      <c r="G5" s="59">
        <v>0.054084309684</v>
      </c>
      <c r="H5" s="58">
        <v>98</v>
      </c>
      <c r="I5" s="58">
        <v>173</v>
      </c>
      <c r="J5" s="59">
        <v>0.057758472105</v>
      </c>
      <c r="K5" s="58"/>
      <c r="L5" s="58"/>
      <c r="M5" s="59"/>
    </row>
    <row r="6" ht="20.05" customHeight="1">
      <c r="A6" t="s" s="12">
        <v>58</v>
      </c>
      <c r="B6" s="57">
        <v>73</v>
      </c>
      <c r="C6" s="58">
        <v>178</v>
      </c>
      <c r="D6" s="59">
        <v>0.059499078407</v>
      </c>
      <c r="E6" s="58">
        <v>77</v>
      </c>
      <c r="F6" s="58">
        <v>171</v>
      </c>
      <c r="G6" s="59">
        <v>0.061532618621</v>
      </c>
      <c r="H6" s="58">
        <v>76</v>
      </c>
      <c r="I6" s="58">
        <v>171</v>
      </c>
      <c r="J6" s="59">
        <v>0.060887285077</v>
      </c>
      <c r="K6" s="58"/>
      <c r="L6" s="58"/>
      <c r="M6" s="59"/>
    </row>
    <row r="7" ht="20.05" customHeight="1">
      <c r="A7" t="s" s="12">
        <v>59</v>
      </c>
      <c r="B7" s="57">
        <v>67</v>
      </c>
      <c r="C7" s="58">
        <v>150</v>
      </c>
      <c r="D7" s="59">
        <v>0.089824004505</v>
      </c>
      <c r="E7" s="58">
        <v>80</v>
      </c>
      <c r="F7" s="58">
        <v>139</v>
      </c>
      <c r="G7" s="59">
        <v>0.112461477381</v>
      </c>
      <c r="H7" s="58">
        <v>80</v>
      </c>
      <c r="I7" s="58">
        <v>139</v>
      </c>
      <c r="J7" s="59">
        <v>0.114330811018</v>
      </c>
      <c r="K7" s="58"/>
      <c r="L7" s="58"/>
      <c r="M7" s="59"/>
    </row>
    <row r="8" ht="20.05" customHeight="1">
      <c r="A8" t="s" s="12">
        <v>60</v>
      </c>
      <c r="B8" s="57">
        <v>99</v>
      </c>
      <c r="C8" s="58">
        <v>121</v>
      </c>
      <c r="D8" s="59">
        <v>0.159641451511</v>
      </c>
      <c r="E8" s="58">
        <v>111</v>
      </c>
      <c r="F8" s="58">
        <v>120</v>
      </c>
      <c r="G8" s="59">
        <v>0.186399939075</v>
      </c>
      <c r="H8" s="58">
        <v>111</v>
      </c>
      <c r="I8" s="58">
        <v>120</v>
      </c>
      <c r="J8" s="59">
        <v>0.281909093114</v>
      </c>
      <c r="K8" s="42"/>
      <c r="L8" s="42"/>
      <c r="M8" s="42"/>
    </row>
    <row r="9" ht="20.05" customHeight="1">
      <c r="A9" t="s" s="12">
        <v>62</v>
      </c>
      <c r="B9" s="57">
        <v>112</v>
      </c>
      <c r="C9" s="58">
        <v>119</v>
      </c>
      <c r="D9" s="59">
        <v>0.260458891108</v>
      </c>
      <c r="E9" s="58">
        <v>114</v>
      </c>
      <c r="F9" s="58">
        <v>116</v>
      </c>
      <c r="G9" s="59">
        <v>0.311435029378</v>
      </c>
      <c r="H9" s="58">
        <v>114</v>
      </c>
      <c r="I9" s="58">
        <v>116</v>
      </c>
      <c r="J9" s="59">
        <v>0.327462407632</v>
      </c>
      <c r="K9" s="42"/>
      <c r="L9" s="42"/>
      <c r="M9" s="42"/>
    </row>
    <row r="10" ht="20.05" customHeight="1">
      <c r="A10" t="s" s="12">
        <v>62</v>
      </c>
      <c r="B10" s="57">
        <v>82</v>
      </c>
      <c r="C10" s="58">
        <v>176</v>
      </c>
      <c r="D10" s="59">
        <v>0.077838897612</v>
      </c>
      <c r="E10" s="58">
        <v>90</v>
      </c>
      <c r="F10" s="58">
        <v>116</v>
      </c>
      <c r="G10" s="59">
        <v>0.082627066703</v>
      </c>
      <c r="H10" s="58">
        <v>99</v>
      </c>
      <c r="I10" s="58">
        <v>116</v>
      </c>
      <c r="J10" s="59">
        <v>0.097852547320</v>
      </c>
      <c r="K10" s="42"/>
      <c r="L10" s="42"/>
      <c r="M10" s="42"/>
    </row>
    <row r="11" ht="20.05" customHeight="1">
      <c r="A11" t="s" s="12">
        <v>63</v>
      </c>
      <c r="B11" s="57">
        <v>68</v>
      </c>
      <c r="C11" s="58">
        <v>155</v>
      </c>
      <c r="D11" s="59">
        <v>0.09006355579899999</v>
      </c>
      <c r="E11" s="58">
        <v>66</v>
      </c>
      <c r="F11" s="58">
        <v>158</v>
      </c>
      <c r="G11" s="59">
        <v>0.084575251524</v>
      </c>
      <c r="H11" s="58">
        <v>74</v>
      </c>
      <c r="I11" s="58">
        <v>146</v>
      </c>
      <c r="J11" s="59">
        <v>0.097475398031</v>
      </c>
      <c r="K11" s="58"/>
      <c r="L11" s="58"/>
      <c r="M11" s="59"/>
    </row>
    <row r="12" ht="20.05" customHeight="1">
      <c r="A12" t="s" s="12">
        <v>63</v>
      </c>
      <c r="B12" s="57">
        <v>71</v>
      </c>
      <c r="C12" s="58">
        <v>156</v>
      </c>
      <c r="D12" s="59">
        <v>0.086062505990</v>
      </c>
      <c r="E12" s="58">
        <v>67</v>
      </c>
      <c r="F12" s="58">
        <v>153</v>
      </c>
      <c r="G12" s="59">
        <v>0.085380271360</v>
      </c>
      <c r="H12" s="58">
        <v>63</v>
      </c>
      <c r="I12" s="58">
        <v>168</v>
      </c>
      <c r="J12" s="59">
        <v>0.079872227357</v>
      </c>
      <c r="K12" s="58"/>
      <c r="L12" s="58"/>
      <c r="M12" s="59"/>
    </row>
    <row r="13" ht="329" customHeight="1">
      <c r="A13" s="60"/>
      <c r="B13" s="61"/>
      <c r="C13" s="42"/>
      <c r="D13" s="42"/>
      <c r="E13" s="42"/>
      <c r="F13" s="42"/>
      <c r="G13" s="42"/>
      <c r="H13" s="42"/>
      <c r="I13" s="42"/>
      <c r="J13" s="42"/>
      <c r="K13" s="58"/>
      <c r="L13" s="58"/>
      <c r="M13" s="59"/>
    </row>
    <row r="15" ht="27.65" customHeight="1">
      <c r="N15" t="s" s="2">
        <v>64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0.05" customHeight="1">
      <c r="N16" s="37"/>
      <c r="O16" t="s" s="48">
        <v>65</v>
      </c>
      <c r="P16" s="37"/>
      <c r="Q16" s="37"/>
      <c r="R16" t="s" s="48">
        <v>50</v>
      </c>
      <c r="S16" s="37"/>
      <c r="T16" s="37"/>
      <c r="U16" t="s" s="48">
        <v>66</v>
      </c>
      <c r="V16" s="37"/>
      <c r="W16" s="37"/>
      <c r="X16" t="s" s="48">
        <v>52</v>
      </c>
      <c r="Y16" s="37"/>
      <c r="Z16" s="37"/>
    </row>
    <row r="17" ht="20.25" customHeight="1">
      <c r="N17" t="s" s="4">
        <v>53</v>
      </c>
      <c r="O17" t="s" s="4">
        <v>54</v>
      </c>
      <c r="P17" t="s" s="4">
        <v>55</v>
      </c>
      <c r="Q17" t="s" s="4">
        <v>56</v>
      </c>
      <c r="R17" t="s" s="4">
        <v>54</v>
      </c>
      <c r="S17" t="s" s="4">
        <v>55</v>
      </c>
      <c r="T17" t="s" s="4">
        <v>56</v>
      </c>
      <c r="U17" t="s" s="4">
        <v>54</v>
      </c>
      <c r="V17" t="s" s="4">
        <v>55</v>
      </c>
      <c r="W17" t="s" s="4">
        <v>56</v>
      </c>
      <c r="X17" t="s" s="4">
        <v>54</v>
      </c>
      <c r="Y17" t="s" s="4">
        <v>55</v>
      </c>
      <c r="Z17" t="s" s="4">
        <v>56</v>
      </c>
    </row>
    <row r="18" ht="20.25" customHeight="1">
      <c r="N18" t="s" s="6">
        <v>57</v>
      </c>
      <c r="O18" s="54"/>
      <c r="P18" s="55"/>
      <c r="Q18" s="56"/>
      <c r="R18" s="55"/>
      <c r="S18" s="55"/>
      <c r="T18" s="56"/>
      <c r="U18" s="55"/>
      <c r="V18" s="55"/>
      <c r="W18" s="56"/>
      <c r="X18" s="55"/>
      <c r="Y18" s="55"/>
      <c r="Z18" s="56"/>
    </row>
    <row r="19" ht="20.05" customHeight="1">
      <c r="N19" t="s" s="12">
        <v>57</v>
      </c>
      <c r="O19" s="57"/>
      <c r="P19" s="58"/>
      <c r="Q19" s="59"/>
      <c r="R19" s="58"/>
      <c r="S19" s="58"/>
      <c r="T19" s="59"/>
      <c r="U19" s="58"/>
      <c r="V19" s="58"/>
      <c r="W19" s="59"/>
      <c r="X19" s="58"/>
      <c r="Y19" s="58"/>
      <c r="Z19" s="59"/>
    </row>
    <row r="20" ht="20.05" customHeight="1">
      <c r="N20" t="s" s="12">
        <v>58</v>
      </c>
      <c r="O20" s="57"/>
      <c r="P20" s="58"/>
      <c r="Q20" s="59"/>
      <c r="R20" s="58"/>
      <c r="S20" s="58"/>
      <c r="T20" s="59"/>
      <c r="U20" s="58"/>
      <c r="V20" s="58"/>
      <c r="W20" s="59"/>
      <c r="X20" s="58"/>
      <c r="Y20" s="58"/>
      <c r="Z20" s="59"/>
    </row>
    <row r="21" ht="20.05" customHeight="1">
      <c r="N21" t="s" s="12">
        <v>59</v>
      </c>
      <c r="O21" s="61"/>
      <c r="P21" s="42"/>
      <c r="Q21" s="59"/>
      <c r="R21" s="58"/>
      <c r="S21" s="58"/>
      <c r="T21" s="59"/>
      <c r="U21" s="58"/>
      <c r="V21" s="58"/>
      <c r="W21" s="59"/>
      <c r="X21" s="58"/>
      <c r="Y21" s="58"/>
      <c r="Z21" s="59"/>
    </row>
    <row r="22" ht="20.05" customHeight="1">
      <c r="N22" t="s" s="12">
        <v>60</v>
      </c>
      <c r="O22" s="61"/>
      <c r="P22" s="42"/>
      <c r="Q22" s="59"/>
      <c r="R22" s="58"/>
      <c r="S22" s="58"/>
      <c r="T22" s="59"/>
      <c r="U22" s="58"/>
      <c r="V22" s="58"/>
      <c r="W22" s="59"/>
      <c r="X22" s="42"/>
      <c r="Y22" s="42"/>
      <c r="Z22" s="59"/>
    </row>
    <row r="23" ht="20.05" customHeight="1">
      <c r="N23" t="s" s="12">
        <v>62</v>
      </c>
      <c r="O23" s="61"/>
      <c r="P23" s="42"/>
      <c r="Q23" s="59"/>
      <c r="R23" s="58"/>
      <c r="S23" s="58"/>
      <c r="T23" s="59"/>
      <c r="U23" s="58"/>
      <c r="V23" s="58"/>
      <c r="W23" s="59"/>
      <c r="X23" s="42"/>
      <c r="Y23" s="42"/>
      <c r="Z23" s="59"/>
    </row>
    <row r="24" ht="20.05" customHeight="1">
      <c r="N24" t="s" s="12">
        <v>62</v>
      </c>
      <c r="O24" s="61"/>
      <c r="P24" s="42"/>
      <c r="Q24" s="59"/>
      <c r="R24" s="58"/>
      <c r="S24" s="58"/>
      <c r="T24" s="59"/>
      <c r="U24" s="58"/>
      <c r="V24" s="58"/>
      <c r="W24" s="59"/>
      <c r="X24" s="42"/>
      <c r="Y24" s="42"/>
      <c r="Z24" s="59"/>
    </row>
    <row r="25" ht="20.05" customHeight="1">
      <c r="N25" t="s" s="12">
        <v>63</v>
      </c>
      <c r="O25" s="61"/>
      <c r="P25" s="42"/>
      <c r="Q25" s="59"/>
      <c r="R25" s="58"/>
      <c r="S25" s="58"/>
      <c r="T25" s="59"/>
      <c r="U25" s="58"/>
      <c r="V25" s="58"/>
      <c r="W25" s="59"/>
      <c r="X25" s="58"/>
      <c r="Y25" s="58"/>
      <c r="Z25" s="59"/>
    </row>
    <row r="26" ht="20.05" customHeight="1">
      <c r="N26" t="s" s="12">
        <v>63</v>
      </c>
      <c r="O26" s="61"/>
      <c r="P26" s="42"/>
      <c r="Q26" s="59"/>
      <c r="R26" s="58"/>
      <c r="S26" s="58"/>
      <c r="T26" s="59"/>
      <c r="U26" s="58"/>
      <c r="V26" s="58"/>
      <c r="W26" s="59"/>
      <c r="X26" s="58"/>
      <c r="Y26" s="58"/>
      <c r="Z26" s="59"/>
    </row>
  </sheetData>
  <mergeCells count="13">
    <mergeCell ref="A1:M1"/>
    <mergeCell ref="E2:G2"/>
    <mergeCell ref="H2:J2"/>
    <mergeCell ref="K2:M2"/>
    <mergeCell ref="B2:D2"/>
    <mergeCell ref="B13:D13"/>
    <mergeCell ref="E13:G13"/>
    <mergeCell ref="H13:J13"/>
    <mergeCell ref="N15:Z15"/>
    <mergeCell ref="R16:T16"/>
    <mergeCell ref="U16:W16"/>
    <mergeCell ref="X16:Z16"/>
    <mergeCell ref="O16:Q16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