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Bond distances" sheetId="1" r:id="rId4"/>
    <sheet name="BP86" sheetId="2" r:id="rId5"/>
    <sheet name="B3LYP" sheetId="3" r:id="rId6"/>
    <sheet name="BHLYP" sheetId="4" r:id="rId7"/>
    <sheet name="DFT statistics" sheetId="5" r:id="rId8"/>
  </sheets>
</workbook>
</file>

<file path=xl/sharedStrings.xml><?xml version="1.0" encoding="utf-8"?>
<sst xmlns="http://schemas.openxmlformats.org/spreadsheetml/2006/main" uniqueCount="48">
  <si>
    <t>Bond distances for all investigated structures modelled using three relaxation schemes: fully relaxed (FR) and partially relaxed (PR).</t>
  </si>
  <si>
    <t>Mo-X</t>
  </si>
  <si>
    <t>Mo-S2</t>
  </si>
  <si>
    <t>Mo-S3</t>
  </si>
  <si>
    <t>Mo-S4</t>
  </si>
  <si>
    <t>Mo-S5</t>
  </si>
  <si>
    <t>Mo-O</t>
  </si>
  <si>
    <t>FR Moco(C)—DMSO</t>
  </si>
  <si>
    <t>Moco(C)</t>
  </si>
  <si>
    <t>TS1</t>
  </si>
  <si>
    <t>IM</t>
  </si>
  <si>
    <t>TS2</t>
  </si>
  <si>
    <t>Moco(C)-O</t>
  </si>
  <si>
    <t>FR Moco(D)—DMSO</t>
  </si>
  <si>
    <t>Moco(D)</t>
  </si>
  <si>
    <t>Moco(D)-O</t>
  </si>
  <si>
    <t>FR Moco(S)—DMSO</t>
  </si>
  <si>
    <t>Moco(S)</t>
  </si>
  <si>
    <t>Moco(S)-O</t>
  </si>
  <si>
    <t>FR Moco(C)—NO3-</t>
  </si>
  <si>
    <t>FR Moco(D)—NO3-</t>
  </si>
  <si>
    <t>FR Moco(S)—NO3-</t>
  </si>
  <si>
    <t>PR Moco(C)—DMSO</t>
  </si>
  <si>
    <t>PR Moco(D)—DMSO</t>
  </si>
  <si>
    <t>PR Moco(C)—NO3-</t>
  </si>
  <si>
    <t>PR Moco(D)—NO3-</t>
  </si>
  <si>
    <t>BP86</t>
  </si>
  <si>
    <t>DMSO</t>
  </si>
  <si>
    <t>NO3</t>
  </si>
  <si>
    <t>DMS</t>
  </si>
  <si>
    <t>NO2</t>
  </si>
  <si>
    <t>FR</t>
  </si>
  <si>
    <t>Moco(S)-DMSO</t>
  </si>
  <si>
    <t>Moco(C)-DMSO</t>
  </si>
  <si>
    <t>Moco(D)-DMSO</t>
  </si>
  <si>
    <t>Moco(S)-NO3-</t>
  </si>
  <si>
    <t>Moco(C)-NO3</t>
  </si>
  <si>
    <t>Mo-Asp-NO3</t>
  </si>
  <si>
    <t>Moco</t>
  </si>
  <si>
    <t>Moco-O</t>
  </si>
  <si>
    <t>PR</t>
  </si>
  <si>
    <t>Moco(D)-NO3</t>
  </si>
  <si>
    <t>B3LYP</t>
  </si>
  <si>
    <t>Statistical analysis for the DFT results</t>
  </si>
  <si>
    <t>BHLYP</t>
  </si>
  <si>
    <t xml:space="preserve">ME </t>
  </si>
  <si>
    <t>SD</t>
  </si>
  <si>
    <t>MAD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</si>
</sst>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0.0"/>
  </numFmts>
  <fonts count="4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  <font>
      <sz val="11"/>
      <color indexed="8"/>
      <name val="Helvetica Neue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14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8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1"/>
      </right>
      <top style="thin">
        <color indexed="8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39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0" fontId="2" fillId="2" borderId="1" applyNumberFormat="0" applyFont="1" applyFill="1" applyBorder="1" applyAlignment="1" applyProtection="0">
      <alignment vertical="top" wrapText="1"/>
    </xf>
    <xf numFmtId="49" fontId="2" fillId="2" borderId="1" applyNumberFormat="1" applyFont="1" applyFill="1" applyBorder="1" applyAlignment="1" applyProtection="0">
      <alignment vertical="top" wrapText="1"/>
    </xf>
    <xf numFmtId="49" fontId="2" fillId="3" borderId="2" applyNumberFormat="1" applyFont="1" applyFill="1" applyBorder="1" applyAlignment="1" applyProtection="0">
      <alignment vertical="top" wrapText="1"/>
    </xf>
    <xf numFmtId="0" fontId="0" borderId="3" applyNumberFormat="0" applyFont="1" applyFill="0" applyBorder="1" applyAlignment="1" applyProtection="0">
      <alignment vertical="top" wrapText="1"/>
    </xf>
    <xf numFmtId="0" fontId="0" borderId="4" applyNumberFormat="0" applyFont="1" applyFill="0" applyBorder="1" applyAlignment="1" applyProtection="0">
      <alignment vertical="top" wrapText="1"/>
    </xf>
    <xf numFmtId="49" fontId="0" fillId="3" borderId="5" applyNumberFormat="1" applyFont="1" applyFill="1" applyBorder="1" applyAlignment="1" applyProtection="0">
      <alignment vertical="top" wrapText="1"/>
    </xf>
    <xf numFmtId="2" fontId="0" borderId="6" applyNumberFormat="1" applyFont="1" applyFill="0" applyBorder="1" applyAlignment="1" applyProtection="0">
      <alignment vertical="top" wrapText="1"/>
    </xf>
    <xf numFmtId="2" fontId="0" borderId="7" applyNumberFormat="1" applyFont="1" applyFill="0" applyBorder="1" applyAlignment="1" applyProtection="0">
      <alignment vertical="top" wrapText="1"/>
    </xf>
    <xf numFmtId="2" fontId="3" borderId="7" applyNumberFormat="1" applyFont="1" applyFill="0" applyBorder="1" applyAlignment="1" applyProtection="0">
      <alignment vertical="top" wrapText="1"/>
    </xf>
    <xf numFmtId="49" fontId="2" fillId="3" borderId="5" applyNumberFormat="1" applyFont="1" applyFill="1" applyBorder="1" applyAlignment="1" applyProtection="0">
      <alignment vertical="top" wrapText="1"/>
    </xf>
    <xf numFmtId="0" fontId="0" borderId="6" applyNumberFormat="0" applyFont="1" applyFill="0" applyBorder="1" applyAlignment="1" applyProtection="0">
      <alignment vertical="top" wrapText="1"/>
    </xf>
    <xf numFmtId="0" fontId="0" borderId="7" applyNumberFormat="0" applyFont="1" applyFill="0" applyBorder="1" applyAlignment="1" applyProtection="0">
      <alignment vertical="top" wrapText="1"/>
    </xf>
    <xf numFmtId="49" fontId="0" fillId="3" borderId="8" applyNumberFormat="1" applyFont="1" applyFill="1" applyBorder="1" applyAlignment="1" applyProtection="0">
      <alignment vertical="top" wrapText="1"/>
    </xf>
    <xf numFmtId="2" fontId="0" borderId="9" applyNumberFormat="1" applyFont="1" applyFill="0" applyBorder="1" applyAlignment="1" applyProtection="0">
      <alignment vertical="top" wrapText="1"/>
    </xf>
    <xf numFmtId="2" fontId="0" borderId="10" applyNumberFormat="1" applyFont="1" applyFill="0" applyBorder="1" applyAlignment="1" applyProtection="0">
      <alignment vertical="top" wrapText="1"/>
    </xf>
    <xf numFmtId="49" fontId="2" fillId="3" borderId="11" applyNumberFormat="1" applyFont="1" applyFill="1" applyBorder="1" applyAlignment="1" applyProtection="0">
      <alignment vertical="top" wrapText="1"/>
    </xf>
    <xf numFmtId="2" fontId="0" borderId="12" applyNumberFormat="1" applyFont="1" applyFill="0" applyBorder="1" applyAlignment="1" applyProtection="0">
      <alignment vertical="top" wrapText="1"/>
    </xf>
    <xf numFmtId="2" fontId="0" borderId="13" applyNumberFormat="1" applyFont="1" applyFill="0" applyBorder="1" applyAlignment="1" applyProtection="0">
      <alignment vertical="top" wrapText="1"/>
    </xf>
    <xf numFmtId="0" fontId="0" borderId="7" applyNumberFormat="1" applyFont="1" applyFill="0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borderId="3" applyNumberFormat="1" applyFont="1" applyFill="0" applyBorder="1" applyAlignment="1" applyProtection="0">
      <alignment vertical="top" wrapText="1"/>
    </xf>
    <xf numFmtId="49" fontId="2" borderId="4" applyNumberFormat="1" applyFont="1" applyFill="0" applyBorder="1" applyAlignment="1" applyProtection="0">
      <alignment vertical="top" wrapText="1"/>
    </xf>
    <xf numFmtId="0" fontId="0" borderId="4" applyNumberFormat="1" applyFont="1" applyFill="0" applyBorder="1" applyAlignment="1" applyProtection="0">
      <alignment vertical="top" wrapText="1"/>
    </xf>
    <xf numFmtId="0" fontId="0" borderId="6" applyNumberFormat="1" applyFont="1" applyFill="0" applyBorder="1" applyAlignment="1" applyProtection="0">
      <alignment vertical="top" wrapText="1"/>
    </xf>
    <xf numFmtId="49" fontId="2" borderId="7" applyNumberFormat="1" applyFont="1" applyFill="0" applyBorder="1" applyAlignment="1" applyProtection="0">
      <alignment vertical="top" wrapText="1"/>
    </xf>
    <xf numFmtId="0" fontId="2" fillId="3" borderId="5" applyNumberFormat="0" applyFont="1" applyFill="1" applyBorder="1" applyAlignment="1" applyProtection="0">
      <alignment vertical="top" wrapText="1"/>
    </xf>
    <xf numFmtId="49" fontId="2" borderId="6" applyNumberFormat="1" applyFont="1" applyFill="0" applyBorder="1" applyAlignment="1" applyProtection="0">
      <alignment vertical="top" wrapText="1"/>
    </xf>
    <xf numFmtId="0" fontId="0" fillId="4" borderId="6" applyNumberFormat="1" applyFont="1" applyFill="1" applyBorder="1" applyAlignment="1" applyProtection="0">
      <alignment vertical="top" wrapText="1"/>
    </xf>
    <xf numFmtId="0" fontId="0" fillId="4" borderId="7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59" fontId="0" borderId="3" applyNumberFormat="1" applyFont="1" applyFill="0" applyBorder="1" applyAlignment="1" applyProtection="0">
      <alignment vertical="top" wrapText="1"/>
    </xf>
    <xf numFmtId="59" fontId="0" borderId="4" applyNumberFormat="1" applyFont="1" applyFill="0" applyBorder="1" applyAlignment="1" applyProtection="0">
      <alignment vertical="top" wrapText="1"/>
    </xf>
    <xf numFmtId="59" fontId="0" borderId="6" applyNumberFormat="1" applyFont="1" applyFill="0" applyBorder="1" applyAlignment="1" applyProtection="0">
      <alignment vertical="top" wrapText="1"/>
    </xf>
    <xf numFmtId="59" fontId="0" borderId="7" applyNumberFormat="1" applyFont="1" applyFill="0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fffefffe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2:G52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" width="19.3984" style="1" customWidth="1"/>
    <col min="2" max="7" width="16.3516" style="1" customWidth="1"/>
    <col min="8" max="16384" width="16.351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</row>
    <row r="2" ht="20.25" customHeight="1">
      <c r="A2" s="3"/>
      <c r="B2" t="s" s="4">
        <v>1</v>
      </c>
      <c r="C2" t="s" s="4">
        <v>2</v>
      </c>
      <c r="D2" t="s" s="4">
        <v>3</v>
      </c>
      <c r="E2" t="s" s="4">
        <v>4</v>
      </c>
      <c r="F2" t="s" s="4">
        <v>5</v>
      </c>
      <c r="G2" t="s" s="4">
        <v>6</v>
      </c>
    </row>
    <row r="3" ht="20.25" customHeight="1">
      <c r="A3" t="s" s="5">
        <v>7</v>
      </c>
      <c r="B3" s="6"/>
      <c r="C3" s="7"/>
      <c r="D3" s="7"/>
      <c r="E3" s="7"/>
      <c r="F3" s="7"/>
      <c r="G3" s="7"/>
    </row>
    <row r="4" ht="20.05" customHeight="1">
      <c r="A4" t="s" s="8">
        <v>8</v>
      </c>
      <c r="B4" s="9">
        <f>2.29615</f>
        <v>2.29615</v>
      </c>
      <c r="C4" s="10">
        <f>2.32328</f>
        <v>2.32328</v>
      </c>
      <c r="D4" s="10">
        <f>2.32238</f>
        <v>2.32238</v>
      </c>
      <c r="E4" s="10">
        <f>2.31553</f>
        <v>2.31553</v>
      </c>
      <c r="F4" s="10">
        <f>2.31521</f>
        <v>2.31521</v>
      </c>
      <c r="G4" s="10"/>
    </row>
    <row r="5" ht="20.05" customHeight="1">
      <c r="A5" t="s" s="8">
        <v>9</v>
      </c>
      <c r="B5" s="9">
        <f>2.35693</f>
        <v>2.35693</v>
      </c>
      <c r="C5" s="10">
        <f>2.32197</f>
        <v>2.32197</v>
      </c>
      <c r="D5" s="10">
        <f>2.32202</f>
        <v>2.32202</v>
      </c>
      <c r="E5" s="10">
        <f>2.32032</f>
        <v>2.32032</v>
      </c>
      <c r="F5" s="10">
        <f>2.31947</f>
        <v>2.31947</v>
      </c>
      <c r="G5" s="10">
        <f>3.16608</f>
        <v>3.16608</v>
      </c>
    </row>
    <row r="6" ht="20.05" customHeight="1">
      <c r="A6" t="s" s="8">
        <v>10</v>
      </c>
      <c r="B6" s="9">
        <f>2.38071</f>
        <v>2.38071</v>
      </c>
      <c r="C6" s="10">
        <f>2.37248</f>
        <v>2.37248</v>
      </c>
      <c r="D6" s="11">
        <f>2.35359</f>
        <v>2.35359</v>
      </c>
      <c r="E6" s="10">
        <f>2.35207</f>
        <v>2.35207</v>
      </c>
      <c r="F6" s="10">
        <f>2.36793</f>
        <v>2.36793</v>
      </c>
      <c r="G6" s="10">
        <f>2.14534</f>
        <v>2.14534</v>
      </c>
    </row>
    <row r="7" ht="20.05" customHeight="1">
      <c r="A7" t="s" s="8">
        <v>11</v>
      </c>
      <c r="B7" s="9">
        <f>2.38815</f>
        <v>2.38815</v>
      </c>
      <c r="C7" s="10">
        <f t="shared" si="18" ref="C7:D7">2.40063</f>
        <v>2.40063</v>
      </c>
      <c r="D7" s="10">
        <f t="shared" si="18"/>
        <v>2.40063</v>
      </c>
      <c r="E7" s="10">
        <f>2.36239</f>
        <v>2.36239</v>
      </c>
      <c r="F7" s="10">
        <f>2.37418</f>
        <v>2.37418</v>
      </c>
      <c r="G7" s="10">
        <f>2.02276</f>
        <v>2.02276</v>
      </c>
    </row>
    <row r="8" ht="20.05" customHeight="1">
      <c r="A8" t="s" s="8">
        <v>12</v>
      </c>
      <c r="B8" s="9">
        <f>2.40266</f>
        <v>2.40266</v>
      </c>
      <c r="C8" s="10">
        <f t="shared" si="24" ref="C8:F8">2.39904</f>
        <v>2.39904</v>
      </c>
      <c r="D8" s="10">
        <f>2.52246</f>
        <v>2.52246</v>
      </c>
      <c r="E8" s="10">
        <f>2.41358</f>
        <v>2.41358</v>
      </c>
      <c r="F8" s="10">
        <f t="shared" si="24"/>
        <v>2.39904</v>
      </c>
      <c r="G8" s="10">
        <f>1.71437</f>
        <v>1.71437</v>
      </c>
    </row>
    <row r="9" ht="20.05" customHeight="1">
      <c r="A9" t="s" s="12">
        <v>13</v>
      </c>
      <c r="B9" s="13"/>
      <c r="C9" s="14"/>
      <c r="D9" s="14"/>
      <c r="E9" s="14"/>
      <c r="F9" s="14"/>
      <c r="G9" s="14"/>
    </row>
    <row r="10" ht="20.05" customHeight="1">
      <c r="A10" t="s" s="8">
        <v>14</v>
      </c>
      <c r="B10" s="9">
        <f>1.87189</f>
        <v>1.87189</v>
      </c>
      <c r="C10" s="10">
        <f>2.32177</f>
        <v>2.32177</v>
      </c>
      <c r="D10" s="10">
        <f>2.31598</f>
        <v>2.31598</v>
      </c>
      <c r="E10" s="10">
        <f>2.31671</f>
        <v>2.31671</v>
      </c>
      <c r="F10" s="10">
        <f>2.3201</f>
        <v>2.3201</v>
      </c>
      <c r="G10" s="10"/>
    </row>
    <row r="11" ht="20.05" customHeight="1">
      <c r="A11" t="s" s="8">
        <v>9</v>
      </c>
      <c r="B11" s="9">
        <f>1.91246</f>
        <v>1.91246</v>
      </c>
      <c r="C11" s="10">
        <f>2.32703</f>
        <v>2.32703</v>
      </c>
      <c r="D11" s="10">
        <f>2.28853</f>
        <v>2.28853</v>
      </c>
      <c r="E11" s="10">
        <f>2.33144</f>
        <v>2.33144</v>
      </c>
      <c r="F11" s="10">
        <f>2.35882</f>
        <v>2.35882</v>
      </c>
      <c r="G11" s="10">
        <f>2.95515</f>
        <v>2.95515</v>
      </c>
    </row>
    <row r="12" ht="20.05" customHeight="1">
      <c r="A12" t="s" s="8">
        <v>10</v>
      </c>
      <c r="B12" s="9">
        <f>2.05462</f>
        <v>2.05462</v>
      </c>
      <c r="C12" s="10">
        <f>2.34734</f>
        <v>2.34734</v>
      </c>
      <c r="D12" s="10">
        <f t="shared" si="42" ref="D12:D36">2.34536</f>
        <v>2.34536</v>
      </c>
      <c r="E12" s="10">
        <f>2.33807</f>
        <v>2.33807</v>
      </c>
      <c r="F12" s="10">
        <f>2.36854</f>
        <v>2.36854</v>
      </c>
      <c r="G12" s="10">
        <f>2.07969</f>
        <v>2.07969</v>
      </c>
    </row>
    <row r="13" ht="20.05" customHeight="1">
      <c r="A13" t="s" s="8">
        <v>11</v>
      </c>
      <c r="B13" s="9">
        <v>2.05202</v>
      </c>
      <c r="C13" s="10">
        <v>2.36238</v>
      </c>
      <c r="D13" s="10">
        <v>2.35722</v>
      </c>
      <c r="E13" s="10">
        <v>2.35132</v>
      </c>
      <c r="F13" s="10">
        <v>2.38086</v>
      </c>
      <c r="G13" s="10">
        <f>1.99876</f>
        <v>1.99876</v>
      </c>
    </row>
    <row r="14" ht="20.05" customHeight="1">
      <c r="A14" t="s" s="8">
        <v>15</v>
      </c>
      <c r="B14" s="9">
        <f>1.94884</f>
        <v>1.94884</v>
      </c>
      <c r="C14" s="10">
        <f>2.38258</f>
        <v>2.38258</v>
      </c>
      <c r="D14" s="10">
        <f>2.53261</f>
        <v>2.53261</v>
      </c>
      <c r="E14" s="10">
        <f>2.41706</f>
        <v>2.41706</v>
      </c>
      <c r="F14" s="10">
        <f>2.43035</f>
        <v>2.43035</v>
      </c>
      <c r="G14" s="10">
        <f>1.7133</f>
        <v>1.7133</v>
      </c>
    </row>
    <row r="15" ht="20.05" customHeight="1">
      <c r="A15" t="s" s="12">
        <v>16</v>
      </c>
      <c r="B15" s="13"/>
      <c r="C15" s="14"/>
      <c r="D15" s="14"/>
      <c r="E15" s="14"/>
      <c r="F15" s="14"/>
      <c r="G15" s="14"/>
    </row>
    <row r="16" ht="20.05" customHeight="1">
      <c r="A16" t="s" s="8">
        <v>17</v>
      </c>
      <c r="B16" s="9">
        <f>1.83833</f>
        <v>1.83833</v>
      </c>
      <c r="C16" s="10">
        <f>2.32281</f>
        <v>2.32281</v>
      </c>
      <c r="D16" s="10">
        <f>2.32007</f>
        <v>2.32007</v>
      </c>
      <c r="E16" s="10">
        <f>2.33373</f>
        <v>2.33373</v>
      </c>
      <c r="F16" s="10">
        <f>2.33456</f>
        <v>2.33456</v>
      </c>
      <c r="G16" s="10"/>
    </row>
    <row r="17" ht="20.05" customHeight="1">
      <c r="A17" t="s" s="8">
        <v>9</v>
      </c>
      <c r="B17" s="9">
        <f>1.90029</f>
        <v>1.90029</v>
      </c>
      <c r="C17" s="10">
        <f>2.3489</f>
        <v>2.3489</v>
      </c>
      <c r="D17" s="10">
        <f>2.33076</f>
        <v>2.33076</v>
      </c>
      <c r="E17" s="10">
        <f>2.32013</f>
        <v>2.32013</v>
      </c>
      <c r="F17" s="10">
        <f>2.33981</f>
        <v>2.33981</v>
      </c>
      <c r="G17" s="10">
        <f>2.73607</f>
        <v>2.73607</v>
      </c>
    </row>
    <row r="18" ht="20.05" customHeight="1">
      <c r="A18" t="s" s="8">
        <v>10</v>
      </c>
      <c r="B18" s="9">
        <f>1.98502</f>
        <v>1.98502</v>
      </c>
      <c r="C18" s="10">
        <f>2.37568</f>
        <v>2.37568</v>
      </c>
      <c r="D18" s="10">
        <f>2.3545</f>
        <v>2.3545</v>
      </c>
      <c r="E18" s="10">
        <f>2.35164</f>
        <v>2.35164</v>
      </c>
      <c r="F18" s="10">
        <f>2.36327</f>
        <v>2.36327</v>
      </c>
      <c r="G18" s="10">
        <f>2.07905</f>
        <v>2.07905</v>
      </c>
    </row>
    <row r="19" ht="20.05" customHeight="1">
      <c r="A19" t="s" s="8">
        <v>11</v>
      </c>
      <c r="B19" s="9">
        <f>1.98157</f>
        <v>1.98157</v>
      </c>
      <c r="C19" s="10">
        <f>2.3857</f>
        <v>2.3857</v>
      </c>
      <c r="D19" s="10">
        <f>2.36538</f>
        <v>2.36538</v>
      </c>
      <c r="E19" s="10">
        <f>2.36006</f>
        <v>2.36006</v>
      </c>
      <c r="F19" s="10">
        <f>2.37261</f>
        <v>2.37261</v>
      </c>
      <c r="G19" s="10">
        <f>2.01832</f>
        <v>2.01832</v>
      </c>
    </row>
    <row r="20" ht="20.05" customHeight="1">
      <c r="A20" t="s" s="8">
        <v>18</v>
      </c>
      <c r="B20" s="9">
        <f>1.90382</f>
        <v>1.90382</v>
      </c>
      <c r="C20" s="10">
        <f>2.44494</f>
        <v>2.44494</v>
      </c>
      <c r="D20" s="10">
        <f>2.41844</f>
        <v>2.41844</v>
      </c>
      <c r="E20" s="10">
        <f>2.54621</f>
        <v>2.54621</v>
      </c>
      <c r="F20" s="10">
        <f>2.39553</f>
        <v>2.39553</v>
      </c>
      <c r="G20" s="10">
        <f>1.71728</f>
        <v>1.71728</v>
      </c>
    </row>
    <row r="21" ht="20.05" customHeight="1">
      <c r="A21" t="s" s="12">
        <v>19</v>
      </c>
      <c r="B21" s="13"/>
      <c r="C21" s="14"/>
      <c r="D21" s="14"/>
      <c r="E21" s="14"/>
      <c r="F21" s="14"/>
      <c r="G21" s="14"/>
    </row>
    <row r="22" ht="20.05" customHeight="1">
      <c r="A22" t="s" s="8">
        <v>9</v>
      </c>
      <c r="B22" s="9">
        <f>2.35184</f>
        <v>2.35184</v>
      </c>
      <c r="C22" s="10">
        <f>2.32479</f>
        <v>2.32479</v>
      </c>
      <c r="D22" s="10">
        <f>2.3294</f>
        <v>2.3294</v>
      </c>
      <c r="E22" s="10">
        <f>2.3283</f>
        <v>2.3283</v>
      </c>
      <c r="F22" s="10">
        <f>2.32554</f>
        <v>2.32554</v>
      </c>
      <c r="G22" s="10">
        <f>3.16653</f>
        <v>3.16653</v>
      </c>
    </row>
    <row r="23" ht="20.05" customHeight="1">
      <c r="A23" t="s" s="8">
        <v>10</v>
      </c>
      <c r="B23" s="9">
        <f>2.41252</f>
        <v>2.41252</v>
      </c>
      <c r="C23" s="10">
        <f>2.36814</f>
        <v>2.36814</v>
      </c>
      <c r="D23" s="10">
        <f>2.35853</f>
        <v>2.35853</v>
      </c>
      <c r="E23" s="10">
        <f>2.37021</f>
        <v>2.37021</v>
      </c>
      <c r="F23" s="10">
        <f>2.36585</f>
        <v>2.36585</v>
      </c>
      <c r="G23" s="10">
        <f>2.12799</f>
        <v>2.12799</v>
      </c>
    </row>
    <row r="24" ht="20.05" customHeight="1">
      <c r="A24" t="s" s="8">
        <v>11</v>
      </c>
      <c r="B24" s="9">
        <f>2.41992</f>
        <v>2.41992</v>
      </c>
      <c r="C24" s="10">
        <f>2.38747</f>
        <v>2.38747</v>
      </c>
      <c r="D24" s="10">
        <f>2.37551</f>
        <v>2.37551</v>
      </c>
      <c r="E24" s="10">
        <f>2.40896</f>
        <v>2.40896</v>
      </c>
      <c r="F24" s="10">
        <f>2.37753</f>
        <v>2.37753</v>
      </c>
      <c r="G24" s="10">
        <f>1.97785</f>
        <v>1.97785</v>
      </c>
    </row>
    <row r="25" ht="20.05" customHeight="1">
      <c r="A25" t="s" s="12">
        <v>20</v>
      </c>
      <c r="B25" s="9"/>
      <c r="C25" s="10"/>
      <c r="D25" s="10"/>
      <c r="E25" s="10"/>
      <c r="F25" s="10"/>
      <c r="G25" s="10"/>
    </row>
    <row r="26" ht="20.05" customHeight="1">
      <c r="A26" t="s" s="8">
        <v>9</v>
      </c>
      <c r="B26" s="9">
        <f>1.91351</f>
        <v>1.91351</v>
      </c>
      <c r="C26" s="10">
        <f>2.33936</f>
        <v>2.33936</v>
      </c>
      <c r="D26" s="10">
        <f>2.33677</f>
        <v>2.33677</v>
      </c>
      <c r="E26" s="10">
        <f>2.30767</f>
        <v>2.30767</v>
      </c>
      <c r="F26" s="10">
        <f>2.32687</f>
        <v>2.32687</v>
      </c>
      <c r="G26" s="10">
        <f>2.83143</f>
        <v>2.83143</v>
      </c>
    </row>
    <row r="27" ht="20.05" customHeight="1">
      <c r="A27" t="s" s="8">
        <v>10</v>
      </c>
      <c r="B27" s="9">
        <f>2.01272</f>
        <v>2.01272</v>
      </c>
      <c r="C27" s="10">
        <f>2.37854</f>
        <v>2.37854</v>
      </c>
      <c r="D27" s="10">
        <f>2.33996</f>
        <v>2.33996</v>
      </c>
      <c r="E27" s="10">
        <f>2.34621</f>
        <v>2.34621</v>
      </c>
      <c r="F27" s="10">
        <f>2.3237</f>
        <v>2.3237</v>
      </c>
      <c r="G27" s="10">
        <f>2.14646</f>
        <v>2.14646</v>
      </c>
    </row>
    <row r="28" ht="20.05" customHeight="1">
      <c r="A28" t="s" s="8">
        <v>11</v>
      </c>
      <c r="B28" s="9">
        <f>2.06676</f>
        <v>2.06676</v>
      </c>
      <c r="C28" s="10">
        <f>2.38893</f>
        <v>2.38893</v>
      </c>
      <c r="D28" s="10">
        <f>2.37715</f>
        <v>2.37715</v>
      </c>
      <c r="E28" s="10">
        <f>2.40995</f>
        <v>2.40995</v>
      </c>
      <c r="F28" s="10">
        <f>2.33606</f>
        <v>2.33606</v>
      </c>
      <c r="G28" s="10">
        <f>1.93696</f>
        <v>1.93696</v>
      </c>
    </row>
    <row r="29" ht="20.05" customHeight="1">
      <c r="A29" t="s" s="12">
        <v>21</v>
      </c>
      <c r="B29" s="9"/>
      <c r="C29" s="10"/>
      <c r="D29" s="10"/>
      <c r="E29" s="10"/>
      <c r="F29" s="10"/>
      <c r="G29" s="10"/>
    </row>
    <row r="30" ht="20.05" customHeight="1">
      <c r="A30" t="s" s="8">
        <v>9</v>
      </c>
      <c r="B30" s="9">
        <f>1.85547</f>
        <v>1.85547</v>
      </c>
      <c r="C30" s="10">
        <f>2.38266</f>
        <v>2.38266</v>
      </c>
      <c r="D30" s="10">
        <f t="shared" si="120" ref="D30:E48">2.35306</f>
        <v>2.35306</v>
      </c>
      <c r="E30" s="10">
        <f>2.30961</f>
        <v>2.30961</v>
      </c>
      <c r="F30" s="10">
        <f>2.34085</f>
        <v>2.34085</v>
      </c>
      <c r="G30" s="10">
        <f>2.7371</f>
        <v>2.7371</v>
      </c>
    </row>
    <row r="31" ht="20.05" customHeight="1">
      <c r="A31" t="s" s="8">
        <v>10</v>
      </c>
      <c r="B31" s="9">
        <f>1.94359</f>
        <v>1.94359</v>
      </c>
      <c r="C31" s="10">
        <f>2.39685</f>
        <v>2.39685</v>
      </c>
      <c r="D31" s="10">
        <f>2.34926</f>
        <v>2.34926</v>
      </c>
      <c r="E31" s="10">
        <f>2.35017</f>
        <v>2.35017</v>
      </c>
      <c r="F31" s="10">
        <f>2.34091</f>
        <v>2.34091</v>
      </c>
      <c r="G31" s="10">
        <f>2.18234</f>
        <v>2.18234</v>
      </c>
    </row>
    <row r="32" ht="20.35" customHeight="1">
      <c r="A32" t="s" s="15">
        <v>11</v>
      </c>
      <c r="B32" s="16">
        <f>1.99749</f>
        <v>1.99749</v>
      </c>
      <c r="C32" s="17">
        <f>2.4015</f>
        <v>2.4015</v>
      </c>
      <c r="D32" s="17">
        <f>2.38333</f>
        <v>2.38333</v>
      </c>
      <c r="E32" s="17">
        <f>2.42844</f>
        <v>2.42844</v>
      </c>
      <c r="F32" s="17">
        <f>2.35584</f>
        <v>2.35584</v>
      </c>
      <c r="G32" s="17">
        <f>1.94602</f>
        <v>1.94602</v>
      </c>
    </row>
    <row r="33" ht="20.35" customHeight="1">
      <c r="A33" t="s" s="18">
        <v>22</v>
      </c>
      <c r="B33" s="19"/>
      <c r="C33" s="20"/>
      <c r="D33" s="20"/>
      <c r="E33" s="20"/>
      <c r="F33" s="20"/>
      <c r="G33" s="20"/>
    </row>
    <row r="34" ht="20.05" customHeight="1">
      <c r="A34" t="s" s="8">
        <v>8</v>
      </c>
      <c r="B34" s="9">
        <f>2.32465</f>
        <v>2.32465</v>
      </c>
      <c r="C34" s="10">
        <f>2.32219</f>
        <v>2.32219</v>
      </c>
      <c r="D34" s="10">
        <f>2.27663</f>
        <v>2.27663</v>
      </c>
      <c r="E34" s="10">
        <f>2.30493</f>
        <v>2.30493</v>
      </c>
      <c r="F34" s="10">
        <f>2.34972</f>
        <v>2.34972</v>
      </c>
      <c r="G34" s="10"/>
    </row>
    <row r="35" ht="20.05" customHeight="1">
      <c r="A35" t="s" s="8">
        <v>9</v>
      </c>
      <c r="B35" s="9">
        <f>2.37566</f>
        <v>2.37566</v>
      </c>
      <c r="C35" s="10">
        <f>2.31345</f>
        <v>2.31345</v>
      </c>
      <c r="D35" s="10">
        <f>2.29743</f>
        <v>2.29743</v>
      </c>
      <c r="E35" s="10">
        <f>2.31134</f>
        <v>2.31134</v>
      </c>
      <c r="F35" s="10">
        <f>2.34527</f>
        <v>2.34527</v>
      </c>
      <c r="G35" s="10">
        <f t="shared" si="146" ref="G35:G50">2.95</f>
        <v>2.95</v>
      </c>
    </row>
    <row r="36" ht="20.05" customHeight="1">
      <c r="A36" t="s" s="8">
        <v>10</v>
      </c>
      <c r="B36" s="9">
        <f>2.46877</f>
        <v>2.46877</v>
      </c>
      <c r="C36" s="10">
        <f>2.3279</f>
        <v>2.3279</v>
      </c>
      <c r="D36" s="10">
        <f t="shared" si="42"/>
        <v>2.34536</v>
      </c>
      <c r="E36" s="10">
        <f>2.32201</f>
        <v>2.32201</v>
      </c>
      <c r="F36" s="10">
        <f>2.33986</f>
        <v>2.33986</v>
      </c>
      <c r="G36" s="10">
        <f>2.17318</f>
        <v>2.17318</v>
      </c>
    </row>
    <row r="37" ht="20.05" customHeight="1">
      <c r="A37" t="s" s="8">
        <v>11</v>
      </c>
      <c r="B37" s="9">
        <f>2.5</f>
        <v>2.5</v>
      </c>
      <c r="C37" s="10">
        <f>2.33889</f>
        <v>2.33889</v>
      </c>
      <c r="D37" s="10">
        <f>2.37577</f>
        <v>2.37577</v>
      </c>
      <c r="E37" s="10">
        <f>2.33692</f>
        <v>2.33692</v>
      </c>
      <c r="F37" s="10">
        <f>2.33583</f>
        <v>2.33583</v>
      </c>
      <c r="G37" s="10">
        <f>2.01057</f>
        <v>2.01057</v>
      </c>
    </row>
    <row r="38" ht="20.05" customHeight="1">
      <c r="A38" t="s" s="8">
        <v>12</v>
      </c>
      <c r="B38" s="9">
        <f>2.43074</f>
        <v>2.43074</v>
      </c>
      <c r="C38" s="10">
        <f>2.39313</f>
        <v>2.39313</v>
      </c>
      <c r="D38" s="10">
        <f>2.49003</f>
        <v>2.49003</v>
      </c>
      <c r="E38" s="10">
        <f>2.45082</f>
        <v>2.45082</v>
      </c>
      <c r="F38" s="10">
        <f>2.39876</f>
        <v>2.39876</v>
      </c>
      <c r="G38" s="10">
        <f>1.72362</f>
        <v>1.72362</v>
      </c>
    </row>
    <row r="39" ht="20.05" customHeight="1">
      <c r="A39" t="s" s="12">
        <v>23</v>
      </c>
      <c r="B39" s="9"/>
      <c r="C39" s="10"/>
      <c r="D39" s="10"/>
      <c r="E39" s="10"/>
      <c r="F39" s="10"/>
      <c r="G39" s="10"/>
    </row>
    <row r="40" ht="20.05" customHeight="1">
      <c r="A40" t="s" s="8">
        <v>14</v>
      </c>
      <c r="B40" s="9">
        <f>1.90273</f>
        <v>1.90273</v>
      </c>
      <c r="C40" s="10">
        <f>2.31042</f>
        <v>2.31042</v>
      </c>
      <c r="D40" s="10">
        <f>2.29425</f>
        <v>2.29425</v>
      </c>
      <c r="E40" s="10">
        <f>2.30756</f>
        <v>2.30756</v>
      </c>
      <c r="F40" s="10">
        <f>2.30892</f>
        <v>2.30892</v>
      </c>
      <c r="G40" s="10"/>
    </row>
    <row r="41" ht="20.05" customHeight="1">
      <c r="A41" t="s" s="8">
        <v>9</v>
      </c>
      <c r="B41" s="9">
        <f>1.92741</f>
        <v>1.92741</v>
      </c>
      <c r="C41" s="10">
        <f>2.31396</f>
        <v>2.31396</v>
      </c>
      <c r="D41" s="10">
        <f>2.30977</f>
        <v>2.30977</v>
      </c>
      <c r="E41" s="10">
        <f>2.3118</f>
        <v>2.3118</v>
      </c>
      <c r="F41" s="10">
        <f>2.30861</f>
        <v>2.30861</v>
      </c>
      <c r="G41" s="10">
        <f t="shared" si="146"/>
        <v>2.95</v>
      </c>
    </row>
    <row r="42" ht="20.05" customHeight="1">
      <c r="A42" t="s" s="8">
        <v>10</v>
      </c>
      <c r="B42" s="9">
        <f>2.01607</f>
        <v>2.01607</v>
      </c>
      <c r="C42" s="10">
        <f>2.33156</f>
        <v>2.33156</v>
      </c>
      <c r="D42" s="10">
        <f>2.34474</f>
        <v>2.34474</v>
      </c>
      <c r="E42" s="10">
        <f>2.33404</f>
        <v>2.33404</v>
      </c>
      <c r="F42" s="10">
        <f>2.31517</f>
        <v>2.31517</v>
      </c>
      <c r="G42" s="10">
        <f>2.17828</f>
        <v>2.17828</v>
      </c>
    </row>
    <row r="43" ht="20.05" customHeight="1">
      <c r="A43" t="s" s="8">
        <v>11</v>
      </c>
      <c r="B43" s="9">
        <f>1.99762</f>
        <v>1.99762</v>
      </c>
      <c r="C43" s="10">
        <f>2.34962</f>
        <v>2.34962</v>
      </c>
      <c r="D43" s="10">
        <f>2.38297</f>
        <v>2.38297</v>
      </c>
      <c r="E43" s="10">
        <f t="shared" si="185" ref="E43:F43">2.35112</f>
        <v>2.35112</v>
      </c>
      <c r="F43" s="10">
        <f t="shared" si="185"/>
        <v>2.35112</v>
      </c>
      <c r="G43" s="10">
        <f>2.0663</f>
        <v>2.0663</v>
      </c>
    </row>
    <row r="44" ht="20.05" customHeight="1">
      <c r="A44" t="s" s="8">
        <v>15</v>
      </c>
      <c r="B44" s="9">
        <f>1.98543</f>
        <v>1.98543</v>
      </c>
      <c r="C44" s="10">
        <f>2.40426</f>
        <v>2.40426</v>
      </c>
      <c r="D44" s="10">
        <f>2.48829</f>
        <v>2.48829</v>
      </c>
      <c r="E44" s="10">
        <f>2.44321</f>
        <v>2.44321</v>
      </c>
      <c r="F44" s="10">
        <f>2.3795</f>
        <v>2.3795</v>
      </c>
      <c r="G44" s="10">
        <f>1.72432</f>
        <v>1.72432</v>
      </c>
    </row>
    <row r="45" ht="20.05" customHeight="1">
      <c r="A45" t="s" s="12">
        <v>24</v>
      </c>
      <c r="B45" s="9"/>
      <c r="C45" s="10"/>
      <c r="D45" s="10"/>
      <c r="E45" s="10"/>
      <c r="F45" s="10"/>
      <c r="G45" s="10"/>
    </row>
    <row r="46" ht="20.05" customHeight="1">
      <c r="A46" t="s" s="8">
        <v>9</v>
      </c>
      <c r="B46" s="9">
        <f>2.38377</f>
        <v>2.38377</v>
      </c>
      <c r="C46" s="21">
        <f>2.31277</f>
        <v>2.31277</v>
      </c>
      <c r="D46" s="21">
        <f>2.30078</f>
        <v>2.30078</v>
      </c>
      <c r="E46" s="21">
        <f>2.3134</f>
        <v>2.3134</v>
      </c>
      <c r="F46" s="21">
        <f>2.34304</f>
        <v>2.34304</v>
      </c>
      <c r="G46" s="10">
        <f>2.9</f>
        <v>2.9</v>
      </c>
    </row>
    <row r="47" ht="20.05" customHeight="1">
      <c r="A47" t="s" s="8">
        <v>10</v>
      </c>
      <c r="B47" s="9">
        <f>2.49033</f>
        <v>2.49033</v>
      </c>
      <c r="C47" s="10">
        <f>2.33135</f>
        <v>2.33135</v>
      </c>
      <c r="D47" s="10">
        <f>2.36276</f>
        <v>2.36276</v>
      </c>
      <c r="E47" s="10">
        <f>2.33196</f>
        <v>2.33196</v>
      </c>
      <c r="F47" s="10">
        <f>2.3355</f>
        <v>2.3355</v>
      </c>
      <c r="G47" s="10">
        <f>2.10674</f>
        <v>2.10674</v>
      </c>
    </row>
    <row r="48" ht="20.05" customHeight="1">
      <c r="A48" t="s" s="8">
        <v>11</v>
      </c>
      <c r="B48" s="9">
        <f>2.50591</f>
        <v>2.50591</v>
      </c>
      <c r="C48" s="10">
        <f>2.34095</f>
        <v>2.34095</v>
      </c>
      <c r="D48" s="10">
        <f>2.3899</f>
        <v>2.3899</v>
      </c>
      <c r="E48" s="10">
        <f t="shared" si="120"/>
        <v>2.35306</v>
      </c>
      <c r="F48" s="10">
        <f>2.34057</f>
        <v>2.34057</v>
      </c>
      <c r="G48" s="10">
        <f>1.99009</f>
        <v>1.99009</v>
      </c>
    </row>
    <row r="49" ht="20.05" customHeight="1">
      <c r="A49" t="s" s="12">
        <v>25</v>
      </c>
      <c r="B49" s="9"/>
      <c r="C49" s="10"/>
      <c r="D49" s="10"/>
      <c r="E49" s="10"/>
      <c r="F49" s="10"/>
      <c r="G49" s="10"/>
    </row>
    <row r="50" ht="20.05" customHeight="1">
      <c r="A50" t="s" s="8">
        <v>9</v>
      </c>
      <c r="B50" s="9">
        <f>1.92475</f>
        <v>1.92475</v>
      </c>
      <c r="C50" s="10">
        <f>2.31341</f>
        <v>2.31341</v>
      </c>
      <c r="D50" s="10">
        <f>2.30918</f>
        <v>2.30918</v>
      </c>
      <c r="E50" s="10">
        <f>2.31547</f>
        <v>2.31547</v>
      </c>
      <c r="F50" s="10">
        <f>2.30809</f>
        <v>2.30809</v>
      </c>
      <c r="G50" s="10">
        <f t="shared" si="146"/>
        <v>2.95</v>
      </c>
    </row>
    <row r="51" ht="20.05" customHeight="1">
      <c r="A51" t="s" s="8">
        <v>10</v>
      </c>
      <c r="B51" s="9">
        <f>2.03136</f>
        <v>2.03136</v>
      </c>
      <c r="C51" s="10">
        <f>2.33122</f>
        <v>2.33122</v>
      </c>
      <c r="D51" s="10">
        <f>2.35615</f>
        <v>2.35615</v>
      </c>
      <c r="E51" s="10">
        <f>2.35094</f>
        <v>2.35094</v>
      </c>
      <c r="F51" s="10">
        <f>2.31101</f>
        <v>2.31101</v>
      </c>
      <c r="G51" s="10">
        <f>2.12051</f>
        <v>2.12051</v>
      </c>
    </row>
    <row r="52" ht="20.05" customHeight="1">
      <c r="A52" t="s" s="8">
        <v>11</v>
      </c>
      <c r="B52" s="9">
        <f>2.07246</f>
        <v>2.07246</v>
      </c>
      <c r="C52" s="10">
        <f>2.35067</f>
        <v>2.35067</v>
      </c>
      <c r="D52" s="10">
        <f>2.39896</f>
        <v>2.39896</v>
      </c>
      <c r="E52" s="10">
        <f>2.37773</f>
        <v>2.37773</v>
      </c>
      <c r="F52" s="10">
        <f>2.32241</f>
        <v>2.32241</v>
      </c>
      <c r="G52" s="10">
        <f>1.9514</f>
        <v>1.9514</v>
      </c>
    </row>
  </sheetData>
  <mergeCells count="1">
    <mergeCell ref="A1:G1"/>
  </mergeCell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2:G19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7" width="16.3516" style="22" customWidth="1"/>
    <col min="8" max="16384" width="16.3516" style="22" customWidth="1"/>
  </cols>
  <sheetData>
    <row r="1" ht="27.65" customHeight="1">
      <c r="A1" t="s" s="2">
        <v>26</v>
      </c>
      <c r="B1" s="2"/>
      <c r="C1" s="2"/>
      <c r="D1" s="2"/>
      <c r="E1" s="2"/>
      <c r="F1" s="2"/>
      <c r="G1" s="2"/>
    </row>
    <row r="2" ht="20.25" customHeight="1">
      <c r="A2" s="3"/>
      <c r="B2" s="3"/>
      <c r="C2" s="3"/>
      <c r="D2" s="3"/>
      <c r="E2" s="3"/>
      <c r="F2" s="3"/>
      <c r="G2" s="3"/>
    </row>
    <row r="3" ht="20.25" customHeight="1">
      <c r="A3" t="s" s="5">
        <v>27</v>
      </c>
      <c r="B3" s="23">
        <f>-555.227706156128</f>
        <v>-555.227706156128</v>
      </c>
      <c r="C3" s="7"/>
      <c r="D3" t="s" s="24">
        <v>28</v>
      </c>
      <c r="E3" s="25">
        <f>-280.909908624387</f>
        <v>-280.909908624387</v>
      </c>
      <c r="F3" s="7"/>
      <c r="G3" s="7"/>
    </row>
    <row r="4" ht="20.05" customHeight="1">
      <c r="A4" t="s" s="12">
        <v>29</v>
      </c>
      <c r="B4" s="26">
        <f>-479.894393017726</f>
        <v>-479.894393017726</v>
      </c>
      <c r="C4" s="14"/>
      <c r="D4" t="s" s="27">
        <v>30</v>
      </c>
      <c r="E4" s="21">
        <f>-205.570259691091</f>
        <v>-205.570259691091</v>
      </c>
      <c r="F4" s="14"/>
      <c r="G4" s="14"/>
    </row>
    <row r="5" ht="20.05" customHeight="1">
      <c r="A5" s="28"/>
      <c r="B5" s="13"/>
      <c r="C5" s="14"/>
      <c r="D5" s="14"/>
      <c r="E5" s="14"/>
      <c r="F5" s="14"/>
      <c r="G5" s="14"/>
    </row>
    <row r="6" ht="20.05" customHeight="1">
      <c r="A6" t="s" s="12">
        <v>31</v>
      </c>
      <c r="B6" t="s" s="29">
        <v>32</v>
      </c>
      <c r="C6" t="s" s="27">
        <v>33</v>
      </c>
      <c r="D6" t="s" s="27">
        <v>34</v>
      </c>
      <c r="E6" t="s" s="27">
        <v>35</v>
      </c>
      <c r="F6" t="s" s="27">
        <v>36</v>
      </c>
      <c r="G6" t="s" s="27">
        <v>37</v>
      </c>
    </row>
    <row r="7" ht="20.05" customHeight="1">
      <c r="A7" t="s" s="12">
        <v>38</v>
      </c>
      <c r="B7" s="26">
        <f t="shared" si="4" ref="B7:E7">-6242.19948209694</f>
        <v>-6242.199482096940</v>
      </c>
      <c r="C7" s="21">
        <f t="shared" si="5" ref="C7:F7">-6566.83740829201</f>
        <v>-6566.837408292010</v>
      </c>
      <c r="D7" s="21">
        <f t="shared" si="6" ref="D7:G7">-6355.72069317164</f>
        <v>-6355.720693171640</v>
      </c>
      <c r="E7" s="21">
        <f t="shared" si="4"/>
        <v>-6242.199482096940</v>
      </c>
      <c r="F7" s="21">
        <f t="shared" si="5"/>
        <v>-6566.837408292010</v>
      </c>
      <c r="G7" s="21">
        <f t="shared" si="6"/>
        <v>-6355.720693171640</v>
      </c>
    </row>
    <row r="8" ht="20.05" customHeight="1">
      <c r="A8" t="s" s="12">
        <v>9</v>
      </c>
      <c r="B8" s="26">
        <f>-6797.40831781038</f>
        <v>-6797.408317810380</v>
      </c>
      <c r="C8" s="21">
        <f>-7122.04501133889</f>
        <v>-7122.045011338890</v>
      </c>
      <c r="D8" s="21">
        <f>-6910.93226292454</f>
        <v>-6910.932262924540</v>
      </c>
      <c r="E8" s="21">
        <f>-6523.06991645699</f>
        <v>-6523.069916456990</v>
      </c>
      <c r="F8" s="21">
        <f>-6847.70362003278</f>
        <v>-6847.703620032780</v>
      </c>
      <c r="G8" s="21">
        <f>-6636.59589005891</f>
        <v>-6636.595890058910</v>
      </c>
    </row>
    <row r="9" ht="20.05" customHeight="1">
      <c r="A9" t="s" s="12">
        <v>10</v>
      </c>
      <c r="B9" s="26">
        <f>-6797.41735143637</f>
        <v>-6797.417351436370</v>
      </c>
      <c r="C9" s="21">
        <f>-7122.06049879676</f>
        <v>-7122.060498796760</v>
      </c>
      <c r="D9" s="21">
        <f>-6910.9433945566</f>
        <v>-6910.9433945566</v>
      </c>
      <c r="E9" s="21">
        <f>-6523.07318286617</f>
        <v>-6523.073182866170</v>
      </c>
      <c r="F9" s="21">
        <f>-6847.72445996528</f>
        <v>-6847.724459965280</v>
      </c>
      <c r="G9" s="21">
        <f>-6636.60494658985</f>
        <v>-6636.604946589850</v>
      </c>
    </row>
    <row r="10" ht="20.05" customHeight="1">
      <c r="A10" t="s" s="12">
        <v>11</v>
      </c>
      <c r="B10" s="26">
        <f>-6797.41716429779</f>
        <v>-6797.417164297790</v>
      </c>
      <c r="C10" s="21">
        <f>-7122.05967298867</f>
        <v>-7122.059672988670</v>
      </c>
      <c r="D10" s="21">
        <f>-6910.94294243457</f>
        <v>-6910.942942434570</v>
      </c>
      <c r="E10" s="21">
        <f>-6523.06306500762</f>
        <v>-6523.063065007620</v>
      </c>
      <c r="F10" s="21">
        <f>-6847.72031562015</f>
        <v>-6847.720315620150</v>
      </c>
      <c r="G10" s="21">
        <f>-6636.59592497008</f>
        <v>-6636.595924970080</v>
      </c>
    </row>
    <row r="11" ht="20.05" customHeight="1">
      <c r="A11" t="s" s="12">
        <v>39</v>
      </c>
      <c r="B11" s="26">
        <f>-6317.61159499484</f>
        <v>-6317.611594994840</v>
      </c>
      <c r="C11" s="21">
        <f t="shared" si="29" ref="C11:F11">-6642.24944707734</f>
        <v>-6642.249447077340</v>
      </c>
      <c r="D11" s="21">
        <f t="shared" si="30" ref="D11:G11">-6431.12944745937</f>
        <v>-6431.129447459370</v>
      </c>
      <c r="E11" s="21">
        <f>-6317.60954655584</f>
        <v>-6317.609546555840</v>
      </c>
      <c r="F11" s="21">
        <f t="shared" si="29"/>
        <v>-6642.249447077340</v>
      </c>
      <c r="G11" s="21">
        <f t="shared" si="30"/>
        <v>-6431.129447459370</v>
      </c>
    </row>
    <row r="12" ht="20.05" customHeight="1">
      <c r="A12" s="28"/>
      <c r="B12" s="13"/>
      <c r="C12" s="14"/>
      <c r="D12" s="14"/>
      <c r="E12" s="14"/>
      <c r="F12" s="14"/>
      <c r="G12" s="14"/>
    </row>
    <row r="13" ht="20.05" customHeight="1">
      <c r="A13" s="28"/>
      <c r="B13" s="13"/>
      <c r="C13" s="14"/>
      <c r="D13" s="14"/>
      <c r="E13" s="14"/>
      <c r="F13" s="14"/>
      <c r="G13" s="14"/>
    </row>
    <row r="14" ht="20.05" customHeight="1">
      <c r="A14" t="s" s="12">
        <v>40</v>
      </c>
      <c r="B14" t="s" s="29">
        <v>33</v>
      </c>
      <c r="C14" t="s" s="27">
        <v>34</v>
      </c>
      <c r="D14" t="s" s="27">
        <v>36</v>
      </c>
      <c r="E14" t="s" s="27">
        <v>41</v>
      </c>
      <c r="F14" s="14"/>
      <c r="G14" s="14"/>
    </row>
    <row r="15" ht="20.05" customHeight="1">
      <c r="A15" t="s" s="12">
        <v>38</v>
      </c>
      <c r="B15" s="26">
        <f t="shared" si="34" ref="B15:D15">-6566.79224515743</f>
        <v>-6566.792245157430</v>
      </c>
      <c r="C15" s="21">
        <f t="shared" si="35" ref="C15:E15">-6355.66552501029</f>
        <v>-6355.665525010290</v>
      </c>
      <c r="D15" s="21">
        <f t="shared" si="34"/>
        <v>-6566.792245157430</v>
      </c>
      <c r="E15" s="21">
        <f t="shared" si="35"/>
        <v>-6355.665525010290</v>
      </c>
      <c r="F15" s="14"/>
      <c r="G15" s="14"/>
    </row>
    <row r="16" ht="20.05" customHeight="1">
      <c r="A16" t="s" s="12">
        <v>9</v>
      </c>
      <c r="B16" s="30">
        <f>-7122.01033006761</f>
        <v>-7122.010330067610</v>
      </c>
      <c r="C16" s="31">
        <f>-6910.88561786531</f>
        <v>-6910.885617865310</v>
      </c>
      <c r="D16" s="21">
        <f>-6847.67143677664</f>
        <v>-6847.671436776640</v>
      </c>
      <c r="E16" s="31">
        <f>-6636.54823289366</f>
        <v>-6636.548232893660</v>
      </c>
      <c r="F16" s="14"/>
      <c r="G16" s="14"/>
    </row>
    <row r="17" ht="20.05" customHeight="1">
      <c r="A17" t="s" s="12">
        <v>10</v>
      </c>
      <c r="B17" s="26">
        <f>-7122.02103657641</f>
        <v>-7122.021036576410</v>
      </c>
      <c r="C17" s="21">
        <f>-6910.89225587429</f>
        <v>-6910.892255874290</v>
      </c>
      <c r="D17" s="21">
        <f>-6847.68817748278</f>
        <v>-6847.688177482780</v>
      </c>
      <c r="E17" s="31">
        <f>-6636.56229522104</f>
        <v>-6636.562295221040</v>
      </c>
      <c r="F17" s="14"/>
      <c r="G17" s="14"/>
    </row>
    <row r="18" ht="20.05" customHeight="1">
      <c r="A18" t="s" s="12">
        <v>11</v>
      </c>
      <c r="B18" s="30">
        <f>-7122.01523425263</f>
        <v>-7122.015234252630</v>
      </c>
      <c r="C18" s="31">
        <f>-6910.88691689579</f>
        <v>-6910.886916895790</v>
      </c>
      <c r="D18" s="21">
        <f>-6847.68520088509</f>
        <v>-6847.685200885090</v>
      </c>
      <c r="E18" s="31">
        <f>-6636.55628748597</f>
        <v>-6636.556287485970</v>
      </c>
      <c r="F18" s="14"/>
      <c r="G18" s="14"/>
    </row>
    <row r="19" ht="20.05" customHeight="1">
      <c r="A19" t="s" s="12">
        <v>39</v>
      </c>
      <c r="B19" s="26">
        <f t="shared" si="50" ref="B19:D19">-6642.21056529039</f>
        <v>-6642.210565290390</v>
      </c>
      <c r="C19" s="21">
        <f t="shared" si="51" ref="C19:E19">-6431.07730143501</f>
        <v>-6431.077301435010</v>
      </c>
      <c r="D19" s="21">
        <f t="shared" si="50"/>
        <v>-6642.210565290390</v>
      </c>
      <c r="E19" s="21">
        <f t="shared" si="51"/>
        <v>-6431.077301435010</v>
      </c>
      <c r="F19" s="14"/>
      <c r="G19" s="14"/>
    </row>
  </sheetData>
  <mergeCells count="1">
    <mergeCell ref="A1:G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dimension ref="A2:G19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7" width="16.3516" style="32" customWidth="1"/>
    <col min="8" max="16384" width="16.3516" style="32" customWidth="1"/>
  </cols>
  <sheetData>
    <row r="1" ht="27.65" customHeight="1">
      <c r="A1" t="s" s="2">
        <v>42</v>
      </c>
      <c r="B1" s="2"/>
      <c r="C1" s="2"/>
      <c r="D1" s="2"/>
      <c r="E1" s="2"/>
      <c r="F1" s="2"/>
      <c r="G1" s="2"/>
    </row>
    <row r="2" ht="20.25" customHeight="1">
      <c r="A2" s="3"/>
      <c r="B2" s="3"/>
      <c r="C2" s="3"/>
      <c r="D2" s="3"/>
      <c r="E2" s="3"/>
      <c r="F2" s="3"/>
      <c r="G2" s="3"/>
    </row>
    <row r="3" ht="20.25" customHeight="1">
      <c r="A3" t="s" s="5">
        <v>27</v>
      </c>
      <c r="B3" s="23">
        <f>-555.039797585479</f>
        <v>-555.0397975854791</v>
      </c>
      <c r="C3" s="7"/>
      <c r="D3" s="7"/>
      <c r="E3" t="s" s="24">
        <v>28</v>
      </c>
      <c r="F3" s="25">
        <f>-280.754450253852</f>
        <v>-280.754450253852</v>
      </c>
      <c r="G3" s="7"/>
    </row>
    <row r="4" ht="20.05" customHeight="1">
      <c r="A4" t="s" s="12">
        <v>29</v>
      </c>
      <c r="B4" s="26">
        <f>-479.746047180359</f>
        <v>-479.746047180359</v>
      </c>
      <c r="C4" s="14"/>
      <c r="D4" s="14"/>
      <c r="E4" t="s" s="27">
        <v>30</v>
      </c>
      <c r="F4" s="21">
        <f>-205.455891620893</f>
        <v>-205.455891620893</v>
      </c>
      <c r="G4" s="14"/>
    </row>
    <row r="5" ht="20.05" customHeight="1">
      <c r="A5" s="28"/>
      <c r="B5" s="13"/>
      <c r="C5" s="14"/>
      <c r="D5" s="14"/>
      <c r="E5" s="14"/>
      <c r="F5" s="14"/>
      <c r="G5" s="14"/>
    </row>
    <row r="6" ht="20.05" customHeight="1">
      <c r="A6" t="s" s="12">
        <v>31</v>
      </c>
      <c r="B6" t="s" s="29">
        <v>32</v>
      </c>
      <c r="C6" t="s" s="27">
        <v>33</v>
      </c>
      <c r="D6" t="s" s="27">
        <v>34</v>
      </c>
      <c r="E6" t="s" s="27">
        <v>35</v>
      </c>
      <c r="F6" t="s" s="27">
        <v>36</v>
      </c>
      <c r="G6" t="s" s="27">
        <v>37</v>
      </c>
    </row>
    <row r="7" ht="20.05" customHeight="1">
      <c r="A7" t="s" s="12">
        <v>38</v>
      </c>
      <c r="B7" s="26">
        <f t="shared" si="4" ref="B7:E7">-6240.8962207387</f>
        <v>-6240.8962207387</v>
      </c>
      <c r="C7" s="21">
        <f t="shared" si="5" ref="C7:F7">-6565.47059230161</f>
        <v>-6565.470592301610</v>
      </c>
      <c r="D7" s="21">
        <f t="shared" si="6" ref="D7:G7">-6354.35858012421</f>
        <v>-6354.358580124210</v>
      </c>
      <c r="E7" s="21">
        <f t="shared" si="4"/>
        <v>-6240.8962207387</v>
      </c>
      <c r="F7" s="21">
        <f t="shared" si="5"/>
        <v>-6565.470592301610</v>
      </c>
      <c r="G7" s="21">
        <f t="shared" si="6"/>
        <v>-6354.358580124210</v>
      </c>
    </row>
    <row r="8" ht="20.05" customHeight="1">
      <c r="A8" t="s" s="12">
        <v>9</v>
      </c>
      <c r="B8" s="26">
        <f>-6795.91426862836</f>
        <v>-6795.914268628360</v>
      </c>
      <c r="C8" s="21">
        <f>-7120.48978376267</f>
        <v>-7120.489783762670</v>
      </c>
      <c r="D8" s="21">
        <f>-6909.3813296075</f>
        <v>-6909.3813296075</v>
      </c>
      <c r="E8" s="21">
        <f>-6521.6100402089</f>
        <v>-6521.6100402089</v>
      </c>
      <c r="F8" s="21">
        <f>-6846.18045665102</f>
        <v>-6846.180456651020</v>
      </c>
      <c r="G8" s="21">
        <f>-6635.07686390161</f>
        <v>-6635.076863901610</v>
      </c>
    </row>
    <row r="9" ht="20.05" customHeight="1">
      <c r="A9" t="s" s="12">
        <v>10</v>
      </c>
      <c r="B9" s="26">
        <f>-6795.91918259406</f>
        <v>-6795.919182594060</v>
      </c>
      <c r="C9" s="21">
        <f>-7120.50218499802</f>
        <v>-7120.502184998020</v>
      </c>
      <c r="D9" s="21">
        <f>-6909.38815058387</f>
        <v>-6909.388150583870</v>
      </c>
      <c r="E9" s="21">
        <f>-6521.60860794895</f>
        <v>-6521.608607948950</v>
      </c>
      <c r="F9" s="21">
        <f>-6846.19721307384</f>
        <v>-6846.197213073840</v>
      </c>
      <c r="G9" s="21">
        <f>-6635.08195399636</f>
        <v>-6635.081953996360</v>
      </c>
    </row>
    <row r="10" ht="20.05" customHeight="1">
      <c r="A10" t="s" s="12">
        <v>11</v>
      </c>
      <c r="B10" s="26">
        <f>-6795.91638487267</f>
        <v>-6795.916384872670</v>
      </c>
      <c r="C10" s="21">
        <f>-7120.49676220947</f>
        <v>-7120.496762209470</v>
      </c>
      <c r="D10" s="21">
        <f>-6909.38389952915</f>
        <v>-6909.383899529150</v>
      </c>
      <c r="E10" s="21">
        <f>-6521.58723809058</f>
        <v>-6521.587238090580</v>
      </c>
      <c r="F10" s="21">
        <f>-6846.18632997114</f>
        <v>-6846.186329971140</v>
      </c>
      <c r="G10" s="21">
        <f>-6635.06293666014</f>
        <v>-6635.062936660140</v>
      </c>
    </row>
    <row r="11" ht="20.05" customHeight="1">
      <c r="A11" t="s" s="12">
        <v>39</v>
      </c>
      <c r="B11" s="26">
        <f t="shared" si="28" ref="B11:E11">-6316.26901518655</f>
        <v>-6316.269015186550</v>
      </c>
      <c r="C11" s="21">
        <f t="shared" si="29" ref="C11:F11">-6640.84539084263</f>
        <v>-6640.845390842630</v>
      </c>
      <c r="D11" s="21">
        <f t="shared" si="30" ref="D11:G11">-6429.72810312759</f>
        <v>-6429.728103127590</v>
      </c>
      <c r="E11" s="21">
        <f t="shared" si="28"/>
        <v>-6316.269015186550</v>
      </c>
      <c r="F11" s="21">
        <f t="shared" si="29"/>
        <v>-6640.845390842630</v>
      </c>
      <c r="G11" s="21">
        <f t="shared" si="30"/>
        <v>-6429.728103127590</v>
      </c>
    </row>
    <row r="12" ht="20.05" customHeight="1">
      <c r="A12" s="28"/>
      <c r="B12" s="13"/>
      <c r="C12" s="14"/>
      <c r="D12" s="14"/>
      <c r="E12" s="14"/>
      <c r="F12" s="14"/>
      <c r="G12" s="14"/>
    </row>
    <row r="13" ht="20.05" customHeight="1">
      <c r="A13" s="28"/>
      <c r="B13" s="13"/>
      <c r="C13" s="14"/>
      <c r="D13" s="14"/>
      <c r="E13" s="14"/>
      <c r="F13" s="14"/>
      <c r="G13" s="14"/>
    </row>
    <row r="14" ht="20.05" customHeight="1">
      <c r="A14" t="s" s="12">
        <v>40</v>
      </c>
      <c r="B14" t="s" s="29">
        <v>33</v>
      </c>
      <c r="C14" t="s" s="27">
        <v>34</v>
      </c>
      <c r="D14" t="s" s="27">
        <v>36</v>
      </c>
      <c r="E14" t="s" s="27">
        <v>41</v>
      </c>
      <c r="F14" s="14"/>
      <c r="G14" s="14"/>
    </row>
    <row r="15" ht="20.05" customHeight="1">
      <c r="A15" t="s" s="12">
        <v>38</v>
      </c>
      <c r="B15" s="26">
        <f t="shared" si="34" ref="B15:D15">-6565.42210691882</f>
        <v>-6565.422106918820</v>
      </c>
      <c r="C15" s="21">
        <f t="shared" si="35" ref="C15:E15">-6354.29863262379</f>
        <v>-6354.298632623790</v>
      </c>
      <c r="D15" s="21">
        <f t="shared" si="34"/>
        <v>-6565.422106918820</v>
      </c>
      <c r="E15" s="21">
        <f t="shared" si="35"/>
        <v>-6354.298632623790</v>
      </c>
      <c r="F15" s="14"/>
      <c r="G15" s="14"/>
    </row>
    <row r="16" ht="20.05" customHeight="1">
      <c r="A16" t="s" s="12">
        <v>9</v>
      </c>
      <c r="B16" s="30">
        <f>-7120.4460055964</f>
        <v>-7120.4460055964</v>
      </c>
      <c r="C16" s="31">
        <f>-6909.32962187376</f>
        <v>-6909.329621873760</v>
      </c>
      <c r="D16" s="21">
        <f>-6846.14543400208</f>
        <v>-6846.145434002080</v>
      </c>
      <c r="E16" s="31">
        <f>-6635.02481530663</f>
        <v>-6635.024815306630</v>
      </c>
      <c r="F16" s="14"/>
      <c r="G16" s="14"/>
    </row>
    <row r="17" ht="20.05" customHeight="1">
      <c r="A17" t="s" s="12">
        <v>10</v>
      </c>
      <c r="B17" s="26">
        <f>-7120.4616692728</f>
        <v>-7120.4616692728</v>
      </c>
      <c r="C17" s="21">
        <f>-6909.33565153955</f>
        <v>-6909.335651539550</v>
      </c>
      <c r="D17" s="21">
        <f>-6846.15956435637</f>
        <v>-6846.159564356370</v>
      </c>
      <c r="E17" s="31">
        <f>-6635.03599731138</f>
        <v>-6635.035997311380</v>
      </c>
      <c r="F17" s="14"/>
      <c r="G17" s="14"/>
    </row>
    <row r="18" ht="20.05" customHeight="1">
      <c r="A18" t="s" s="12">
        <v>11</v>
      </c>
      <c r="B18" s="30">
        <f>-7120.45189814859</f>
        <v>-7120.451898148590</v>
      </c>
      <c r="C18" s="31">
        <f>-6909.32615160691</f>
        <v>-6909.326151606910</v>
      </c>
      <c r="D18" s="21">
        <f>-6846.15029546161</f>
        <v>-6846.150295461610</v>
      </c>
      <c r="E18" s="31">
        <f>-6635.02230189194</f>
        <v>-6635.022301891940</v>
      </c>
      <c r="F18" s="14"/>
      <c r="G18" s="14"/>
    </row>
    <row r="19" ht="20.05" customHeight="1">
      <c r="A19" t="s" s="12">
        <v>39</v>
      </c>
      <c r="B19" s="26">
        <f t="shared" si="50" ref="B19:D19">-6640.80402214296</f>
        <v>-6640.804022142960</v>
      </c>
      <c r="C19" s="21">
        <f t="shared" si="51" ref="C19:E19">-6429.67300993285</f>
        <v>-6429.673009932850</v>
      </c>
      <c r="D19" s="21">
        <f t="shared" si="50"/>
        <v>-6640.804022142960</v>
      </c>
      <c r="E19" s="21">
        <f t="shared" si="51"/>
        <v>-6429.673009932850</v>
      </c>
      <c r="F19" s="14"/>
      <c r="G19" s="14"/>
    </row>
  </sheetData>
  <mergeCells count="1">
    <mergeCell ref="A1:G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dimension ref="A2:G19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7" width="16.3516" style="33" customWidth="1"/>
    <col min="8" max="16384" width="16.3516" style="33" customWidth="1"/>
  </cols>
  <sheetData>
    <row r="1" ht="27.65" customHeight="1">
      <c r="A1" t="s" s="2">
        <v>42</v>
      </c>
      <c r="B1" s="2"/>
      <c r="C1" s="2"/>
      <c r="D1" s="2"/>
      <c r="E1" s="2"/>
      <c r="F1" s="2"/>
      <c r="G1" s="2"/>
    </row>
    <row r="2" ht="20.25" customHeight="1">
      <c r="A2" s="3"/>
      <c r="B2" s="3"/>
      <c r="C2" s="3"/>
      <c r="D2" s="3"/>
      <c r="E2" s="3"/>
      <c r="F2" s="3"/>
      <c r="G2" s="3"/>
    </row>
    <row r="3" ht="20.25" customHeight="1">
      <c r="A3" t="s" s="5">
        <v>27</v>
      </c>
      <c r="B3" s="23">
        <f>-555.073573356088</f>
        <v>-555.073573356088</v>
      </c>
      <c r="C3" s="7"/>
      <c r="D3" s="7"/>
      <c r="E3" t="s" s="24">
        <v>28</v>
      </c>
      <c r="F3" s="25">
        <f>-280.710191767063</f>
        <v>-280.710191767063</v>
      </c>
      <c r="G3" s="7"/>
    </row>
    <row r="4" ht="20.05" customHeight="1">
      <c r="A4" t="s" s="12">
        <v>29</v>
      </c>
      <c r="B4" s="26">
        <f>-479.789426811278</f>
        <v>-479.789426811278</v>
      </c>
      <c r="C4" s="14"/>
      <c r="D4" s="14"/>
      <c r="E4" t="s" s="27">
        <v>30</v>
      </c>
      <c r="F4" s="21">
        <f>-205.421279991216</f>
        <v>-205.421279991216</v>
      </c>
      <c r="G4" s="14"/>
    </row>
    <row r="5" ht="20.05" customHeight="1">
      <c r="A5" s="28"/>
      <c r="B5" s="13"/>
      <c r="C5" s="14"/>
      <c r="D5" s="14"/>
      <c r="E5" s="14"/>
      <c r="F5" s="14"/>
      <c r="G5" s="14"/>
    </row>
    <row r="6" ht="20.05" customHeight="1">
      <c r="A6" t="s" s="12">
        <v>31</v>
      </c>
      <c r="B6" t="s" s="29">
        <v>32</v>
      </c>
      <c r="C6" t="s" s="27">
        <v>33</v>
      </c>
      <c r="D6" t="s" s="27">
        <v>34</v>
      </c>
      <c r="E6" t="s" s="27">
        <v>35</v>
      </c>
      <c r="F6" t="s" s="27">
        <v>36</v>
      </c>
      <c r="G6" t="s" s="27">
        <v>37</v>
      </c>
    </row>
    <row r="7" ht="20.05" customHeight="1">
      <c r="A7" t="s" s="12">
        <v>38</v>
      </c>
      <c r="B7" s="26">
        <f t="shared" si="4" ref="B7:E7">-6241.16014896389</f>
        <v>-6241.160148963890</v>
      </c>
      <c r="C7" s="21">
        <f t="shared" si="5" ref="C7:F7">-6565.77912027442</f>
        <v>-6565.779120274420</v>
      </c>
      <c r="D7" s="21">
        <f t="shared" si="6" ref="D7:G7">-6354.61517485492</f>
        <v>-6354.615174854920</v>
      </c>
      <c r="E7" s="21">
        <f t="shared" si="4"/>
        <v>-6241.160148963890</v>
      </c>
      <c r="F7" s="21">
        <f t="shared" si="5"/>
        <v>-6565.779120274420</v>
      </c>
      <c r="G7" s="21">
        <f t="shared" si="6"/>
        <v>-6354.615174854920</v>
      </c>
    </row>
    <row r="8" ht="20.05" customHeight="1">
      <c r="A8" t="s" s="12">
        <v>9</v>
      </c>
      <c r="B8" s="26">
        <f>-6796.21275174632</f>
        <v>-6796.212751746320</v>
      </c>
      <c r="C8" s="21">
        <f>-7120.83418761984</f>
        <v>-7120.834187619840</v>
      </c>
      <c r="D8" s="21">
        <f>-6909.67277095567</f>
        <v>-6909.672770955670</v>
      </c>
      <c r="E8" s="21">
        <f>-6521.83030785023</f>
        <v>-6521.830307850230</v>
      </c>
      <c r="F8" s="21">
        <f>-6846.4458063319</f>
        <v>-6846.4458063319</v>
      </c>
      <c r="G8" s="21">
        <f>-6635.28978908785</f>
        <v>-6635.289789087850</v>
      </c>
    </row>
    <row r="9" ht="20.05" customHeight="1">
      <c r="A9" t="s" s="12">
        <v>10</v>
      </c>
      <c r="B9" s="26">
        <f>-6796.21734580281</f>
        <v>-6796.217345802810</v>
      </c>
      <c r="C9" s="21">
        <f>-7120.84923452329</f>
        <v>-7120.849234523290</v>
      </c>
      <c r="D9" s="21">
        <f>-6909.68046090085</f>
        <v>-6909.680460900850</v>
      </c>
      <c r="E9" s="21">
        <f>-6521.8274577004</f>
        <v>-6521.8274577004</v>
      </c>
      <c r="F9" s="21">
        <f>-6846.46388941531</f>
        <v>-6846.463889415310</v>
      </c>
      <c r="G9" s="21">
        <f>-6635.29424358598</f>
        <v>-6635.294243585980</v>
      </c>
    </row>
    <row r="10" ht="20.05" customHeight="1">
      <c r="A10" t="s" s="12">
        <v>11</v>
      </c>
      <c r="B10" s="26">
        <f>-6796.21123947584</f>
        <v>-6796.211239475840</v>
      </c>
      <c r="C10" s="21">
        <f>-7120.8385595073</f>
        <v>-7120.8385595073</v>
      </c>
      <c r="D10" s="21">
        <f>-6909.67163516187</f>
        <v>-6909.671635161870</v>
      </c>
      <c r="E10" s="21">
        <f>-6521.78969493795</f>
        <v>-6521.789694937950</v>
      </c>
      <c r="F10" s="21">
        <f>-6846.44237575728</f>
        <v>-6846.442375757280</v>
      </c>
      <c r="G10" s="21">
        <f>-6635.25978886566</f>
        <v>-6635.259788865660</v>
      </c>
    </row>
    <row r="11" ht="20.05" customHeight="1">
      <c r="A11" t="s" s="12">
        <v>39</v>
      </c>
      <c r="B11" s="26">
        <f t="shared" si="28" ref="B11:E11">-6316.51639196556</f>
        <v>-6316.516391965560</v>
      </c>
      <c r="C11" s="21">
        <f t="shared" si="29" ref="C11:F11">-6641.14016356861</f>
        <v>-6641.140163568610</v>
      </c>
      <c r="D11" s="21">
        <f t="shared" si="30" ref="D11:G11">-6429.96774053186</f>
        <v>-6429.967740531860</v>
      </c>
      <c r="E11" s="21">
        <f t="shared" si="28"/>
        <v>-6316.516391965560</v>
      </c>
      <c r="F11" s="21">
        <f t="shared" si="29"/>
        <v>-6641.140163568610</v>
      </c>
      <c r="G11" s="21">
        <f t="shared" si="30"/>
        <v>-6429.967740531860</v>
      </c>
    </row>
    <row r="12" ht="20.05" customHeight="1">
      <c r="A12" s="28"/>
      <c r="B12" s="13"/>
      <c r="C12" s="14"/>
      <c r="D12" s="14"/>
      <c r="E12" s="14"/>
      <c r="F12" s="14"/>
      <c r="G12" s="14"/>
    </row>
    <row r="13" ht="20.05" customHeight="1">
      <c r="A13" s="28"/>
      <c r="B13" s="13"/>
      <c r="C13" s="14"/>
      <c r="D13" s="14"/>
      <c r="E13" s="14"/>
      <c r="F13" s="14"/>
      <c r="G13" s="14"/>
    </row>
    <row r="14" ht="20.05" customHeight="1">
      <c r="A14" t="s" s="12">
        <v>40</v>
      </c>
      <c r="B14" t="s" s="29">
        <v>33</v>
      </c>
      <c r="C14" t="s" s="27">
        <v>34</v>
      </c>
      <c r="D14" t="s" s="27">
        <v>36</v>
      </c>
      <c r="E14" t="s" s="27">
        <v>41</v>
      </c>
      <c r="F14" s="14"/>
      <c r="G14" s="14"/>
    </row>
    <row r="15" ht="20.05" customHeight="1">
      <c r="A15" t="s" s="12">
        <v>38</v>
      </c>
      <c r="B15" s="26">
        <f t="shared" si="34" ref="B15:D15">-6565.72789233216</f>
        <v>-6565.727892332160</v>
      </c>
      <c r="C15" s="21">
        <f t="shared" si="35" ref="C15:E15">-6354.55246795685</f>
        <v>-6354.552467956850</v>
      </c>
      <c r="D15" s="21">
        <f t="shared" si="34"/>
        <v>-6565.727892332160</v>
      </c>
      <c r="E15" s="21">
        <f t="shared" si="35"/>
        <v>-6354.552467956850</v>
      </c>
      <c r="F15" s="14"/>
      <c r="G15" s="14"/>
    </row>
    <row r="16" ht="20.05" customHeight="1">
      <c r="A16" t="s" s="12">
        <v>9</v>
      </c>
      <c r="B16" s="30">
        <f>-7120.78805286098</f>
        <v>-7120.788052860980</v>
      </c>
      <c r="C16" s="31">
        <f>-6909.61886679871</f>
        <v>-6909.618866798710</v>
      </c>
      <c r="D16" s="21">
        <f>-6846.40884415204</f>
        <v>-6846.408844152040</v>
      </c>
      <c r="E16" s="31">
        <f>-6635.23536647355</f>
        <v>-6635.235366473550</v>
      </c>
      <c r="F16" s="14"/>
      <c r="G16" s="14"/>
    </row>
    <row r="17" ht="20.05" customHeight="1">
      <c r="A17" t="s" s="12">
        <v>10</v>
      </c>
      <c r="B17" s="26">
        <f>-7120.80925962538</f>
        <v>-7120.809259625380</v>
      </c>
      <c r="C17" s="21">
        <f>-6909.62915299973</f>
        <v>-6909.629152999730</v>
      </c>
      <c r="D17" s="21">
        <f>-6846.15956435637</f>
        <v>-6846.159564356370</v>
      </c>
      <c r="E17" s="31">
        <f>-6635.2483494779</f>
        <v>-6635.2483494779</v>
      </c>
      <c r="F17" s="14"/>
      <c r="G17" s="14"/>
    </row>
    <row r="18" ht="20.05" customHeight="1">
      <c r="A18" t="s" s="12">
        <v>11</v>
      </c>
      <c r="B18" s="30">
        <f>-7120.79385772673</f>
        <v>-7120.793857726730</v>
      </c>
      <c r="C18" s="31">
        <f>-6909.61401116606</f>
        <v>-6909.614011166060</v>
      </c>
      <c r="D18" s="21">
        <f>-6846.40764908087</f>
        <v>-6846.407649080870</v>
      </c>
      <c r="E18" s="31">
        <f>-6635.02230189194</f>
        <v>-6635.022301891940</v>
      </c>
      <c r="F18" s="14"/>
      <c r="G18" s="14"/>
    </row>
    <row r="19" ht="20.05" customHeight="1">
      <c r="A19" t="s" s="12">
        <v>39</v>
      </c>
      <c r="B19" s="26">
        <f t="shared" si="50" ref="B19:D19">-6641.09714726939</f>
        <v>-6641.097147269390</v>
      </c>
      <c r="C19" s="21">
        <f t="shared" si="51" ref="C19:E19">-6429.91191586248</f>
        <v>-6429.911915862480</v>
      </c>
      <c r="D19" s="21">
        <f t="shared" si="50"/>
        <v>-6641.097147269390</v>
      </c>
      <c r="E19" s="21">
        <f t="shared" si="51"/>
        <v>-6429.911915862480</v>
      </c>
      <c r="F19" s="14"/>
      <c r="G19" s="14"/>
    </row>
  </sheetData>
  <mergeCells count="1">
    <mergeCell ref="A1:G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5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4" width="16.3516" style="34" customWidth="1"/>
    <col min="5" max="16384" width="16.3516" style="34" customWidth="1"/>
  </cols>
  <sheetData>
    <row r="1" ht="27.65" customHeight="1">
      <c r="A1" t="s" s="2">
        <v>43</v>
      </c>
      <c r="B1" s="2"/>
      <c r="C1" s="2"/>
      <c r="D1" s="2"/>
    </row>
    <row r="2" ht="20.25" customHeight="1">
      <c r="A2" s="3"/>
      <c r="B2" t="s" s="4">
        <v>26</v>
      </c>
      <c r="C2" t="s" s="4">
        <v>42</v>
      </c>
      <c r="D2" t="s" s="4">
        <v>44</v>
      </c>
    </row>
    <row r="3" ht="20.25" customHeight="1">
      <c r="A3" t="s" s="5">
        <v>45</v>
      </c>
      <c r="B3" s="35">
        <v>12.3</v>
      </c>
      <c r="C3" s="36">
        <v>14.4</v>
      </c>
      <c r="D3" s="36">
        <v>15.5</v>
      </c>
    </row>
    <row r="4" ht="20.05" customHeight="1">
      <c r="A4" t="s" s="12">
        <v>46</v>
      </c>
      <c r="B4" s="37">
        <v>7.4</v>
      </c>
      <c r="C4" s="38">
        <v>6.6</v>
      </c>
      <c r="D4" s="38">
        <v>7.2</v>
      </c>
    </row>
    <row r="5" ht="20.05" customHeight="1">
      <c r="A5" t="s" s="12">
        <v>47</v>
      </c>
      <c r="B5" s="37">
        <v>12.4</v>
      </c>
      <c r="C5" s="38">
        <v>14.4</v>
      </c>
      <c r="D5" s="38">
        <v>15.5</v>
      </c>
    </row>
  </sheetData>
  <mergeCells count="1">
    <mergeCell ref="A1:D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