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77072\Documents\PM2.5-BSA-Miyamoto\R1-EM-COM-12-2024-000766\"/>
    </mc:Choice>
  </mc:AlternateContent>
  <xr:revisionPtr revIDLastSave="0" documentId="13_ncr:1_{FEF8BF65-7CE3-45FC-A8AB-0D71613FF662}" xr6:coauthVersionLast="47" xr6:coauthVersionMax="47" xr10:uidLastSave="{00000000-0000-0000-0000-000000000000}"/>
  <bookViews>
    <workbookView xWindow="-108" yWindow="-108" windowWidth="23256" windowHeight="12456" xr2:uid="{FD23324E-76BB-4F94-9AFC-D07DA8756312}"/>
  </bookViews>
  <sheets>
    <sheet name="Shapiro-Wilk_F-test" sheetId="10" r:id="rId1"/>
    <sheet name="ANOVA_Tukey" sheetId="1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4" i="11" l="1"/>
  <c r="R63" i="11"/>
  <c r="R62" i="11"/>
  <c r="S59" i="11"/>
  <c r="R59" i="11"/>
  <c r="J57" i="11"/>
  <c r="S56" i="11"/>
  <c r="H53" i="11"/>
  <c r="M52" i="11"/>
  <c r="L52" i="11"/>
  <c r="H52" i="11"/>
  <c r="R51" i="11"/>
  <c r="S61" i="11" s="1"/>
  <c r="M51" i="11"/>
  <c r="H51" i="11"/>
  <c r="U50" i="11"/>
  <c r="T50" i="11"/>
  <c r="S50" i="11"/>
  <c r="R50" i="11"/>
  <c r="S60" i="11" s="1"/>
  <c r="H50" i="11"/>
  <c r="U49" i="11"/>
  <c r="T49" i="11"/>
  <c r="S49" i="11"/>
  <c r="T62" i="11" s="1"/>
  <c r="R49" i="11"/>
  <c r="I49" i="11"/>
  <c r="H49" i="11"/>
  <c r="U48" i="11"/>
  <c r="T48" i="11"/>
  <c r="R48" i="11"/>
  <c r="R60" i="11" s="1"/>
  <c r="F48" i="11"/>
  <c r="E48" i="11"/>
  <c r="D48" i="11"/>
  <c r="C48" i="11"/>
  <c r="B48" i="11"/>
  <c r="S47" i="11"/>
  <c r="R47" i="11"/>
  <c r="R58" i="11" s="1"/>
  <c r="F47" i="11"/>
  <c r="J53" i="11" s="1"/>
  <c r="E47" i="11"/>
  <c r="D47" i="11"/>
  <c r="C47" i="11"/>
  <c r="B47" i="11"/>
  <c r="F46" i="11"/>
  <c r="I53" i="11" s="1"/>
  <c r="E46" i="11"/>
  <c r="K52" i="11" s="1"/>
  <c r="D46" i="11"/>
  <c r="L51" i="11" s="1"/>
  <c r="C46" i="11"/>
  <c r="M50" i="11" s="1"/>
  <c r="B46" i="11"/>
  <c r="J59" i="11" s="1"/>
  <c r="J58" i="11" s="1"/>
  <c r="S42" i="11"/>
  <c r="R42" i="11"/>
  <c r="T41" i="11"/>
  <c r="S41" i="11"/>
  <c r="S40" i="11"/>
  <c r="R40" i="11"/>
  <c r="T39" i="11"/>
  <c r="S39" i="11"/>
  <c r="T38" i="11"/>
  <c r="S38" i="11"/>
  <c r="R38" i="11"/>
  <c r="R37" i="11"/>
  <c r="J37" i="11"/>
  <c r="I37" i="11"/>
  <c r="S36" i="11"/>
  <c r="S35" i="11"/>
  <c r="T34" i="11"/>
  <c r="S33" i="11"/>
  <c r="M31" i="11"/>
  <c r="L31" i="11"/>
  <c r="K31" i="11"/>
  <c r="J31" i="11"/>
  <c r="I31" i="11"/>
  <c r="H31" i="11"/>
  <c r="M30" i="11"/>
  <c r="L30" i="11"/>
  <c r="K30" i="11"/>
  <c r="J30" i="11"/>
  <c r="I30" i="11"/>
  <c r="H30" i="11"/>
  <c r="U29" i="11"/>
  <c r="T29" i="11"/>
  <c r="S29" i="11"/>
  <c r="R29" i="11"/>
  <c r="M29" i="11"/>
  <c r="L29" i="11"/>
  <c r="K29" i="11"/>
  <c r="J29" i="11"/>
  <c r="I29" i="11"/>
  <c r="H29" i="11"/>
  <c r="U28" i="11"/>
  <c r="U30" i="11" s="1"/>
  <c r="T28" i="11"/>
  <c r="S28" i="11"/>
  <c r="T42" i="11" s="1"/>
  <c r="R28" i="11"/>
  <c r="M28" i="11"/>
  <c r="L28" i="11"/>
  <c r="K28" i="11"/>
  <c r="J28" i="11"/>
  <c r="I28" i="11"/>
  <c r="H28" i="11"/>
  <c r="U27" i="11"/>
  <c r="T27" i="11"/>
  <c r="S27" i="11"/>
  <c r="T40" i="11" s="1"/>
  <c r="R27" i="11"/>
  <c r="S34" i="11" s="1"/>
  <c r="M27" i="11"/>
  <c r="I36" i="11" s="1"/>
  <c r="L27" i="11"/>
  <c r="K27" i="11"/>
  <c r="J27" i="11"/>
  <c r="I27" i="11"/>
  <c r="H27" i="11"/>
  <c r="U26" i="11"/>
  <c r="T26" i="11"/>
  <c r="S26" i="11"/>
  <c r="T37" i="11" s="1"/>
  <c r="R26" i="11"/>
  <c r="R39" i="11" s="1"/>
  <c r="U25" i="11"/>
  <c r="T25" i="11"/>
  <c r="S25" i="11"/>
  <c r="T35" i="11" s="1"/>
  <c r="R25" i="11"/>
  <c r="R36" i="11" s="1"/>
  <c r="S20" i="11"/>
  <c r="R20" i="11"/>
  <c r="S19" i="11"/>
  <c r="S17" i="11"/>
  <c r="T16" i="11"/>
  <c r="S15" i="11"/>
  <c r="R15" i="11"/>
  <c r="J15" i="11"/>
  <c r="I15" i="11"/>
  <c r="T14" i="11"/>
  <c r="S14" i="11"/>
  <c r="T13" i="11"/>
  <c r="M9" i="11"/>
  <c r="L9" i="11"/>
  <c r="K9" i="11"/>
  <c r="J9" i="11"/>
  <c r="I9" i="11"/>
  <c r="H9" i="11"/>
  <c r="J13" i="11" s="1"/>
  <c r="J14" i="11" s="1"/>
  <c r="M8" i="11"/>
  <c r="L8" i="11"/>
  <c r="K8" i="11"/>
  <c r="J8" i="11"/>
  <c r="I8" i="11"/>
  <c r="H8" i="11"/>
  <c r="U7" i="11"/>
  <c r="T7" i="11"/>
  <c r="S7" i="11"/>
  <c r="R7" i="11"/>
  <c r="M7" i="11"/>
  <c r="L7" i="11"/>
  <c r="K7" i="11"/>
  <c r="J7" i="11"/>
  <c r="I7" i="11"/>
  <c r="H7" i="11"/>
  <c r="U6" i="11"/>
  <c r="T6" i="11"/>
  <c r="S6" i="11"/>
  <c r="T20" i="11" s="1"/>
  <c r="R6" i="11"/>
  <c r="S18" i="11" s="1"/>
  <c r="M6" i="11"/>
  <c r="L6" i="11"/>
  <c r="K6" i="11"/>
  <c r="J6" i="11"/>
  <c r="I6" i="11"/>
  <c r="H6" i="11"/>
  <c r="U5" i="11"/>
  <c r="T5" i="11"/>
  <c r="S5" i="11"/>
  <c r="T18" i="11" s="1"/>
  <c r="R5" i="11"/>
  <c r="R18" i="11" s="1"/>
  <c r="M5" i="11"/>
  <c r="L5" i="11"/>
  <c r="K5" i="11"/>
  <c r="J5" i="11"/>
  <c r="I5" i="11"/>
  <c r="H5" i="11"/>
  <c r="U4" i="11"/>
  <c r="T4" i="11"/>
  <c r="S4" i="11"/>
  <c r="T15" i="11" s="1"/>
  <c r="R4" i="11"/>
  <c r="R17" i="11" s="1"/>
  <c r="U3" i="11"/>
  <c r="U8" i="11" s="1"/>
  <c r="T3" i="11"/>
  <c r="S3" i="11"/>
  <c r="T11" i="11" s="1"/>
  <c r="R3" i="11"/>
  <c r="T55" i="11" l="1"/>
  <c r="R11" i="11"/>
  <c r="R12" i="11"/>
  <c r="R14" i="11"/>
  <c r="R13" i="11"/>
  <c r="AA37" i="11"/>
  <c r="I13" i="11"/>
  <c r="K15" i="11"/>
  <c r="U13" i="11"/>
  <c r="V13" i="11" s="1"/>
  <c r="U17" i="11"/>
  <c r="AA20" i="11"/>
  <c r="AA39" i="11"/>
  <c r="I14" i="11"/>
  <c r="K14" i="11" s="1"/>
  <c r="J35" i="11"/>
  <c r="J36" i="11" s="1"/>
  <c r="K36" i="11" s="1"/>
  <c r="AA40" i="11"/>
  <c r="U33" i="11"/>
  <c r="U38" i="11"/>
  <c r="V38" i="11" s="1"/>
  <c r="U35" i="11"/>
  <c r="U41" i="11"/>
  <c r="U34" i="11"/>
  <c r="V34" i="11" s="1"/>
  <c r="R33" i="11"/>
  <c r="K53" i="11"/>
  <c r="T57" i="11"/>
  <c r="S58" i="11"/>
  <c r="R16" i="11"/>
  <c r="T17" i="11"/>
  <c r="L53" i="11"/>
  <c r="S13" i="11"/>
  <c r="S16" i="11"/>
  <c r="T33" i="11"/>
  <c r="S48" i="11"/>
  <c r="M53" i="11"/>
  <c r="R64" i="11"/>
  <c r="R35" i="11"/>
  <c r="S51" i="11"/>
  <c r="T58" i="11" s="1"/>
  <c r="T47" i="11"/>
  <c r="T51" i="11"/>
  <c r="R55" i="11"/>
  <c r="T56" i="11"/>
  <c r="R19" i="11"/>
  <c r="AA34" i="11"/>
  <c r="T36" i="11"/>
  <c r="S37" i="11"/>
  <c r="U47" i="11"/>
  <c r="J49" i="11"/>
  <c r="I50" i="11"/>
  <c r="U51" i="11"/>
  <c r="S55" i="11"/>
  <c r="S62" i="11"/>
  <c r="R56" i="11"/>
  <c r="J50" i="11"/>
  <c r="I51" i="11"/>
  <c r="R61" i="11"/>
  <c r="S63" i="11"/>
  <c r="T8" i="11"/>
  <c r="V8" i="11" s="1"/>
  <c r="U12" i="11" s="1"/>
  <c r="S12" i="11"/>
  <c r="I35" i="11"/>
  <c r="T19" i="11"/>
  <c r="L49" i="11"/>
  <c r="K50" i="11"/>
  <c r="J51" i="11"/>
  <c r="I52" i="11"/>
  <c r="I59" i="11"/>
  <c r="K37" i="11"/>
  <c r="K49" i="11"/>
  <c r="T12" i="11"/>
  <c r="S11" i="11"/>
  <c r="R34" i="11"/>
  <c r="R41" i="11"/>
  <c r="M49" i="11"/>
  <c r="I58" i="11" s="1"/>
  <c r="K58" i="11" s="1"/>
  <c r="L50" i="11"/>
  <c r="K51" i="11"/>
  <c r="J52" i="11"/>
  <c r="R57" i="11"/>
  <c r="T30" i="11"/>
  <c r="V30" i="11" s="1"/>
  <c r="AA41" i="11" s="1"/>
  <c r="S57" i="11"/>
  <c r="Y13" i="11"/>
  <c r="Y38" i="11"/>
  <c r="Y34" i="11"/>
  <c r="W8" i="11"/>
  <c r="W30" i="11"/>
  <c r="Z12" i="11" l="1"/>
  <c r="N30" i="11"/>
  <c r="N31" i="11"/>
  <c r="N29" i="11"/>
  <c r="N28" i="11"/>
  <c r="N27" i="11"/>
  <c r="O35" i="11"/>
  <c r="P35" i="11"/>
  <c r="Z41" i="11"/>
  <c r="W41" i="11"/>
  <c r="X41" i="11"/>
  <c r="U40" i="11"/>
  <c r="AA15" i="11"/>
  <c r="O13" i="11"/>
  <c r="N7" i="11"/>
  <c r="N8" i="11"/>
  <c r="N9" i="11"/>
  <c r="N5" i="11"/>
  <c r="P13" i="11"/>
  <c r="N6" i="11"/>
  <c r="T64" i="11"/>
  <c r="AA57" i="11"/>
  <c r="Z35" i="11"/>
  <c r="X38" i="11"/>
  <c r="AA19" i="11"/>
  <c r="X19" i="11"/>
  <c r="AA16" i="11"/>
  <c r="U39" i="11"/>
  <c r="U16" i="11"/>
  <c r="X13" i="11"/>
  <c r="Z38" i="11"/>
  <c r="N13" i="11"/>
  <c r="K13" i="11"/>
  <c r="L13" i="11" s="1"/>
  <c r="M13" i="11" s="1"/>
  <c r="AA38" i="11"/>
  <c r="U37" i="11"/>
  <c r="AA42" i="11"/>
  <c r="U14" i="11"/>
  <c r="W13" i="11"/>
  <c r="Z17" i="11"/>
  <c r="K35" i="11"/>
  <c r="L35" i="11" s="1"/>
  <c r="M35" i="11" s="1"/>
  <c r="N35" i="11"/>
  <c r="U36" i="11"/>
  <c r="Z36" i="11" s="1"/>
  <c r="U15" i="11"/>
  <c r="AA11" i="11"/>
  <c r="Z13" i="11"/>
  <c r="V12" i="11"/>
  <c r="AA12" i="11"/>
  <c r="X12" i="11"/>
  <c r="W12" i="11"/>
  <c r="X36" i="11"/>
  <c r="V36" i="11"/>
  <c r="AA36" i="11"/>
  <c r="O51" i="11"/>
  <c r="T61" i="11"/>
  <c r="T59" i="11"/>
  <c r="T60" i="11"/>
  <c r="K59" i="11"/>
  <c r="P57" i="11"/>
  <c r="I57" i="11"/>
  <c r="T63" i="11"/>
  <c r="V41" i="11"/>
  <c r="AA17" i="11"/>
  <c r="W17" i="11"/>
  <c r="X17" i="11"/>
  <c r="V17" i="11"/>
  <c r="U42" i="11"/>
  <c r="AA18" i="11"/>
  <c r="AA35" i="11"/>
  <c r="U20" i="11"/>
  <c r="AA13" i="11"/>
  <c r="Z33" i="11"/>
  <c r="N49" i="11"/>
  <c r="O57" i="11"/>
  <c r="N53" i="11"/>
  <c r="P53" i="11" s="1"/>
  <c r="N52" i="11"/>
  <c r="N51" i="11"/>
  <c r="P51" i="11" s="1"/>
  <c r="N50" i="11"/>
  <c r="P50" i="11" s="1"/>
  <c r="AA14" i="11"/>
  <c r="W35" i="11"/>
  <c r="Z34" i="11"/>
  <c r="W34" i="11"/>
  <c r="X35" i="11"/>
  <c r="T52" i="11"/>
  <c r="V52" i="11" s="1"/>
  <c r="AA62" i="11" s="1"/>
  <c r="W38" i="11"/>
  <c r="P49" i="11"/>
  <c r="O49" i="11"/>
  <c r="U11" i="11"/>
  <c r="U18" i="11"/>
  <c r="U52" i="11"/>
  <c r="W33" i="11"/>
  <c r="V33" i="11"/>
  <c r="AA33" i="11"/>
  <c r="X33" i="11"/>
  <c r="X34" i="11"/>
  <c r="V35" i="11"/>
  <c r="U19" i="11"/>
  <c r="Z19" i="11" s="1"/>
  <c r="W52" i="11"/>
  <c r="Y35" i="11"/>
  <c r="Y17" i="11"/>
  <c r="Y33" i="11"/>
  <c r="Y41" i="11"/>
  <c r="Y12" i="11"/>
  <c r="Y36" i="11"/>
  <c r="P52" i="11" l="1"/>
  <c r="O52" i="11"/>
  <c r="Z15" i="11"/>
  <c r="X15" i="11"/>
  <c r="V15" i="11"/>
  <c r="W15" i="11"/>
  <c r="V19" i="11"/>
  <c r="P5" i="11"/>
  <c r="O5" i="11"/>
  <c r="AA55" i="11"/>
  <c r="P9" i="11"/>
  <c r="O9" i="11"/>
  <c r="AA58" i="11"/>
  <c r="W36" i="11"/>
  <c r="P8" i="11"/>
  <c r="O8" i="11"/>
  <c r="AA63" i="11"/>
  <c r="O7" i="11"/>
  <c r="P7" i="11"/>
  <c r="Z20" i="11"/>
  <c r="X20" i="11"/>
  <c r="W20" i="11"/>
  <c r="V20" i="11"/>
  <c r="Z40" i="11"/>
  <c r="X40" i="11"/>
  <c r="V40" i="11"/>
  <c r="W40" i="11"/>
  <c r="U61" i="11"/>
  <c r="Z61" i="11" s="1"/>
  <c r="U59" i="11"/>
  <c r="Z59" i="11" s="1"/>
  <c r="U62" i="11"/>
  <c r="U55" i="11"/>
  <c r="U63" i="11"/>
  <c r="Z63" i="11" s="1"/>
  <c r="U56" i="11"/>
  <c r="U64" i="11"/>
  <c r="Z64" i="11" s="1"/>
  <c r="U58" i="11"/>
  <c r="U60" i="11"/>
  <c r="Z60" i="11" s="1"/>
  <c r="U57" i="11"/>
  <c r="X60" i="11"/>
  <c r="W60" i="11"/>
  <c r="AA60" i="11"/>
  <c r="V60" i="11"/>
  <c r="Z39" i="11"/>
  <c r="V39" i="11"/>
  <c r="X39" i="11"/>
  <c r="W39" i="11"/>
  <c r="O50" i="11"/>
  <c r="O31" i="11"/>
  <c r="P31" i="11"/>
  <c r="P28" i="11"/>
  <c r="O28" i="11"/>
  <c r="AA56" i="11"/>
  <c r="Z14" i="11"/>
  <c r="X14" i="11"/>
  <c r="W14" i="11"/>
  <c r="V14" i="11"/>
  <c r="O29" i="11"/>
  <c r="P29" i="11"/>
  <c r="Z18" i="11"/>
  <c r="X18" i="11"/>
  <c r="W18" i="11"/>
  <c r="V18" i="11"/>
  <c r="AA59" i="11"/>
  <c r="V59" i="11"/>
  <c r="O53" i="11"/>
  <c r="Z37" i="11"/>
  <c r="V37" i="11"/>
  <c r="X37" i="11"/>
  <c r="W37" i="11"/>
  <c r="O30" i="11"/>
  <c r="P30" i="11"/>
  <c r="P6" i="11"/>
  <c r="O6" i="11"/>
  <c r="N57" i="11"/>
  <c r="K57" i="11"/>
  <c r="L57" i="11" s="1"/>
  <c r="M57" i="11" s="1"/>
  <c r="O27" i="11"/>
  <c r="P27" i="11"/>
  <c r="Z16" i="11"/>
  <c r="X16" i="11"/>
  <c r="W16" i="11"/>
  <c r="V16" i="11"/>
  <c r="Z11" i="11"/>
  <c r="W11" i="11"/>
  <c r="V11" i="11"/>
  <c r="X11" i="11"/>
  <c r="Z42" i="11"/>
  <c r="V42" i="11"/>
  <c r="X42" i="11"/>
  <c r="W42" i="11"/>
  <c r="AA61" i="11"/>
  <c r="X61" i="11"/>
  <c r="W61" i="11"/>
  <c r="W19" i="11"/>
  <c r="AA64" i="11"/>
  <c r="X64" i="11"/>
  <c r="W64" i="11"/>
  <c r="V64" i="11"/>
  <c r="Y16" i="11"/>
  <c r="Y60" i="11"/>
  <c r="Y15" i="11"/>
  <c r="Y19" i="11"/>
  <c r="Y14" i="11"/>
  <c r="Y59" i="11"/>
  <c r="Y42" i="11"/>
  <c r="Y18" i="11"/>
  <c r="Y37" i="11"/>
  <c r="Y11" i="11"/>
  <c r="Y40" i="11"/>
  <c r="Y64" i="11"/>
  <c r="Y20" i="11"/>
  <c r="Y39" i="11"/>
  <c r="Z62" i="11" l="1"/>
  <c r="X62" i="11"/>
  <c r="W62" i="11"/>
  <c r="V62" i="11"/>
  <c r="W63" i="11"/>
  <c r="Z57" i="11"/>
  <c r="X57" i="11"/>
  <c r="W57" i="11"/>
  <c r="V57" i="11"/>
  <c r="Z55" i="11"/>
  <c r="W55" i="11"/>
  <c r="V55" i="11"/>
  <c r="X55" i="11"/>
  <c r="X59" i="11"/>
  <c r="V63" i="11"/>
  <c r="W59" i="11"/>
  <c r="Z58" i="11"/>
  <c r="V58" i="11"/>
  <c r="W58" i="11"/>
  <c r="X58" i="11"/>
  <c r="Z56" i="11"/>
  <c r="X56" i="11"/>
  <c r="W56" i="11"/>
  <c r="V56" i="11"/>
  <c r="X63" i="11"/>
  <c r="V61" i="11"/>
  <c r="Y58" i="11"/>
  <c r="Y62" i="11"/>
  <c r="Y57" i="11"/>
  <c r="Y55" i="11"/>
  <c r="Y61" i="11"/>
  <c r="Y56" i="11"/>
  <c r="Y63" i="11"/>
  <c r="J37" i="10" l="1"/>
  <c r="K37" i="10"/>
  <c r="L37" i="10"/>
  <c r="M37" i="10"/>
  <c r="I37" i="10"/>
  <c r="J38" i="10"/>
  <c r="P6" i="10"/>
  <c r="I45" i="10"/>
  <c r="R3" i="10" a="1"/>
  <c r="P40" i="10"/>
  <c r="I39" i="10"/>
  <c r="L46" i="10"/>
  <c r="J46" i="10"/>
  <c r="P21" i="10"/>
  <c r="M45" i="10"/>
  <c r="L45" i="10"/>
  <c r="I46" i="10"/>
  <c r="P5" i="10"/>
  <c r="P38" i="10"/>
  <c r="P23" i="10"/>
  <c r="J45" i="10"/>
  <c r="J39" i="10"/>
  <c r="M39" i="10"/>
  <c r="I38" i="10"/>
  <c r="R37" i="10" a="1"/>
  <c r="K46" i="10"/>
  <c r="K38" i="10"/>
  <c r="P22" i="10"/>
  <c r="K39" i="10"/>
  <c r="R20" i="10" a="1"/>
  <c r="P4" i="10"/>
  <c r="L38" i="10"/>
  <c r="K45" i="10"/>
  <c r="L39" i="10"/>
  <c r="M46" i="10"/>
  <c r="M38" i="10"/>
  <c r="P39" i="10"/>
  <c r="R37" i="10" l="1"/>
  <c r="R20" i="10"/>
  <c r="I41" i="10"/>
  <c r="I48" i="10"/>
  <c r="R3" i="10"/>
  <c r="M48" i="10"/>
  <c r="L48" i="10"/>
  <c r="K48" i="10"/>
  <c r="J48" i="10"/>
  <c r="M41" i="10"/>
  <c r="L41" i="10"/>
  <c r="K41" i="10"/>
  <c r="J41" i="10"/>
  <c r="I3" i="10" l="1"/>
  <c r="J3" i="10"/>
  <c r="K3" i="10"/>
  <c r="L3" i="10"/>
  <c r="M3" i="10"/>
  <c r="I20" i="10"/>
  <c r="J20" i="10"/>
  <c r="K20" i="10"/>
  <c r="L20" i="10"/>
  <c r="M20" i="10"/>
  <c r="M21" i="10"/>
  <c r="L5" i="10"/>
  <c r="K4" i="10"/>
  <c r="L11" i="10"/>
  <c r="M4" i="10"/>
  <c r="M5" i="10"/>
  <c r="L29" i="10"/>
  <c r="K29" i="10"/>
  <c r="J22" i="10"/>
  <c r="L4" i="10"/>
  <c r="K21" i="10"/>
  <c r="K28" i="10"/>
  <c r="M28" i="10"/>
  <c r="K22" i="10"/>
  <c r="I4" i="10"/>
  <c r="M12" i="10"/>
  <c r="K12" i="10"/>
  <c r="J5" i="10"/>
  <c r="I28" i="10"/>
  <c r="I5" i="10"/>
  <c r="L21" i="10"/>
  <c r="M29" i="10"/>
  <c r="L22" i="10"/>
  <c r="L12" i="10"/>
  <c r="I11" i="10"/>
  <c r="I12" i="10"/>
  <c r="J11" i="10"/>
  <c r="I29" i="10"/>
  <c r="J28" i="10"/>
  <c r="K11" i="10"/>
  <c r="M22" i="10"/>
  <c r="J21" i="10"/>
  <c r="J12" i="10"/>
  <c r="I22" i="10"/>
  <c r="J29" i="10"/>
  <c r="J4" i="10"/>
  <c r="L28" i="10"/>
  <c r="K5" i="10"/>
  <c r="M11" i="10"/>
  <c r="I21" i="10"/>
  <c r="K24" i="10" l="1"/>
  <c r="J7" i="10"/>
  <c r="J24" i="10"/>
  <c r="I7" i="10"/>
  <c r="I24" i="10"/>
  <c r="M14" i="10"/>
  <c r="M31" i="10"/>
  <c r="L14" i="10"/>
  <c r="L31" i="10"/>
  <c r="K14" i="10"/>
  <c r="K31" i="10"/>
  <c r="J14" i="10"/>
  <c r="M7" i="10"/>
  <c r="J31" i="10"/>
  <c r="M24" i="10"/>
  <c r="I14" i="10"/>
  <c r="L7" i="10"/>
  <c r="I31" i="10"/>
  <c r="L24" i="10"/>
  <c r="K7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<sst xmlns="http://schemas.openxmlformats.org/spreadsheetml/2006/main" count="244" uniqueCount="65">
  <si>
    <t>No PM</t>
  </si>
  <si>
    <t>PMM 3 mg/ml</t>
  </si>
  <si>
    <t>PMM 0.3 mg/ml</t>
  </si>
  <si>
    <t>helix</t>
  </si>
  <si>
    <t>Sample 1</t>
  </si>
  <si>
    <t>Sample 2</t>
  </si>
  <si>
    <t>Sample 3</t>
  </si>
  <si>
    <t>PMO 0.3 mg/ml</t>
  </si>
  <si>
    <t>PMO 3 mg/ml</t>
  </si>
  <si>
    <t>Count</t>
  </si>
  <si>
    <t>Sum</t>
  </si>
  <si>
    <t>Variance</t>
  </si>
  <si>
    <t>ANOVA</t>
  </si>
  <si>
    <t>SS</t>
  </si>
  <si>
    <t>df</t>
  </si>
  <si>
    <t>MS</t>
  </si>
  <si>
    <t>F</t>
  </si>
  <si>
    <t>Between Groups</t>
  </si>
  <si>
    <t>Within Groups</t>
  </si>
  <si>
    <t>Total</t>
  </si>
  <si>
    <t>Mean</t>
  </si>
  <si>
    <t>β-sheets</t>
  </si>
  <si>
    <t>helix+β-sheets</t>
  </si>
  <si>
    <t>ANOVA: Single Factor</t>
  </si>
  <si>
    <t>DESCRIPTION</t>
  </si>
  <si>
    <t>Alpha</t>
  </si>
  <si>
    <t>Group</t>
  </si>
  <si>
    <t>Std Err</t>
  </si>
  <si>
    <t>Lower</t>
  </si>
  <si>
    <t>Upper</t>
  </si>
  <si>
    <t>Sources</t>
  </si>
  <si>
    <t>P value</t>
  </si>
  <si>
    <t>Eta-sq</t>
  </si>
  <si>
    <t>RMSSE</t>
  </si>
  <si>
    <t>Omega Sq</t>
  </si>
  <si>
    <t>TUKEY HSD/KRAMER</t>
  </si>
  <si>
    <t>alpha</t>
  </si>
  <si>
    <t>group</t>
  </si>
  <si>
    <t>mean</t>
  </si>
  <si>
    <t>n</t>
  </si>
  <si>
    <t>ss</t>
  </si>
  <si>
    <t>q-crit</t>
  </si>
  <si>
    <t>Q TEST</t>
  </si>
  <si>
    <t>group 1</t>
  </si>
  <si>
    <t>group 2</t>
  </si>
  <si>
    <t>std err</t>
  </si>
  <si>
    <t>q-stat</t>
  </si>
  <si>
    <t>lower</t>
  </si>
  <si>
    <t>upper</t>
  </si>
  <si>
    <t>p-value</t>
  </si>
  <si>
    <t>mean-crit</t>
  </si>
  <si>
    <t>Cohen d</t>
  </si>
  <si>
    <t>normal</t>
  </si>
  <si>
    <t>DA-stat</t>
  </si>
  <si>
    <t>d'Agostino-Pearson</t>
  </si>
  <si>
    <t>W-stat</t>
  </si>
  <si>
    <t>Shapiro-Wilk Test</t>
  </si>
  <si>
    <t>homogeneous variance</t>
  </si>
  <si>
    <t>Levene's Tests</t>
  </si>
  <si>
    <t>type</t>
  </si>
  <si>
    <t>means</t>
  </si>
  <si>
    <t>medians</t>
  </si>
  <si>
    <t>trimmed</t>
  </si>
  <si>
    <t>Bartlett</t>
  </si>
  <si>
    <t>p-value &gt;0.05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</si>
</sst>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charset val="204"/>
      <scheme val="minor"/>
    </font>
    <font>
      <sz val="11"/>
      <color rgb="FFFF0000"/>
      <name val="Aptos Narrow"/>
      <family val="2"/>
      <charset val="204"/>
      <scheme val="minor"/>
    </font>
    <font>
      <i/>
      <sz val="11"/>
      <color theme="1"/>
      <name val="Aptos Narrow"/>
      <family val="2"/>
      <charset val="204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rgb="FFFF0000"/>
      <name val="Aptos Narrow"/>
      <family val="2"/>
      <charset val="204"/>
      <scheme val="minor"/>
    </font>
    <font>
      <i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1" xfId="0" applyBorder="1"/>
    <xf numFmtId="0" fontId="0" fillId="0" borderId="3" xfId="0" applyBorder="1"/>
    <xf numFmtId="0" fontId="2" fillId="0" borderId="4" xfId="0" applyFont="1" applyBorder="1" applyAlignment="1">
      <alignment horizontal="center"/>
    </xf>
    <xf numFmtId="0" fontId="0" fillId="0" borderId="4" xfId="0" applyBorder="1"/>
    <xf numFmtId="0" fontId="4" fillId="0" borderId="5" xfId="0" applyFont="1" applyBorder="1" applyAlignment="1">
      <alignment horizontal="center"/>
    </xf>
    <xf numFmtId="0" fontId="0" fillId="0" borderId="6" xfId="0" applyBorder="1"/>
    <xf numFmtId="0" fontId="1" fillId="0" borderId="6" xfId="0" applyFont="1" applyBorder="1"/>
    <xf numFmtId="0" fontId="5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7" fillId="0" borderId="6" xfId="0" applyFont="1" applyBorder="1"/>
    <xf numFmtId="0" fontId="7" fillId="0" borderId="0" xfId="0" applyFont="1"/>
    <xf numFmtId="0" fontId="8" fillId="0" borderId="0" xfId="0" applyFont="1"/>
    <xf numFmtId="0" fontId="8" fillId="0" borderId="4" xfId="0" applyFont="1" applyBorder="1"/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/>
    <xf numFmtId="0" fontId="0" fillId="2" borderId="0" xfId="0" applyFill="1"/>
    <xf numFmtId="0" fontId="0" fillId="0" borderId="4" xfId="0" applyBorder="1" applyAlignment="1">
      <alignment horizontal="right"/>
    </xf>
    <xf numFmtId="0" fontId="1" fillId="0" borderId="4" xfId="0" applyFont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0" fillId="3" borderId="0" xfId="0" applyFill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10" xfId="0" applyBorder="1"/>
    <xf numFmtId="0" fontId="0" fillId="3" borderId="9" xfId="0" applyFill="1" applyBorder="1"/>
    <xf numFmtId="0" fontId="0" fillId="0" borderId="10" xfId="0" applyBorder="1" applyAlignment="1">
      <alignment horizontal="righ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2" borderId="15" xfId="0" applyFill="1" applyBorder="1"/>
    <xf numFmtId="0" fontId="0" fillId="0" borderId="16" xfId="0" applyBorder="1"/>
    <xf numFmtId="0" fontId="0" fillId="0" borderId="17" xfId="0" applyBorder="1"/>
    <xf numFmtId="0" fontId="0" fillId="2" borderId="6" xfId="0" applyFill="1" applyBorder="1"/>
    <xf numFmtId="0" fontId="4" fillId="0" borderId="13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1" fillId="0" borderId="13" xfId="0" applyFont="1" applyBorder="1"/>
    <xf numFmtId="0" fontId="1" fillId="0" borderId="18" xfId="0" applyFont="1" applyBorder="1" applyAlignment="1">
      <alignment horizontal="right"/>
    </xf>
    <xf numFmtId="0" fontId="0" fillId="0" borderId="7" xfId="0" applyBorder="1"/>
    <xf numFmtId="0" fontId="0" fillId="0" borderId="8" xfId="0" applyBorder="1"/>
    <xf numFmtId="0" fontId="0" fillId="0" borderId="18" xfId="0" applyBorder="1" applyAlignment="1">
      <alignment horizontal="right"/>
    </xf>
    <xf numFmtId="0" fontId="3" fillId="2" borderId="17" xfId="0" applyFont="1" applyFill="1" applyBorder="1" applyAlignment="1">
      <alignment horizontal="center"/>
    </xf>
    <xf numFmtId="0" fontId="0" fillId="3" borderId="6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gram%20Files\Microsoft%20Office\root\Office16\LIBRARY\ANALYSIS\XRealStats.xlam" TargetMode="External"/><Relationship Id="rId1" Type="http://schemas.microsoft.com/office/2006/relationships/xlExternalLinkPath/xlLibrary" Target="ANALYSI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BARTLETT"/>
      <definedName name="DAGOSTINO"/>
      <definedName name="DPTEST"/>
      <definedName name="LEVENE"/>
      <definedName name="QCRIT"/>
      <definedName name="QDIST"/>
      <definedName name="SHAPIRO"/>
      <definedName name="SW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E25E5-C634-4EF2-907E-C6E9BF7439A4}">
  <dimension ref="A1:R48"/>
  <sheetViews>
    <sheetView tabSelected="1" zoomScale="69" workbookViewId="0">
      <selection activeCell="Q11" sqref="Q11"/>
    </sheetView>
  </sheetViews>
  <sheetFormatPr defaultRowHeight="14.4" x14ac:dyDescent="0.3"/>
  <cols>
    <col min="1" max="1" width="12.6640625" bestFit="1" customWidth="1"/>
    <col min="2" max="2" width="8.88671875" customWidth="1"/>
    <col min="3" max="3" width="13.77734375" bestFit="1" customWidth="1"/>
    <col min="4" max="4" width="12.109375" bestFit="1" customWidth="1"/>
    <col min="5" max="5" width="13.6640625" bestFit="1" customWidth="1"/>
    <col min="6" max="6" width="12" bestFit="1" customWidth="1"/>
    <col min="9" max="9" width="13" bestFit="1" customWidth="1"/>
    <col min="18" max="18" width="11" customWidth="1"/>
  </cols>
  <sheetData>
    <row r="1" spans="1:18" x14ac:dyDescent="0.3">
      <c r="A1" s="20" t="s">
        <v>3</v>
      </c>
      <c r="B1" s="5" t="s">
        <v>0</v>
      </c>
      <c r="C1" s="5" t="s">
        <v>2</v>
      </c>
      <c r="D1" s="5" t="s">
        <v>1</v>
      </c>
      <c r="E1" s="5" t="s">
        <v>7</v>
      </c>
      <c r="F1" s="5" t="s">
        <v>8</v>
      </c>
      <c r="H1" s="27" t="s">
        <v>56</v>
      </c>
      <c r="I1" s="40"/>
      <c r="J1" s="40"/>
      <c r="K1" s="40"/>
      <c r="L1" s="40"/>
      <c r="M1" s="28"/>
      <c r="N1" s="26"/>
      <c r="O1" s="27" t="s">
        <v>58</v>
      </c>
      <c r="P1" s="28"/>
      <c r="Q1" s="26"/>
      <c r="R1" s="37" t="s">
        <v>63</v>
      </c>
    </row>
    <row r="2" spans="1:18" x14ac:dyDescent="0.3">
      <c r="A2" s="5" t="s">
        <v>4</v>
      </c>
      <c r="B2" s="3">
        <v>87.868123412332608</v>
      </c>
      <c r="C2" s="3">
        <v>81.373241957285387</v>
      </c>
      <c r="D2" s="3">
        <v>79.796535497796484</v>
      </c>
      <c r="E2" s="3">
        <v>78.476240954328176</v>
      </c>
      <c r="F2" s="3">
        <v>79.893638026269116</v>
      </c>
      <c r="H2" s="29"/>
      <c r="M2" s="30"/>
      <c r="O2" s="29"/>
      <c r="P2" s="30"/>
      <c r="R2" s="38"/>
    </row>
    <row r="3" spans="1:18" x14ac:dyDescent="0.3">
      <c r="A3" s="5" t="s">
        <v>5</v>
      </c>
      <c r="B3" s="3">
        <v>86.886172314723893</v>
      </c>
      <c r="C3" s="3">
        <v>79.703544575004884</v>
      </c>
      <c r="D3" s="3">
        <v>79.166404124805723</v>
      </c>
      <c r="E3" s="3">
        <v>77.783731996731717</v>
      </c>
      <c r="F3" s="3">
        <v>80.004449476729889</v>
      </c>
      <c r="H3" s="41"/>
      <c r="I3" s="25" t="str">
        <f>B1</f>
        <v>No PM</v>
      </c>
      <c r="J3" s="25" t="str">
        <f>C1</f>
        <v>PMM 0.3 mg/ml</v>
      </c>
      <c r="K3" s="25" t="str">
        <f>D1</f>
        <v>PMM 3 mg/ml</v>
      </c>
      <c r="L3" s="25" t="str">
        <f>E1</f>
        <v>PMO 0.3 mg/ml</v>
      </c>
      <c r="M3" s="42" t="str">
        <f>F1</f>
        <v>PMO 3 mg/ml</v>
      </c>
      <c r="O3" s="29" t="s">
        <v>59</v>
      </c>
      <c r="P3" s="32" t="s">
        <v>49</v>
      </c>
      <c r="R3" s="39" cm="1">
        <f t="array" ref="R3">[1]!BARTLETT(B1:F4)</f>
        <v>9.4121291562445419E-2</v>
      </c>
    </row>
    <row r="4" spans="1:18" x14ac:dyDescent="0.3">
      <c r="A4" s="5" t="s">
        <v>6</v>
      </c>
      <c r="B4" s="3">
        <v>85.23616634806929</v>
      </c>
      <c r="C4" s="3">
        <v>80.197212102026867</v>
      </c>
      <c r="D4" s="3">
        <v>77.926140731101796</v>
      </c>
      <c r="E4" s="3">
        <v>77.846452989432109</v>
      </c>
      <c r="F4" s="3">
        <v>79.813937850870516</v>
      </c>
      <c r="H4" s="29" t="s">
        <v>55</v>
      </c>
      <c r="I4">
        <f>[1]!SHAPIRO(B2:B4)</f>
        <v>0.97897590003979829</v>
      </c>
      <c r="J4">
        <f>[1]!SHAPIRO(C2:C4)</f>
        <v>0.94726432847293263</v>
      </c>
      <c r="K4">
        <f>[1]!SHAPIRO(D2:D4)</f>
        <v>0.96574512793033906</v>
      </c>
      <c r="L4">
        <f>[1]!SHAPIRO(E2:E4)</f>
        <v>0.81732076165099887</v>
      </c>
      <c r="M4" s="30">
        <f>[1]!SHAPIRO(F2:F4)</f>
        <v>0.99118894626592313</v>
      </c>
      <c r="O4" s="29" t="s">
        <v>60</v>
      </c>
      <c r="P4" s="33">
        <f>[1]!LEVENE(B2:F4)</f>
        <v>0.11872503929368006</v>
      </c>
    </row>
    <row r="5" spans="1:18" x14ac:dyDescent="0.3">
      <c r="A5" s="4"/>
      <c r="B5" s="4"/>
      <c r="C5" s="4"/>
      <c r="D5" s="4"/>
      <c r="E5" s="4"/>
      <c r="F5" s="4"/>
      <c r="H5" s="29" t="s">
        <v>49</v>
      </c>
      <c r="I5">
        <f>[1]!SWTEST(B2:B4)</f>
        <v>0.72209570744536355</v>
      </c>
      <c r="J5">
        <f>[1]!SWTEST(C2:C4)</f>
        <v>0.55746490549893368</v>
      </c>
      <c r="K5">
        <f>[1]!SWTEST(D2:D4)</f>
        <v>0.64447108746838333</v>
      </c>
      <c r="L5">
        <f>[1]!SWTEST(E2:E4)</f>
        <v>0.15655581667244764</v>
      </c>
      <c r="M5" s="30">
        <f>[1]!SWTEST(F2:F4)</f>
        <v>0.82046152111613968</v>
      </c>
      <c r="O5" s="29" t="s">
        <v>61</v>
      </c>
      <c r="P5" s="34">
        <f>[1]!LEVENE(B2:F4,1)</f>
        <v>0.44369077814714997</v>
      </c>
      <c r="R5" s="1" t="s">
        <v>64</v>
      </c>
    </row>
    <row r="6" spans="1:18" x14ac:dyDescent="0.3">
      <c r="A6" s="4"/>
      <c r="B6" s="4"/>
      <c r="C6" s="4"/>
      <c r="D6" s="4"/>
      <c r="E6" s="4"/>
      <c r="F6" s="4"/>
      <c r="H6" s="29" t="s">
        <v>36</v>
      </c>
      <c r="I6">
        <v>0.05</v>
      </c>
      <c r="J6">
        <v>0.05</v>
      </c>
      <c r="K6">
        <v>0.05</v>
      </c>
      <c r="L6">
        <v>0.05</v>
      </c>
      <c r="M6" s="30">
        <v>0.05</v>
      </c>
      <c r="O6" s="35" t="s">
        <v>62</v>
      </c>
      <c r="P6" s="36">
        <f>[1]!LEVENE(B2:F4,-1)</f>
        <v>0.11872503929368006</v>
      </c>
      <c r="R6" s="1" t="s">
        <v>57</v>
      </c>
    </row>
    <row r="7" spans="1:18" x14ac:dyDescent="0.3">
      <c r="A7" s="4"/>
      <c r="B7" s="4"/>
      <c r="C7" s="4"/>
      <c r="D7" s="4"/>
      <c r="E7" s="4"/>
      <c r="F7" s="4"/>
      <c r="H7" s="43" t="s">
        <v>52</v>
      </c>
      <c r="I7" s="24" t="str">
        <f>IF(I5&lt;I6,"no","yes")</f>
        <v>yes</v>
      </c>
      <c r="J7" s="24" t="str">
        <f>IF(J5&lt;J6,"no","yes")</f>
        <v>yes</v>
      </c>
      <c r="K7" s="24" t="str">
        <f>IF(K5&lt;K6,"no","yes")</f>
        <v>yes</v>
      </c>
      <c r="L7" s="24" t="str">
        <f>IF(L5&lt;L6,"no","yes")</f>
        <v>yes</v>
      </c>
      <c r="M7" s="44" t="str">
        <f>IF(M5&lt;M6,"no","yes")</f>
        <v>yes</v>
      </c>
    </row>
    <row r="8" spans="1:18" x14ac:dyDescent="0.3">
      <c r="A8" s="4"/>
      <c r="B8" s="4"/>
      <c r="C8" s="4"/>
      <c r="D8" s="4"/>
      <c r="E8" s="4"/>
      <c r="F8" s="4"/>
      <c r="H8" s="29"/>
      <c r="M8" s="30"/>
    </row>
    <row r="9" spans="1:18" x14ac:dyDescent="0.3">
      <c r="A9" s="4"/>
      <c r="B9" s="4"/>
      <c r="C9" s="4"/>
      <c r="D9" s="4"/>
      <c r="E9" s="4"/>
      <c r="F9" s="4"/>
      <c r="H9" s="29" t="s">
        <v>54</v>
      </c>
      <c r="M9" s="30"/>
    </row>
    <row r="10" spans="1:18" x14ac:dyDescent="0.3">
      <c r="A10" s="4"/>
      <c r="B10" s="4"/>
      <c r="C10" s="4"/>
      <c r="D10" s="4"/>
      <c r="E10" s="4"/>
      <c r="F10" s="4"/>
      <c r="H10" s="29"/>
      <c r="M10" s="30"/>
    </row>
    <row r="11" spans="1:18" x14ac:dyDescent="0.3">
      <c r="A11" s="4"/>
      <c r="B11" s="4"/>
      <c r="C11" s="4"/>
      <c r="D11" s="4"/>
      <c r="E11" s="4"/>
      <c r="F11" s="4"/>
      <c r="H11" s="45" t="s">
        <v>53</v>
      </c>
      <c r="I11" s="12" t="e">
        <f>[1]!DAGOSTINO(B2:B4)</f>
        <v>#N/A</v>
      </c>
      <c r="J11" s="12" t="e">
        <f>[1]!DAGOSTINO(C2:C4)</f>
        <v>#N/A</v>
      </c>
      <c r="K11" s="12" t="e">
        <f>[1]!DAGOSTINO(D2:D4)</f>
        <v>#N/A</v>
      </c>
      <c r="L11" s="12" t="e">
        <f>[1]!DAGOSTINO(E2:E4)</f>
        <v>#N/A</v>
      </c>
      <c r="M11" s="46" t="e">
        <f>[1]!DAGOSTINO(F2:F4)</f>
        <v>#N/A</v>
      </c>
    </row>
    <row r="12" spans="1:18" x14ac:dyDescent="0.3">
      <c r="A12" s="4"/>
      <c r="B12" s="4"/>
      <c r="C12" s="4"/>
      <c r="D12" s="4"/>
      <c r="E12" s="4"/>
      <c r="F12" s="4"/>
      <c r="H12" s="29" t="s">
        <v>49</v>
      </c>
      <c r="I12" t="e">
        <f>[1]!DPTEST(B2:B4)</f>
        <v>#N/A</v>
      </c>
      <c r="J12" t="e">
        <f>[1]!DPTEST(C2:C4)</f>
        <v>#N/A</v>
      </c>
      <c r="K12" t="e">
        <f>[1]!DPTEST(D2:D4)</f>
        <v>#N/A</v>
      </c>
      <c r="L12" t="e">
        <f>[1]!DPTEST(E2:E4)</f>
        <v>#N/A</v>
      </c>
      <c r="M12" s="30" t="e">
        <f>[1]!DPTEST(F2:F4)</f>
        <v>#N/A</v>
      </c>
    </row>
    <row r="13" spans="1:18" x14ac:dyDescent="0.3">
      <c r="A13" s="4"/>
      <c r="B13" s="4"/>
      <c r="C13" s="4"/>
      <c r="D13" s="4"/>
      <c r="E13" s="4"/>
      <c r="F13" s="4"/>
      <c r="H13" s="29" t="s">
        <v>36</v>
      </c>
      <c r="I13">
        <v>0.05</v>
      </c>
      <c r="J13">
        <v>0.05</v>
      </c>
      <c r="K13">
        <v>0.05</v>
      </c>
      <c r="L13">
        <v>0.05</v>
      </c>
      <c r="M13" s="30">
        <v>0.05</v>
      </c>
    </row>
    <row r="14" spans="1:18" x14ac:dyDescent="0.3">
      <c r="A14" s="4"/>
      <c r="B14" s="4"/>
      <c r="C14" s="4"/>
      <c r="D14" s="4"/>
      <c r="E14" s="4"/>
      <c r="F14" s="4"/>
      <c r="H14" s="35" t="s">
        <v>52</v>
      </c>
      <c r="I14" s="23" t="e">
        <f>IF(I12&lt;I13,"no","yes")</f>
        <v>#N/A</v>
      </c>
      <c r="J14" s="23" t="e">
        <f>IF(J12&lt;J13,"no","yes")</f>
        <v>#N/A</v>
      </c>
      <c r="K14" s="23" t="e">
        <f>IF(K12&lt;K13,"no","yes")</f>
        <v>#N/A</v>
      </c>
      <c r="L14" s="23" t="e">
        <f>IF(L12&lt;L13,"no","yes")</f>
        <v>#N/A</v>
      </c>
      <c r="M14" s="47" t="e">
        <f>IF(M12&lt;M13,"no","yes")</f>
        <v>#N/A</v>
      </c>
    </row>
    <row r="15" spans="1:18" x14ac:dyDescent="0.3">
      <c r="A15" s="4"/>
      <c r="B15" s="4"/>
      <c r="C15" s="4"/>
      <c r="D15" s="4"/>
      <c r="E15" s="4"/>
      <c r="F15" s="4"/>
    </row>
    <row r="16" spans="1:18" x14ac:dyDescent="0.3">
      <c r="A16" s="4"/>
      <c r="B16" s="4"/>
      <c r="C16" s="4"/>
      <c r="D16" s="4"/>
      <c r="E16" s="4"/>
      <c r="F16" s="4"/>
    </row>
    <row r="18" spans="1:18" x14ac:dyDescent="0.3">
      <c r="A18" s="48" t="s">
        <v>21</v>
      </c>
      <c r="B18" s="5" t="s">
        <v>0</v>
      </c>
      <c r="C18" s="5" t="s">
        <v>2</v>
      </c>
      <c r="D18" s="5" t="s">
        <v>1</v>
      </c>
      <c r="E18" s="5" t="s">
        <v>7</v>
      </c>
      <c r="F18" s="5" t="s">
        <v>8</v>
      </c>
      <c r="G18" s="12"/>
      <c r="H18" s="27" t="s">
        <v>56</v>
      </c>
      <c r="I18" s="40"/>
      <c r="J18" s="40"/>
      <c r="K18" s="40"/>
      <c r="L18" s="40"/>
      <c r="M18" s="28"/>
      <c r="N18" s="49"/>
      <c r="O18" s="27" t="s">
        <v>58</v>
      </c>
      <c r="P18" s="28"/>
      <c r="Q18" s="49"/>
      <c r="R18" s="37" t="s">
        <v>63</v>
      </c>
    </row>
    <row r="19" spans="1:18" x14ac:dyDescent="0.3">
      <c r="A19" s="5" t="s">
        <v>4</v>
      </c>
      <c r="B19" s="3">
        <v>7.9248489002080955</v>
      </c>
      <c r="C19" s="3">
        <v>9.8186479241886762</v>
      </c>
      <c r="D19" s="3">
        <v>9.5807296082335185</v>
      </c>
      <c r="E19" s="3">
        <v>8.6712898832863221</v>
      </c>
      <c r="F19" s="3">
        <v>8.7755397841729383</v>
      </c>
      <c r="H19" s="29"/>
      <c r="M19" s="30"/>
      <c r="O19" s="29"/>
      <c r="P19" s="30"/>
      <c r="R19" s="38"/>
    </row>
    <row r="20" spans="1:18" x14ac:dyDescent="0.3">
      <c r="A20" s="5" t="s">
        <v>5</v>
      </c>
      <c r="B20" s="3">
        <v>8.0048916483622534</v>
      </c>
      <c r="C20" s="3">
        <v>10.325019355514414</v>
      </c>
      <c r="D20" s="3">
        <v>9.2745087176315</v>
      </c>
      <c r="E20" s="3">
        <v>8.7140789333839983</v>
      </c>
      <c r="F20" s="3">
        <v>8.8347044540123285</v>
      </c>
      <c r="H20" s="41"/>
      <c r="I20" s="25" t="str">
        <f>B18</f>
        <v>No PM</v>
      </c>
      <c r="J20" s="25" t="str">
        <f>C18</f>
        <v>PMM 0.3 mg/ml</v>
      </c>
      <c r="K20" s="25" t="str">
        <f>D18</f>
        <v>PMM 3 mg/ml</v>
      </c>
      <c r="L20" s="25" t="str">
        <f>E18</f>
        <v>PMO 0.3 mg/ml</v>
      </c>
      <c r="M20" s="42" t="str">
        <f>F18</f>
        <v>PMO 3 mg/ml</v>
      </c>
      <c r="O20" s="31" t="s">
        <v>59</v>
      </c>
      <c r="P20" s="32" t="s">
        <v>49</v>
      </c>
      <c r="R20" s="39" cm="1">
        <f t="array" ref="R20">[1]!BARTLETT(B18:F21)</f>
        <v>0.10934183757613525</v>
      </c>
    </row>
    <row r="21" spans="1:18" x14ac:dyDescent="0.3">
      <c r="A21" s="5" t="s">
        <v>6</v>
      </c>
      <c r="B21" s="3">
        <v>8.3253855279784865</v>
      </c>
      <c r="C21" s="3">
        <v>9.5975581833712997</v>
      </c>
      <c r="D21" s="3">
        <v>9.0452421398166134</v>
      </c>
      <c r="E21" s="3">
        <v>8.8096446824771206</v>
      </c>
      <c r="F21" s="3">
        <v>8.8610520050707127</v>
      </c>
      <c r="H21" s="29" t="s">
        <v>55</v>
      </c>
      <c r="I21">
        <f>[1]!SHAPIRO(B19:B21)</f>
        <v>0.89275430360276342</v>
      </c>
      <c r="J21">
        <f>[1]!SHAPIRO(C19:C21)</f>
        <v>0.95123644182573897</v>
      </c>
      <c r="K21">
        <f>[1]!SHAPIRO(D19:D21)</f>
        <v>0.99316298433656447</v>
      </c>
      <c r="L21">
        <f>[1]!SHAPIRO(E19:E21)</f>
        <v>0.95374009105673985</v>
      </c>
      <c r="M21" s="30">
        <f>[1]!SHAPIRO(F19:F21)</f>
        <v>0.95320395941137648</v>
      </c>
      <c r="O21" s="29" t="s">
        <v>60</v>
      </c>
      <c r="P21" s="33">
        <f>[1]!LEVENE(B19:F21)</f>
        <v>8.5736283719214157E-2</v>
      </c>
    </row>
    <row r="22" spans="1:18" x14ac:dyDescent="0.3">
      <c r="H22" s="29" t="s">
        <v>49</v>
      </c>
      <c r="I22">
        <f>[1]!SWTEST(B19:B21)</f>
        <v>0.36279479438138934</v>
      </c>
      <c r="J22">
        <f>[1]!SWTEST(C19:C21)</f>
        <v>0.57474979623444589</v>
      </c>
      <c r="K22">
        <f>[1]!SWTEST(D19:D21)</f>
        <v>0.84189939615410048</v>
      </c>
      <c r="L22">
        <f>[1]!SWTEST(E19:E21)</f>
        <v>0.58598940186589621</v>
      </c>
      <c r="M22" s="30">
        <f>[1]!SWTEST(F19:F21)</f>
        <v>0.58355869018736994</v>
      </c>
      <c r="O22" s="29" t="s">
        <v>61</v>
      </c>
      <c r="P22" s="34">
        <f>[1]!LEVENE(B19:F21,1)</f>
        <v>0.45084468261067878</v>
      </c>
      <c r="R22" s="1" t="s">
        <v>64</v>
      </c>
    </row>
    <row r="23" spans="1:18" x14ac:dyDescent="0.3">
      <c r="H23" s="29" t="s">
        <v>36</v>
      </c>
      <c r="I23">
        <v>0.05</v>
      </c>
      <c r="J23">
        <v>0.05</v>
      </c>
      <c r="K23">
        <v>0.05</v>
      </c>
      <c r="L23">
        <v>0.05</v>
      </c>
      <c r="M23" s="30">
        <v>0.05</v>
      </c>
      <c r="O23" s="35" t="s">
        <v>62</v>
      </c>
      <c r="P23" s="36">
        <f>[1]!LEVENE(B19:F21,-1)</f>
        <v>8.5736283719214157E-2</v>
      </c>
      <c r="R23" s="1" t="s">
        <v>57</v>
      </c>
    </row>
    <row r="24" spans="1:18" x14ac:dyDescent="0.3">
      <c r="H24" s="43" t="s">
        <v>52</v>
      </c>
      <c r="I24" s="24" t="str">
        <f>IF(I22&lt;I23,"no","yes")</f>
        <v>yes</v>
      </c>
      <c r="J24" s="24" t="str">
        <f>IF(J22&lt;J23,"no","yes")</f>
        <v>yes</v>
      </c>
      <c r="K24" s="24" t="str">
        <f>IF(K22&lt;K23,"no","yes")</f>
        <v>yes</v>
      </c>
      <c r="L24" s="24" t="str">
        <f>IF(L22&lt;L23,"no","yes")</f>
        <v>yes</v>
      </c>
      <c r="M24" s="44" t="str">
        <f>IF(M22&lt;M23,"no","yes")</f>
        <v>yes</v>
      </c>
    </row>
    <row r="25" spans="1:18" x14ac:dyDescent="0.3">
      <c r="H25" s="29"/>
      <c r="M25" s="30"/>
    </row>
    <row r="26" spans="1:18" x14ac:dyDescent="0.3">
      <c r="H26" s="29" t="s">
        <v>54</v>
      </c>
      <c r="M26" s="30"/>
    </row>
    <row r="27" spans="1:18" x14ac:dyDescent="0.3">
      <c r="H27" s="29"/>
      <c r="M27" s="30"/>
    </row>
    <row r="28" spans="1:18" x14ac:dyDescent="0.3">
      <c r="H28" s="45" t="s">
        <v>53</v>
      </c>
      <c r="I28" s="12" t="e">
        <f>[1]!DAGOSTINO(B19:B21)</f>
        <v>#N/A</v>
      </c>
      <c r="J28" s="12" t="e">
        <f>[1]!DAGOSTINO(C19:C21)</f>
        <v>#N/A</v>
      </c>
      <c r="K28" s="12" t="e">
        <f>[1]!DAGOSTINO(D19:D21)</f>
        <v>#N/A</v>
      </c>
      <c r="L28" s="12" t="e">
        <f>[1]!DAGOSTINO(E19:E21)</f>
        <v>#N/A</v>
      </c>
      <c r="M28" s="46" t="e">
        <f>[1]!DAGOSTINO(F19:F21)</f>
        <v>#N/A</v>
      </c>
    </row>
    <row r="29" spans="1:18" x14ac:dyDescent="0.3">
      <c r="H29" s="29" t="s">
        <v>49</v>
      </c>
      <c r="I29" t="e">
        <f>[1]!DPTEST(B19:B21)</f>
        <v>#N/A</v>
      </c>
      <c r="J29" t="e">
        <f>[1]!DPTEST(C19:C21)</f>
        <v>#N/A</v>
      </c>
      <c r="K29" t="e">
        <f>[1]!DPTEST(D19:D21)</f>
        <v>#N/A</v>
      </c>
      <c r="L29" t="e">
        <f>[1]!DPTEST(E19:E21)</f>
        <v>#N/A</v>
      </c>
      <c r="M29" s="30" t="e">
        <f>[1]!DPTEST(F19:F21)</f>
        <v>#N/A</v>
      </c>
    </row>
    <row r="30" spans="1:18" x14ac:dyDescent="0.3">
      <c r="H30" s="29" t="s">
        <v>36</v>
      </c>
      <c r="I30">
        <v>0.05</v>
      </c>
      <c r="J30">
        <v>0.05</v>
      </c>
      <c r="K30">
        <v>0.05</v>
      </c>
      <c r="L30">
        <v>0.05</v>
      </c>
      <c r="M30" s="30">
        <v>0.05</v>
      </c>
    </row>
    <row r="31" spans="1:18" x14ac:dyDescent="0.3">
      <c r="H31" s="35" t="s">
        <v>52</v>
      </c>
      <c r="I31" s="23" t="e">
        <f>IF(I29&lt;I30,"no","yes")</f>
        <v>#N/A</v>
      </c>
      <c r="J31" s="23" t="e">
        <f>IF(J29&lt;J30,"no","yes")</f>
        <v>#N/A</v>
      </c>
      <c r="K31" s="23" t="e">
        <f>IF(K29&lt;K30,"no","yes")</f>
        <v>#N/A</v>
      </c>
      <c r="L31" s="23" t="e">
        <f>IF(L29&lt;L30,"no","yes")</f>
        <v>#N/A</v>
      </c>
      <c r="M31" s="47" t="e">
        <f>IF(M29&lt;M30,"no","yes")</f>
        <v>#N/A</v>
      </c>
    </row>
    <row r="33" spans="1:18" x14ac:dyDescent="0.3">
      <c r="A33" s="10"/>
    </row>
    <row r="35" spans="1:18" x14ac:dyDescent="0.3">
      <c r="A35" s="21" t="s">
        <v>22</v>
      </c>
      <c r="B35" s="6" t="s">
        <v>0</v>
      </c>
      <c r="C35" s="6" t="s">
        <v>2</v>
      </c>
      <c r="D35" s="6" t="s">
        <v>1</v>
      </c>
      <c r="E35" s="6" t="s">
        <v>7</v>
      </c>
      <c r="F35" s="6" t="s">
        <v>8</v>
      </c>
      <c r="G35" s="12"/>
      <c r="H35" s="27" t="s">
        <v>56</v>
      </c>
      <c r="I35" s="40"/>
      <c r="J35" s="40"/>
      <c r="K35" s="40"/>
      <c r="L35" s="40"/>
      <c r="M35" s="28"/>
      <c r="N35" s="49"/>
      <c r="O35" s="27" t="s">
        <v>58</v>
      </c>
      <c r="P35" s="28"/>
      <c r="Q35" s="49"/>
      <c r="R35" s="37" t="s">
        <v>63</v>
      </c>
    </row>
    <row r="36" spans="1:18" x14ac:dyDescent="0.3">
      <c r="A36" s="6" t="s">
        <v>4</v>
      </c>
      <c r="B36" s="2">
        <v>95.792972312540698</v>
      </c>
      <c r="C36" s="2">
        <v>91.191889881474069</v>
      </c>
      <c r="D36" s="2">
        <v>89.377265106029995</v>
      </c>
      <c r="E36" s="2">
        <v>87.147530837614497</v>
      </c>
      <c r="F36" s="2">
        <v>88.669177810442051</v>
      </c>
      <c r="H36" s="29"/>
      <c r="M36" s="30"/>
      <c r="O36" s="29"/>
      <c r="P36" s="30"/>
      <c r="R36" s="38"/>
    </row>
    <row r="37" spans="1:18" x14ac:dyDescent="0.3">
      <c r="A37" s="6" t="s">
        <v>5</v>
      </c>
      <c r="B37" s="2">
        <v>94.89106396308614</v>
      </c>
      <c r="C37" s="2">
        <v>90.028563930519297</v>
      </c>
      <c r="D37" s="2">
        <v>88.440912842437228</v>
      </c>
      <c r="E37" s="2">
        <v>86.497810930115719</v>
      </c>
      <c r="F37" s="2">
        <v>88.839153930742214</v>
      </c>
      <c r="H37" s="41"/>
      <c r="I37" s="25" t="str">
        <f>B35</f>
        <v>No PM</v>
      </c>
      <c r="J37" s="25" t="str">
        <f t="shared" ref="J37:M37" si="0">C35</f>
        <v>PMM 0.3 mg/ml</v>
      </c>
      <c r="K37" s="25" t="str">
        <f t="shared" si="0"/>
        <v>PMM 3 mg/ml</v>
      </c>
      <c r="L37" s="25" t="str">
        <f t="shared" si="0"/>
        <v>PMO 0.3 mg/ml</v>
      </c>
      <c r="M37" s="42" t="str">
        <f t="shared" si="0"/>
        <v>PMO 3 mg/ml</v>
      </c>
      <c r="O37" s="29" t="s">
        <v>59</v>
      </c>
      <c r="P37" s="32" t="s">
        <v>49</v>
      </c>
      <c r="R37" s="39" cm="1">
        <f t="array" ref="R37">[1]!BARTLETT(B35:F38)</f>
        <v>8.5800974465284674E-2</v>
      </c>
    </row>
    <row r="38" spans="1:18" x14ac:dyDescent="0.3">
      <c r="A38" s="6" t="s">
        <v>6</v>
      </c>
      <c r="B38" s="2">
        <v>93.561551876047773</v>
      </c>
      <c r="C38" s="2">
        <v>89.794770285398172</v>
      </c>
      <c r="D38" s="2">
        <v>86.971382870918404</v>
      </c>
      <c r="E38" s="2">
        <v>86.656097671909237</v>
      </c>
      <c r="F38" s="2">
        <v>88.674989855941234</v>
      </c>
      <c r="H38" s="29" t="s">
        <v>55</v>
      </c>
      <c r="I38">
        <f>[1]!SHAPIRO(B36:B38)</f>
        <v>0.9879075246334208</v>
      </c>
      <c r="J38">
        <f>[1]!SHAPIRO(C36:C38)</f>
        <v>0.87142137891471594</v>
      </c>
      <c r="K38">
        <f>[1]!SHAPIRO(D36:D38)</f>
        <v>0.98389273751139961</v>
      </c>
      <c r="L38">
        <f>[1]!SHAPIRO(E36:E38)</f>
        <v>0.91942283298986627</v>
      </c>
      <c r="M38" s="30">
        <f>[1]!SHAPIRO(F36:F38)</f>
        <v>0.77561397186877379</v>
      </c>
      <c r="O38" s="29" t="s">
        <v>60</v>
      </c>
      <c r="P38" s="33">
        <f>[1]!LEVENE(B36:F38)</f>
        <v>0.13725573591334406</v>
      </c>
    </row>
    <row r="39" spans="1:18" x14ac:dyDescent="0.3">
      <c r="H39" s="29" t="s">
        <v>49</v>
      </c>
      <c r="I39">
        <f>[1]!SWTEST(B36:B38)</f>
        <v>0.78955422438504086</v>
      </c>
      <c r="J39">
        <f>[1]!SWTEST(C36:C38)</f>
        <v>0.29956811433139663</v>
      </c>
      <c r="K39">
        <f>[1]!SWTEST(D36:D38)</f>
        <v>0.75695492112875518</v>
      </c>
      <c r="L39">
        <f>[1]!SWTEST(E36:E38)</f>
        <v>0.45030614801419433</v>
      </c>
      <c r="M39" s="30">
        <f>[1]!SWTEST(F36:F38)</f>
        <v>5.7520731415083688E-2</v>
      </c>
      <c r="O39" s="29" t="s">
        <v>61</v>
      </c>
      <c r="P39" s="34">
        <f>[1]!LEVENE(B36:F38,1)</f>
        <v>0.41906358662359044</v>
      </c>
      <c r="R39" s="1" t="s">
        <v>64</v>
      </c>
    </row>
    <row r="40" spans="1:18" x14ac:dyDescent="0.3">
      <c r="H40" s="29" t="s">
        <v>36</v>
      </c>
      <c r="I40">
        <v>0.05</v>
      </c>
      <c r="J40">
        <v>0.05</v>
      </c>
      <c r="K40">
        <v>0.05</v>
      </c>
      <c r="L40">
        <v>0.05</v>
      </c>
      <c r="M40" s="30">
        <v>0.05</v>
      </c>
      <c r="O40" s="35" t="s">
        <v>62</v>
      </c>
      <c r="P40" s="36">
        <f>[1]!LEVENE(B36:F38,-1)</f>
        <v>0.13725573591334406</v>
      </c>
      <c r="R40" s="1" t="s">
        <v>57</v>
      </c>
    </row>
    <row r="41" spans="1:18" x14ac:dyDescent="0.3">
      <c r="H41" s="43" t="s">
        <v>52</v>
      </c>
      <c r="I41" s="24" t="str">
        <f>IF(I39&lt;I40,"no","yes")</f>
        <v>yes</v>
      </c>
      <c r="J41" s="24" t="str">
        <f t="shared" ref="J41:M41" si="1">IF(J39&lt;J40,"no","yes")</f>
        <v>yes</v>
      </c>
      <c r="K41" s="24" t="str">
        <f t="shared" si="1"/>
        <v>yes</v>
      </c>
      <c r="L41" s="24" t="str">
        <f t="shared" si="1"/>
        <v>yes</v>
      </c>
      <c r="M41" s="44" t="str">
        <f t="shared" si="1"/>
        <v>yes</v>
      </c>
      <c r="R41" s="1"/>
    </row>
    <row r="42" spans="1:18" x14ac:dyDescent="0.3">
      <c r="H42" s="29"/>
      <c r="M42" s="30"/>
    </row>
    <row r="43" spans="1:18" x14ac:dyDescent="0.3">
      <c r="H43" s="29" t="s">
        <v>54</v>
      </c>
      <c r="M43" s="30"/>
    </row>
    <row r="44" spans="1:18" x14ac:dyDescent="0.3">
      <c r="H44" s="29"/>
      <c r="M44" s="30"/>
    </row>
    <row r="45" spans="1:18" x14ac:dyDescent="0.3">
      <c r="H45" s="45" t="s">
        <v>53</v>
      </c>
      <c r="I45" s="12" t="e">
        <f>[1]!DAGOSTINO(B36:B38)</f>
        <v>#N/A</v>
      </c>
      <c r="J45" s="12" t="e">
        <f>[1]!DAGOSTINO(C36:C38)</f>
        <v>#N/A</v>
      </c>
      <c r="K45" s="12" t="e">
        <f>[1]!DAGOSTINO(D36:D38)</f>
        <v>#N/A</v>
      </c>
      <c r="L45" s="12" t="e">
        <f>[1]!DAGOSTINO(E36:E38)</f>
        <v>#N/A</v>
      </c>
      <c r="M45" s="46" t="e">
        <f>[1]!DAGOSTINO(F36:F38)</f>
        <v>#N/A</v>
      </c>
    </row>
    <row r="46" spans="1:18" x14ac:dyDescent="0.3">
      <c r="H46" s="29" t="s">
        <v>49</v>
      </c>
      <c r="I46" t="e">
        <f>[1]!DPTEST(B36:B38)</f>
        <v>#N/A</v>
      </c>
      <c r="J46" t="e">
        <f>[1]!DPTEST(C36:C38)</f>
        <v>#N/A</v>
      </c>
      <c r="K46" t="e">
        <f>[1]!DPTEST(D36:D38)</f>
        <v>#N/A</v>
      </c>
      <c r="L46" t="e">
        <f>[1]!DPTEST(E36:E38)</f>
        <v>#N/A</v>
      </c>
      <c r="M46" s="30" t="e">
        <f>[1]!DPTEST(F36:F38)</f>
        <v>#N/A</v>
      </c>
    </row>
    <row r="47" spans="1:18" x14ac:dyDescent="0.3">
      <c r="H47" s="29" t="s">
        <v>36</v>
      </c>
      <c r="I47">
        <v>0.05</v>
      </c>
      <c r="J47">
        <v>0.05</v>
      </c>
      <c r="K47">
        <v>0.05</v>
      </c>
      <c r="L47">
        <v>0.05</v>
      </c>
      <c r="M47" s="30">
        <v>0.05</v>
      </c>
    </row>
    <row r="48" spans="1:18" x14ac:dyDescent="0.3">
      <c r="H48" s="35" t="s">
        <v>52</v>
      </c>
      <c r="I48" s="23" t="e">
        <f>IF(I46&lt;I47,"no","yes")</f>
        <v>#N/A</v>
      </c>
      <c r="J48" s="23" t="e">
        <f t="shared" ref="J48:M48" si="2">IF(J46&lt;J47,"no","yes")</f>
        <v>#N/A</v>
      </c>
      <c r="K48" s="23" t="e">
        <f t="shared" si="2"/>
        <v>#N/A</v>
      </c>
      <c r="L48" s="23" t="e">
        <f t="shared" si="2"/>
        <v>#N/A</v>
      </c>
      <c r="M48" s="47" t="e">
        <f t="shared" si="2"/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9D8CF-5C78-49ED-91B8-AADEEB333765}">
  <dimension ref="A1:AB64"/>
  <sheetViews>
    <sheetView zoomScale="73" workbookViewId="0">
      <selection activeCell="F37" sqref="F37"/>
    </sheetView>
  </sheetViews>
  <sheetFormatPr defaultRowHeight="14.4" x14ac:dyDescent="0.3"/>
  <cols>
    <col min="1" max="1" width="13.21875" bestFit="1" customWidth="1"/>
    <col min="6" max="6" width="12" bestFit="1" customWidth="1"/>
    <col min="8" max="8" width="11.44140625" customWidth="1"/>
    <col min="13" max="13" width="12.6640625" bestFit="1" customWidth="1"/>
    <col min="18" max="18" width="17.6640625" bestFit="1" customWidth="1"/>
    <col min="19" max="19" width="13.44140625" bestFit="1" customWidth="1"/>
    <col min="25" max="25" width="12" bestFit="1" customWidth="1"/>
  </cols>
  <sheetData>
    <row r="1" spans="1:27" ht="15" thickBot="1" x14ac:dyDescent="0.35">
      <c r="A1" s="20" t="s">
        <v>3</v>
      </c>
      <c r="B1" s="5" t="s">
        <v>0</v>
      </c>
      <c r="C1" s="5" t="s">
        <v>2</v>
      </c>
      <c r="D1" s="5" t="s">
        <v>1</v>
      </c>
      <c r="E1" s="5" t="s">
        <v>7</v>
      </c>
      <c r="F1" s="5" t="s">
        <v>8</v>
      </c>
      <c r="H1" s="22" t="s">
        <v>23</v>
      </c>
      <c r="I1" s="22"/>
      <c r="R1" s="22" t="s">
        <v>35</v>
      </c>
      <c r="U1" t="s">
        <v>36</v>
      </c>
      <c r="V1">
        <v>0.05</v>
      </c>
    </row>
    <row r="2" spans="1:27" ht="15" thickTop="1" x14ac:dyDescent="0.3">
      <c r="A2" s="5" t="s">
        <v>4</v>
      </c>
      <c r="B2" s="3">
        <v>87.868123412332608</v>
      </c>
      <c r="C2" s="3">
        <v>81.373241957285387</v>
      </c>
      <c r="D2" s="3">
        <v>79.796535497796484</v>
      </c>
      <c r="E2" s="3">
        <v>78.476240954328176</v>
      </c>
      <c r="F2" s="3">
        <v>79.893638026269116</v>
      </c>
      <c r="R2" s="11" t="s">
        <v>37</v>
      </c>
      <c r="S2" s="11" t="s">
        <v>38</v>
      </c>
      <c r="T2" s="11" t="s">
        <v>39</v>
      </c>
      <c r="U2" s="11" t="s">
        <v>40</v>
      </c>
      <c r="V2" s="11" t="s">
        <v>14</v>
      </c>
      <c r="W2" s="11" t="s">
        <v>41</v>
      </c>
    </row>
    <row r="3" spans="1:27" ht="15" thickBot="1" x14ac:dyDescent="0.35">
      <c r="A3" s="5" t="s">
        <v>5</v>
      </c>
      <c r="B3" s="3">
        <v>86.886172314723893</v>
      </c>
      <c r="C3" s="3">
        <v>79.703544575004884</v>
      </c>
      <c r="D3" s="3">
        <v>79.166404124805723</v>
      </c>
      <c r="E3" s="3">
        <v>77.783731996731717</v>
      </c>
      <c r="F3" s="3">
        <v>80.004449476729889</v>
      </c>
      <c r="H3" t="s">
        <v>24</v>
      </c>
      <c r="M3" t="s">
        <v>25</v>
      </c>
      <c r="N3">
        <v>0.05</v>
      </c>
      <c r="R3" t="str">
        <f>B1</f>
        <v>No PM</v>
      </c>
      <c r="S3">
        <f>AVERAGE(B2:B4)</f>
        <v>86.663487358375264</v>
      </c>
      <c r="T3">
        <f>COUNT(B2:B4)</f>
        <v>3</v>
      </c>
      <c r="U3">
        <f>DEVSQ(B2:B4)</f>
        <v>3.5379818787387789</v>
      </c>
    </row>
    <row r="4" spans="1:27" ht="15" thickTop="1" x14ac:dyDescent="0.3">
      <c r="A4" s="5" t="s">
        <v>6</v>
      </c>
      <c r="B4" s="3">
        <v>85.23616634806929</v>
      </c>
      <c r="C4" s="3">
        <v>80.197212102026867</v>
      </c>
      <c r="D4" s="3">
        <v>77.926140731101796</v>
      </c>
      <c r="E4" s="3">
        <v>77.846452989432109</v>
      </c>
      <c r="F4" s="3">
        <v>79.813937850870516</v>
      </c>
      <c r="H4" s="11" t="s">
        <v>26</v>
      </c>
      <c r="I4" s="11" t="s">
        <v>9</v>
      </c>
      <c r="J4" s="11" t="s">
        <v>10</v>
      </c>
      <c r="K4" s="11" t="s">
        <v>20</v>
      </c>
      <c r="L4" s="11" t="s">
        <v>11</v>
      </c>
      <c r="M4" s="11" t="s">
        <v>13</v>
      </c>
      <c r="N4" s="11" t="s">
        <v>27</v>
      </c>
      <c r="O4" s="11" t="s">
        <v>28</v>
      </c>
      <c r="P4" s="11" t="s">
        <v>29</v>
      </c>
      <c r="R4" t="str">
        <f>C1</f>
        <v>PMM 0.3 mg/ml</v>
      </c>
      <c r="S4">
        <f>AVERAGE(C2:C4)</f>
        <v>80.424666211439046</v>
      </c>
      <c r="T4">
        <f>COUNT(C2:C4)</f>
        <v>3</v>
      </c>
      <c r="U4">
        <f>DEVSQ(C2:C4)</f>
        <v>1.471547732029914</v>
      </c>
    </row>
    <row r="5" spans="1:27" x14ac:dyDescent="0.3">
      <c r="A5" s="4"/>
      <c r="B5" s="4"/>
      <c r="C5" s="4"/>
      <c r="D5" s="4"/>
      <c r="E5" s="4"/>
      <c r="F5" s="4"/>
      <c r="H5" t="str">
        <f>B1</f>
        <v>No PM</v>
      </c>
      <c r="I5">
        <f>COUNT(B2:B4)</f>
        <v>3</v>
      </c>
      <c r="J5">
        <f>SUM(B2:B4)</f>
        <v>259.99046207512578</v>
      </c>
      <c r="K5">
        <f>AVERAGE(B2:B4)</f>
        <v>86.663487358375264</v>
      </c>
      <c r="L5">
        <f>_xlfn.VAR.S(B2:B4)</f>
        <v>1.7689909393693894</v>
      </c>
      <c r="M5">
        <f>DEVSQ(B2:B4)</f>
        <v>3.5379818787387789</v>
      </c>
      <c r="N5">
        <f>SQRT(K14/I5)</f>
        <v>0.48759438611842248</v>
      </c>
      <c r="O5">
        <f>K5-N5*_xlfn.T.INV.2T(N3,J14)</f>
        <v>85.57705936265441</v>
      </c>
      <c r="P5">
        <f>K5+N5*_xlfn.T.INV.2T(N3,J14)</f>
        <v>87.749915354096117</v>
      </c>
      <c r="R5" t="str">
        <f>D1</f>
        <v>PMM 3 mg/ml</v>
      </c>
      <c r="S5">
        <f>AVERAGE(D2:D4)</f>
        <v>78.963026784568001</v>
      </c>
      <c r="T5">
        <f>COUNT(D2:D4)</f>
        <v>3</v>
      </c>
      <c r="U5">
        <f>DEVSQ(D2:D4)</f>
        <v>1.8112318054226924</v>
      </c>
    </row>
    <row r="6" spans="1:27" x14ac:dyDescent="0.3">
      <c r="A6" s="4"/>
      <c r="B6" s="4"/>
      <c r="C6" s="4"/>
      <c r="D6" s="4"/>
      <c r="E6" s="4"/>
      <c r="F6" s="4"/>
      <c r="H6" t="str">
        <f>C1</f>
        <v>PMM 0.3 mg/ml</v>
      </c>
      <c r="I6">
        <f>COUNT(C2:C4)</f>
        <v>3</v>
      </c>
      <c r="J6">
        <f>SUM(C2:C4)</f>
        <v>241.27399863431714</v>
      </c>
      <c r="K6">
        <f>AVERAGE(C2:C4)</f>
        <v>80.424666211439046</v>
      </c>
      <c r="L6">
        <f>_xlfn.VAR.S(C2:C4)</f>
        <v>0.73577386601495698</v>
      </c>
      <c r="M6">
        <f>DEVSQ(C2:C4)</f>
        <v>1.471547732029914</v>
      </c>
      <c r="N6">
        <f>SQRT(K14/I6)</f>
        <v>0.48759438611842248</v>
      </c>
      <c r="O6">
        <f>K6-N6*_xlfn.T.INV.2T(N3,J14)</f>
        <v>79.338238215718192</v>
      </c>
      <c r="P6">
        <f>K6+N6*_xlfn.T.INV.2T(N3,J14)</f>
        <v>81.5110942071599</v>
      </c>
      <c r="R6" t="str">
        <f>E1</f>
        <v>PMO 0.3 mg/ml</v>
      </c>
      <c r="S6">
        <f>AVERAGE(E2:E4)</f>
        <v>78.035475313497329</v>
      </c>
      <c r="T6">
        <f>COUNT(E2:E4)</f>
        <v>3</v>
      </c>
      <c r="U6">
        <f>DEVSQ(E2:E4)</f>
        <v>0.29337848666819577</v>
      </c>
    </row>
    <row r="7" spans="1:27" x14ac:dyDescent="0.3">
      <c r="A7" s="4"/>
      <c r="B7" s="4"/>
      <c r="C7" s="4"/>
      <c r="D7" s="4"/>
      <c r="E7" s="4"/>
      <c r="F7" s="4"/>
      <c r="H7" t="str">
        <f>D1</f>
        <v>PMM 3 mg/ml</v>
      </c>
      <c r="I7">
        <f>COUNT(D2:D4)</f>
        <v>3</v>
      </c>
      <c r="J7">
        <f>SUM(D2:D4)</f>
        <v>236.889080353704</v>
      </c>
      <c r="K7">
        <f>AVERAGE(D2:D4)</f>
        <v>78.963026784568001</v>
      </c>
      <c r="L7">
        <f>_xlfn.VAR.S(D2:D4)</f>
        <v>0.90561590271134618</v>
      </c>
      <c r="M7">
        <f>DEVSQ(D2:D4)</f>
        <v>1.8112318054226924</v>
      </c>
      <c r="N7">
        <f>SQRT(K14/I7)</f>
        <v>0.48759438611842248</v>
      </c>
      <c r="O7">
        <f>K7-N7*_xlfn.T.INV.2T(N3,J14)</f>
        <v>77.876598788847147</v>
      </c>
      <c r="P7">
        <f>K7+N7*_xlfn.T.INV.2T(N3,J14)</f>
        <v>80.049454780288855</v>
      </c>
      <c r="R7" t="str">
        <f>F1</f>
        <v>PMO 3 mg/ml</v>
      </c>
      <c r="S7">
        <f>AVERAGE(F2:F4)</f>
        <v>79.90400845128984</v>
      </c>
      <c r="T7">
        <f>COUNT(F2:F4)</f>
        <v>3</v>
      </c>
      <c r="U7">
        <f>DEVSQ(F2:F4)</f>
        <v>1.8308658366456405E-2</v>
      </c>
    </row>
    <row r="8" spans="1:27" x14ac:dyDescent="0.3">
      <c r="A8" s="4"/>
      <c r="B8" s="4"/>
      <c r="C8" s="4"/>
      <c r="D8" s="4"/>
      <c r="E8" s="4"/>
      <c r="F8" s="4"/>
      <c r="H8" t="str">
        <f>E1</f>
        <v>PMO 0.3 mg/ml</v>
      </c>
      <c r="I8">
        <f>COUNT(E2:E4)</f>
        <v>3</v>
      </c>
      <c r="J8">
        <f>SUM(E2:E4)</f>
        <v>234.10642594049199</v>
      </c>
      <c r="K8">
        <f>AVERAGE(E2:E4)</f>
        <v>78.035475313497329</v>
      </c>
      <c r="L8">
        <f>_xlfn.VAR.S(E2:E4)</f>
        <v>0.14668924333409789</v>
      </c>
      <c r="M8">
        <f>DEVSQ(E2:E4)</f>
        <v>0.29337848666819577</v>
      </c>
      <c r="N8">
        <f>SQRT(K14/I8)</f>
        <v>0.48759438611842248</v>
      </c>
      <c r="O8">
        <f>K8-N8*_xlfn.T.INV.2T(N3,J14)</f>
        <v>76.949047317776476</v>
      </c>
      <c r="P8">
        <f>K8+N8*_xlfn.T.INV.2T(N3,J14)</f>
        <v>79.121903309218183</v>
      </c>
      <c r="R8" s="12"/>
      <c r="S8" s="12"/>
      <c r="T8" s="12">
        <f>SUM(T3:T7)</f>
        <v>15</v>
      </c>
      <c r="U8" s="12">
        <f>SUM(U3:U7)</f>
        <v>7.1324485612260382</v>
      </c>
      <c r="V8" s="12">
        <f>T8-COUNT(T3:T7)</f>
        <v>10</v>
      </c>
      <c r="W8" s="12">
        <f>[1]!QCRIT(COUNT(T3:T7),V8,V1,2)</f>
        <v>4.6539999999999999</v>
      </c>
    </row>
    <row r="9" spans="1:27" ht="15" thickBot="1" x14ac:dyDescent="0.35">
      <c r="A9" s="4"/>
      <c r="B9" s="4"/>
      <c r="C9" s="4"/>
      <c r="D9" s="4"/>
      <c r="E9" s="4"/>
      <c r="F9" s="4"/>
      <c r="H9" t="str">
        <f>F1</f>
        <v>PMO 3 mg/ml</v>
      </c>
      <c r="I9">
        <f>COUNT(F2:F4)</f>
        <v>3</v>
      </c>
      <c r="J9">
        <f>SUM(F2:F4)</f>
        <v>239.71202535386954</v>
      </c>
      <c r="K9">
        <f>AVERAGE(F2:F4)</f>
        <v>79.90400845128984</v>
      </c>
      <c r="L9">
        <f>_xlfn.VAR.S(F2:F4)</f>
        <v>9.1543291832282027E-3</v>
      </c>
      <c r="M9">
        <f>DEVSQ(F2:F4)</f>
        <v>1.8308658366456405E-2</v>
      </c>
      <c r="N9">
        <f>SQRT(K14/I9)</f>
        <v>0.48759438611842248</v>
      </c>
      <c r="O9">
        <f>K9-N9*_xlfn.T.INV.2T(N3,J14)</f>
        <v>78.817580455568987</v>
      </c>
      <c r="P9">
        <f>K9+N9*_xlfn.T.INV.2T(N3,J14)</f>
        <v>80.990436447010694</v>
      </c>
      <c r="R9" t="s">
        <v>42</v>
      </c>
    </row>
    <row r="10" spans="1:27" ht="15" thickTop="1" x14ac:dyDescent="0.3">
      <c r="A10" s="4"/>
      <c r="B10" s="4"/>
      <c r="C10" s="4"/>
      <c r="D10" s="4"/>
      <c r="E10" s="4"/>
      <c r="F10" s="4"/>
      <c r="H10" s="8"/>
      <c r="I10" s="8"/>
      <c r="J10" s="8"/>
      <c r="K10" s="8"/>
      <c r="L10" s="8"/>
      <c r="M10" s="8"/>
      <c r="N10" s="8"/>
      <c r="O10" s="8"/>
      <c r="P10" s="8"/>
      <c r="R10" s="11" t="s">
        <v>43</v>
      </c>
      <c r="S10" s="11" t="s">
        <v>44</v>
      </c>
      <c r="T10" s="11" t="s">
        <v>38</v>
      </c>
      <c r="U10" s="11" t="s">
        <v>45</v>
      </c>
      <c r="V10" s="11" t="s">
        <v>46</v>
      </c>
      <c r="W10" s="11" t="s">
        <v>47</v>
      </c>
      <c r="X10" s="11" t="s">
        <v>48</v>
      </c>
      <c r="Y10" s="15" t="s">
        <v>49</v>
      </c>
      <c r="Z10" s="11" t="s">
        <v>50</v>
      </c>
      <c r="AA10" s="11" t="s">
        <v>51</v>
      </c>
    </row>
    <row r="11" spans="1:27" ht="15" thickBot="1" x14ac:dyDescent="0.35">
      <c r="A11" s="4"/>
      <c r="B11" s="4"/>
      <c r="C11" s="4"/>
      <c r="D11" s="4"/>
      <c r="E11" s="4"/>
      <c r="F11" s="4"/>
      <c r="H11" t="s">
        <v>12</v>
      </c>
      <c r="R11" s="13" t="str">
        <f>R3</f>
        <v>No PM</v>
      </c>
      <c r="S11" s="13" t="str">
        <f>R4</f>
        <v>PMM 0.3 mg/ml</v>
      </c>
      <c r="T11" s="12">
        <f>ABS(S3-S4)</f>
        <v>6.2388211469362176</v>
      </c>
      <c r="U11" s="12">
        <f>SQRT(U8/V8/HARMEAN(T3,T4))</f>
        <v>0.48759438611842248</v>
      </c>
      <c r="V11" s="12">
        <f t="shared" ref="V11:V20" si="0">T11/U11</f>
        <v>12.795104547042486</v>
      </c>
      <c r="W11" s="12">
        <f t="shared" ref="W11:W20" si="1">T11-U11*W$8</f>
        <v>3.9695568739410794</v>
      </c>
      <c r="X11" s="12">
        <f t="shared" ref="X11:X20" si="2">T11+U11*W$8</f>
        <v>8.5080854199313549</v>
      </c>
      <c r="Y11" s="16">
        <f>[1]!QDIST(V11,COUNT($T$3:$T$7),V$8)</f>
        <v>3.0291593484221835E-5</v>
      </c>
      <c r="Z11" s="12">
        <f t="shared" ref="Z11:Z20" si="3">U11*W$8</f>
        <v>2.2692642729951382</v>
      </c>
      <c r="AA11" s="12">
        <f t="shared" ref="AA11:AA20" si="4">T11*SQRT(V$8/U$8)</f>
        <v>7.387257054544385</v>
      </c>
    </row>
    <row r="12" spans="1:27" ht="15" thickTop="1" x14ac:dyDescent="0.3">
      <c r="A12" s="4"/>
      <c r="B12" s="4"/>
      <c r="C12" s="4"/>
      <c r="D12" s="4"/>
      <c r="E12" s="4"/>
      <c r="F12" s="4"/>
      <c r="H12" s="11" t="s">
        <v>30</v>
      </c>
      <c r="I12" s="11" t="s">
        <v>13</v>
      </c>
      <c r="J12" s="11" t="s">
        <v>14</v>
      </c>
      <c r="K12" s="11" t="s">
        <v>15</v>
      </c>
      <c r="L12" s="11" t="s">
        <v>16</v>
      </c>
      <c r="M12" s="11" t="s">
        <v>31</v>
      </c>
      <c r="N12" s="11" t="s">
        <v>32</v>
      </c>
      <c r="O12" s="11" t="s">
        <v>33</v>
      </c>
      <c r="P12" s="11" t="s">
        <v>34</v>
      </c>
      <c r="R12" s="1" t="str">
        <f>R3</f>
        <v>No PM</v>
      </c>
      <c r="S12" s="1" t="str">
        <f>R5</f>
        <v>PMM 3 mg/ml</v>
      </c>
      <c r="T12">
        <f>ABS(S3-S5)</f>
        <v>7.7004605738072627</v>
      </c>
      <c r="U12">
        <f>SQRT(U8/V8/HARMEAN(T3,T5))</f>
        <v>0.48759438611842248</v>
      </c>
      <c r="V12">
        <f t="shared" si="0"/>
        <v>15.792758885326963</v>
      </c>
      <c r="W12">
        <f t="shared" si="1"/>
        <v>5.4311963008121245</v>
      </c>
      <c r="X12">
        <f t="shared" si="2"/>
        <v>9.9697248468024</v>
      </c>
      <c r="Y12" s="17">
        <f>[1]!QDIST(V12,COUNT($T$3:$T$7),V$8)</f>
        <v>4.4549211885014373E-6</v>
      </c>
      <c r="Z12">
        <f t="shared" si="3"/>
        <v>2.2692642729951382</v>
      </c>
      <c r="AA12">
        <f t="shared" si="4"/>
        <v>9.1179535936903768</v>
      </c>
    </row>
    <row r="13" spans="1:27" x14ac:dyDescent="0.3">
      <c r="A13" s="4"/>
      <c r="B13" s="4"/>
      <c r="C13" s="4"/>
      <c r="D13" s="4"/>
      <c r="E13" s="4"/>
      <c r="F13" s="4"/>
      <c r="H13" s="9" t="s">
        <v>17</v>
      </c>
      <c r="I13" s="9">
        <f>I15-I14</f>
        <v>139.02363064435542</v>
      </c>
      <c r="J13" s="9">
        <f>COUNTA(H5:H9)-1</f>
        <v>4</v>
      </c>
      <c r="K13" s="9">
        <f>I13/J13</f>
        <v>34.755907661088855</v>
      </c>
      <c r="L13" s="9">
        <f>K13/K14</f>
        <v>48.729279100632532</v>
      </c>
      <c r="M13" s="14">
        <f>_xlfn.F.DIST.RT(L13,J13,J14)</f>
        <v>1.59305042833631E-6</v>
      </c>
      <c r="N13" s="9">
        <f>I13/I15</f>
        <v>0.95119978176758824</v>
      </c>
      <c r="O13">
        <f>SQRT(DEVSQ(K5:K9)/(K14*J13))</f>
        <v>4.0302720793445426</v>
      </c>
      <c r="P13">
        <f>(I15-J15*K14)/(I15+K14)</f>
        <v>0.92715515707456897</v>
      </c>
      <c r="R13" s="1" t="str">
        <f>R3</f>
        <v>No PM</v>
      </c>
      <c r="S13" s="1" t="str">
        <f>R6</f>
        <v>PMO 0.3 mg/ml</v>
      </c>
      <c r="T13">
        <f>ABS(S3-S6)</f>
        <v>8.6280120448779343</v>
      </c>
      <c r="U13">
        <f>SQRT(U8/V8/HARMEAN(T3,T6))</f>
        <v>0.48759438611842248</v>
      </c>
      <c r="V13">
        <f t="shared" si="0"/>
        <v>17.695060260153284</v>
      </c>
      <c r="W13">
        <f t="shared" si="1"/>
        <v>6.3587477718827961</v>
      </c>
      <c r="X13">
        <f t="shared" si="2"/>
        <v>10.897276317873072</v>
      </c>
      <c r="Y13" s="17">
        <f>[1]!QDIST(V13,COUNT($T$3:$T$7),V$8)</f>
        <v>1.5396814309065476E-6</v>
      </c>
      <c r="Z13">
        <f t="shared" si="3"/>
        <v>2.2692642729951382</v>
      </c>
      <c r="AA13">
        <f t="shared" si="4"/>
        <v>10.216247804526148</v>
      </c>
    </row>
    <row r="14" spans="1:27" x14ac:dyDescent="0.3">
      <c r="A14" s="4"/>
      <c r="B14" s="4"/>
      <c r="C14" s="4"/>
      <c r="D14" s="4"/>
      <c r="E14" s="4"/>
      <c r="F14" s="4"/>
      <c r="H14" t="s">
        <v>18</v>
      </c>
      <c r="I14">
        <f>SUM(M5:M9)</f>
        <v>7.1324485612260382</v>
      </c>
      <c r="J14">
        <f>J15-J13</f>
        <v>10</v>
      </c>
      <c r="K14">
        <f>I14/J14</f>
        <v>0.7132448561226038</v>
      </c>
      <c r="L14">
        <v>48.729279100632532</v>
      </c>
      <c r="M14">
        <v>1.59305042833631E-6</v>
      </c>
      <c r="N14">
        <v>3.4780496907652281</v>
      </c>
      <c r="R14" s="1" t="str">
        <f>R3</f>
        <v>No PM</v>
      </c>
      <c r="S14" s="1" t="str">
        <f>R7</f>
        <v>PMO 3 mg/ml</v>
      </c>
      <c r="T14">
        <f>ABS(S3-S7)</f>
        <v>6.7594789070854233</v>
      </c>
      <c r="U14">
        <f>SQRT(U8/V8/HARMEAN(T3,T7))</f>
        <v>0.48759438611842248</v>
      </c>
      <c r="V14">
        <f t="shared" si="0"/>
        <v>13.862913724038945</v>
      </c>
      <c r="W14">
        <f t="shared" si="1"/>
        <v>4.4902146340902851</v>
      </c>
      <c r="X14">
        <f t="shared" si="2"/>
        <v>9.0287431800805606</v>
      </c>
      <c r="Y14" s="17">
        <f>[1]!QDIST(V14,COUNT($T$3:$T$7),V$8)</f>
        <v>1.4724858257930684E-5</v>
      </c>
      <c r="Z14">
        <f t="shared" si="3"/>
        <v>2.2692642729951382</v>
      </c>
      <c r="AA14">
        <f t="shared" si="4"/>
        <v>8.0037569703264424</v>
      </c>
    </row>
    <row r="15" spans="1:27" x14ac:dyDescent="0.3">
      <c r="A15" s="4"/>
      <c r="B15" s="4"/>
      <c r="C15" s="4"/>
      <c r="D15" s="4"/>
      <c r="E15" s="4"/>
      <c r="F15" s="4"/>
      <c r="H15" s="10" t="s">
        <v>19</v>
      </c>
      <c r="I15" s="10">
        <f>DEVSQ(B2:F4)</f>
        <v>146.15607920558145</v>
      </c>
      <c r="J15" s="10">
        <f>COUNT(B2:F4)-1</f>
        <v>14</v>
      </c>
      <c r="K15" s="10">
        <f>I15/J15</f>
        <v>10.439719943255819</v>
      </c>
      <c r="L15" s="10"/>
      <c r="M15" s="10"/>
      <c r="N15" s="10"/>
      <c r="O15" s="10"/>
      <c r="P15" s="10"/>
      <c r="R15" s="18" t="str">
        <f>R4</f>
        <v>PMM 0.3 mg/ml</v>
      </c>
      <c r="S15" s="18" t="str">
        <f>R5</f>
        <v>PMM 3 mg/ml</v>
      </c>
      <c r="T15" s="18">
        <f>ABS(S4-S5)</f>
        <v>1.4616394268710451</v>
      </c>
      <c r="U15" s="18">
        <f>SQRT(U8/V8/HARMEAN(T4,T5))</f>
        <v>0.48759438611842248</v>
      </c>
      <c r="V15" s="18">
        <f t="shared" si="0"/>
        <v>2.9976543382844762</v>
      </c>
      <c r="W15" s="18">
        <f t="shared" si="1"/>
        <v>-0.80762484612409313</v>
      </c>
      <c r="X15" s="18">
        <f t="shared" si="2"/>
        <v>3.7309036998661833</v>
      </c>
      <c r="Y15" s="18">
        <f>[1]!QDIST(V15,COUNT($T$3:$T$7),V$8)</f>
        <v>0.28361329746110475</v>
      </c>
      <c r="Z15" s="18">
        <f t="shared" si="3"/>
        <v>2.2692642729951382</v>
      </c>
      <c r="AA15" s="18">
        <f t="shared" si="4"/>
        <v>1.7306965391459919</v>
      </c>
    </row>
    <row r="16" spans="1:27" x14ac:dyDescent="0.3">
      <c r="A16" s="4"/>
      <c r="B16" s="4"/>
      <c r="C16" s="4"/>
      <c r="D16" s="4"/>
      <c r="E16" s="4"/>
      <c r="F16" s="4"/>
      <c r="R16" s="1" t="str">
        <f>R4</f>
        <v>PMM 0.3 mg/ml</v>
      </c>
      <c r="S16" s="1" t="str">
        <f>R6</f>
        <v>PMO 0.3 mg/ml</v>
      </c>
      <c r="T16" s="18">
        <f>ABS(S4-S6)</f>
        <v>2.3891908979417167</v>
      </c>
      <c r="U16" s="18">
        <f>SQRT(U8/V8/HARMEAN(T4,T6))</f>
        <v>0.48759438611842248</v>
      </c>
      <c r="V16" s="18">
        <f t="shared" si="0"/>
        <v>4.8999557131107982</v>
      </c>
      <c r="W16" s="18">
        <f t="shared" si="1"/>
        <v>0.11992662494657846</v>
      </c>
      <c r="X16" s="18">
        <f t="shared" si="2"/>
        <v>4.6584551709368549</v>
      </c>
      <c r="Y16" s="17">
        <f>[1]!QDIST(V16,COUNT($T$3:$T$7),V$8)</f>
        <v>3.8177646247575581E-2</v>
      </c>
      <c r="Z16">
        <f t="shared" si="3"/>
        <v>2.2692642729951382</v>
      </c>
      <c r="AA16">
        <f t="shared" si="4"/>
        <v>2.8289907499817639</v>
      </c>
    </row>
    <row r="17" spans="1:28" ht="15" thickBot="1" x14ac:dyDescent="0.35">
      <c r="A17" s="4"/>
      <c r="B17" s="4"/>
      <c r="C17" s="4"/>
      <c r="D17" s="4"/>
      <c r="E17" s="4"/>
      <c r="F17" s="4"/>
      <c r="H17" s="7" t="s">
        <v>19</v>
      </c>
      <c r="I17" s="7">
        <v>146.15607920558145</v>
      </c>
      <c r="J17" s="7">
        <v>14</v>
      </c>
      <c r="K17" s="7"/>
      <c r="L17" s="7"/>
      <c r="M17" s="7"/>
      <c r="N17" s="7"/>
      <c r="R17" s="18" t="str">
        <f>R4</f>
        <v>PMM 0.3 mg/ml</v>
      </c>
      <c r="S17" s="18" t="str">
        <f>R7</f>
        <v>PMO 3 mg/ml</v>
      </c>
      <c r="T17" s="18">
        <f>ABS(S4-S7)</f>
        <v>0.52065776014920573</v>
      </c>
      <c r="U17" s="18">
        <f>SQRT(U8/V8/HARMEAN(T4,T7))</f>
        <v>0.48759438611842248</v>
      </c>
      <c r="V17" s="18">
        <f t="shared" si="0"/>
        <v>1.0678091769964577</v>
      </c>
      <c r="W17" s="18">
        <f t="shared" si="1"/>
        <v>-1.7486065128459325</v>
      </c>
      <c r="X17" s="18">
        <f t="shared" si="2"/>
        <v>2.7899220331443439</v>
      </c>
      <c r="Y17" s="18">
        <f>[1]!QDIST(V17,COUNT($T$3:$T$7),V$8)</f>
        <v>0.93783172997127617</v>
      </c>
      <c r="Z17" s="18">
        <f t="shared" si="3"/>
        <v>2.2692642729951382</v>
      </c>
      <c r="AA17" s="18">
        <f t="shared" si="4"/>
        <v>0.61649991578205765</v>
      </c>
    </row>
    <row r="18" spans="1:28" x14ac:dyDescent="0.3">
      <c r="A18" s="4"/>
      <c r="B18" s="4"/>
      <c r="C18" s="4"/>
      <c r="D18" s="4"/>
      <c r="E18" s="4"/>
      <c r="F18" s="4"/>
      <c r="R18" s="18" t="str">
        <f>R5</f>
        <v>PMM 3 mg/ml</v>
      </c>
      <c r="S18" s="18" t="str">
        <f>R6</f>
        <v>PMO 0.3 mg/ml</v>
      </c>
      <c r="T18" s="18">
        <f>ABS(S5-S6)</f>
        <v>0.9275514710706716</v>
      </c>
      <c r="U18" s="18">
        <f>SQRT(U8/V8/HARMEAN(T5,T6))</f>
        <v>0.48759438611842248</v>
      </c>
      <c r="V18" s="18">
        <f t="shared" si="0"/>
        <v>1.902301374826322</v>
      </c>
      <c r="W18" s="18">
        <f t="shared" si="1"/>
        <v>-1.3417128019244666</v>
      </c>
      <c r="X18" s="18">
        <f t="shared" si="2"/>
        <v>3.1968157440658098</v>
      </c>
      <c r="Y18" s="18">
        <f>[1]!QDIST(V18,COUNT($T$3:$T$7),V$8)</f>
        <v>0.67207906983339372</v>
      </c>
      <c r="Z18" s="18">
        <f t="shared" si="3"/>
        <v>2.2692642729951382</v>
      </c>
      <c r="AA18" s="18">
        <f t="shared" si="4"/>
        <v>1.0982942108357723</v>
      </c>
    </row>
    <row r="19" spans="1:28" x14ac:dyDescent="0.3">
      <c r="R19" s="18" t="str">
        <f>R5</f>
        <v>PMM 3 mg/ml</v>
      </c>
      <c r="S19" s="18" t="str">
        <f>R7</f>
        <v>PMO 3 mg/ml</v>
      </c>
      <c r="T19" s="18">
        <f>ABS(S5-S7)</f>
        <v>0.94098166672183936</v>
      </c>
      <c r="U19" s="18">
        <f>SQRT(U8/V8/HARMEAN(T5,T7))</f>
        <v>0.48759438611842248</v>
      </c>
      <c r="V19" s="18">
        <f t="shared" si="0"/>
        <v>1.9298451612880183</v>
      </c>
      <c r="W19" s="18">
        <f t="shared" si="1"/>
        <v>-1.3282826062732989</v>
      </c>
      <c r="X19" s="18">
        <f t="shared" si="2"/>
        <v>3.2102459397169776</v>
      </c>
      <c r="Y19" s="18">
        <f>[1]!QDIST(V19,COUNT($T$3:$T$7),V$8)</f>
        <v>0.6611188355951193</v>
      </c>
      <c r="Z19" s="18">
        <f t="shared" si="3"/>
        <v>2.2692642729951382</v>
      </c>
      <c r="AA19" s="18">
        <f t="shared" si="4"/>
        <v>1.1141966233639342</v>
      </c>
    </row>
    <row r="20" spans="1:28" x14ac:dyDescent="0.3">
      <c r="R20" s="19" t="str">
        <f>R6</f>
        <v>PMO 0.3 mg/ml</v>
      </c>
      <c r="S20" s="19" t="str">
        <f>R7</f>
        <v>PMO 3 mg/ml</v>
      </c>
      <c r="T20" s="19">
        <f>ABS(S6-S7)</f>
        <v>1.868533137792511</v>
      </c>
      <c r="U20" s="19">
        <f>SQRT(U8/V8/HARMEAN(T6,T7))</f>
        <v>0.48759438611842248</v>
      </c>
      <c r="V20" s="19">
        <f t="shared" si="0"/>
        <v>3.8321465361143403</v>
      </c>
      <c r="W20" s="19">
        <f t="shared" si="1"/>
        <v>-0.40073113520262726</v>
      </c>
      <c r="X20" s="19">
        <f t="shared" si="2"/>
        <v>4.1377974107876492</v>
      </c>
      <c r="Y20" s="19">
        <f>[1]!QDIST(V20,COUNT($T$3:$T$7),V$8)</f>
        <v>0.12197930841121951</v>
      </c>
      <c r="Z20" s="19">
        <f t="shared" si="3"/>
        <v>2.2692642729951382</v>
      </c>
      <c r="AA20" s="19">
        <f t="shared" si="4"/>
        <v>2.2124908341997065</v>
      </c>
    </row>
    <row r="21" spans="1:28" x14ac:dyDescent="0.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</row>
    <row r="23" spans="1:28" ht="15" thickBot="1" x14ac:dyDescent="0.35">
      <c r="A23" s="20" t="s">
        <v>21</v>
      </c>
      <c r="B23" s="5" t="s">
        <v>0</v>
      </c>
      <c r="C23" s="5" t="s">
        <v>2</v>
      </c>
      <c r="D23" s="5" t="s">
        <v>1</v>
      </c>
      <c r="E23" s="5" t="s">
        <v>7</v>
      </c>
      <c r="F23" s="5" t="s">
        <v>8</v>
      </c>
      <c r="H23" s="22" t="s">
        <v>23</v>
      </c>
      <c r="I23" s="22"/>
      <c r="R23" s="22" t="s">
        <v>35</v>
      </c>
      <c r="U23" t="s">
        <v>36</v>
      </c>
      <c r="V23">
        <v>0.05</v>
      </c>
    </row>
    <row r="24" spans="1:28" ht="15" thickTop="1" x14ac:dyDescent="0.3">
      <c r="A24" s="5" t="s">
        <v>4</v>
      </c>
      <c r="B24" s="3">
        <v>7.9248489002080955</v>
      </c>
      <c r="C24" s="3">
        <v>9.8186479241886762</v>
      </c>
      <c r="D24" s="3">
        <v>9.5807296082335185</v>
      </c>
      <c r="E24" s="3">
        <v>8.6712898832863221</v>
      </c>
      <c r="F24" s="3">
        <v>8.7755397841729383</v>
      </c>
      <c r="R24" s="11" t="s">
        <v>37</v>
      </c>
      <c r="S24" s="11" t="s">
        <v>38</v>
      </c>
      <c r="T24" s="11" t="s">
        <v>39</v>
      </c>
      <c r="U24" s="11" t="s">
        <v>40</v>
      </c>
      <c r="V24" s="11" t="s">
        <v>14</v>
      </c>
      <c r="W24" s="11" t="s">
        <v>41</v>
      </c>
    </row>
    <row r="25" spans="1:28" ht="15" thickBot="1" x14ac:dyDescent="0.35">
      <c r="A25" s="5" t="s">
        <v>5</v>
      </c>
      <c r="B25" s="3">
        <v>8.0048916483622534</v>
      </c>
      <c r="C25" s="3">
        <v>10.325019355514414</v>
      </c>
      <c r="D25" s="3">
        <v>9.2745087176315</v>
      </c>
      <c r="E25" s="3">
        <v>8.7140789333839983</v>
      </c>
      <c r="F25" s="3">
        <v>8.8347044540123285</v>
      </c>
      <c r="H25" t="s">
        <v>24</v>
      </c>
      <c r="M25" t="s">
        <v>25</v>
      </c>
      <c r="N25">
        <v>0.05</v>
      </c>
      <c r="R25" t="str">
        <f>B23</f>
        <v>No PM</v>
      </c>
      <c r="S25">
        <f>AVERAGE(B24:B26)</f>
        <v>8.0850420255162785</v>
      </c>
      <c r="T25">
        <f>COUNT(B24:B26)</f>
        <v>3</v>
      </c>
      <c r="U25">
        <f>DEVSQ(B24:B26)</f>
        <v>8.9850919529737075E-2</v>
      </c>
    </row>
    <row r="26" spans="1:28" ht="15" thickTop="1" x14ac:dyDescent="0.3">
      <c r="A26" s="5" t="s">
        <v>6</v>
      </c>
      <c r="B26" s="3">
        <v>8.3253855279784865</v>
      </c>
      <c r="C26" s="3">
        <v>9.5975581833712997</v>
      </c>
      <c r="D26" s="3">
        <v>9.0452421398166134</v>
      </c>
      <c r="E26" s="3">
        <v>8.8096446824771206</v>
      </c>
      <c r="F26" s="3">
        <v>8.8610520050707127</v>
      </c>
      <c r="H26" s="11" t="s">
        <v>26</v>
      </c>
      <c r="I26" s="11" t="s">
        <v>9</v>
      </c>
      <c r="J26" s="11" t="s">
        <v>10</v>
      </c>
      <c r="K26" s="11" t="s">
        <v>20</v>
      </c>
      <c r="L26" s="11" t="s">
        <v>11</v>
      </c>
      <c r="M26" s="11" t="s">
        <v>13</v>
      </c>
      <c r="N26" s="11" t="s">
        <v>27</v>
      </c>
      <c r="O26" s="11" t="s">
        <v>28</v>
      </c>
      <c r="P26" s="11" t="s">
        <v>29</v>
      </c>
      <c r="R26" t="str">
        <f>C23</f>
        <v>PMM 0.3 mg/ml</v>
      </c>
      <c r="S26">
        <f>AVERAGE(C24:C26)</f>
        <v>9.9137418210247947</v>
      </c>
      <c r="T26">
        <f>COUNT(C24:C26)</f>
        <v>3</v>
      </c>
      <c r="U26">
        <f>DEVSQ(C24:C26)</f>
        <v>0.27816415231113467</v>
      </c>
    </row>
    <row r="27" spans="1:28" x14ac:dyDescent="0.3">
      <c r="H27" t="str">
        <f>B23</f>
        <v>No PM</v>
      </c>
      <c r="I27">
        <f>COUNT(B24:B26)</f>
        <v>3</v>
      </c>
      <c r="J27">
        <f>SUM(B24:B26)</f>
        <v>24.255126076548834</v>
      </c>
      <c r="K27">
        <f>AVERAGE(B24:B26)</f>
        <v>8.0850420255162785</v>
      </c>
      <c r="L27">
        <f>_xlfn.VAR.S(B24:B26)</f>
        <v>4.4925459764868537E-2</v>
      </c>
      <c r="M27">
        <f>DEVSQ(B24:B26)</f>
        <v>8.9850919529737075E-2</v>
      </c>
      <c r="N27">
        <f>SQRT(K36/I27)</f>
        <v>0.13244450406332325</v>
      </c>
      <c r="O27">
        <f>K27-N27*_xlfn.T.INV.2T(N25,J36)</f>
        <v>7.7899372802807338</v>
      </c>
      <c r="P27">
        <f>K27+N27*_xlfn.T.INV.2T(N25,J36)</f>
        <v>8.3801467707518231</v>
      </c>
      <c r="R27" t="str">
        <f>D23</f>
        <v>PMM 3 mg/ml</v>
      </c>
      <c r="S27">
        <f>AVERAGE(D24:D26)</f>
        <v>9.3001601552272106</v>
      </c>
      <c r="T27">
        <f>COUNT(D24:D26)</f>
        <v>3</v>
      </c>
      <c r="U27">
        <f>DEVSQ(D24:D26)</f>
        <v>0.1443604087918629</v>
      </c>
    </row>
    <row r="28" spans="1:28" x14ac:dyDescent="0.3">
      <c r="H28" t="str">
        <f>C23</f>
        <v>PMM 0.3 mg/ml</v>
      </c>
      <c r="I28">
        <f>COUNT(C24:C26)</f>
        <v>3</v>
      </c>
      <c r="J28">
        <f>SUM(C24:C26)</f>
        <v>29.741225463074386</v>
      </c>
      <c r="K28">
        <f>AVERAGE(C24:C26)</f>
        <v>9.9137418210247947</v>
      </c>
      <c r="L28">
        <f>_xlfn.VAR.S(C24:C26)</f>
        <v>0.13908207615556734</v>
      </c>
      <c r="M28">
        <f>DEVSQ(C24:C26)</f>
        <v>0.27816415231113467</v>
      </c>
      <c r="N28">
        <f>SQRT(K36/I28)</f>
        <v>0.13244450406332325</v>
      </c>
      <c r="O28">
        <f>K28-N28*_xlfn.T.INV.2T(N25,J36)</f>
        <v>9.6186370757892501</v>
      </c>
      <c r="P28">
        <f>K28+N28*_xlfn.T.INV.2T(N25,J36)</f>
        <v>10.208846566260339</v>
      </c>
      <c r="R28" t="str">
        <f>E23</f>
        <v>PMO 0.3 mg/ml</v>
      </c>
      <c r="S28">
        <f>AVERAGE(E24:E26)</f>
        <v>8.7316711663824815</v>
      </c>
      <c r="T28">
        <f>COUNT(E24:E26)</f>
        <v>3</v>
      </c>
      <c r="U28">
        <f>DEVSQ(E24:E26)</f>
        <v>1.0035255222372412E-2</v>
      </c>
    </row>
    <row r="29" spans="1:28" x14ac:dyDescent="0.3">
      <c r="H29" t="str">
        <f>D23</f>
        <v>PMM 3 mg/ml</v>
      </c>
      <c r="I29">
        <f>COUNT(D24:D26)</f>
        <v>3</v>
      </c>
      <c r="J29">
        <f>SUM(D24:D26)</f>
        <v>27.900480465681632</v>
      </c>
      <c r="K29">
        <f>AVERAGE(D24:D26)</f>
        <v>9.3001601552272106</v>
      </c>
      <c r="L29">
        <f>_xlfn.VAR.S(D24:D26)</f>
        <v>7.2180204395931452E-2</v>
      </c>
      <c r="M29">
        <f>DEVSQ(D24:D26)</f>
        <v>0.1443604087918629</v>
      </c>
      <c r="N29">
        <f>SQRT(K36/I29)</f>
        <v>0.13244450406332325</v>
      </c>
      <c r="O29">
        <f>K29-N29*_xlfn.T.INV.2T(N25,J36)</f>
        <v>9.005055409991666</v>
      </c>
      <c r="P29">
        <f>K29+N29*_xlfn.T.INV.2T(N25,J36)</f>
        <v>9.5952649004627553</v>
      </c>
      <c r="R29" t="str">
        <f>F23</f>
        <v>PMO 3 mg/ml</v>
      </c>
      <c r="S29">
        <f>AVERAGE(F24:F26)</f>
        <v>8.8237654144186592</v>
      </c>
      <c r="T29">
        <f>COUNT(F24:F26)</f>
        <v>3</v>
      </c>
      <c r="U29">
        <f>DEVSQ(F24:F26)</f>
        <v>3.8356638422826525E-3</v>
      </c>
    </row>
    <row r="30" spans="1:28" x14ac:dyDescent="0.3">
      <c r="H30" t="str">
        <f>E23</f>
        <v>PMO 0.3 mg/ml</v>
      </c>
      <c r="I30">
        <f>COUNT(E24:E26)</f>
        <v>3</v>
      </c>
      <c r="J30">
        <f>SUM(E24:E26)</f>
        <v>26.195013499147443</v>
      </c>
      <c r="K30">
        <f>AVERAGE(E24:E26)</f>
        <v>8.7316711663824815</v>
      </c>
      <c r="L30">
        <f>_xlfn.VAR.S(E24:E26)</f>
        <v>5.017627611186206E-3</v>
      </c>
      <c r="M30">
        <f>DEVSQ(E24:E26)</f>
        <v>1.0035255222372412E-2</v>
      </c>
      <c r="N30">
        <f>SQRT(K36/I30)</f>
        <v>0.13244450406332325</v>
      </c>
      <c r="O30">
        <f>K30-N30*_xlfn.T.INV.2T(N25,J36)</f>
        <v>8.4365664211469369</v>
      </c>
      <c r="P30">
        <f>K30+N30*_xlfn.T.INV.2T(N25,J36)</f>
        <v>9.0267759116180262</v>
      </c>
      <c r="R30" s="12"/>
      <c r="S30" s="12"/>
      <c r="T30" s="12">
        <f>SUM(T25:T29)</f>
        <v>15</v>
      </c>
      <c r="U30" s="12">
        <f>SUM(U25:U29)</f>
        <v>0.52624639969738962</v>
      </c>
      <c r="V30" s="12">
        <f>T30-COUNT(T25:T29)</f>
        <v>10</v>
      </c>
      <c r="W30" s="12">
        <f>[1]!QCRIT(COUNT(T25:T29),V30,V23,2)</f>
        <v>4.6539999999999999</v>
      </c>
    </row>
    <row r="31" spans="1:28" ht="15" thickBot="1" x14ac:dyDescent="0.35">
      <c r="H31" t="str">
        <f>F23</f>
        <v>PMO 3 mg/ml</v>
      </c>
      <c r="I31">
        <f>COUNT(F24:F26)</f>
        <v>3</v>
      </c>
      <c r="J31">
        <f>SUM(F24:F26)</f>
        <v>26.471296243255978</v>
      </c>
      <c r="K31">
        <f>AVERAGE(F24:F26)</f>
        <v>8.8237654144186592</v>
      </c>
      <c r="L31">
        <f>_xlfn.VAR.S(F24:F26)</f>
        <v>1.9178319211413262E-3</v>
      </c>
      <c r="M31">
        <f>DEVSQ(F24:F26)</f>
        <v>3.8356638422826525E-3</v>
      </c>
      <c r="N31">
        <f>SQRT(K36/I31)</f>
        <v>0.13244450406332325</v>
      </c>
      <c r="O31">
        <f>K31-N31*_xlfn.T.INV.2T(N25,J36)</f>
        <v>8.5286606691831146</v>
      </c>
      <c r="P31">
        <f>K31+N31*_xlfn.T.INV.2T(N25,J36)</f>
        <v>9.1188701596542039</v>
      </c>
      <c r="R31" t="s">
        <v>42</v>
      </c>
    </row>
    <row r="32" spans="1:28" ht="15" thickTop="1" x14ac:dyDescent="0.3">
      <c r="H32" s="12"/>
      <c r="I32" s="12"/>
      <c r="J32" s="12"/>
      <c r="K32" s="12"/>
      <c r="L32" s="12"/>
      <c r="M32" s="12"/>
      <c r="N32" s="12"/>
      <c r="O32" s="12"/>
      <c r="P32" s="12"/>
      <c r="R32" s="11" t="s">
        <v>43</v>
      </c>
      <c r="S32" s="11" t="s">
        <v>44</v>
      </c>
      <c r="T32" s="11" t="s">
        <v>38</v>
      </c>
      <c r="U32" s="11" t="s">
        <v>45</v>
      </c>
      <c r="V32" s="11" t="s">
        <v>46</v>
      </c>
      <c r="W32" s="11" t="s">
        <v>47</v>
      </c>
      <c r="X32" s="11" t="s">
        <v>48</v>
      </c>
      <c r="Y32" s="11" t="s">
        <v>49</v>
      </c>
      <c r="Z32" s="11" t="s">
        <v>50</v>
      </c>
      <c r="AA32" s="11" t="s">
        <v>51</v>
      </c>
    </row>
    <row r="33" spans="1:28" ht="15" thickBot="1" x14ac:dyDescent="0.35">
      <c r="H33" t="s">
        <v>12</v>
      </c>
      <c r="R33" s="13" t="str">
        <f>R25</f>
        <v>No PM</v>
      </c>
      <c r="S33" s="13" t="str">
        <f>R26</f>
        <v>PMM 0.3 mg/ml</v>
      </c>
      <c r="T33" s="12">
        <f>ABS(S25-S26)</f>
        <v>1.8286997955085162</v>
      </c>
      <c r="U33" s="12">
        <f>SQRT(U30/V30/HARMEAN(T25,T26))</f>
        <v>0.13244450406332325</v>
      </c>
      <c r="V33" s="12">
        <f t="shared" ref="V33:V42" si="5">T33/U33</f>
        <v>13.807290898489782</v>
      </c>
      <c r="W33" s="12">
        <f t="shared" ref="W33:W42" si="6">T33-U33*W$30</f>
        <v>1.21230307359781</v>
      </c>
      <c r="X33" s="12">
        <f t="shared" ref="X33:X42" si="7">T33+U33*W$30</f>
        <v>2.4450965174192225</v>
      </c>
      <c r="Y33" s="13">
        <f>[1]!QDIST(V33,COUNT($T$25:$T$29),V$30)</f>
        <v>1.52715162868855E-5</v>
      </c>
      <c r="Z33" s="12">
        <f t="shared" ref="Z33:Z42" si="8">U33*W$30</f>
        <v>0.61639672191070638</v>
      </c>
      <c r="AA33" s="12">
        <f t="shared" ref="AA33:AA42" si="9">T33*SQRT(V$30/U$30)</f>
        <v>7.9716431170225457</v>
      </c>
    </row>
    <row r="34" spans="1:28" ht="15" thickTop="1" x14ac:dyDescent="0.3">
      <c r="H34" s="11" t="s">
        <v>30</v>
      </c>
      <c r="I34" s="11" t="s">
        <v>13</v>
      </c>
      <c r="J34" s="11" t="s">
        <v>14</v>
      </c>
      <c r="K34" s="11" t="s">
        <v>15</v>
      </c>
      <c r="L34" s="11" t="s">
        <v>16</v>
      </c>
      <c r="M34" s="11" t="s">
        <v>31</v>
      </c>
      <c r="N34" s="11" t="s">
        <v>32</v>
      </c>
      <c r="O34" s="11" t="s">
        <v>33</v>
      </c>
      <c r="P34" s="11" t="s">
        <v>34</v>
      </c>
      <c r="R34" s="1" t="str">
        <f>R25</f>
        <v>No PM</v>
      </c>
      <c r="S34" s="1" t="str">
        <f>R27</f>
        <v>PMM 3 mg/ml</v>
      </c>
      <c r="T34">
        <f>ABS(S25-S27)</f>
        <v>1.2151181297109321</v>
      </c>
      <c r="U34">
        <f>SQRT(U30/V30/HARMEAN(T25,T27))</f>
        <v>0.13244450406332325</v>
      </c>
      <c r="V34">
        <f t="shared" si="5"/>
        <v>9.1745455072259556</v>
      </c>
      <c r="W34">
        <f t="shared" si="6"/>
        <v>0.59872140780022576</v>
      </c>
      <c r="X34">
        <f t="shared" si="7"/>
        <v>1.8315148516216384</v>
      </c>
      <c r="Y34" s="1">
        <f>[1]!QDIST(V34,COUNT($T$25:$T$29),V$30)</f>
        <v>5.1918633732916941E-4</v>
      </c>
      <c r="Z34">
        <f t="shared" si="8"/>
        <v>0.61639672191070638</v>
      </c>
      <c r="AA34">
        <f t="shared" si="9"/>
        <v>5.2969263182893762</v>
      </c>
    </row>
    <row r="35" spans="1:28" x14ac:dyDescent="0.3">
      <c r="H35" t="s">
        <v>17</v>
      </c>
      <c r="I35">
        <f>I37-I36</f>
        <v>5.5829589555182704</v>
      </c>
      <c r="J35">
        <f>COUNTA(H27:H31)-1</f>
        <v>4</v>
      </c>
      <c r="K35">
        <f>I35/J35</f>
        <v>1.3957397388795676</v>
      </c>
      <c r="L35">
        <f>K35/K36</f>
        <v>26.522551787188807</v>
      </c>
      <c r="M35" s="1">
        <f>_xlfn.F.DIST.RT(L35,J35,J36)</f>
        <v>2.6413303213850291E-5</v>
      </c>
      <c r="N35">
        <f>I35/I37</f>
        <v>0.9138600899627457</v>
      </c>
      <c r="O35">
        <f>SQRT(DEVSQ(K27:K31)/(K36*J35))</f>
        <v>2.9733567891744146</v>
      </c>
      <c r="P35">
        <f>(I37-J37*K36)/(I37+K36)</f>
        <v>0.87189364195979679</v>
      </c>
      <c r="R35" s="1" t="str">
        <f>R25</f>
        <v>No PM</v>
      </c>
      <c r="S35" s="1" t="str">
        <f>R28</f>
        <v>PMO 0.3 mg/ml</v>
      </c>
      <c r="T35">
        <f>ABS(S25-S28)</f>
        <v>0.64662914086620304</v>
      </c>
      <c r="U35">
        <f>SQRT(U30/V30/HARMEAN(T25,T28))</f>
        <v>0.13244450406332325</v>
      </c>
      <c r="V35">
        <f t="shared" si="5"/>
        <v>4.8822648054693323</v>
      </c>
      <c r="W35">
        <f t="shared" si="6"/>
        <v>3.0232418955496665E-2</v>
      </c>
      <c r="X35">
        <f t="shared" si="7"/>
        <v>1.2630258627769093</v>
      </c>
      <c r="Y35" s="1">
        <f>[1]!QDIST(V35,COUNT($T$25:$T$29),V$30)</f>
        <v>3.8926579691816898E-2</v>
      </c>
      <c r="Z35">
        <f t="shared" si="8"/>
        <v>0.61639672191070638</v>
      </c>
      <c r="AA35">
        <f t="shared" si="9"/>
        <v>2.8187768996927547</v>
      </c>
    </row>
    <row r="36" spans="1:28" x14ac:dyDescent="0.3">
      <c r="H36" t="s">
        <v>18</v>
      </c>
      <c r="I36">
        <f>SUM(M27:M31)</f>
        <v>0.52624639969738962</v>
      </c>
      <c r="J36">
        <f>J37-J35</f>
        <v>10</v>
      </c>
      <c r="K36">
        <f>I36/J36</f>
        <v>5.2624639969738964E-2</v>
      </c>
      <c r="R36" s="1" t="str">
        <f>R25</f>
        <v>No PM</v>
      </c>
      <c r="S36" s="1" t="str">
        <f>R29</f>
        <v>PMO 3 mg/ml</v>
      </c>
      <c r="T36">
        <f>ABS(S25-S29)</f>
        <v>0.73872338890238076</v>
      </c>
      <c r="U36">
        <f>SQRT(U30/V30/HARMEAN(T25,T29))</f>
        <v>0.13244450406332325</v>
      </c>
      <c r="V36">
        <f t="shared" si="5"/>
        <v>5.5776069692494641</v>
      </c>
      <c r="W36">
        <f t="shared" si="6"/>
        <v>0.12232666699167438</v>
      </c>
      <c r="X36">
        <f t="shared" si="7"/>
        <v>1.355120110813087</v>
      </c>
      <c r="Y36" s="1">
        <f>[1]!QDIST(V36,COUNT($T$25:$T$29),V$30)</f>
        <v>1.8207213835512936E-2</v>
      </c>
      <c r="Z36">
        <f t="shared" si="8"/>
        <v>0.61639672191070638</v>
      </c>
      <c r="AA36">
        <f t="shared" si="9"/>
        <v>3.2202328851301107</v>
      </c>
    </row>
    <row r="37" spans="1:28" x14ac:dyDescent="0.3">
      <c r="H37" s="10" t="s">
        <v>19</v>
      </c>
      <c r="I37" s="10">
        <f>DEVSQ(B24:F26)</f>
        <v>6.1092053552156598</v>
      </c>
      <c r="J37" s="10">
        <f>COUNT(B24:F26)-1</f>
        <v>14</v>
      </c>
      <c r="K37" s="10">
        <f>I37/J37</f>
        <v>0.43637181108683282</v>
      </c>
      <c r="L37" s="10"/>
      <c r="M37" s="10"/>
      <c r="N37" s="10"/>
      <c r="O37" s="10"/>
      <c r="P37" s="10"/>
      <c r="R37" t="str">
        <f>R26</f>
        <v>PMM 0.3 mg/ml</v>
      </c>
      <c r="S37" t="str">
        <f>R27</f>
        <v>PMM 3 mg/ml</v>
      </c>
      <c r="T37">
        <f>ABS(S26-S27)</f>
        <v>0.61358166579758411</v>
      </c>
      <c r="U37">
        <f>SQRT(U30/V30/HARMEAN(T26,T27))</f>
        <v>0.13244450406332325</v>
      </c>
      <c r="V37">
        <f t="shared" si="5"/>
        <v>4.6327453912638275</v>
      </c>
      <c r="W37">
        <f t="shared" si="6"/>
        <v>-2.8150561131222718E-3</v>
      </c>
      <c r="X37">
        <f t="shared" si="7"/>
        <v>1.2299783877082904</v>
      </c>
      <c r="Y37">
        <f>[1]!QDIST(V37,COUNT($T$25:$T$29),V$30)</f>
        <v>5.1196476543723723E-2</v>
      </c>
      <c r="Z37">
        <f t="shared" si="8"/>
        <v>0.61639672191070638</v>
      </c>
      <c r="AA37">
        <f t="shared" si="9"/>
        <v>2.674716798733169</v>
      </c>
    </row>
    <row r="38" spans="1:28" x14ac:dyDescent="0.3">
      <c r="R38" s="1" t="str">
        <f>R26</f>
        <v>PMM 0.3 mg/ml</v>
      </c>
      <c r="S38" s="1" t="str">
        <f>R28</f>
        <v>PMO 0.3 mg/ml</v>
      </c>
      <c r="T38">
        <f>ABS(S26-S28)</f>
        <v>1.1820706546423132</v>
      </c>
      <c r="U38">
        <f>SQRT(U30/V30/HARMEAN(T26,T28))</f>
        <v>0.13244450406332325</v>
      </c>
      <c r="V38">
        <f t="shared" si="5"/>
        <v>8.9250260930204508</v>
      </c>
      <c r="W38">
        <f t="shared" si="6"/>
        <v>0.56567393273160682</v>
      </c>
      <c r="X38">
        <f t="shared" si="7"/>
        <v>1.7984673765530195</v>
      </c>
      <c r="Y38" s="1">
        <f>[1]!QDIST(V38,COUNT($T$25:$T$29),V$30)</f>
        <v>6.4820134523946304E-4</v>
      </c>
      <c r="Z38">
        <f t="shared" si="8"/>
        <v>0.61639672191070638</v>
      </c>
      <c r="AA38">
        <f t="shared" si="9"/>
        <v>5.152866217329791</v>
      </c>
    </row>
    <row r="39" spans="1:28" x14ac:dyDescent="0.3">
      <c r="R39" s="1" t="str">
        <f>R26</f>
        <v>PMM 0.3 mg/ml</v>
      </c>
      <c r="S39" s="1" t="str">
        <f>R29</f>
        <v>PMO 3 mg/ml</v>
      </c>
      <c r="T39">
        <f>ABS(S26-S29)</f>
        <v>1.0899764066061355</v>
      </c>
      <c r="U39">
        <f>SQRT(U30/V30/HARMEAN(T26,T29))</f>
        <v>0.13244450406332325</v>
      </c>
      <c r="V39">
        <f t="shared" si="5"/>
        <v>8.2296839292403181</v>
      </c>
      <c r="W39">
        <f t="shared" si="6"/>
        <v>0.4735796846954291</v>
      </c>
      <c r="X39">
        <f t="shared" si="7"/>
        <v>1.7063731285168418</v>
      </c>
      <c r="Y39" s="1">
        <f>[1]!QDIST(V39,COUNT($T$25:$T$29),V$30)</f>
        <v>1.2271648916425404E-3</v>
      </c>
      <c r="Z39">
        <f t="shared" si="8"/>
        <v>0.61639672191070638</v>
      </c>
      <c r="AA39">
        <f t="shared" si="9"/>
        <v>4.7514102318924349</v>
      </c>
    </row>
    <row r="40" spans="1:28" x14ac:dyDescent="0.3">
      <c r="R40" t="str">
        <f>R27</f>
        <v>PMM 3 mg/ml</v>
      </c>
      <c r="S40" t="str">
        <f>R28</f>
        <v>PMO 0.3 mg/ml</v>
      </c>
      <c r="T40">
        <f>ABS(S27-S28)</f>
        <v>0.56848898884472909</v>
      </c>
      <c r="U40">
        <f>SQRT(U30/V30/HARMEAN(T27,T28))</f>
        <v>0.13244450406332325</v>
      </c>
      <c r="V40">
        <f t="shared" si="5"/>
        <v>4.2922807017566234</v>
      </c>
      <c r="W40">
        <f t="shared" si="6"/>
        <v>-4.7907733065977287E-2</v>
      </c>
      <c r="X40">
        <f t="shared" si="7"/>
        <v>1.1848857107554354</v>
      </c>
      <c r="Y40">
        <f>[1]!QDIST(V40,COUNT($T$25:$T$29),V$30)</f>
        <v>7.4302840969042605E-2</v>
      </c>
      <c r="Z40">
        <f t="shared" si="8"/>
        <v>0.61639672191070638</v>
      </c>
      <c r="AA40">
        <f t="shared" si="9"/>
        <v>2.478149418596622</v>
      </c>
    </row>
    <row r="41" spans="1:28" x14ac:dyDescent="0.3">
      <c r="R41" t="str">
        <f>R27</f>
        <v>PMM 3 mg/ml</v>
      </c>
      <c r="S41" t="str">
        <f>R29</f>
        <v>PMO 3 mg/ml</v>
      </c>
      <c r="T41">
        <f>ABS(S27-S29)</f>
        <v>0.47639474080855138</v>
      </c>
      <c r="U41">
        <f>SQRT(U30/V30/HARMEAN(T27,T29))</f>
        <v>0.13244450406332325</v>
      </c>
      <c r="V41">
        <f t="shared" si="5"/>
        <v>3.5969385379764911</v>
      </c>
      <c r="W41">
        <f t="shared" si="6"/>
        <v>-0.140001981102155</v>
      </c>
      <c r="X41">
        <f t="shared" si="7"/>
        <v>1.0927914627192576</v>
      </c>
      <c r="Y41">
        <f>[1]!QDIST(V41,COUNT($T$25:$T$29),V$30)</f>
        <v>0.1561784140058865</v>
      </c>
      <c r="Z41">
        <f t="shared" si="8"/>
        <v>0.61639672191070638</v>
      </c>
      <c r="AA41">
        <f t="shared" si="9"/>
        <v>2.0766934331592659</v>
      </c>
    </row>
    <row r="42" spans="1:28" x14ac:dyDescent="0.3">
      <c r="R42" s="10" t="str">
        <f>R28</f>
        <v>PMO 0.3 mg/ml</v>
      </c>
      <c r="S42" s="10" t="str">
        <f>R29</f>
        <v>PMO 3 mg/ml</v>
      </c>
      <c r="T42" s="10">
        <f>ABS(S28-S29)</f>
        <v>9.2094248036177717E-2</v>
      </c>
      <c r="U42" s="10">
        <f>SQRT(U30/V30/HARMEAN(T28,T29))</f>
        <v>0.13244450406332325</v>
      </c>
      <c r="V42" s="10">
        <f t="shared" si="5"/>
        <v>0.69534216378013236</v>
      </c>
      <c r="W42" s="10">
        <f t="shared" si="6"/>
        <v>-0.52430247387452866</v>
      </c>
      <c r="X42" s="10">
        <f t="shared" si="7"/>
        <v>0.7084909699468841</v>
      </c>
      <c r="Y42" s="10">
        <f>[1]!QDIST(V42,COUNT($T$25:$T$29),V$30)</f>
        <v>0.98637927312146068</v>
      </c>
      <c r="Z42" s="10">
        <f t="shared" si="8"/>
        <v>0.61639672191070638</v>
      </c>
      <c r="AA42" s="10">
        <f t="shared" si="9"/>
        <v>0.40145598543735622</v>
      </c>
    </row>
    <row r="43" spans="1:28" x14ac:dyDescent="0.3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</row>
    <row r="45" spans="1:28" ht="15" thickBot="1" x14ac:dyDescent="0.35">
      <c r="A45" s="21" t="s">
        <v>22</v>
      </c>
      <c r="B45" s="6" t="s">
        <v>0</v>
      </c>
      <c r="C45" s="6" t="s">
        <v>2</v>
      </c>
      <c r="D45" s="6" t="s">
        <v>1</v>
      </c>
      <c r="E45" s="6" t="s">
        <v>7</v>
      </c>
      <c r="F45" s="6" t="s">
        <v>8</v>
      </c>
      <c r="H45" s="22" t="s">
        <v>23</v>
      </c>
      <c r="I45" s="22"/>
      <c r="R45" s="22" t="s">
        <v>35</v>
      </c>
      <c r="U45" t="s">
        <v>36</v>
      </c>
      <c r="V45">
        <v>0.05</v>
      </c>
    </row>
    <row r="46" spans="1:28" ht="15" thickTop="1" x14ac:dyDescent="0.3">
      <c r="A46" s="6" t="s">
        <v>4</v>
      </c>
      <c r="B46" s="2">
        <f t="shared" ref="B46:F48" si="10">B2+B24</f>
        <v>95.792972312540698</v>
      </c>
      <c r="C46" s="2">
        <f t="shared" si="10"/>
        <v>91.191889881474069</v>
      </c>
      <c r="D46" s="2">
        <f t="shared" si="10"/>
        <v>89.377265106029995</v>
      </c>
      <c r="E46" s="2">
        <f t="shared" si="10"/>
        <v>87.147530837614497</v>
      </c>
      <c r="F46" s="2">
        <f t="shared" si="10"/>
        <v>88.669177810442051</v>
      </c>
      <c r="R46" s="11" t="s">
        <v>37</v>
      </c>
      <c r="S46" s="11" t="s">
        <v>38</v>
      </c>
      <c r="T46" s="11" t="s">
        <v>39</v>
      </c>
      <c r="U46" s="11" t="s">
        <v>40</v>
      </c>
      <c r="V46" s="11" t="s">
        <v>14</v>
      </c>
      <c r="W46" s="11" t="s">
        <v>41</v>
      </c>
    </row>
    <row r="47" spans="1:28" ht="15" thickBot="1" x14ac:dyDescent="0.35">
      <c r="A47" s="6" t="s">
        <v>5</v>
      </c>
      <c r="B47" s="2">
        <f t="shared" si="10"/>
        <v>94.89106396308614</v>
      </c>
      <c r="C47" s="2">
        <f t="shared" si="10"/>
        <v>90.028563930519297</v>
      </c>
      <c r="D47" s="2">
        <f t="shared" si="10"/>
        <v>88.440912842437228</v>
      </c>
      <c r="E47" s="2">
        <f t="shared" si="10"/>
        <v>86.497810930115719</v>
      </c>
      <c r="F47" s="2">
        <f t="shared" si="10"/>
        <v>88.839153930742214</v>
      </c>
      <c r="H47" t="s">
        <v>24</v>
      </c>
      <c r="M47" t="s">
        <v>25</v>
      </c>
      <c r="N47">
        <v>0.05</v>
      </c>
      <c r="R47" t="str">
        <f>B45</f>
        <v>No PM</v>
      </c>
      <c r="S47">
        <f>AVERAGE(B46:B48)</f>
        <v>94.748529383891537</v>
      </c>
      <c r="T47">
        <f>COUNT(B46:B48)</f>
        <v>3</v>
      </c>
      <c r="U47">
        <f>DEVSQ(B46:B48)</f>
        <v>2.5200927415984125</v>
      </c>
    </row>
    <row r="48" spans="1:28" ht="15" thickTop="1" x14ac:dyDescent="0.3">
      <c r="A48" s="6" t="s">
        <v>6</v>
      </c>
      <c r="B48" s="2">
        <f t="shared" si="10"/>
        <v>93.561551876047773</v>
      </c>
      <c r="C48" s="2">
        <f t="shared" si="10"/>
        <v>89.794770285398172</v>
      </c>
      <c r="D48" s="2">
        <f t="shared" si="10"/>
        <v>86.971382870918404</v>
      </c>
      <c r="E48" s="2">
        <f t="shared" si="10"/>
        <v>86.656097671909237</v>
      </c>
      <c r="F48" s="2">
        <f t="shared" si="10"/>
        <v>88.674989855941234</v>
      </c>
      <c r="H48" s="11" t="s">
        <v>26</v>
      </c>
      <c r="I48" s="11" t="s">
        <v>9</v>
      </c>
      <c r="J48" s="11" t="s">
        <v>10</v>
      </c>
      <c r="K48" s="11" t="s">
        <v>20</v>
      </c>
      <c r="L48" s="11" t="s">
        <v>11</v>
      </c>
      <c r="M48" s="11" t="s">
        <v>13</v>
      </c>
      <c r="N48" s="11" t="s">
        <v>27</v>
      </c>
      <c r="O48" s="11" t="s">
        <v>28</v>
      </c>
      <c r="P48" s="11" t="s">
        <v>29</v>
      </c>
      <c r="R48" t="str">
        <f>C45</f>
        <v>PMM 0.3 mg/ml</v>
      </c>
      <c r="S48">
        <f>AVERAGE(C46:C48)</f>
        <v>90.338408032463846</v>
      </c>
      <c r="T48">
        <f>COUNT(C46:C48)</f>
        <v>3</v>
      </c>
      <c r="U48">
        <f>DEVSQ(C46:C48)</f>
        <v>1.1199766341343735</v>
      </c>
    </row>
    <row r="49" spans="8:27" x14ac:dyDescent="0.3">
      <c r="H49" t="str">
        <f>B45</f>
        <v>No PM</v>
      </c>
      <c r="I49">
        <f>COUNT(B46:B48)</f>
        <v>3</v>
      </c>
      <c r="J49">
        <f>SUM(B46:B48)</f>
        <v>284.24558815167461</v>
      </c>
      <c r="K49">
        <f>AVERAGE(B46:B48)</f>
        <v>94.748529383891537</v>
      </c>
      <c r="L49">
        <f>_xlfn.VAR.S(B46:B48)</f>
        <v>1.2600463707992062</v>
      </c>
      <c r="M49">
        <f>DEVSQ(B46:B48)</f>
        <v>2.5200927415984125</v>
      </c>
      <c r="N49">
        <f>SQRT(K58/I49)</f>
        <v>0.47713641267618262</v>
      </c>
      <c r="O49">
        <f>K49-N49*_xlfn.T.INV.2T(N47,J58)</f>
        <v>93.685403205110376</v>
      </c>
      <c r="P49">
        <f>K49+N49*_xlfn.T.INV.2T(N47,J58)</f>
        <v>95.811655562672698</v>
      </c>
      <c r="R49" t="str">
        <f>D45</f>
        <v>PMM 3 mg/ml</v>
      </c>
      <c r="S49">
        <f>AVERAGE(D46:D48)</f>
        <v>88.263186939795219</v>
      </c>
      <c r="T49">
        <f>COUNT(D46:D48)</f>
        <v>3</v>
      </c>
      <c r="U49">
        <f>DEVSQ(D46:D48)</f>
        <v>2.9415144093176524</v>
      </c>
    </row>
    <row r="50" spans="8:27" x14ac:dyDescent="0.3">
      <c r="H50" t="str">
        <f>C45</f>
        <v>PMM 0.3 mg/ml</v>
      </c>
      <c r="I50">
        <f>COUNT(C46:C48)</f>
        <v>3</v>
      </c>
      <c r="J50">
        <f>SUM(C46:C48)</f>
        <v>271.01522409739152</v>
      </c>
      <c r="K50">
        <f>AVERAGE(C46:C48)</f>
        <v>90.338408032463846</v>
      </c>
      <c r="L50">
        <f>_xlfn.VAR.S(C46:C48)</f>
        <v>0.55998831706718677</v>
      </c>
      <c r="M50">
        <f>DEVSQ(C46:C48)</f>
        <v>1.1199766341343735</v>
      </c>
      <c r="N50">
        <f>SQRT(K58/I50)</f>
        <v>0.47713641267618262</v>
      </c>
      <c r="O50">
        <f>K50-N50*_xlfn.T.INV.2T(N47,J58)</f>
        <v>89.275281853682685</v>
      </c>
      <c r="P50">
        <f>K50+N50*_xlfn.T.INV.2T(N47,J58)</f>
        <v>91.401534211245007</v>
      </c>
      <c r="R50" t="str">
        <f>E45</f>
        <v>PMO 0.3 mg/ml</v>
      </c>
      <c r="S50">
        <f>AVERAGE(E46:E48)</f>
        <v>86.767146479879827</v>
      </c>
      <c r="T50">
        <f>COUNT(E46:E48)</f>
        <v>3</v>
      </c>
      <c r="U50">
        <f>DEVSQ(E46:E48)</f>
        <v>0.22956573572764047</v>
      </c>
    </row>
    <row r="51" spans="8:27" x14ac:dyDescent="0.3">
      <c r="H51" t="str">
        <f>D45</f>
        <v>PMM 3 mg/ml</v>
      </c>
      <c r="I51">
        <f>COUNT(D46:D48)</f>
        <v>3</v>
      </c>
      <c r="J51">
        <f>SUM(D46:D48)</f>
        <v>264.78956081938566</v>
      </c>
      <c r="K51">
        <f>AVERAGE(D46:D48)</f>
        <v>88.263186939795219</v>
      </c>
      <c r="L51">
        <f>_xlfn.VAR.S(D46:D48)</f>
        <v>1.4707572046588262</v>
      </c>
      <c r="M51">
        <f>DEVSQ(D46:D48)</f>
        <v>2.9415144093176524</v>
      </c>
      <c r="N51">
        <f>SQRT(K58/I51)</f>
        <v>0.47713641267618262</v>
      </c>
      <c r="O51">
        <f>K51-N51*_xlfn.T.INV.2T(N47,J58)</f>
        <v>87.200060761014058</v>
      </c>
      <c r="P51">
        <f>K51+N51*_xlfn.T.INV.2T(N47,J58)</f>
        <v>89.32631311857638</v>
      </c>
      <c r="R51" t="str">
        <f>F45</f>
        <v>PMO 3 mg/ml</v>
      </c>
      <c r="S51">
        <f>AVERAGE(F46:F48)</f>
        <v>88.7277738657085</v>
      </c>
      <c r="T51">
        <f>COUNT(F46:F48)</f>
        <v>3</v>
      </c>
      <c r="U51">
        <f>DEVSQ(F46:F48)</f>
        <v>1.8625168266813832E-2</v>
      </c>
    </row>
    <row r="52" spans="8:27" x14ac:dyDescent="0.3">
      <c r="H52" t="str">
        <f>E45</f>
        <v>PMO 0.3 mg/ml</v>
      </c>
      <c r="I52">
        <f>COUNT(E46:E48)</f>
        <v>3</v>
      </c>
      <c r="J52">
        <f>SUM(E46:E48)</f>
        <v>260.30143943963947</v>
      </c>
      <c r="K52">
        <f>AVERAGE(E46:E48)</f>
        <v>86.767146479879827</v>
      </c>
      <c r="L52">
        <f>_xlfn.VAR.S(E46:E48)</f>
        <v>0.11478286786382023</v>
      </c>
      <c r="M52">
        <f>DEVSQ(E46:E48)</f>
        <v>0.22956573572764047</v>
      </c>
      <c r="N52">
        <f>SQRT(K58/I52)</f>
        <v>0.47713641267618262</v>
      </c>
      <c r="O52">
        <f>K52-N52*_xlfn.T.INV.2T(N47,J58)</f>
        <v>85.704020301098666</v>
      </c>
      <c r="P52">
        <f>K52+N52*_xlfn.T.INV.2T(N47,J58)</f>
        <v>87.830272658660988</v>
      </c>
      <c r="R52" s="12"/>
      <c r="S52" s="12"/>
      <c r="T52" s="12">
        <f>SUM(T47:T51)</f>
        <v>15</v>
      </c>
      <c r="U52" s="12">
        <f>SUM(U47:U51)</f>
        <v>6.8297746890448927</v>
      </c>
      <c r="V52" s="12">
        <f>T52-COUNT(T47:T51)</f>
        <v>10</v>
      </c>
      <c r="W52" s="12">
        <f>[1]!QCRIT(COUNT(T47:T51),V52,V45,2)</f>
        <v>4.6539999999999999</v>
      </c>
    </row>
    <row r="53" spans="8:27" ht="15" thickBot="1" x14ac:dyDescent="0.35">
      <c r="H53" t="str">
        <f>F45</f>
        <v>PMO 3 mg/ml</v>
      </c>
      <c r="I53">
        <f>COUNT(F46:F48)</f>
        <v>3</v>
      </c>
      <c r="J53">
        <f>SUM(F46:F48)</f>
        <v>266.18332159712548</v>
      </c>
      <c r="K53">
        <f>AVERAGE(F46:F48)</f>
        <v>88.7277738657085</v>
      </c>
      <c r="L53">
        <f>_xlfn.VAR.S(F46:F48)</f>
        <v>9.3125841334069162E-3</v>
      </c>
      <c r="M53">
        <f>DEVSQ(F46:F48)</f>
        <v>1.8625168266813832E-2</v>
      </c>
      <c r="N53">
        <f>SQRT(K58/I53)</f>
        <v>0.47713641267618262</v>
      </c>
      <c r="O53">
        <f>K53-N53*_xlfn.T.INV.2T(N47,J58)</f>
        <v>87.664647686927339</v>
      </c>
      <c r="P53">
        <f>K53+N53*_xlfn.T.INV.2T(N47,J58)</f>
        <v>89.790900044489661</v>
      </c>
      <c r="R53" t="s">
        <v>42</v>
      </c>
    </row>
    <row r="54" spans="8:27" ht="15" thickTop="1" x14ac:dyDescent="0.3">
      <c r="H54" s="12"/>
      <c r="I54" s="12"/>
      <c r="J54" s="12"/>
      <c r="K54" s="12"/>
      <c r="L54" s="12"/>
      <c r="M54" s="12"/>
      <c r="N54" s="12"/>
      <c r="O54" s="12"/>
      <c r="P54" s="12"/>
      <c r="R54" s="11" t="s">
        <v>43</v>
      </c>
      <c r="S54" s="11" t="s">
        <v>44</v>
      </c>
      <c r="T54" s="11" t="s">
        <v>38</v>
      </c>
      <c r="U54" s="11" t="s">
        <v>45</v>
      </c>
      <c r="V54" s="11" t="s">
        <v>46</v>
      </c>
      <c r="W54" s="11" t="s">
        <v>47</v>
      </c>
      <c r="X54" s="11" t="s">
        <v>48</v>
      </c>
      <c r="Y54" s="11" t="s">
        <v>49</v>
      </c>
      <c r="Z54" s="11" t="s">
        <v>50</v>
      </c>
      <c r="AA54" s="11" t="s">
        <v>51</v>
      </c>
    </row>
    <row r="55" spans="8:27" ht="15" thickBot="1" x14ac:dyDescent="0.35">
      <c r="H55" t="s">
        <v>12</v>
      </c>
      <c r="R55" s="13" t="str">
        <f>R47</f>
        <v>No PM</v>
      </c>
      <c r="S55" s="13" t="str">
        <f>R48</f>
        <v>PMM 0.3 mg/ml</v>
      </c>
      <c r="T55" s="12">
        <f>ABS(S47-S48)</f>
        <v>4.4101213514276907</v>
      </c>
      <c r="U55" s="12">
        <f>SQRT(U52/V52/HARMEAN(T47,T48))</f>
        <v>0.47713641267618262</v>
      </c>
      <c r="V55" s="12">
        <f t="shared" ref="V55:V64" si="11">T55/U55</f>
        <v>9.2428941373223186</v>
      </c>
      <c r="W55" s="12">
        <f t="shared" ref="W55:W64" si="12">T55-U55*W$52</f>
        <v>2.1895284868327369</v>
      </c>
      <c r="X55" s="12">
        <f t="shared" ref="X55:X64" si="13">T55+U55*W$52</f>
        <v>6.6307142160226444</v>
      </c>
      <c r="Y55" s="13">
        <f>[1]!QDIST(V55,COUNT($T$47:$T$51),V$52)</f>
        <v>4.8887757493198958E-4</v>
      </c>
      <c r="Z55" s="12">
        <f t="shared" ref="Z55:Z64" si="14">U55*W$52</f>
        <v>2.2205928645949538</v>
      </c>
      <c r="AA55" s="12">
        <f t="shared" ref="AA55:AA64" si="15">T55*SQRT(V$52/U$52)</f>
        <v>5.3363874182742546</v>
      </c>
    </row>
    <row r="56" spans="8:27" ht="15" thickTop="1" x14ac:dyDescent="0.3">
      <c r="H56" s="11" t="s">
        <v>30</v>
      </c>
      <c r="I56" s="11" t="s">
        <v>13</v>
      </c>
      <c r="J56" s="11" t="s">
        <v>14</v>
      </c>
      <c r="K56" s="11" t="s">
        <v>15</v>
      </c>
      <c r="L56" s="11" t="s">
        <v>16</v>
      </c>
      <c r="M56" s="11" t="s">
        <v>31</v>
      </c>
      <c r="N56" s="11" t="s">
        <v>32</v>
      </c>
      <c r="O56" s="11" t="s">
        <v>33</v>
      </c>
      <c r="P56" s="11" t="s">
        <v>34</v>
      </c>
      <c r="R56" s="1" t="str">
        <f>R47</f>
        <v>No PM</v>
      </c>
      <c r="S56" s="1" t="str">
        <f>R49</f>
        <v>PMM 3 mg/ml</v>
      </c>
      <c r="T56">
        <f>ABS(S47-S49)</f>
        <v>6.4853424440963181</v>
      </c>
      <c r="U56">
        <f>SQRT(U52/V52/HARMEAN(T47,T49))</f>
        <v>0.47713641267618262</v>
      </c>
      <c r="V56">
        <f t="shared" si="11"/>
        <v>13.592218643974496</v>
      </c>
      <c r="W56">
        <f t="shared" si="12"/>
        <v>4.2647495795013644</v>
      </c>
      <c r="X56">
        <f t="shared" si="13"/>
        <v>8.7059353086912719</v>
      </c>
      <c r="Y56" s="1">
        <f>[1]!QDIST(V56,COUNT($T$47:$T$51),V$52)</f>
        <v>1.7602947869121977E-5</v>
      </c>
      <c r="Z56">
        <f t="shared" si="14"/>
        <v>2.2205928645949538</v>
      </c>
      <c r="AA56">
        <f t="shared" si="15"/>
        <v>7.847471092982925</v>
      </c>
    </row>
    <row r="57" spans="8:27" x14ac:dyDescent="0.3">
      <c r="H57" t="s">
        <v>17</v>
      </c>
      <c r="I57">
        <f>I59-I58</f>
        <v>112.44806335004039</v>
      </c>
      <c r="J57">
        <f>COUNTA(H49:H53)-1</f>
        <v>4</v>
      </c>
      <c r="K57">
        <f>I57/J57</f>
        <v>28.112015837510096</v>
      </c>
      <c r="L57">
        <f>K57/K58</f>
        <v>41.16097106776067</v>
      </c>
      <c r="M57" s="1">
        <f>_xlfn.F.DIST.RT(L57,J57,J58)</f>
        <v>3.5168250215210646E-6</v>
      </c>
      <c r="N57">
        <f>I57/I59</f>
        <v>0.94274062305851902</v>
      </c>
      <c r="O57">
        <f>SQRT(DEVSQ(K49:K53)/(K58*J57))</f>
        <v>3.7040955291749058</v>
      </c>
      <c r="P57">
        <f>(I59-J59*K58)/(I59+K58)</f>
        <v>0.91459993006728924</v>
      </c>
      <c r="R57" s="1" t="str">
        <f>R47</f>
        <v>No PM</v>
      </c>
      <c r="S57" s="1" t="str">
        <f>R50</f>
        <v>PMO 0.3 mg/ml</v>
      </c>
      <c r="T57">
        <f>ABS(S47-S50)</f>
        <v>7.9813829040117099</v>
      </c>
      <c r="U57">
        <f>SQRT(U52/V52/HARMEAN(T47,T50))</f>
        <v>0.47713641267618262</v>
      </c>
      <c r="V57">
        <f t="shared" si="11"/>
        <v>16.727675130148622</v>
      </c>
      <c r="W57">
        <f t="shared" si="12"/>
        <v>5.7607900394167562</v>
      </c>
      <c r="X57">
        <f t="shared" si="13"/>
        <v>10.201975768606664</v>
      </c>
      <c r="Y57" s="1">
        <f>[1]!QDIST(V57,COUNT($T$47:$T$51),V$52)</f>
        <v>2.6085494470029502E-6</v>
      </c>
      <c r="Z57">
        <f t="shared" si="14"/>
        <v>2.2205928645949538</v>
      </c>
      <c r="AA57">
        <f t="shared" si="15"/>
        <v>9.6577277393079157</v>
      </c>
    </row>
    <row r="58" spans="8:27" x14ac:dyDescent="0.3">
      <c r="H58" t="s">
        <v>18</v>
      </c>
      <c r="I58">
        <f>SUM(M49:M53)</f>
        <v>6.8297746890448927</v>
      </c>
      <c r="J58">
        <f>J59-J57</f>
        <v>10</v>
      </c>
      <c r="K58">
        <f>I58/J58</f>
        <v>0.68297746890448929</v>
      </c>
      <c r="R58" s="1" t="str">
        <f>R47</f>
        <v>No PM</v>
      </c>
      <c r="S58" s="1" t="str">
        <f>R51</f>
        <v>PMO 3 mg/ml</v>
      </c>
      <c r="T58">
        <f>ABS(S47-S51)</f>
        <v>6.0207555181830372</v>
      </c>
      <c r="U58">
        <f>SQRT(U52/V52/HARMEAN(T47,T51))</f>
        <v>0.47713641267618262</v>
      </c>
      <c r="V58">
        <f t="shared" si="11"/>
        <v>12.618520318777543</v>
      </c>
      <c r="W58">
        <f t="shared" si="12"/>
        <v>3.8001626535880835</v>
      </c>
      <c r="X58">
        <f t="shared" si="13"/>
        <v>8.241348382777991</v>
      </c>
      <c r="Y58" s="1">
        <f>[1]!QDIST(V58,COUNT($T$47:$T$51),V$52)</f>
        <v>3.4285276525269914E-5</v>
      </c>
      <c r="Z58">
        <f t="shared" si="14"/>
        <v>2.2205928645949538</v>
      </c>
      <c r="AA58">
        <f t="shared" si="15"/>
        <v>7.2853061028209769</v>
      </c>
    </row>
    <row r="59" spans="8:27" x14ac:dyDescent="0.3">
      <c r="H59" s="10" t="s">
        <v>19</v>
      </c>
      <c r="I59" s="10">
        <f>DEVSQ(B46:F48)</f>
        <v>119.27783803908528</v>
      </c>
      <c r="J59" s="10">
        <f>COUNT(B46:F48)-1</f>
        <v>14</v>
      </c>
      <c r="K59" s="10">
        <f>I59/J59</f>
        <v>8.519845574220378</v>
      </c>
      <c r="L59" s="10"/>
      <c r="M59" s="10"/>
      <c r="N59" s="10"/>
      <c r="O59" s="10"/>
      <c r="P59" s="10"/>
      <c r="R59" t="str">
        <f>R48</f>
        <v>PMM 0.3 mg/ml</v>
      </c>
      <c r="S59" t="str">
        <f>R49</f>
        <v>PMM 3 mg/ml</v>
      </c>
      <c r="T59">
        <f>ABS(S48-S49)</f>
        <v>2.0752210926686274</v>
      </c>
      <c r="U59">
        <f>SQRT(U52/V52/HARMEAN(T48,T49))</f>
        <v>0.47713641267618262</v>
      </c>
      <c r="V59">
        <f t="shared" si="11"/>
        <v>4.3493245066521764</v>
      </c>
      <c r="W59">
        <f t="shared" si="12"/>
        <v>-0.14537177192632633</v>
      </c>
      <c r="X59">
        <f t="shared" si="13"/>
        <v>4.2958139572635812</v>
      </c>
      <c r="Y59">
        <f>[1]!QDIST(V59,COUNT($T$47:$T$51),V$52)</f>
        <v>6.9822557220637127E-2</v>
      </c>
      <c r="Z59">
        <f t="shared" si="14"/>
        <v>2.2205928645949538</v>
      </c>
      <c r="AA59">
        <f t="shared" si="15"/>
        <v>2.5110836747086704</v>
      </c>
    </row>
    <row r="60" spans="8:27" x14ac:dyDescent="0.3">
      <c r="R60" s="1" t="str">
        <f>R48</f>
        <v>PMM 0.3 mg/ml</v>
      </c>
      <c r="S60" s="1" t="str">
        <f>R50</f>
        <v>PMO 0.3 mg/ml</v>
      </c>
      <c r="T60">
        <f>ABS(S48-S50)</f>
        <v>3.5712615525840192</v>
      </c>
      <c r="U60">
        <f>SQRT(U52/V52/HARMEAN(T48,T50))</f>
        <v>0.47713641267618262</v>
      </c>
      <c r="V60">
        <f t="shared" si="11"/>
        <v>7.4847809928263036</v>
      </c>
      <c r="W60">
        <f t="shared" si="12"/>
        <v>1.3506686879890655</v>
      </c>
      <c r="X60">
        <f t="shared" si="13"/>
        <v>5.791854417178973</v>
      </c>
      <c r="Y60" s="1">
        <f>[1]!QDIST(V60,COUNT($T$47:$T$51),V$52)</f>
        <v>2.5125539648145345E-3</v>
      </c>
      <c r="Z60">
        <f t="shared" si="14"/>
        <v>2.2205928645949538</v>
      </c>
      <c r="AA60">
        <f t="shared" si="15"/>
        <v>4.3213403210336612</v>
      </c>
    </row>
    <row r="61" spans="8:27" x14ac:dyDescent="0.3">
      <c r="R61" t="str">
        <f>R48</f>
        <v>PMM 0.3 mg/ml</v>
      </c>
      <c r="S61" t="str">
        <f>R51</f>
        <v>PMO 3 mg/ml</v>
      </c>
      <c r="T61">
        <f>ABS(S48-S51)</f>
        <v>1.6106341667553465</v>
      </c>
      <c r="U61">
        <f>SQRT(U52/V52/HARMEAN(T48,T51))</f>
        <v>0.47713641267618262</v>
      </c>
      <c r="V61">
        <f t="shared" si="11"/>
        <v>3.3756261814552246</v>
      </c>
      <c r="W61">
        <f t="shared" si="12"/>
        <v>-0.60995869783960721</v>
      </c>
      <c r="X61">
        <f t="shared" si="13"/>
        <v>3.8312270313503003</v>
      </c>
      <c r="Y61">
        <f>[1]!QDIST(V61,COUNT($T$47:$T$51),V$52)</f>
        <v>0.19593863543420709</v>
      </c>
      <c r="Z61">
        <f t="shared" si="14"/>
        <v>2.2205928645949538</v>
      </c>
      <c r="AA61">
        <f t="shared" si="15"/>
        <v>1.9489186845467226</v>
      </c>
    </row>
    <row r="62" spans="8:27" x14ac:dyDescent="0.3">
      <c r="R62" t="str">
        <f>R49</f>
        <v>PMM 3 mg/ml</v>
      </c>
      <c r="S62" t="str">
        <f>R50</f>
        <v>PMO 0.3 mg/ml</v>
      </c>
      <c r="T62">
        <f>ABS(S49-S50)</f>
        <v>1.4960404599153918</v>
      </c>
      <c r="U62">
        <f>SQRT(U52/V52/HARMEAN(T49,T50))</f>
        <v>0.47713641267618262</v>
      </c>
      <c r="V62">
        <f t="shared" si="11"/>
        <v>3.1354564861741272</v>
      </c>
      <c r="W62">
        <f t="shared" si="12"/>
        <v>-0.72455240467956195</v>
      </c>
      <c r="X62">
        <f t="shared" si="13"/>
        <v>3.7166333245103456</v>
      </c>
      <c r="Y62">
        <f>[1]!QDIST(V62,COUNT($T$47:$T$51),V$52)</f>
        <v>0.24857902233315765</v>
      </c>
      <c r="Z62">
        <f t="shared" si="14"/>
        <v>2.2205928645949538</v>
      </c>
      <c r="AA62">
        <f t="shared" si="15"/>
        <v>1.8102566463249905</v>
      </c>
    </row>
    <row r="63" spans="8:27" x14ac:dyDescent="0.3">
      <c r="R63" t="str">
        <f>R49</f>
        <v>PMM 3 mg/ml</v>
      </c>
      <c r="S63" t="str">
        <f>R51</f>
        <v>PMO 3 mg/ml</v>
      </c>
      <c r="T63">
        <f>ABS(S49-S51)</f>
        <v>0.46458692591328088</v>
      </c>
      <c r="U63">
        <f>SQRT(U52/V52/HARMEAN(T49,T51))</f>
        <v>0.47713641267618262</v>
      </c>
      <c r="V63">
        <f t="shared" si="11"/>
        <v>0.97369832519695221</v>
      </c>
      <c r="W63">
        <f t="shared" si="12"/>
        <v>-1.7560059386816729</v>
      </c>
      <c r="X63">
        <f t="shared" si="13"/>
        <v>2.6851797905082346</v>
      </c>
      <c r="Y63">
        <f>[1]!QDIST(V63,COUNT($T$47:$T$51),V$52)</f>
        <v>0.95451918292477178</v>
      </c>
      <c r="Z63">
        <f t="shared" si="14"/>
        <v>2.2205928645949538</v>
      </c>
      <c r="AA63">
        <f t="shared" si="15"/>
        <v>0.56216499016194821</v>
      </c>
    </row>
    <row r="64" spans="8:27" x14ac:dyDescent="0.3">
      <c r="R64" s="10" t="str">
        <f>R50</f>
        <v>PMO 0.3 mg/ml</v>
      </c>
      <c r="S64" s="10" t="str">
        <f>R51</f>
        <v>PMO 3 mg/ml</v>
      </c>
      <c r="T64" s="10">
        <f>ABS(S50-S51)</f>
        <v>1.9606273858286727</v>
      </c>
      <c r="U64" s="10">
        <f>SQRT(U52/V52/HARMEAN(T50,T51))</f>
        <v>0.47713641267618262</v>
      </c>
      <c r="V64" s="10">
        <f t="shared" si="11"/>
        <v>4.109154811371079</v>
      </c>
      <c r="W64" s="10">
        <f t="shared" si="12"/>
        <v>-0.25996547876628107</v>
      </c>
      <c r="X64" s="10">
        <f t="shared" si="13"/>
        <v>4.1812202504236264</v>
      </c>
      <c r="Y64" s="10">
        <f>[1]!QDIST(V64,COUNT($T$47:$T$51),V$52)</f>
        <v>9.0640001255288483E-2</v>
      </c>
      <c r="Z64" s="10">
        <f t="shared" si="14"/>
        <v>2.2205928645949538</v>
      </c>
      <c r="AA64" s="10">
        <f t="shared" si="15"/>
        <v>2.3724216364869388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Shapiro-Wilk_F-test</vt:lpstr>
      <vt:lpstr>ANOVA_Tukey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Samal Kaumbekova</dc:creator>
  <cp:lastModifiedBy>Samal Kaumbekova</cp:lastModifiedBy>
  <dcterms:created xsi:type="dcterms:W3CDTF">2024-10-29T03:12:01Z</dcterms:created>
  <dcterms:modified xsi:type="dcterms:W3CDTF">2025-02-14T04:42:54Z</dcterms:modified>
</cp:coreProperties>
</file>