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amann\AVOGADRO\Manuskripte\2021-03-04 JAAS 10h13Ohm\Manuskript\ESI\ESI final\"/>
    </mc:Choice>
  </mc:AlternateContent>
  <xr:revisionPtr revIDLastSave="0" documentId="13_ncr:1_{529E256A-42BF-4C6D-8C9A-662CE29A5A78}" xr6:coauthVersionLast="47" xr6:coauthVersionMax="47" xr10:uidLastSave="{00000000-0000-0000-0000-000000000000}"/>
  <bookViews>
    <workbookView xWindow="38280" yWindow="-120" windowWidth="38640" windowHeight="21840" xr2:uid="{00000000-000D-0000-FFFF-FFFF00000000}"/>
  </bookViews>
  <sheets>
    <sheet name="Info" sheetId="150" r:id="rId1"/>
    <sheet name="Dia comp" sheetId="143" r:id="rId2"/>
    <sheet name="MM 4000 ppm old 10^11" sheetId="146" r:id="rId3"/>
    <sheet name="MM 4000 ppm 10^13" sheetId="140" r:id="rId4"/>
    <sheet name="MM 2000 ppm 10^13" sheetId="139" r:id="rId5"/>
    <sheet name="MM 1000 ppm 10^13" sheetId="141" r:id="rId6"/>
    <sheet name="sdv V23 all" sheetId="144" r:id="rId7"/>
    <sheet name="MM DoE all" sheetId="148" r:id="rId8"/>
    <sheet name="MM DoE all wo 2000 ppm" sheetId="149" r:id="rId9"/>
  </sheets>
  <definedNames>
    <definedName name="OLE_LINK4" localSheetId="0">Info!$B$2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1" i="148" l="1"/>
  <c r="AH12" i="148"/>
  <c r="AH13" i="148"/>
  <c r="AH14" i="148"/>
  <c r="AH15" i="148"/>
  <c r="AH17" i="148"/>
  <c r="AH18" i="148"/>
  <c r="AH19" i="148"/>
  <c r="AH20" i="148"/>
  <c r="AH21" i="148"/>
  <c r="AH22" i="148"/>
  <c r="AH24" i="148"/>
  <c r="AH25" i="148"/>
  <c r="AH26" i="148"/>
  <c r="AH27" i="148"/>
  <c r="AH28" i="148"/>
  <c r="AH29" i="148"/>
  <c r="AH31" i="148"/>
  <c r="AH32" i="148"/>
  <c r="AH33" i="148"/>
  <c r="AH34" i="148"/>
  <c r="AH10" i="148"/>
  <c r="AG11" i="148"/>
  <c r="AG12" i="148"/>
  <c r="AG13" i="148"/>
  <c r="AG14" i="148"/>
  <c r="AG15" i="148"/>
  <c r="AG17" i="148"/>
  <c r="AG18" i="148"/>
  <c r="AG19" i="148"/>
  <c r="AG20" i="148"/>
  <c r="AG21" i="148"/>
  <c r="AG22" i="148"/>
  <c r="AG24" i="148"/>
  <c r="AG25" i="148"/>
  <c r="AG26" i="148"/>
  <c r="AG27" i="148"/>
  <c r="AG28" i="148"/>
  <c r="AG29" i="148"/>
  <c r="AG31" i="148"/>
  <c r="AG32" i="148"/>
  <c r="AG33" i="148"/>
  <c r="AG34" i="148"/>
  <c r="AG10" i="148"/>
  <c r="AC10" i="148"/>
  <c r="AG11" i="149"/>
  <c r="AH11" i="149"/>
  <c r="AG12" i="149"/>
  <c r="AH12" i="149"/>
  <c r="AG13" i="149"/>
  <c r="AH13" i="149"/>
  <c r="AG14" i="149"/>
  <c r="AH14" i="149"/>
  <c r="AG15" i="149"/>
  <c r="AH15" i="149"/>
  <c r="AF15" i="149"/>
  <c r="AF14" i="149"/>
  <c r="AF13" i="149"/>
  <c r="AF12" i="149"/>
  <c r="AF11" i="149"/>
  <c r="AH10" i="149"/>
  <c r="AG10" i="149"/>
  <c r="AF10" i="149"/>
  <c r="AC10" i="149"/>
  <c r="M38" i="149"/>
  <c r="M44" i="149"/>
  <c r="M42" i="149"/>
  <c r="M40" i="149"/>
  <c r="M36" i="149"/>
  <c r="L36" i="149"/>
  <c r="G24" i="149"/>
  <c r="L24" i="149"/>
  <c r="O24" i="149"/>
  <c r="P24" i="149" s="1"/>
  <c r="Q24" i="149" s="1"/>
  <c r="S24" i="149" s="1"/>
  <c r="U24" i="149" s="1"/>
  <c r="G25" i="149"/>
  <c r="L25" i="149"/>
  <c r="O25" i="149"/>
  <c r="P25" i="149" s="1"/>
  <c r="Q25" i="149" s="1"/>
  <c r="S25" i="149" s="1"/>
  <c r="U25" i="149" s="1"/>
  <c r="G26" i="149"/>
  <c r="L26" i="149"/>
  <c r="O26" i="149"/>
  <c r="P26" i="149" s="1"/>
  <c r="Q26" i="149" s="1"/>
  <c r="S26" i="149" s="1"/>
  <c r="U26" i="149" s="1"/>
  <c r="G27" i="149"/>
  <c r="L27" i="149"/>
  <c r="O27" i="149"/>
  <c r="P27" i="149" s="1"/>
  <c r="Q27" i="149" s="1"/>
  <c r="S27" i="149" s="1"/>
  <c r="U27" i="149" s="1"/>
  <c r="G28" i="149"/>
  <c r="L28" i="149"/>
  <c r="O28" i="149"/>
  <c r="P28" i="149" s="1"/>
  <c r="Q28" i="149" s="1"/>
  <c r="S28" i="149" s="1"/>
  <c r="U28" i="149" s="1"/>
  <c r="G29" i="149"/>
  <c r="L29" i="149"/>
  <c r="O29" i="149"/>
  <c r="P29" i="149" s="1"/>
  <c r="Q29" i="149" s="1"/>
  <c r="S29" i="149" s="1"/>
  <c r="U29" i="149" s="1"/>
  <c r="V35" i="149"/>
  <c r="T35" i="149"/>
  <c r="R35" i="149"/>
  <c r="M35" i="149"/>
  <c r="O34" i="149"/>
  <c r="G34" i="149"/>
  <c r="P34" i="149" s="1"/>
  <c r="Q34" i="149" s="1"/>
  <c r="S34" i="149" s="1"/>
  <c r="O33" i="149"/>
  <c r="G33" i="149"/>
  <c r="P33" i="149" s="1"/>
  <c r="Q33" i="149" s="1"/>
  <c r="S33" i="149" s="1"/>
  <c r="O32" i="149"/>
  <c r="G32" i="149"/>
  <c r="P32" i="149" s="1"/>
  <c r="Q32" i="149" s="1"/>
  <c r="S32" i="149" s="1"/>
  <c r="O31" i="149"/>
  <c r="G31" i="149"/>
  <c r="P31" i="149" s="1"/>
  <c r="Q31" i="149" s="1"/>
  <c r="V30" i="149"/>
  <c r="T30" i="149"/>
  <c r="R30" i="149"/>
  <c r="M30" i="149"/>
  <c r="K30" i="149"/>
  <c r="J30" i="149"/>
  <c r="F30" i="149"/>
  <c r="V23" i="149"/>
  <c r="T23" i="149"/>
  <c r="R23" i="149"/>
  <c r="M23" i="149"/>
  <c r="K23" i="149"/>
  <c r="J23" i="149"/>
  <c r="F23" i="149"/>
  <c r="O22" i="149"/>
  <c r="P22" i="149" s="1"/>
  <c r="Q22" i="149" s="1"/>
  <c r="S22" i="149" s="1"/>
  <c r="L22" i="149"/>
  <c r="G22" i="149"/>
  <c r="O21" i="149"/>
  <c r="G21" i="149"/>
  <c r="L21" i="149" s="1"/>
  <c r="O20" i="149"/>
  <c r="G20" i="149"/>
  <c r="L20" i="149" s="1"/>
  <c r="O19" i="149"/>
  <c r="G19" i="149"/>
  <c r="L19" i="149" s="1"/>
  <c r="O18" i="149"/>
  <c r="L18" i="149"/>
  <c r="G18" i="149"/>
  <c r="O17" i="149"/>
  <c r="P17" i="149" s="1"/>
  <c r="Q17" i="149" s="1"/>
  <c r="G17" i="149"/>
  <c r="L17" i="149" s="1"/>
  <c r="V16" i="149"/>
  <c r="T16" i="149"/>
  <c r="R16" i="149"/>
  <c r="M16" i="149"/>
  <c r="K16" i="149"/>
  <c r="J16" i="149"/>
  <c r="F16" i="149"/>
  <c r="O15" i="149"/>
  <c r="G15" i="149"/>
  <c r="L15" i="149" s="1"/>
  <c r="O14" i="149"/>
  <c r="P14" i="149" s="1"/>
  <c r="Q14" i="149" s="1"/>
  <c r="S14" i="149" s="1"/>
  <c r="U14" i="149" s="1"/>
  <c r="G14" i="149"/>
  <c r="L14" i="149" s="1"/>
  <c r="O13" i="149"/>
  <c r="P13" i="149" s="1"/>
  <c r="Q13" i="149" s="1"/>
  <c r="S13" i="149" s="1"/>
  <c r="U13" i="149" s="1"/>
  <c r="L13" i="149"/>
  <c r="G13" i="149"/>
  <c r="O12" i="149"/>
  <c r="G12" i="149"/>
  <c r="L12" i="149" s="1"/>
  <c r="O11" i="149"/>
  <c r="G11" i="149"/>
  <c r="L11" i="149" s="1"/>
  <c r="O10" i="149"/>
  <c r="G10" i="149"/>
  <c r="L10" i="149" s="1"/>
  <c r="N10" i="149" s="1"/>
  <c r="N29" i="149" l="1"/>
  <c r="N28" i="149"/>
  <c r="N27" i="149"/>
  <c r="N26" i="149"/>
  <c r="N25" i="149"/>
  <c r="N24" i="149"/>
  <c r="P12" i="149"/>
  <c r="Q12" i="149" s="1"/>
  <c r="S12" i="149" s="1"/>
  <c r="U12" i="149" s="1"/>
  <c r="P19" i="149"/>
  <c r="Q19" i="149" s="1"/>
  <c r="S19" i="149" s="1"/>
  <c r="U19" i="149" s="1"/>
  <c r="P18" i="149"/>
  <c r="Q18" i="149" s="1"/>
  <c r="S18" i="149" s="1"/>
  <c r="U18" i="149" s="1"/>
  <c r="L33" i="149"/>
  <c r="P11" i="149"/>
  <c r="Q11" i="149" s="1"/>
  <c r="S11" i="149" s="1"/>
  <c r="U11" i="149" s="1"/>
  <c r="P21" i="149"/>
  <c r="Q21" i="149" s="1"/>
  <c r="S21" i="149" s="1"/>
  <c r="U21" i="149" s="1"/>
  <c r="L31" i="149"/>
  <c r="L32" i="149"/>
  <c r="L34" i="149"/>
  <c r="P10" i="149"/>
  <c r="Q10" i="149" s="1"/>
  <c r="S10" i="149" s="1"/>
  <c r="P15" i="149"/>
  <c r="Q15" i="149" s="1"/>
  <c r="S15" i="149" s="1"/>
  <c r="U15" i="149" s="1"/>
  <c r="P20" i="149"/>
  <c r="Q20" i="149" s="1"/>
  <c r="S20" i="149" s="1"/>
  <c r="S17" i="149"/>
  <c r="Q35" i="149"/>
  <c r="S31" i="149"/>
  <c r="S35" i="149" s="1"/>
  <c r="N12" i="149"/>
  <c r="N15" i="149"/>
  <c r="N20" i="149"/>
  <c r="N34" i="149"/>
  <c r="L23" i="149"/>
  <c r="N23" i="149" s="1"/>
  <c r="N17" i="149"/>
  <c r="N21" i="149"/>
  <c r="U22" i="149"/>
  <c r="Q30" i="149"/>
  <c r="S30" i="149"/>
  <c r="N13" i="149"/>
  <c r="N18" i="149"/>
  <c r="N22" i="149"/>
  <c r="N32" i="149"/>
  <c r="L16" i="149"/>
  <c r="N11" i="149"/>
  <c r="N14" i="149"/>
  <c r="N19" i="149"/>
  <c r="U20" i="149"/>
  <c r="N33" i="149"/>
  <c r="U32" i="149"/>
  <c r="U33" i="149"/>
  <c r="U34" i="149"/>
  <c r="AC11" i="148"/>
  <c r="AC12" i="148"/>
  <c r="AC13" i="148"/>
  <c r="AC14" i="148"/>
  <c r="AC15" i="148"/>
  <c r="AC17" i="148"/>
  <c r="AC18" i="148"/>
  <c r="AC19" i="148"/>
  <c r="AC20" i="148"/>
  <c r="AC21" i="148"/>
  <c r="AC22" i="148"/>
  <c r="AC24" i="148"/>
  <c r="AC25" i="148"/>
  <c r="AC26" i="148"/>
  <c r="AC27" i="148"/>
  <c r="AC28" i="148"/>
  <c r="AC29" i="148"/>
  <c r="AC31" i="148"/>
  <c r="AC32" i="148"/>
  <c r="AC33" i="148"/>
  <c r="AC34" i="148"/>
  <c r="M49" i="148"/>
  <c r="N44" i="148"/>
  <c r="N36" i="148"/>
  <c r="M44" i="148"/>
  <c r="M42" i="148"/>
  <c r="M40" i="148"/>
  <c r="M38" i="148"/>
  <c r="L36" i="148"/>
  <c r="M36" i="148"/>
  <c r="L35" i="149" l="1"/>
  <c r="N35" i="149" s="1"/>
  <c r="X20" i="149"/>
  <c r="X24" i="149"/>
  <c r="X25" i="149"/>
  <c r="X26" i="149"/>
  <c r="X27" i="149"/>
  <c r="X28" i="149"/>
  <c r="X29" i="149"/>
  <c r="N31" i="149"/>
  <c r="Q16" i="149"/>
  <c r="U31" i="149"/>
  <c r="U35" i="149" s="1"/>
  <c r="Q23" i="149"/>
  <c r="L30" i="149"/>
  <c r="N30" i="149" s="1"/>
  <c r="X34" i="149"/>
  <c r="X33" i="149"/>
  <c r="X22" i="149"/>
  <c r="X19" i="149"/>
  <c r="X18" i="149"/>
  <c r="X15" i="149"/>
  <c r="X14" i="149"/>
  <c r="X13" i="149"/>
  <c r="X17" i="149"/>
  <c r="X11" i="149"/>
  <c r="X10" i="149"/>
  <c r="X32" i="149"/>
  <c r="X31" i="149"/>
  <c r="X21" i="149"/>
  <c r="X12" i="149"/>
  <c r="S23" i="149"/>
  <c r="U17" i="149"/>
  <c r="U23" i="149" s="1"/>
  <c r="U30" i="149"/>
  <c r="S16" i="149"/>
  <c r="U10" i="149"/>
  <c r="U16" i="149" s="1"/>
  <c r="N16" i="149"/>
  <c r="X10" i="148"/>
  <c r="V16" i="148"/>
  <c r="T16" i="148"/>
  <c r="R16" i="148"/>
  <c r="M16" i="148"/>
  <c r="K16" i="148"/>
  <c r="J16" i="148"/>
  <c r="F16" i="148"/>
  <c r="O15" i="148"/>
  <c r="G15" i="148"/>
  <c r="O14" i="148"/>
  <c r="G14" i="148"/>
  <c r="O13" i="148"/>
  <c r="G13" i="148"/>
  <c r="O12" i="148"/>
  <c r="G12" i="148"/>
  <c r="O11" i="148"/>
  <c r="G11" i="148"/>
  <c r="O10" i="148"/>
  <c r="G10" i="148"/>
  <c r="V23" i="148"/>
  <c r="T23" i="148"/>
  <c r="R23" i="148"/>
  <c r="M23" i="148"/>
  <c r="K23" i="148"/>
  <c r="J23" i="148"/>
  <c r="F23" i="148"/>
  <c r="O22" i="148"/>
  <c r="G22" i="148"/>
  <c r="O21" i="148"/>
  <c r="G21" i="148"/>
  <c r="O20" i="148"/>
  <c r="G20" i="148"/>
  <c r="O19" i="148"/>
  <c r="G19" i="148"/>
  <c r="O18" i="148"/>
  <c r="G18" i="148"/>
  <c r="O17" i="148"/>
  <c r="G17" i="148"/>
  <c r="V30" i="148"/>
  <c r="T30" i="148"/>
  <c r="R30" i="148"/>
  <c r="M30" i="148"/>
  <c r="K30" i="148"/>
  <c r="J30" i="148"/>
  <c r="F30" i="148"/>
  <c r="O29" i="148"/>
  <c r="G29" i="148"/>
  <c r="O28" i="148"/>
  <c r="G28" i="148"/>
  <c r="O27" i="148"/>
  <c r="G27" i="148"/>
  <c r="O26" i="148"/>
  <c r="G26" i="148"/>
  <c r="O25" i="148"/>
  <c r="G25" i="148"/>
  <c r="O24" i="148"/>
  <c r="G24" i="148"/>
  <c r="V35" i="148"/>
  <c r="T35" i="148"/>
  <c r="R35" i="148"/>
  <c r="M35" i="148"/>
  <c r="O34" i="148"/>
  <c r="G34" i="148"/>
  <c r="L34" i="148" s="1"/>
  <c r="O33" i="148"/>
  <c r="G33" i="148"/>
  <c r="L33" i="148" s="1"/>
  <c r="O32" i="148"/>
  <c r="G32" i="148"/>
  <c r="O31" i="148"/>
  <c r="G31" i="148"/>
  <c r="L31" i="148" s="1"/>
  <c r="K18" i="146"/>
  <c r="K19" i="146" s="1"/>
  <c r="K20" i="146" s="1"/>
  <c r="J18" i="146"/>
  <c r="J19" i="146" s="1"/>
  <c r="J20" i="146" s="1"/>
  <c r="F18" i="146"/>
  <c r="F19" i="146" s="1"/>
  <c r="F20" i="146" s="1"/>
  <c r="K17" i="146"/>
  <c r="J17" i="146"/>
  <c r="F17" i="146"/>
  <c r="V16" i="146"/>
  <c r="T16" i="146"/>
  <c r="R16" i="146"/>
  <c r="M16" i="146"/>
  <c r="K16" i="146"/>
  <c r="J16" i="146"/>
  <c r="F16" i="146"/>
  <c r="X15" i="146"/>
  <c r="O15" i="146"/>
  <c r="P15" i="146" s="1"/>
  <c r="Q15" i="146" s="1"/>
  <c r="S15" i="146" s="1"/>
  <c r="L15" i="146"/>
  <c r="G15" i="146"/>
  <c r="U15" i="146" s="1"/>
  <c r="X14" i="146"/>
  <c r="O14" i="146"/>
  <c r="G14" i="146"/>
  <c r="P14" i="146" s="1"/>
  <c r="Q14" i="146" s="1"/>
  <c r="S14" i="146" s="1"/>
  <c r="X13" i="146"/>
  <c r="O13" i="146"/>
  <c r="P13" i="146" s="1"/>
  <c r="Q13" i="146" s="1"/>
  <c r="S13" i="146" s="1"/>
  <c r="U13" i="146" s="1"/>
  <c r="G13" i="146"/>
  <c r="L13" i="146" s="1"/>
  <c r="X12" i="146"/>
  <c r="O12" i="146"/>
  <c r="P12" i="146" s="1"/>
  <c r="Q12" i="146" s="1"/>
  <c r="S12" i="146" s="1"/>
  <c r="U12" i="146" s="1"/>
  <c r="G12" i="146"/>
  <c r="L12" i="146" s="1"/>
  <c r="X11" i="146"/>
  <c r="O11" i="146"/>
  <c r="P11" i="146" s="1"/>
  <c r="Q11" i="146" s="1"/>
  <c r="S11" i="146" s="1"/>
  <c r="L11" i="146"/>
  <c r="G11" i="146"/>
  <c r="U11" i="146" s="1"/>
  <c r="X10" i="146"/>
  <c r="O10" i="146"/>
  <c r="G10" i="146"/>
  <c r="P10" i="146" s="1"/>
  <c r="Q10" i="146" s="1"/>
  <c r="W11" i="139"/>
  <c r="X11" i="139"/>
  <c r="Y11" i="139"/>
  <c r="W12" i="139"/>
  <c r="Y12" i="139" s="1"/>
  <c r="X12" i="139"/>
  <c r="W13" i="139"/>
  <c r="Y13" i="139" s="1"/>
  <c r="X13" i="139"/>
  <c r="W14" i="139"/>
  <c r="X14" i="139"/>
  <c r="Y14" i="139"/>
  <c r="W15" i="139"/>
  <c r="X15" i="139"/>
  <c r="Y15" i="139"/>
  <c r="X10" i="139"/>
  <c r="W10" i="139"/>
  <c r="Y10" i="139" s="1"/>
  <c r="W11" i="140"/>
  <c r="X11" i="140"/>
  <c r="Y11" i="140"/>
  <c r="W12" i="140"/>
  <c r="Y12" i="140" s="1"/>
  <c r="X12" i="140"/>
  <c r="W13" i="140"/>
  <c r="Y13" i="140" s="1"/>
  <c r="X13" i="140"/>
  <c r="W14" i="140"/>
  <c r="X14" i="140"/>
  <c r="Y14" i="140"/>
  <c r="W15" i="140"/>
  <c r="X15" i="140"/>
  <c r="Y15" i="140"/>
  <c r="X10" i="140"/>
  <c r="Y10" i="140" s="1"/>
  <c r="W10" i="140"/>
  <c r="AC26" i="149" l="1"/>
  <c r="AC25" i="149"/>
  <c r="AC28" i="149"/>
  <c r="AC29" i="149"/>
  <c r="AC24" i="149"/>
  <c r="AC27" i="149"/>
  <c r="M49" i="149"/>
  <c r="W34" i="149"/>
  <c r="Y34" i="149" s="1"/>
  <c r="W13" i="149"/>
  <c r="Y13" i="149" s="1"/>
  <c r="W12" i="149"/>
  <c r="Y12" i="149" s="1"/>
  <c r="W20" i="149"/>
  <c r="Y20" i="149" s="1"/>
  <c r="W33" i="149"/>
  <c r="Y33" i="149" s="1"/>
  <c r="W10" i="149"/>
  <c r="Y10" i="149" s="1"/>
  <c r="W14" i="149"/>
  <c r="Y14" i="149" s="1"/>
  <c r="AC13" i="149"/>
  <c r="AC12" i="149"/>
  <c r="AC34" i="149"/>
  <c r="AC33" i="149"/>
  <c r="AC32" i="149"/>
  <c r="AC31" i="149"/>
  <c r="AC22" i="149"/>
  <c r="AC21" i="149"/>
  <c r="AC20" i="149"/>
  <c r="AC19" i="149"/>
  <c r="AC18" i="149"/>
  <c r="AC17" i="149"/>
  <c r="AC15" i="149"/>
  <c r="AC14" i="149"/>
  <c r="AC11" i="149"/>
  <c r="X31" i="148"/>
  <c r="X28" i="148"/>
  <c r="X25" i="148"/>
  <c r="X19" i="148"/>
  <c r="X17" i="148"/>
  <c r="X13" i="148"/>
  <c r="X34" i="148"/>
  <c r="X32" i="148"/>
  <c r="X22" i="148"/>
  <c r="X20" i="148"/>
  <c r="X11" i="148"/>
  <c r="X29" i="148"/>
  <c r="X26" i="148"/>
  <c r="X24" i="148"/>
  <c r="X18" i="148"/>
  <c r="X14" i="148"/>
  <c r="X12" i="148"/>
  <c r="X33" i="148"/>
  <c r="X27" i="148"/>
  <c r="X21" i="148"/>
  <c r="X15" i="148"/>
  <c r="P10" i="148"/>
  <c r="Q10" i="148" s="1"/>
  <c r="P11" i="148"/>
  <c r="Q11" i="148" s="1"/>
  <c r="S11" i="148" s="1"/>
  <c r="U11" i="148" s="1"/>
  <c r="P12" i="148"/>
  <c r="Q12" i="148" s="1"/>
  <c r="S12" i="148" s="1"/>
  <c r="U12" i="148" s="1"/>
  <c r="P13" i="148"/>
  <c r="Q13" i="148" s="1"/>
  <c r="S13" i="148" s="1"/>
  <c r="U13" i="148" s="1"/>
  <c r="P14" i="148"/>
  <c r="Q14" i="148" s="1"/>
  <c r="S14" i="148" s="1"/>
  <c r="U14" i="148" s="1"/>
  <c r="P15" i="148"/>
  <c r="Q15" i="148" s="1"/>
  <c r="S15" i="148" s="1"/>
  <c r="U15" i="148" s="1"/>
  <c r="L10" i="148"/>
  <c r="L11" i="148"/>
  <c r="L12" i="148"/>
  <c r="L13" i="148"/>
  <c r="L14" i="148"/>
  <c r="L15" i="148"/>
  <c r="P17" i="148"/>
  <c r="Q17" i="148" s="1"/>
  <c r="P18" i="148"/>
  <c r="Q18" i="148" s="1"/>
  <c r="S18" i="148" s="1"/>
  <c r="U18" i="148" s="1"/>
  <c r="P19" i="148"/>
  <c r="Q19" i="148" s="1"/>
  <c r="S19" i="148" s="1"/>
  <c r="U19" i="148" s="1"/>
  <c r="P20" i="148"/>
  <c r="Q20" i="148" s="1"/>
  <c r="S20" i="148" s="1"/>
  <c r="U20" i="148" s="1"/>
  <c r="P21" i="148"/>
  <c r="Q21" i="148" s="1"/>
  <c r="S21" i="148" s="1"/>
  <c r="U21" i="148" s="1"/>
  <c r="P22" i="148"/>
  <c r="Q22" i="148" s="1"/>
  <c r="S22" i="148" s="1"/>
  <c r="U22" i="148" s="1"/>
  <c r="L17" i="148"/>
  <c r="L18" i="148"/>
  <c r="L19" i="148"/>
  <c r="L20" i="148"/>
  <c r="L21" i="148"/>
  <c r="L22" i="148"/>
  <c r="P24" i="148"/>
  <c r="Q24" i="148" s="1"/>
  <c r="L24" i="148"/>
  <c r="L25" i="148"/>
  <c r="L27" i="148"/>
  <c r="L28" i="148"/>
  <c r="L29" i="148"/>
  <c r="P25" i="148"/>
  <c r="Q25" i="148" s="1"/>
  <c r="S25" i="148" s="1"/>
  <c r="U25" i="148" s="1"/>
  <c r="P26" i="148"/>
  <c r="Q26" i="148" s="1"/>
  <c r="S26" i="148" s="1"/>
  <c r="U26" i="148" s="1"/>
  <c r="P27" i="148"/>
  <c r="Q27" i="148" s="1"/>
  <c r="S27" i="148" s="1"/>
  <c r="U27" i="148" s="1"/>
  <c r="P28" i="148"/>
  <c r="Q28" i="148" s="1"/>
  <c r="S28" i="148" s="1"/>
  <c r="U28" i="148" s="1"/>
  <c r="P29" i="148"/>
  <c r="Q29" i="148" s="1"/>
  <c r="S29" i="148" s="1"/>
  <c r="U29" i="148" s="1"/>
  <c r="L26" i="148"/>
  <c r="P34" i="148"/>
  <c r="Q34" i="148" s="1"/>
  <c r="S34" i="148" s="1"/>
  <c r="U34" i="148" s="1"/>
  <c r="P33" i="148"/>
  <c r="Q33" i="148" s="1"/>
  <c r="S33" i="148" s="1"/>
  <c r="U33" i="148" s="1"/>
  <c r="P31" i="148"/>
  <c r="Q31" i="148" s="1"/>
  <c r="S31" i="148" s="1"/>
  <c r="N31" i="148"/>
  <c r="N34" i="148"/>
  <c r="P32" i="148"/>
  <c r="Q32" i="148" s="1"/>
  <c r="S32" i="148" s="1"/>
  <c r="U32" i="148" s="1"/>
  <c r="L32" i="148"/>
  <c r="N33" i="148"/>
  <c r="Q16" i="146"/>
  <c r="S10" i="146"/>
  <c r="S16" i="146" s="1"/>
  <c r="N13" i="146"/>
  <c r="N12" i="146"/>
  <c r="L10" i="146"/>
  <c r="N11" i="146"/>
  <c r="L14" i="146"/>
  <c r="N15" i="146"/>
  <c r="U10" i="146"/>
  <c r="U16" i="146" s="1"/>
  <c r="U14" i="146"/>
  <c r="K16" i="141"/>
  <c r="K15" i="141"/>
  <c r="K14" i="141"/>
  <c r="J16" i="141"/>
  <c r="J15" i="141"/>
  <c r="J14" i="141"/>
  <c r="F16" i="141"/>
  <c r="F15" i="141"/>
  <c r="F14" i="141"/>
  <c r="K18" i="139"/>
  <c r="K19" i="139" s="1"/>
  <c r="K20" i="139" s="1"/>
  <c r="K17" i="139"/>
  <c r="K16" i="139"/>
  <c r="L18" i="139"/>
  <c r="L19" i="139" s="1"/>
  <c r="L20" i="139" s="1"/>
  <c r="L17" i="139"/>
  <c r="L16" i="139"/>
  <c r="J18" i="139"/>
  <c r="J19" i="139" s="1"/>
  <c r="J20" i="139" s="1"/>
  <c r="J17" i="139"/>
  <c r="J16" i="139"/>
  <c r="F18" i="139"/>
  <c r="F19" i="139" s="1"/>
  <c r="F20" i="139" s="1"/>
  <c r="F17" i="139"/>
  <c r="F16" i="139"/>
  <c r="L18" i="140"/>
  <c r="L19" i="140" s="1"/>
  <c r="L20" i="140" s="1"/>
  <c r="L17" i="140"/>
  <c r="L16" i="140"/>
  <c r="K18" i="140"/>
  <c r="K19" i="140" s="1"/>
  <c r="K20" i="140" s="1"/>
  <c r="K17" i="140"/>
  <c r="K16" i="140"/>
  <c r="J18" i="140"/>
  <c r="J19" i="140" s="1"/>
  <c r="J20" i="140" s="1"/>
  <c r="J17" i="140"/>
  <c r="J16" i="140"/>
  <c r="F18" i="140"/>
  <c r="F19" i="140" s="1"/>
  <c r="F20" i="140" s="1"/>
  <c r="F17" i="140"/>
  <c r="F16" i="140"/>
  <c r="W17" i="149" l="1"/>
  <c r="Y17" i="149" s="1"/>
  <c r="W24" i="149"/>
  <c r="Y24" i="149" s="1"/>
  <c r="W28" i="149"/>
  <c r="Y28" i="149" s="1"/>
  <c r="W29" i="149"/>
  <c r="Y29" i="149" s="1"/>
  <c r="W25" i="149"/>
  <c r="Y25" i="149" s="1"/>
  <c r="W26" i="149"/>
  <c r="Y26" i="149" s="1"/>
  <c r="W27" i="149"/>
  <c r="Y27" i="149" s="1"/>
  <c r="W31" i="149"/>
  <c r="Y31" i="149" s="1"/>
  <c r="W22" i="149"/>
  <c r="Y22" i="149" s="1"/>
  <c r="W19" i="149"/>
  <c r="Y19" i="149" s="1"/>
  <c r="W21" i="149"/>
  <c r="Y21" i="149" s="1"/>
  <c r="W11" i="149"/>
  <c r="Y11" i="149" s="1"/>
  <c r="W15" i="149"/>
  <c r="Y15" i="149" s="1"/>
  <c r="N44" i="149"/>
  <c r="W18" i="149"/>
  <c r="Y18" i="149" s="1"/>
  <c r="N36" i="149"/>
  <c r="W32" i="149"/>
  <c r="Y32" i="149" s="1"/>
  <c r="N29" i="148"/>
  <c r="N20" i="148"/>
  <c r="N13" i="148"/>
  <c r="N28" i="148"/>
  <c r="N19" i="148"/>
  <c r="N12" i="148"/>
  <c r="N26" i="148"/>
  <c r="N27" i="148"/>
  <c r="N22" i="148"/>
  <c r="N18" i="148"/>
  <c r="N15" i="148"/>
  <c r="N11" i="148"/>
  <c r="N25" i="148"/>
  <c r="W25" i="148"/>
  <c r="Y25" i="148" s="1"/>
  <c r="N21" i="148"/>
  <c r="N14" i="148"/>
  <c r="Q16" i="148"/>
  <c r="S10" i="148"/>
  <c r="L16" i="148"/>
  <c r="N16" i="148" s="1"/>
  <c r="N10" i="148"/>
  <c r="L23" i="148"/>
  <c r="N23" i="148" s="1"/>
  <c r="N17" i="148"/>
  <c r="Q23" i="148"/>
  <c r="S17" i="148"/>
  <c r="Q30" i="148"/>
  <c r="S24" i="148"/>
  <c r="L30" i="148"/>
  <c r="N30" i="148" s="1"/>
  <c r="N24" i="148"/>
  <c r="L35" i="148"/>
  <c r="S35" i="148"/>
  <c r="U31" i="148"/>
  <c r="U35" i="148" s="1"/>
  <c r="N32" i="148"/>
  <c r="Q35" i="148"/>
  <c r="K17" i="141"/>
  <c r="K18" i="141" s="1"/>
  <c r="J17" i="141"/>
  <c r="J18" i="141" s="1"/>
  <c r="W14" i="146"/>
  <c r="Y14" i="146" s="1"/>
  <c r="N14" i="146"/>
  <c r="L17" i="146"/>
  <c r="W10" i="146"/>
  <c r="Y10" i="146" s="1"/>
  <c r="N10" i="146"/>
  <c r="L18" i="146"/>
  <c r="L19" i="146" s="1"/>
  <c r="L20" i="146" s="1"/>
  <c r="L16" i="146"/>
  <c r="F17" i="141"/>
  <c r="F18" i="141" s="1"/>
  <c r="W34" i="148" l="1"/>
  <c r="Y34" i="148" s="1"/>
  <c r="W31" i="148"/>
  <c r="Y31" i="148" s="1"/>
  <c r="W33" i="148"/>
  <c r="Y33" i="148" s="1"/>
  <c r="W17" i="148"/>
  <c r="Y17" i="148" s="1"/>
  <c r="W15" i="148"/>
  <c r="Y15" i="148" s="1"/>
  <c r="W22" i="148"/>
  <c r="Y22" i="148" s="1"/>
  <c r="W26" i="148"/>
  <c r="Y26" i="148" s="1"/>
  <c r="W19" i="148"/>
  <c r="Y19" i="148" s="1"/>
  <c r="W13" i="148"/>
  <c r="Y13" i="148" s="1"/>
  <c r="W24" i="148"/>
  <c r="Y24" i="148" s="1"/>
  <c r="W10" i="148"/>
  <c r="Y10" i="148" s="1"/>
  <c r="W21" i="148"/>
  <c r="Y21" i="148" s="1"/>
  <c r="W32" i="148"/>
  <c r="Y32" i="148" s="1"/>
  <c r="W29" i="148"/>
  <c r="Y29" i="148" s="1"/>
  <c r="W14" i="148"/>
  <c r="Y14" i="148" s="1"/>
  <c r="W11" i="148"/>
  <c r="Y11" i="148" s="1"/>
  <c r="W18" i="148"/>
  <c r="Y18" i="148" s="1"/>
  <c r="W27" i="148"/>
  <c r="Y27" i="148" s="1"/>
  <c r="W12" i="148"/>
  <c r="Y12" i="148" s="1"/>
  <c r="W28" i="148"/>
  <c r="Y28" i="148" s="1"/>
  <c r="W20" i="148"/>
  <c r="Y20" i="148" s="1"/>
  <c r="S16" i="148"/>
  <c r="U10" i="148"/>
  <c r="U16" i="148" s="1"/>
  <c r="S23" i="148"/>
  <c r="U17" i="148"/>
  <c r="U23" i="148" s="1"/>
  <c r="S30" i="148"/>
  <c r="U24" i="148"/>
  <c r="U30" i="148" s="1"/>
  <c r="N35" i="148"/>
  <c r="N16" i="146"/>
  <c r="W12" i="146"/>
  <c r="Y12" i="146" s="1"/>
  <c r="W13" i="146"/>
  <c r="Y13" i="146" s="1"/>
  <c r="W11" i="146"/>
  <c r="Y11" i="146" s="1"/>
  <c r="W15" i="146"/>
  <c r="Y15" i="146" s="1"/>
  <c r="V14" i="141" l="1"/>
  <c r="T14" i="141"/>
  <c r="R14" i="141"/>
  <c r="M14" i="141"/>
  <c r="O13" i="141"/>
  <c r="G13" i="141"/>
  <c r="L13" i="141" s="1"/>
  <c r="O12" i="141"/>
  <c r="G12" i="141"/>
  <c r="O11" i="141"/>
  <c r="G11" i="141"/>
  <c r="L11" i="141" s="1"/>
  <c r="O10" i="141"/>
  <c r="G10" i="141"/>
  <c r="L10" i="141" s="1"/>
  <c r="V16" i="140"/>
  <c r="T16" i="140"/>
  <c r="R16" i="140"/>
  <c r="M16" i="140"/>
  <c r="O15" i="140"/>
  <c r="G15" i="140"/>
  <c r="L15" i="140" s="1"/>
  <c r="N15" i="140" s="1"/>
  <c r="O14" i="140"/>
  <c r="G14" i="140"/>
  <c r="L14" i="140" s="1"/>
  <c r="N14" i="140" s="1"/>
  <c r="O13" i="140"/>
  <c r="G13" i="140"/>
  <c r="L13" i="140" s="1"/>
  <c r="N13" i="140" s="1"/>
  <c r="O12" i="140"/>
  <c r="G12" i="140"/>
  <c r="L12" i="140" s="1"/>
  <c r="N12" i="140" s="1"/>
  <c r="O11" i="140"/>
  <c r="G11" i="140"/>
  <c r="L11" i="140" s="1"/>
  <c r="N11" i="140" s="1"/>
  <c r="O10" i="140"/>
  <c r="G10" i="140"/>
  <c r="L10" i="140" s="1"/>
  <c r="X12" i="141" l="1"/>
  <c r="X10" i="141"/>
  <c r="X11" i="141"/>
  <c r="X13" i="141"/>
  <c r="N11" i="141"/>
  <c r="N13" i="141"/>
  <c r="P10" i="141"/>
  <c r="Q10" i="141" s="1"/>
  <c r="S10" i="141" s="1"/>
  <c r="P11" i="141"/>
  <c r="Q11" i="141" s="1"/>
  <c r="S11" i="141" s="1"/>
  <c r="U11" i="141" s="1"/>
  <c r="P13" i="141"/>
  <c r="Q13" i="141" s="1"/>
  <c r="N10" i="141"/>
  <c r="L12" i="141"/>
  <c r="L15" i="141" s="1"/>
  <c r="P12" i="141"/>
  <c r="Q12" i="141" s="1"/>
  <c r="N10" i="140"/>
  <c r="P10" i="140"/>
  <c r="Q10" i="140" s="1"/>
  <c r="P11" i="140"/>
  <c r="Q11" i="140" s="1"/>
  <c r="P12" i="140"/>
  <c r="Q12" i="140" s="1"/>
  <c r="P13" i="140"/>
  <c r="Q13" i="140" s="1"/>
  <c r="P14" i="140"/>
  <c r="Q14" i="140" s="1"/>
  <c r="P15" i="140"/>
  <c r="Q15" i="140" s="1"/>
  <c r="N12" i="141" l="1"/>
  <c r="L16" i="141"/>
  <c r="L17" i="141" s="1"/>
  <c r="L14" i="141"/>
  <c r="N14" i="141" s="1"/>
  <c r="Q14" i="141"/>
  <c r="S13" i="141"/>
  <c r="U13" i="141" s="1"/>
  <c r="U10" i="141"/>
  <c r="S12" i="141"/>
  <c r="U12" i="141" s="1"/>
  <c r="S11" i="140"/>
  <c r="U11" i="140" s="1"/>
  <c r="S14" i="140"/>
  <c r="U14" i="140" s="1"/>
  <c r="S13" i="140"/>
  <c r="U13" i="140" s="1"/>
  <c r="S12" i="140"/>
  <c r="U12" i="140" s="1"/>
  <c r="S15" i="140"/>
  <c r="U15" i="140" s="1"/>
  <c r="N16" i="140"/>
  <c r="S10" i="140"/>
  <c r="Q16" i="140"/>
  <c r="W10" i="141" l="1"/>
  <c r="Y10" i="141" s="1"/>
  <c r="W13" i="141"/>
  <c r="Y13" i="141" s="1"/>
  <c r="W11" i="141"/>
  <c r="Y11" i="141" s="1"/>
  <c r="L18" i="141"/>
  <c r="W12" i="141"/>
  <c r="Y12" i="141" s="1"/>
  <c r="U14" i="141"/>
  <c r="S14" i="141"/>
  <c r="S16" i="140"/>
  <c r="U10" i="140"/>
  <c r="U16" i="140" s="1"/>
  <c r="V16" i="139" l="1"/>
  <c r="T16" i="139"/>
  <c r="R16" i="139"/>
  <c r="M16" i="139"/>
  <c r="O15" i="139"/>
  <c r="G15" i="139"/>
  <c r="L15" i="139" s="1"/>
  <c r="N15" i="139" s="1"/>
  <c r="O14" i="139"/>
  <c r="G14" i="139"/>
  <c r="L14" i="139" s="1"/>
  <c r="N14" i="139" s="1"/>
  <c r="O13" i="139"/>
  <c r="G13" i="139"/>
  <c r="L13" i="139" s="1"/>
  <c r="N13" i="139" s="1"/>
  <c r="O12" i="139"/>
  <c r="G12" i="139"/>
  <c r="L12" i="139" s="1"/>
  <c r="N12" i="139" s="1"/>
  <c r="O11" i="139"/>
  <c r="G11" i="139"/>
  <c r="L11" i="139" s="1"/>
  <c r="N11" i="139" s="1"/>
  <c r="O10" i="139"/>
  <c r="G10" i="139"/>
  <c r="L10" i="139" s="1"/>
  <c r="P13" i="139" l="1"/>
  <c r="Q13" i="139" s="1"/>
  <c r="P11" i="139"/>
  <c r="Q11" i="139" s="1"/>
  <c r="P15" i="139"/>
  <c r="Q15" i="139" s="1"/>
  <c r="P10" i="139"/>
  <c r="Q10" i="139" s="1"/>
  <c r="S10" i="139" s="1"/>
  <c r="P12" i="139"/>
  <c r="Q12" i="139" s="1"/>
  <c r="S12" i="139" s="1"/>
  <c r="U12" i="139" s="1"/>
  <c r="P14" i="139"/>
  <c r="Q14" i="139" s="1"/>
  <c r="N10" i="139"/>
  <c r="S11" i="139"/>
  <c r="U11" i="139" s="1"/>
  <c r="S13" i="139"/>
  <c r="U13" i="139" s="1"/>
  <c r="S15" i="139" l="1"/>
  <c r="U15" i="139" s="1"/>
  <c r="Q16" i="139"/>
  <c r="S14" i="139"/>
  <c r="U14" i="139" s="1"/>
  <c r="N16" i="139"/>
  <c r="U10" i="139"/>
  <c r="S16" i="139" l="1"/>
  <c r="U16" i="139"/>
</calcChain>
</file>

<file path=xl/sharedStrings.xml><?xml version="1.0" encoding="utf-8"?>
<sst xmlns="http://schemas.openxmlformats.org/spreadsheetml/2006/main" count="489" uniqueCount="74">
  <si>
    <t>g</t>
  </si>
  <si>
    <t>mol/mol</t>
  </si>
  <si>
    <t>Molar Mass calculation (overview)</t>
  </si>
  <si>
    <t>molar masses of Si isotopes</t>
  </si>
  <si>
    <r>
      <t>M</t>
    </r>
    <r>
      <rPr>
        <sz val="10"/>
        <rFont val="Arial"/>
        <family val="2"/>
      </rPr>
      <t>(</t>
    </r>
    <r>
      <rPr>
        <vertAlign val="superscript"/>
        <sz val="10"/>
        <rFont val="Arial"/>
        <family val="2"/>
      </rPr>
      <t>29</t>
    </r>
    <r>
      <rPr>
        <sz val="10"/>
        <rFont val="Arial"/>
        <family val="2"/>
      </rPr>
      <t>Si)</t>
    </r>
  </si>
  <si>
    <t>g/mol</t>
  </si>
  <si>
    <t>blue: measured quantities</t>
  </si>
  <si>
    <r>
      <t>M</t>
    </r>
    <r>
      <rPr>
        <sz val="10"/>
        <rFont val="Arial"/>
        <family val="2"/>
      </rPr>
      <t>(</t>
    </r>
    <r>
      <rPr>
        <vertAlign val="superscript"/>
        <sz val="10"/>
        <rFont val="Arial"/>
        <family val="2"/>
      </rPr>
      <t>30</t>
    </r>
    <r>
      <rPr>
        <sz val="10"/>
        <rFont val="Arial"/>
        <family val="2"/>
      </rPr>
      <t>Si)</t>
    </r>
  </si>
  <si>
    <r>
      <t>M</t>
    </r>
    <r>
      <rPr>
        <sz val="10"/>
        <rFont val="Arial"/>
        <family val="2"/>
      </rPr>
      <t>(</t>
    </r>
    <r>
      <rPr>
        <vertAlign val="superscript"/>
        <sz val="10"/>
        <rFont val="Arial"/>
        <family val="2"/>
      </rPr>
      <t>28</t>
    </r>
    <r>
      <rPr>
        <sz val="10"/>
        <rFont val="Arial"/>
        <family val="2"/>
      </rPr>
      <t>Si)</t>
    </r>
  </si>
  <si>
    <t>sample</t>
  </si>
  <si>
    <t>run</t>
  </si>
  <si>
    <r>
      <t>R</t>
    </r>
    <r>
      <rPr>
        <vertAlign val="subscript"/>
        <sz val="10"/>
        <rFont val="Arial"/>
        <family val="2"/>
      </rPr>
      <t>y,2</t>
    </r>
    <r>
      <rPr>
        <vertAlign val="superscript"/>
        <sz val="10"/>
        <rFont val="Arial"/>
        <family val="2"/>
      </rPr>
      <t>true</t>
    </r>
  </si>
  <si>
    <r>
      <t>R</t>
    </r>
    <r>
      <rPr>
        <vertAlign val="subscript"/>
        <sz val="10"/>
        <rFont val="Arial"/>
        <family val="2"/>
      </rPr>
      <t>y,3</t>
    </r>
    <r>
      <rPr>
        <vertAlign val="superscript"/>
        <sz val="10"/>
        <rFont val="Arial"/>
        <family val="2"/>
      </rPr>
      <t>true</t>
    </r>
  </si>
  <si>
    <r>
      <t>R</t>
    </r>
    <r>
      <rPr>
        <vertAlign val="subscript"/>
        <sz val="10"/>
        <rFont val="Arial"/>
        <family val="2"/>
      </rPr>
      <t>w,2</t>
    </r>
    <r>
      <rPr>
        <vertAlign val="superscript"/>
        <sz val="10"/>
        <rFont val="Arial"/>
        <family val="2"/>
      </rPr>
      <t>true</t>
    </r>
  </si>
  <si>
    <r>
      <t>R</t>
    </r>
    <r>
      <rPr>
        <vertAlign val="subscript"/>
        <sz val="10"/>
        <color rgb="FF0070C0"/>
        <rFont val="Arial"/>
        <family val="2"/>
      </rPr>
      <t>w,2</t>
    </r>
    <r>
      <rPr>
        <vertAlign val="superscript"/>
        <sz val="10"/>
        <color rgb="FF0070C0"/>
        <rFont val="Arial"/>
        <family val="2"/>
      </rPr>
      <t>meas</t>
    </r>
  </si>
  <si>
    <r>
      <t>K</t>
    </r>
    <r>
      <rPr>
        <vertAlign val="subscript"/>
        <sz val="10"/>
        <color indexed="10"/>
        <rFont val="Arial"/>
        <family val="2"/>
      </rPr>
      <t>2</t>
    </r>
  </si>
  <si>
    <r>
      <t>M</t>
    </r>
    <r>
      <rPr>
        <sz val="10"/>
        <color indexed="10"/>
        <rFont val="Arial"/>
        <family val="2"/>
      </rPr>
      <t>(Si28)</t>
    </r>
  </si>
  <si>
    <r>
      <rPr>
        <i/>
        <sz val="10"/>
        <rFont val="Arial"/>
        <family val="2"/>
      </rPr>
      <t>u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M</t>
    </r>
    <r>
      <rPr>
        <sz val="10"/>
        <rFont val="Arial"/>
        <family val="2"/>
      </rPr>
      <t>)</t>
    </r>
  </si>
  <si>
    <r>
      <rPr>
        <i/>
        <sz val="10"/>
        <rFont val="Arial"/>
        <family val="2"/>
      </rPr>
      <t>u</t>
    </r>
    <r>
      <rPr>
        <vertAlign val="subscript"/>
        <sz val="10"/>
        <rFont val="Arial"/>
        <family val="2"/>
      </rPr>
      <t>rel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M</t>
    </r>
    <r>
      <rPr>
        <sz val="10"/>
        <rFont val="Arial"/>
        <family val="2"/>
      </rPr>
      <t>)</t>
    </r>
  </si>
  <si>
    <r>
      <rPr>
        <i/>
        <sz val="10"/>
        <rFont val="Arial"/>
        <family val="2"/>
      </rPr>
      <t>w</t>
    </r>
    <r>
      <rPr>
        <vertAlign val="subscript"/>
        <sz val="10"/>
        <rFont val="Arial"/>
        <family val="2"/>
      </rPr>
      <t>y</t>
    </r>
  </si>
  <si>
    <r>
      <rPr>
        <i/>
        <sz val="10"/>
        <rFont val="Arial"/>
        <family val="2"/>
      </rPr>
      <t>w</t>
    </r>
    <r>
      <rPr>
        <vertAlign val="subscript"/>
        <sz val="10"/>
        <rFont val="Arial"/>
        <family val="2"/>
      </rPr>
      <t>imp</t>
    </r>
  </si>
  <si>
    <r>
      <rPr>
        <i/>
        <sz val="10"/>
        <rFont val="Arial"/>
        <family val="2"/>
      </rPr>
      <t>x</t>
    </r>
    <r>
      <rPr>
        <sz val="10"/>
        <rFont val="Arial"/>
        <family val="2"/>
      </rPr>
      <t>(</t>
    </r>
    <r>
      <rPr>
        <vertAlign val="superscript"/>
        <sz val="10"/>
        <rFont val="Arial"/>
        <family val="2"/>
      </rPr>
      <t>28</t>
    </r>
    <r>
      <rPr>
        <sz val="10"/>
        <rFont val="Arial"/>
        <family val="2"/>
      </rPr>
      <t>Si)</t>
    </r>
  </si>
  <si>
    <r>
      <rPr>
        <i/>
        <sz val="10"/>
        <rFont val="Arial"/>
        <family val="2"/>
      </rPr>
      <t>u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x</t>
    </r>
    <r>
      <rPr>
        <sz val="10"/>
        <rFont val="Arial"/>
        <family val="2"/>
      </rPr>
      <t>(</t>
    </r>
    <r>
      <rPr>
        <vertAlign val="superscript"/>
        <sz val="10"/>
        <rFont val="Arial"/>
        <family val="2"/>
      </rPr>
      <t>28</t>
    </r>
    <r>
      <rPr>
        <sz val="10"/>
        <rFont val="Arial"/>
        <family val="2"/>
      </rPr>
      <t>Si))</t>
    </r>
  </si>
  <si>
    <r>
      <rPr>
        <i/>
        <sz val="10"/>
        <rFont val="Arial"/>
        <family val="2"/>
      </rPr>
      <t>x</t>
    </r>
    <r>
      <rPr>
        <sz val="10"/>
        <rFont val="Arial"/>
        <family val="2"/>
      </rPr>
      <t>(</t>
    </r>
    <r>
      <rPr>
        <vertAlign val="superscript"/>
        <sz val="10"/>
        <rFont val="Arial"/>
        <family val="2"/>
      </rPr>
      <t>29</t>
    </r>
    <r>
      <rPr>
        <sz val="10"/>
        <rFont val="Arial"/>
        <family val="2"/>
      </rPr>
      <t>Si)</t>
    </r>
  </si>
  <si>
    <r>
      <rPr>
        <i/>
        <sz val="10"/>
        <rFont val="Arial"/>
        <family val="2"/>
      </rPr>
      <t>u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x</t>
    </r>
    <r>
      <rPr>
        <sz val="10"/>
        <rFont val="Arial"/>
        <family val="2"/>
      </rPr>
      <t>(</t>
    </r>
    <r>
      <rPr>
        <vertAlign val="superscript"/>
        <sz val="10"/>
        <rFont val="Arial"/>
        <family val="2"/>
      </rPr>
      <t>29</t>
    </r>
    <r>
      <rPr>
        <sz val="10"/>
        <rFont val="Arial"/>
        <family val="2"/>
      </rPr>
      <t>Si))</t>
    </r>
  </si>
  <si>
    <r>
      <rPr>
        <i/>
        <sz val="10"/>
        <rFont val="Arial"/>
        <family val="2"/>
      </rPr>
      <t>x</t>
    </r>
    <r>
      <rPr>
        <sz val="10"/>
        <rFont val="Arial"/>
        <family val="2"/>
      </rPr>
      <t>(</t>
    </r>
    <r>
      <rPr>
        <vertAlign val="superscript"/>
        <sz val="10"/>
        <rFont val="Arial"/>
        <family val="2"/>
      </rPr>
      <t>30</t>
    </r>
    <r>
      <rPr>
        <sz val="10"/>
        <rFont val="Arial"/>
        <family val="2"/>
      </rPr>
      <t>Si)</t>
    </r>
  </si>
  <si>
    <r>
      <rPr>
        <i/>
        <sz val="10"/>
        <rFont val="Arial"/>
        <family val="2"/>
      </rPr>
      <t>u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x</t>
    </r>
    <r>
      <rPr>
        <sz val="10"/>
        <rFont val="Arial"/>
        <family val="2"/>
      </rPr>
      <t>(</t>
    </r>
    <r>
      <rPr>
        <vertAlign val="superscript"/>
        <sz val="10"/>
        <rFont val="Arial"/>
        <family val="2"/>
      </rPr>
      <t>30</t>
    </r>
    <r>
      <rPr>
        <sz val="10"/>
        <rFont val="Arial"/>
        <family val="2"/>
      </rPr>
      <t>Si))</t>
    </r>
  </si>
  <si>
    <t>SIS code</t>
  </si>
  <si>
    <t>sequence</t>
  </si>
  <si>
    <t>g/g</t>
  </si>
  <si>
    <r>
      <t>m</t>
    </r>
    <r>
      <rPr>
        <vertAlign val="subscript"/>
        <sz val="10"/>
        <color indexed="48"/>
        <rFont val="Arial"/>
        <family val="2"/>
      </rPr>
      <t>x1</t>
    </r>
  </si>
  <si>
    <r>
      <t>m</t>
    </r>
    <r>
      <rPr>
        <vertAlign val="subscript"/>
        <sz val="10"/>
        <color rgb="FF0070C0"/>
        <rFont val="Arial"/>
        <family val="2"/>
      </rPr>
      <t>yx1</t>
    </r>
  </si>
  <si>
    <r>
      <t>R</t>
    </r>
    <r>
      <rPr>
        <vertAlign val="subscript"/>
        <sz val="10"/>
        <color indexed="48"/>
        <rFont val="Arial"/>
        <family val="2"/>
      </rPr>
      <t>bx</t>
    </r>
    <r>
      <rPr>
        <vertAlign val="superscript"/>
        <sz val="10"/>
        <color indexed="48"/>
        <rFont val="Arial"/>
        <family val="2"/>
      </rPr>
      <t>meas</t>
    </r>
  </si>
  <si>
    <r>
      <t>R</t>
    </r>
    <r>
      <rPr>
        <vertAlign val="subscript"/>
        <sz val="10"/>
        <color indexed="48"/>
        <rFont val="Arial"/>
        <family val="2"/>
      </rPr>
      <t>x</t>
    </r>
    <r>
      <rPr>
        <vertAlign val="superscript"/>
        <sz val="10"/>
        <color indexed="48"/>
        <rFont val="Arial"/>
        <family val="2"/>
      </rPr>
      <t>meas</t>
    </r>
  </si>
  <si>
    <t>Meng Wang et al 2021 Chinese Phys. C 45 030003</t>
  </si>
  <si>
    <t>(AME 2020)</t>
  </si>
  <si>
    <t>av</t>
  </si>
  <si>
    <t>Si28-33Pr11 V.2.3</t>
  </si>
  <si>
    <t>4000 ppm</t>
  </si>
  <si>
    <t>2000 ppm</t>
  </si>
  <si>
    <t>1000 ppm</t>
  </si>
  <si>
    <t>(AME 2012/B. Taylor)</t>
  </si>
  <si>
    <t>N</t>
  </si>
  <si>
    <t>stabw</t>
  </si>
  <si>
    <t>stabw/(n)^0.5</t>
  </si>
  <si>
    <r>
      <rPr>
        <i/>
        <sz val="10"/>
        <rFont val="Arial"/>
        <family val="2"/>
      </rPr>
      <t>d</t>
    </r>
    <r>
      <rPr>
        <i/>
        <vertAlign val="subscript"/>
        <sz val="10"/>
        <rFont val="Arial"/>
        <family val="2"/>
      </rPr>
      <t>i</t>
    </r>
  </si>
  <si>
    <r>
      <rPr>
        <i/>
        <sz val="10"/>
        <rFont val="Arial"/>
        <family val="2"/>
      </rPr>
      <t>U</t>
    </r>
    <r>
      <rPr>
        <sz val="10"/>
        <rFont val="Arial"/>
        <family val="2"/>
      </rPr>
      <t>(d</t>
    </r>
    <r>
      <rPr>
        <vertAlign val="subscript"/>
        <sz val="10"/>
        <rFont val="Arial"/>
        <family val="2"/>
      </rPr>
      <t>i</t>
    </r>
    <r>
      <rPr>
        <sz val="10"/>
        <rFont val="Arial"/>
        <family val="2"/>
      </rPr>
      <t>)</t>
    </r>
  </si>
  <si>
    <r>
      <rPr>
        <i/>
        <sz val="10"/>
        <rFont val="Arial"/>
        <family val="2"/>
      </rPr>
      <t>E</t>
    </r>
    <r>
      <rPr>
        <vertAlign val="subscript"/>
        <sz val="10"/>
        <rFont val="Arial"/>
        <family val="2"/>
      </rPr>
      <t>n</t>
    </r>
  </si>
  <si>
    <t>4000 ppm (old)</t>
  </si>
  <si>
    <t>rel exp sdv</t>
  </si>
  <si>
    <t>averaged over 6 (4) sequences</t>
  </si>
  <si>
    <t>V.2.3_4000 ppm 10^13</t>
  </si>
  <si>
    <t>V.2.3_4000 ppm 10^11</t>
  </si>
  <si>
    <t>V.2.3_2000 ppm 10^13</t>
  </si>
  <si>
    <t>V.2.3_1000 ppm 10^13</t>
  </si>
  <si>
    <t>wo scattering</t>
  </si>
  <si>
    <t>all av-wo scattering</t>
  </si>
  <si>
    <t>sdv/(n)^1/2</t>
  </si>
  <si>
    <t>sdv (Stabw)</t>
  </si>
  <si>
    <r>
      <rPr>
        <b/>
        <i/>
        <sz val="10"/>
        <rFont val="Arial"/>
        <family val="2"/>
      </rPr>
      <t>u</t>
    </r>
    <r>
      <rPr>
        <b/>
        <sz val="10"/>
        <rFont val="Arial"/>
        <family val="2"/>
      </rPr>
      <t>(</t>
    </r>
    <r>
      <rPr>
        <b/>
        <i/>
        <sz val="10"/>
        <rFont val="Arial"/>
        <family val="2"/>
      </rPr>
      <t>M</t>
    </r>
    <r>
      <rPr>
        <b/>
        <sz val="10"/>
        <rFont val="Arial"/>
        <family val="2"/>
      </rPr>
      <t>)</t>
    </r>
    <r>
      <rPr>
        <b/>
        <vertAlign val="subscript"/>
        <sz val="10"/>
        <rFont val="Arial"/>
        <family val="2"/>
      </rPr>
      <t>incl sdv</t>
    </r>
  </si>
  <si>
    <t>proof</t>
  </si>
  <si>
    <t>w sacttering</t>
  </si>
  <si>
    <t>all av-w scattering</t>
  </si>
  <si>
    <t>4000 ppm V.2.3</t>
  </si>
  <si>
    <t>(stabw/(n)^0.5)/av /%</t>
  </si>
  <si>
    <t>10^13 Ohm</t>
  </si>
  <si>
    <r>
      <t>2020, 10</t>
    </r>
    <r>
      <rPr>
        <b/>
        <vertAlign val="superscript"/>
        <sz val="10"/>
        <color rgb="FFFF0000"/>
        <rFont val="Arial"/>
        <family val="2"/>
      </rPr>
      <t>11</t>
    </r>
    <r>
      <rPr>
        <b/>
        <sz val="10"/>
        <color rgb="FFFF0000"/>
        <rFont val="Arial"/>
        <family val="2"/>
      </rPr>
      <t xml:space="preserve"> Ohm</t>
    </r>
  </si>
  <si>
    <t>dilution, resistor</t>
  </si>
  <si>
    <t>wo 2000 ppm</t>
  </si>
  <si>
    <t>including scattering</t>
  </si>
  <si>
    <r>
      <t>M</t>
    </r>
    <r>
      <rPr>
        <sz val="10"/>
        <rFont val="Arial"/>
        <family val="2"/>
      </rPr>
      <t>(Si28)</t>
    </r>
  </si>
  <si>
    <r>
      <t>M</t>
    </r>
    <r>
      <rPr>
        <sz val="10"/>
        <rFont val="Arial"/>
        <family val="2"/>
      </rPr>
      <t>(Si28)</t>
    </r>
    <r>
      <rPr>
        <i/>
        <sz val="10"/>
        <rFont val="Arial"/>
        <family val="2"/>
      </rPr>
      <t xml:space="preserve"> + u</t>
    </r>
  </si>
  <si>
    <r>
      <t>M</t>
    </r>
    <r>
      <rPr>
        <sz val="10"/>
        <rFont val="Arial"/>
        <family val="2"/>
      </rPr>
      <t>(Si28)</t>
    </r>
    <r>
      <rPr>
        <i/>
        <sz val="10"/>
        <rFont val="Arial"/>
        <family val="2"/>
      </rPr>
      <t xml:space="preserve"> - u</t>
    </r>
  </si>
  <si>
    <t>V/V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</si>
</sst>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0.000E+00"/>
    <numFmt numFmtId="165" formatCode="0.0000000"/>
    <numFmt numFmtId="166" formatCode="0.000000000"/>
    <numFmt numFmtId="167" formatCode="0.0000000000"/>
    <numFmt numFmtId="168" formatCode="0.00000E+00"/>
    <numFmt numFmtId="169" formatCode="#,##0.000000000"/>
    <numFmt numFmtId="170" formatCode="#,##0.0000000000"/>
    <numFmt numFmtId="171" formatCode="0.0E+00"/>
    <numFmt numFmtId="172" formatCode="0.0000E+00"/>
    <numFmt numFmtId="173" formatCode="0.00000000000"/>
    <numFmt numFmtId="174" formatCode="0.00000"/>
    <numFmt numFmtId="175" formatCode="0.0000"/>
    <numFmt numFmtId="176" formatCode="0.000"/>
    <numFmt numFmtId="177" formatCode="0.000%"/>
    <numFmt numFmtId="178" formatCode="0.0000%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vertAlign val="subscript"/>
      <sz val="10"/>
      <color rgb="FF0070C0"/>
      <name val="Arial"/>
      <family val="2"/>
    </font>
    <font>
      <vertAlign val="superscript"/>
      <sz val="10"/>
      <color rgb="FF0070C0"/>
      <name val="Arial"/>
      <family val="2"/>
    </font>
    <font>
      <i/>
      <sz val="10"/>
      <color indexed="10"/>
      <name val="Arial"/>
      <family val="2"/>
    </font>
    <font>
      <vertAlign val="subscript"/>
      <sz val="10"/>
      <color indexed="10"/>
      <name val="Arial"/>
      <family val="2"/>
    </font>
    <font>
      <i/>
      <sz val="10"/>
      <color indexed="48"/>
      <name val="Arial"/>
      <family val="2"/>
    </font>
    <font>
      <vertAlign val="subscript"/>
      <sz val="10"/>
      <color indexed="48"/>
      <name val="Arial"/>
      <family val="2"/>
    </font>
    <font>
      <vertAlign val="superscript"/>
      <sz val="10"/>
      <color indexed="48"/>
      <name val="Arial"/>
      <family val="2"/>
    </font>
    <font>
      <sz val="8"/>
      <name val="Arial"/>
      <family val="2"/>
    </font>
    <font>
      <i/>
      <vertAlign val="subscript"/>
      <sz val="10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vertAlign val="subscript"/>
      <sz val="10"/>
      <name val="Arial"/>
      <family val="2"/>
    </font>
    <font>
      <b/>
      <sz val="10"/>
      <color rgb="FFFF0000"/>
      <name val="Arial"/>
      <family val="2"/>
    </font>
    <font>
      <b/>
      <vertAlign val="superscript"/>
      <sz val="10"/>
      <color rgb="FFFF0000"/>
      <name val="Arial"/>
      <family val="2"/>
    </font>
    <font>
      <sz val="10"/>
      <color theme="0" tint="-0.1499984740745262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9" applyNumberFormat="0" applyAlignment="0" applyProtection="0"/>
    <xf numFmtId="0" fontId="11" fillId="26" borderId="10" applyNumberFormat="0" applyAlignment="0" applyProtection="0"/>
    <xf numFmtId="0" fontId="12" fillId="27" borderId="10" applyNumberFormat="0" applyAlignment="0" applyProtection="0"/>
    <xf numFmtId="0" fontId="13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28" borderId="0" applyNumberFormat="0" applyBorder="0" applyAlignment="0" applyProtection="0"/>
    <xf numFmtId="0" fontId="16" fillId="29" borderId="0" applyNumberFormat="0" applyBorder="0" applyAlignment="0" applyProtection="0"/>
    <xf numFmtId="0" fontId="8" fillId="30" borderId="12" applyNumberFormat="0" applyFont="0" applyAlignment="0" applyProtection="0"/>
    <xf numFmtId="0" fontId="17" fillId="31" borderId="0" applyNumberFormat="0" applyBorder="0" applyAlignment="0" applyProtection="0"/>
    <xf numFmtId="0" fontId="8" fillId="0" borderId="0"/>
    <xf numFmtId="0" fontId="3" fillId="0" borderId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0" borderId="0" applyNumberFormat="0" applyFill="0" applyBorder="0" applyAlignment="0" applyProtection="0"/>
    <xf numFmtId="0" fontId="24" fillId="32" borderId="17" applyNumberFormat="0" applyAlignment="0" applyProtection="0"/>
    <xf numFmtId="0" fontId="1" fillId="0" borderId="0"/>
    <xf numFmtId="0" fontId="3" fillId="0" borderId="0"/>
    <xf numFmtId="0" fontId="3" fillId="0" borderId="0"/>
    <xf numFmtId="0" fontId="2" fillId="0" borderId="0"/>
  </cellStyleXfs>
  <cellXfs count="177">
    <xf numFmtId="0" fontId="0" fillId="0" borderId="0" xfId="0"/>
    <xf numFmtId="0" fontId="2" fillId="0" borderId="0" xfId="47"/>
    <xf numFmtId="0" fontId="5" fillId="0" borderId="0" xfId="47" applyFont="1"/>
    <xf numFmtId="0" fontId="6" fillId="0" borderId="0" xfId="47" applyFont="1"/>
    <xf numFmtId="170" fontId="2" fillId="0" borderId="0" xfId="47" applyNumberFormat="1"/>
    <xf numFmtId="0" fontId="2" fillId="0" borderId="0" xfId="47" applyAlignment="1">
      <alignment horizontal="center"/>
    </xf>
    <xf numFmtId="0" fontId="27" fillId="0" borderId="0" xfId="47" applyFont="1"/>
    <xf numFmtId="166" fontId="2" fillId="0" borderId="0" xfId="47" applyNumberFormat="1"/>
    <xf numFmtId="169" fontId="2" fillId="0" borderId="0" xfId="47" applyNumberFormat="1"/>
    <xf numFmtId="167" fontId="2" fillId="0" borderId="0" xfId="47" applyNumberFormat="1"/>
    <xf numFmtId="0" fontId="2" fillId="0" borderId="0" xfId="47" applyAlignment="1">
      <alignment horizontal="left"/>
    </xf>
    <xf numFmtId="0" fontId="25" fillId="0" borderId="0" xfId="47" applyFont="1" applyAlignment="1">
      <alignment horizontal="center"/>
    </xf>
    <xf numFmtId="0" fontId="2" fillId="0" borderId="6" xfId="47" applyBorder="1"/>
    <xf numFmtId="0" fontId="5" fillId="0" borderId="6" xfId="47" applyFont="1" applyBorder="1" applyAlignment="1">
      <alignment horizontal="center"/>
    </xf>
    <xf numFmtId="0" fontId="2" fillId="0" borderId="6" xfId="47" applyBorder="1" applyAlignment="1">
      <alignment horizontal="left"/>
    </xf>
    <xf numFmtId="0" fontId="5" fillId="0" borderId="6" xfId="47" applyFont="1" applyBorder="1"/>
    <xf numFmtId="0" fontId="2" fillId="0" borderId="6" xfId="47" applyBorder="1" applyAlignment="1">
      <alignment horizontal="center"/>
    </xf>
    <xf numFmtId="0" fontId="2" fillId="0" borderId="7" xfId="47" applyBorder="1" applyAlignment="1">
      <alignment horizontal="center"/>
    </xf>
    <xf numFmtId="0" fontId="6" fillId="0" borderId="7" xfId="47" applyFont="1" applyBorder="1" applyAlignment="1">
      <alignment horizontal="center"/>
    </xf>
    <xf numFmtId="0" fontId="28" fillId="0" borderId="7" xfId="47" applyFont="1" applyBorder="1" applyAlignment="1">
      <alignment horizontal="center"/>
    </xf>
    <xf numFmtId="0" fontId="31" fillId="0" borderId="7" xfId="47" applyFont="1" applyBorder="1" applyAlignment="1">
      <alignment horizontal="center"/>
    </xf>
    <xf numFmtId="0" fontId="33" fillId="0" borderId="7" xfId="47" applyFont="1" applyBorder="1" applyAlignment="1">
      <alignment horizontal="center"/>
    </xf>
    <xf numFmtId="0" fontId="2" fillId="0" borderId="5" xfId="47" applyBorder="1" applyAlignment="1">
      <alignment horizontal="center"/>
    </xf>
    <xf numFmtId="0" fontId="2" fillId="0" borderId="1" xfId="47" applyBorder="1" applyAlignment="1">
      <alignment horizontal="center"/>
    </xf>
    <xf numFmtId="0" fontId="2" fillId="0" borderId="8" xfId="47" applyBorder="1" applyAlignment="1">
      <alignment horizontal="center"/>
    </xf>
    <xf numFmtId="0" fontId="2" fillId="0" borderId="3" xfId="47" applyBorder="1" applyAlignment="1">
      <alignment horizontal="center"/>
    </xf>
    <xf numFmtId="165" fontId="2" fillId="0" borderId="8" xfId="47" applyNumberFormat="1" applyBorder="1" applyAlignment="1">
      <alignment horizontal="center"/>
    </xf>
    <xf numFmtId="166" fontId="2" fillId="0" borderId="8" xfId="47" applyNumberFormat="1" applyBorder="1" applyAlignment="1">
      <alignment horizontal="center"/>
    </xf>
    <xf numFmtId="166" fontId="25" fillId="0" borderId="8" xfId="47" applyNumberFormat="1" applyFont="1" applyBorder="1" applyAlignment="1">
      <alignment horizontal="center"/>
    </xf>
    <xf numFmtId="167" fontId="2" fillId="0" borderId="8" xfId="47" applyNumberFormat="1" applyBorder="1" applyAlignment="1">
      <alignment horizontal="center"/>
    </xf>
    <xf numFmtId="167" fontId="25" fillId="0" borderId="8" xfId="47" applyNumberFormat="1" applyFont="1" applyBorder="1" applyAlignment="1">
      <alignment horizontal="center"/>
    </xf>
    <xf numFmtId="164" fontId="2" fillId="0" borderId="0" xfId="47" applyNumberFormat="1" applyAlignment="1">
      <alignment horizontal="center"/>
    </xf>
    <xf numFmtId="164" fontId="2" fillId="0" borderId="8" xfId="47" applyNumberFormat="1" applyBorder="1" applyAlignment="1">
      <alignment horizontal="center"/>
    </xf>
    <xf numFmtId="168" fontId="2" fillId="0" borderId="8" xfId="47" applyNumberFormat="1" applyBorder="1" applyAlignment="1">
      <alignment horizontal="center"/>
    </xf>
    <xf numFmtId="11" fontId="2" fillId="0" borderId="0" xfId="47" applyNumberFormat="1" applyAlignment="1">
      <alignment horizontal="center"/>
    </xf>
    <xf numFmtId="167" fontId="2" fillId="0" borderId="0" xfId="47" applyNumberFormat="1" applyAlignment="1">
      <alignment horizontal="center"/>
    </xf>
    <xf numFmtId="166" fontId="2" fillId="0" borderId="0" xfId="47" applyNumberFormat="1" applyAlignment="1">
      <alignment horizontal="center"/>
    </xf>
    <xf numFmtId="0" fontId="2" fillId="0" borderId="8" xfId="47" applyBorder="1"/>
    <xf numFmtId="0" fontId="25" fillId="0" borderId="8" xfId="47" applyFont="1" applyBorder="1" applyAlignment="1">
      <alignment horizontal="center"/>
    </xf>
    <xf numFmtId="1" fontId="2" fillId="0" borderId="0" xfId="47" applyNumberFormat="1" applyAlignment="1">
      <alignment horizontal="center"/>
    </xf>
    <xf numFmtId="11" fontId="2" fillId="0" borderId="8" xfId="47" applyNumberFormat="1" applyBorder="1" applyAlignment="1">
      <alignment horizontal="center"/>
    </xf>
    <xf numFmtId="171" fontId="2" fillId="0" borderId="8" xfId="47" applyNumberFormat="1" applyBorder="1" applyAlignment="1">
      <alignment horizontal="center"/>
    </xf>
    <xf numFmtId="171" fontId="2" fillId="0" borderId="0" xfId="47" applyNumberFormat="1" applyAlignment="1">
      <alignment horizontal="center"/>
    </xf>
    <xf numFmtId="172" fontId="2" fillId="0" borderId="8" xfId="47" applyNumberFormat="1" applyBorder="1" applyAlignment="1">
      <alignment horizontal="center"/>
    </xf>
    <xf numFmtId="172" fontId="2" fillId="0" borderId="0" xfId="47" applyNumberFormat="1" applyAlignment="1">
      <alignment horizontal="center"/>
    </xf>
    <xf numFmtId="168" fontId="2" fillId="0" borderId="0" xfId="47" applyNumberFormat="1" applyAlignment="1">
      <alignment horizontal="center"/>
    </xf>
    <xf numFmtId="165" fontId="2" fillId="0" borderId="7" xfId="47" applyNumberFormat="1" applyBorder="1" applyAlignment="1">
      <alignment horizontal="center"/>
    </xf>
    <xf numFmtId="166" fontId="2" fillId="0" borderId="7" xfId="47" applyNumberFormat="1" applyBorder="1" applyAlignment="1">
      <alignment horizontal="center"/>
    </xf>
    <xf numFmtId="166" fontId="2" fillId="0" borderId="1" xfId="47" applyNumberFormat="1" applyBorder="1" applyAlignment="1">
      <alignment horizontal="center"/>
    </xf>
    <xf numFmtId="166" fontId="25" fillId="0" borderId="7" xfId="47" applyNumberFormat="1" applyFont="1" applyBorder="1" applyAlignment="1">
      <alignment horizontal="center"/>
    </xf>
    <xf numFmtId="167" fontId="2" fillId="0" borderId="7" xfId="47" applyNumberFormat="1" applyBorder="1" applyAlignment="1">
      <alignment horizontal="center"/>
    </xf>
    <xf numFmtId="167" fontId="2" fillId="0" borderId="1" xfId="47" applyNumberFormat="1" applyBorder="1" applyAlignment="1">
      <alignment horizontal="center"/>
    </xf>
    <xf numFmtId="167" fontId="25" fillId="0" borderId="7" xfId="47" applyNumberFormat="1" applyFont="1" applyBorder="1" applyAlignment="1">
      <alignment horizontal="center"/>
    </xf>
    <xf numFmtId="11" fontId="2" fillId="0" borderId="7" xfId="47" applyNumberFormat="1" applyBorder="1" applyAlignment="1">
      <alignment horizontal="center"/>
    </xf>
    <xf numFmtId="171" fontId="2" fillId="0" borderId="7" xfId="47" applyNumberFormat="1" applyBorder="1" applyAlignment="1">
      <alignment horizontal="center"/>
    </xf>
    <xf numFmtId="168" fontId="2" fillId="0" borderId="7" xfId="47" applyNumberFormat="1" applyBorder="1" applyAlignment="1">
      <alignment horizontal="center"/>
    </xf>
    <xf numFmtId="171" fontId="2" fillId="0" borderId="1" xfId="47" applyNumberFormat="1" applyBorder="1" applyAlignment="1">
      <alignment horizontal="center"/>
    </xf>
    <xf numFmtId="172" fontId="2" fillId="0" borderId="7" xfId="47" applyNumberFormat="1" applyBorder="1" applyAlignment="1">
      <alignment horizontal="center"/>
    </xf>
    <xf numFmtId="164" fontId="2" fillId="0" borderId="7" xfId="47" applyNumberFormat="1" applyBorder="1" applyAlignment="1">
      <alignment horizontal="center"/>
    </xf>
    <xf numFmtId="171" fontId="2" fillId="0" borderId="2" xfId="47" applyNumberFormat="1" applyBorder="1" applyAlignment="1">
      <alignment horizontal="center"/>
    </xf>
    <xf numFmtId="166" fontId="25" fillId="0" borderId="0" xfId="47" applyNumberFormat="1" applyFont="1" applyAlignment="1">
      <alignment horizontal="center"/>
    </xf>
    <xf numFmtId="0" fontId="6" fillId="0" borderId="0" xfId="47" applyFont="1" applyAlignment="1">
      <alignment horizontal="center"/>
    </xf>
    <xf numFmtId="165" fontId="2" fillId="0" borderId="0" xfId="47" applyNumberFormat="1" applyAlignment="1">
      <alignment horizontal="center"/>
    </xf>
    <xf numFmtId="173" fontId="2" fillId="0" borderId="0" xfId="47" applyNumberFormat="1"/>
    <xf numFmtId="0" fontId="4" fillId="0" borderId="8" xfId="47" applyFont="1" applyBorder="1" applyAlignment="1">
      <alignment horizontal="center"/>
    </xf>
    <xf numFmtId="168" fontId="2" fillId="0" borderId="4" xfId="47" applyNumberFormat="1" applyBorder="1" applyAlignment="1">
      <alignment horizontal="center"/>
    </xf>
    <xf numFmtId="0" fontId="6" fillId="0" borderId="0" xfId="0" applyFont="1"/>
    <xf numFmtId="0" fontId="2" fillId="0" borderId="0" xfId="0" applyFont="1"/>
    <xf numFmtId="10" fontId="2" fillId="0" borderId="0" xfId="47" applyNumberFormat="1" applyAlignment="1">
      <alignment horizontal="center"/>
    </xf>
    <xf numFmtId="174" fontId="2" fillId="0" borderId="0" xfId="47" applyNumberFormat="1" applyAlignment="1">
      <alignment horizontal="center"/>
    </xf>
    <xf numFmtId="175" fontId="2" fillId="0" borderId="0" xfId="47" applyNumberFormat="1" applyAlignment="1">
      <alignment horizontal="center"/>
    </xf>
    <xf numFmtId="176" fontId="2" fillId="0" borderId="0" xfId="47" applyNumberFormat="1" applyAlignment="1">
      <alignment horizontal="center"/>
    </xf>
    <xf numFmtId="177" fontId="2" fillId="0" borderId="0" xfId="47" applyNumberFormat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1" fontId="2" fillId="0" borderId="3" xfId="47" applyNumberFormat="1" applyBorder="1" applyAlignment="1">
      <alignment horizontal="center"/>
    </xf>
    <xf numFmtId="2" fontId="2" fillId="0" borderId="7" xfId="47" applyNumberFormat="1" applyBorder="1" applyAlignment="1">
      <alignment horizontal="center"/>
    </xf>
    <xf numFmtId="2" fontId="2" fillId="0" borderId="8" xfId="47" applyNumberFormat="1" applyBorder="1" applyAlignment="1">
      <alignment horizontal="center"/>
    </xf>
    <xf numFmtId="0" fontId="2" fillId="0" borderId="19" xfId="47" applyBorder="1" applyAlignment="1">
      <alignment horizontal="center"/>
    </xf>
    <xf numFmtId="167" fontId="2" fillId="0" borderId="6" xfId="47" applyNumberFormat="1" applyBorder="1" applyAlignment="1">
      <alignment horizontal="center"/>
    </xf>
    <xf numFmtId="167" fontId="25" fillId="0" borderId="1" xfId="47" applyNumberFormat="1" applyFont="1" applyBorder="1" applyAlignment="1">
      <alignment horizontal="center"/>
    </xf>
    <xf numFmtId="168" fontId="2" fillId="0" borderId="2" xfId="47" applyNumberFormat="1" applyBorder="1" applyAlignment="1">
      <alignment horizontal="center"/>
    </xf>
    <xf numFmtId="11" fontId="2" fillId="0" borderId="1" xfId="47" applyNumberFormat="1" applyBorder="1" applyAlignment="1">
      <alignment horizontal="center"/>
    </xf>
    <xf numFmtId="11" fontId="2" fillId="0" borderId="2" xfId="47" applyNumberFormat="1" applyBorder="1" applyAlignment="1">
      <alignment horizontal="center"/>
    </xf>
    <xf numFmtId="0" fontId="38" fillId="0" borderId="5" xfId="47" applyFont="1" applyBorder="1" applyAlignment="1">
      <alignment horizontal="center"/>
    </xf>
    <xf numFmtId="0" fontId="38" fillId="0" borderId="20" xfId="47" applyFont="1" applyBorder="1" applyAlignment="1">
      <alignment horizontal="center"/>
    </xf>
    <xf numFmtId="0" fontId="2" fillId="0" borderId="21" xfId="47" applyBorder="1" applyAlignment="1">
      <alignment horizontal="center"/>
    </xf>
    <xf numFmtId="165" fontId="2" fillId="0" borderId="21" xfId="47" applyNumberFormat="1" applyBorder="1" applyAlignment="1">
      <alignment horizontal="center"/>
    </xf>
    <xf numFmtId="0" fontId="2" fillId="0" borderId="21" xfId="47" applyBorder="1" applyAlignment="1">
      <alignment horizontal="left"/>
    </xf>
    <xf numFmtId="166" fontId="25" fillId="0" borderId="21" xfId="47" applyNumberFormat="1" applyFont="1" applyBorder="1" applyAlignment="1">
      <alignment horizontal="center"/>
    </xf>
    <xf numFmtId="166" fontId="2" fillId="0" borderId="21" xfId="47" applyNumberFormat="1" applyBorder="1" applyAlignment="1">
      <alignment horizontal="center"/>
    </xf>
    <xf numFmtId="167" fontId="2" fillId="0" borderId="21" xfId="47" applyNumberFormat="1" applyBorder="1" applyAlignment="1">
      <alignment horizontal="center"/>
    </xf>
    <xf numFmtId="167" fontId="2" fillId="0" borderId="21" xfId="47" applyNumberFormat="1" applyBorder="1"/>
    <xf numFmtId="0" fontId="2" fillId="0" borderId="21" xfId="47" applyBorder="1"/>
    <xf numFmtId="11" fontId="2" fillId="0" borderId="21" xfId="47" applyNumberFormat="1" applyBorder="1" applyAlignment="1">
      <alignment horizontal="center"/>
    </xf>
    <xf numFmtId="171" fontId="2" fillId="0" borderId="21" xfId="47" applyNumberFormat="1" applyBorder="1" applyAlignment="1">
      <alignment horizontal="center"/>
    </xf>
    <xf numFmtId="168" fontId="2" fillId="0" borderId="21" xfId="47" applyNumberFormat="1" applyBorder="1" applyAlignment="1">
      <alignment horizontal="center"/>
    </xf>
    <xf numFmtId="172" fontId="2" fillId="0" borderId="21" xfId="47" applyNumberFormat="1" applyBorder="1" applyAlignment="1">
      <alignment horizontal="center"/>
    </xf>
    <xf numFmtId="164" fontId="2" fillId="0" borderId="21" xfId="47" applyNumberFormat="1" applyBorder="1" applyAlignment="1">
      <alignment horizontal="center"/>
    </xf>
    <xf numFmtId="165" fontId="2" fillId="0" borderId="19" xfId="47" applyNumberFormat="1" applyBorder="1" applyAlignment="1">
      <alignment horizontal="center"/>
    </xf>
    <xf numFmtId="166" fontId="2" fillId="0" borderId="19" xfId="47" applyNumberFormat="1" applyBorder="1" applyAlignment="1">
      <alignment horizontal="center"/>
    </xf>
    <xf numFmtId="166" fontId="25" fillId="0" borderId="19" xfId="47" applyNumberFormat="1" applyFont="1" applyBorder="1" applyAlignment="1">
      <alignment horizontal="center"/>
    </xf>
    <xf numFmtId="167" fontId="2" fillId="0" borderId="19" xfId="47" applyNumberFormat="1" applyBorder="1" applyAlignment="1">
      <alignment horizontal="center"/>
    </xf>
    <xf numFmtId="167" fontId="25" fillId="0" borderId="19" xfId="47" applyNumberFormat="1" applyFont="1" applyBorder="1" applyAlignment="1">
      <alignment horizontal="center"/>
    </xf>
    <xf numFmtId="11" fontId="2" fillId="0" borderId="19" xfId="47" applyNumberFormat="1" applyBorder="1" applyAlignment="1">
      <alignment horizontal="center"/>
    </xf>
    <xf numFmtId="171" fontId="2" fillId="0" borderId="6" xfId="47" applyNumberFormat="1" applyBorder="1" applyAlignment="1">
      <alignment horizontal="center"/>
    </xf>
    <xf numFmtId="168" fontId="2" fillId="0" borderId="19" xfId="47" applyNumberFormat="1" applyBorder="1" applyAlignment="1">
      <alignment horizontal="center"/>
    </xf>
    <xf numFmtId="172" fontId="2" fillId="0" borderId="19" xfId="47" applyNumberFormat="1" applyBorder="1" applyAlignment="1">
      <alignment horizontal="center"/>
    </xf>
    <xf numFmtId="164" fontId="2" fillId="0" borderId="19" xfId="47" applyNumberFormat="1" applyBorder="1" applyAlignment="1">
      <alignment horizontal="center"/>
    </xf>
    <xf numFmtId="171" fontId="2" fillId="0" borderId="4" xfId="47" applyNumberFormat="1" applyBorder="1" applyAlignment="1">
      <alignment horizontal="center"/>
    </xf>
    <xf numFmtId="171" fontId="2" fillId="0" borderId="23" xfId="47" applyNumberFormat="1" applyBorder="1" applyAlignment="1">
      <alignment horizontal="center"/>
    </xf>
    <xf numFmtId="171" fontId="2" fillId="0" borderId="22" xfId="47" applyNumberFormat="1" applyBorder="1" applyAlignment="1">
      <alignment horizontal="center"/>
    </xf>
    <xf numFmtId="0" fontId="5" fillId="0" borderId="0" xfId="0" applyFont="1"/>
    <xf numFmtId="11" fontId="2" fillId="0" borderId="0" xfId="47" applyNumberFormat="1"/>
    <xf numFmtId="171" fontId="2" fillId="0" borderId="0" xfId="47" applyNumberForma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1" fillId="0" borderId="0" xfId="47" applyFont="1" applyAlignment="1">
      <alignment horizontal="center"/>
    </xf>
    <xf numFmtId="10" fontId="0" fillId="0" borderId="1" xfId="0" applyNumberFormat="1" applyBorder="1" applyAlignment="1">
      <alignment horizontal="center"/>
    </xf>
    <xf numFmtId="11" fontId="0" fillId="0" borderId="2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11" fontId="0" fillId="0" borderId="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1" fontId="0" fillId="0" borderId="23" xfId="0" applyNumberFormat="1" applyBorder="1" applyAlignment="1">
      <alignment horizontal="center"/>
    </xf>
    <xf numFmtId="0" fontId="31" fillId="0" borderId="0" xfId="47" applyFont="1" applyAlignment="1">
      <alignment horizontal="center"/>
    </xf>
    <xf numFmtId="0" fontId="43" fillId="0" borderId="5" xfId="47" applyFont="1" applyBorder="1" applyAlignment="1">
      <alignment horizontal="center"/>
    </xf>
    <xf numFmtId="0" fontId="43" fillId="0" borderId="7" xfId="47" applyFont="1" applyBorder="1" applyAlignment="1">
      <alignment horizontal="center"/>
    </xf>
    <xf numFmtId="165" fontId="43" fillId="0" borderId="7" xfId="47" applyNumberFormat="1" applyFont="1" applyBorder="1" applyAlignment="1">
      <alignment horizontal="center"/>
    </xf>
    <xf numFmtId="166" fontId="43" fillId="0" borderId="7" xfId="47" applyNumberFormat="1" applyFont="1" applyBorder="1" applyAlignment="1">
      <alignment horizontal="center"/>
    </xf>
    <xf numFmtId="166" fontId="43" fillId="0" borderId="1" xfId="47" applyNumberFormat="1" applyFont="1" applyBorder="1" applyAlignment="1">
      <alignment horizontal="center"/>
    </xf>
    <xf numFmtId="167" fontId="43" fillId="0" borderId="7" xfId="47" applyNumberFormat="1" applyFont="1" applyBorder="1" applyAlignment="1">
      <alignment horizontal="center"/>
    </xf>
    <xf numFmtId="167" fontId="43" fillId="0" borderId="1" xfId="47" applyNumberFormat="1" applyFont="1" applyBorder="1" applyAlignment="1">
      <alignment horizontal="center"/>
    </xf>
    <xf numFmtId="11" fontId="43" fillId="0" borderId="7" xfId="47" applyNumberFormat="1" applyFont="1" applyBorder="1" applyAlignment="1">
      <alignment horizontal="center"/>
    </xf>
    <xf numFmtId="171" fontId="43" fillId="0" borderId="7" xfId="47" applyNumberFormat="1" applyFont="1" applyBorder="1" applyAlignment="1">
      <alignment horizontal="center"/>
    </xf>
    <xf numFmtId="168" fontId="43" fillId="0" borderId="7" xfId="47" applyNumberFormat="1" applyFont="1" applyBorder="1" applyAlignment="1">
      <alignment horizontal="center"/>
    </xf>
    <xf numFmtId="0" fontId="43" fillId="0" borderId="1" xfId="47" applyFont="1" applyBorder="1" applyAlignment="1">
      <alignment horizontal="center"/>
    </xf>
    <xf numFmtId="171" fontId="43" fillId="0" borderId="1" xfId="47" applyNumberFormat="1" applyFont="1" applyBorder="1" applyAlignment="1">
      <alignment horizontal="center"/>
    </xf>
    <xf numFmtId="172" fontId="43" fillId="0" borderId="7" xfId="47" applyNumberFormat="1" applyFont="1" applyBorder="1" applyAlignment="1">
      <alignment horizontal="center"/>
    </xf>
    <xf numFmtId="164" fontId="43" fillId="0" borderId="7" xfId="47" applyNumberFormat="1" applyFont="1" applyBorder="1" applyAlignment="1">
      <alignment horizontal="center"/>
    </xf>
    <xf numFmtId="171" fontId="43" fillId="0" borderId="2" xfId="47" applyNumberFormat="1" applyFont="1" applyBorder="1" applyAlignment="1">
      <alignment horizontal="center"/>
    </xf>
    <xf numFmtId="167" fontId="43" fillId="0" borderId="0" xfId="47" applyNumberFormat="1" applyFont="1" applyAlignment="1">
      <alignment horizontal="center"/>
    </xf>
    <xf numFmtId="164" fontId="43" fillId="0" borderId="0" xfId="47" applyNumberFormat="1" applyFont="1" applyAlignment="1">
      <alignment horizontal="center"/>
    </xf>
    <xf numFmtId="0" fontId="43" fillId="0" borderId="0" xfId="47" applyFont="1" applyAlignment="1">
      <alignment horizontal="center"/>
    </xf>
    <xf numFmtId="0" fontId="43" fillId="0" borderId="8" xfId="47" applyFont="1" applyBorder="1" applyAlignment="1">
      <alignment horizontal="center"/>
    </xf>
    <xf numFmtId="165" fontId="43" fillId="0" borderId="8" xfId="47" applyNumberFormat="1" applyFont="1" applyBorder="1" applyAlignment="1">
      <alignment horizontal="center"/>
    </xf>
    <xf numFmtId="166" fontId="43" fillId="0" borderId="8" xfId="47" applyNumberFormat="1" applyFont="1" applyBorder="1" applyAlignment="1">
      <alignment horizontal="center"/>
    </xf>
    <xf numFmtId="166" fontId="43" fillId="0" borderId="0" xfId="47" applyNumberFormat="1" applyFont="1" applyAlignment="1">
      <alignment horizontal="center"/>
    </xf>
    <xf numFmtId="167" fontId="43" fillId="0" borderId="8" xfId="47" applyNumberFormat="1" applyFont="1" applyBorder="1" applyAlignment="1">
      <alignment horizontal="center"/>
    </xf>
    <xf numFmtId="11" fontId="43" fillId="0" borderId="8" xfId="47" applyNumberFormat="1" applyFont="1" applyBorder="1" applyAlignment="1">
      <alignment horizontal="center"/>
    </xf>
    <xf numFmtId="171" fontId="43" fillId="0" borderId="8" xfId="47" applyNumberFormat="1" applyFont="1" applyBorder="1" applyAlignment="1">
      <alignment horizontal="center"/>
    </xf>
    <xf numFmtId="168" fontId="43" fillId="0" borderId="8" xfId="47" applyNumberFormat="1" applyFont="1" applyBorder="1" applyAlignment="1">
      <alignment horizontal="center"/>
    </xf>
    <xf numFmtId="171" fontId="43" fillId="0" borderId="0" xfId="47" applyNumberFormat="1" applyFont="1" applyAlignment="1">
      <alignment horizontal="center"/>
    </xf>
    <xf numFmtId="172" fontId="43" fillId="0" borderId="8" xfId="47" applyNumberFormat="1" applyFont="1" applyBorder="1" applyAlignment="1">
      <alignment horizontal="center"/>
    </xf>
    <xf numFmtId="164" fontId="43" fillId="0" borderId="8" xfId="47" applyNumberFormat="1" applyFont="1" applyBorder="1" applyAlignment="1">
      <alignment horizontal="center"/>
    </xf>
    <xf numFmtId="171" fontId="43" fillId="0" borderId="4" xfId="47" applyNumberFormat="1" applyFont="1" applyBorder="1" applyAlignment="1">
      <alignment horizontal="center"/>
    </xf>
    <xf numFmtId="0" fontId="43" fillId="0" borderId="21" xfId="47" applyFont="1" applyBorder="1"/>
    <xf numFmtId="0" fontId="43" fillId="0" borderId="21" xfId="47" applyFont="1" applyBorder="1" applyAlignment="1">
      <alignment horizontal="left"/>
    </xf>
    <xf numFmtId="0" fontId="43" fillId="0" borderId="21" xfId="47" applyFont="1" applyBorder="1" applyAlignment="1">
      <alignment horizontal="center"/>
    </xf>
    <xf numFmtId="167" fontId="43" fillId="0" borderId="21" xfId="47" applyNumberFormat="1" applyFont="1" applyBorder="1" applyAlignment="1">
      <alignment horizontal="center"/>
    </xf>
    <xf numFmtId="11" fontId="43" fillId="0" borderId="21" xfId="47" applyNumberFormat="1" applyFont="1" applyBorder="1" applyAlignment="1">
      <alignment horizontal="center"/>
    </xf>
    <xf numFmtId="171" fontId="43" fillId="0" borderId="21" xfId="47" applyNumberFormat="1" applyFont="1" applyBorder="1" applyAlignment="1">
      <alignment horizontal="center"/>
    </xf>
    <xf numFmtId="168" fontId="43" fillId="0" borderId="21" xfId="47" applyNumberFormat="1" applyFont="1" applyBorder="1" applyAlignment="1">
      <alignment horizontal="center"/>
    </xf>
    <xf numFmtId="166" fontId="43" fillId="0" borderId="21" xfId="47" applyNumberFormat="1" applyFont="1" applyBorder="1" applyAlignment="1">
      <alignment horizontal="center"/>
    </xf>
    <xf numFmtId="172" fontId="43" fillId="0" borderId="21" xfId="47" applyNumberFormat="1" applyFont="1" applyBorder="1" applyAlignment="1">
      <alignment horizontal="center"/>
    </xf>
    <xf numFmtId="164" fontId="43" fillId="0" borderId="21" xfId="47" applyNumberFormat="1" applyFont="1" applyBorder="1" applyAlignment="1">
      <alignment horizontal="center"/>
    </xf>
    <xf numFmtId="171" fontId="43" fillId="0" borderId="22" xfId="47" applyNumberFormat="1" applyFont="1" applyBorder="1" applyAlignment="1">
      <alignment horizontal="center"/>
    </xf>
    <xf numFmtId="11" fontId="43" fillId="0" borderId="0" xfId="47" applyNumberFormat="1" applyFont="1"/>
    <xf numFmtId="0" fontId="6" fillId="0" borderId="0" xfId="0" applyFont="1" applyAlignment="1">
      <alignment horizontal="center"/>
    </xf>
    <xf numFmtId="178" fontId="0" fillId="0" borderId="3" xfId="0" applyNumberFormat="1" applyBorder="1" applyAlignment="1">
      <alignment horizontal="center"/>
    </xf>
    <xf numFmtId="177" fontId="0" fillId="0" borderId="5" xfId="0" applyNumberFormat="1" applyBorder="1" applyAlignment="1">
      <alignment horizontal="center"/>
    </xf>
    <xf numFmtId="177" fontId="0" fillId="0" borderId="0" xfId="0" applyNumberFormat="1" applyAlignment="1">
      <alignment horizontal="center"/>
    </xf>
    <xf numFmtId="177" fontId="0" fillId="0" borderId="1" xfId="0" applyNumberFormat="1" applyBorder="1" applyAlignment="1">
      <alignment horizontal="center"/>
    </xf>
    <xf numFmtId="178" fontId="0" fillId="0" borderId="18" xfId="0" applyNumberFormat="1" applyBorder="1" applyAlignment="1">
      <alignment horizontal="center"/>
    </xf>
    <xf numFmtId="177" fontId="0" fillId="0" borderId="6" xfId="0" applyNumberFormat="1" applyBorder="1" applyAlignment="1">
      <alignment horizontal="center"/>
    </xf>
  </cellXfs>
  <cellStyles count="48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rmal 2" xfId="46" xr:uid="{00000000-0005-0000-0000-00001F000000}"/>
    <cellStyle name="Notiz 2" xfId="32" xr:uid="{00000000-0005-0000-0000-000020000000}"/>
    <cellStyle name="Schlecht" xfId="33" builtinId="27" customBuiltin="1"/>
    <cellStyle name="Standard" xfId="0" builtinId="0"/>
    <cellStyle name="Standard 2" xfId="34" xr:uid="{00000000-0005-0000-0000-000023000000}"/>
    <cellStyle name="Standard 2 2" xfId="45" xr:uid="{00000000-0005-0000-0000-000024000000}"/>
    <cellStyle name="Standard 3" xfId="35" xr:uid="{00000000-0005-0000-0000-000025000000}"/>
    <cellStyle name="Standard 3 2" xfId="44" xr:uid="{00000000-0005-0000-0000-000026000000}"/>
    <cellStyle name="Standard 4" xfId="47" xr:uid="{472A294D-8AB0-4A1C-922F-50D1EADE4003}"/>
    <cellStyle name="Überschrift" xfId="36" builtinId="15" customBuiltin="1"/>
    <cellStyle name="Überschrift 1" xfId="37" builtinId="16" customBuiltin="1"/>
    <cellStyle name="Überschrift 2" xfId="38" builtinId="17" customBuiltin="1"/>
    <cellStyle name="Überschrift 3" xfId="39" builtinId="18" customBuiltin="1"/>
    <cellStyle name="Überschrift 4" xfId="40" builtinId="19" customBuiltin="1"/>
    <cellStyle name="Verknüpfte Zelle" xfId="41" builtinId="24" customBuiltin="1"/>
    <cellStyle name="Warnender Text" xfId="42" builtinId="11" customBuiltin="1"/>
    <cellStyle name="Zelle überprüfen" xfId="4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styles" Target="styles.xml"/><Relationship Id="rId5" Type="http://schemas.openxmlformats.org/officeDocument/2006/relationships/worksheet" Target="worksheets/sheet4.xml"/><Relationship Id="rId10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ysClr val="windowText" lastClr="000000"/>
                </a:solidFill>
              </a:rPr>
              <a:t>Si28-33Pr11 V.2.3: dilution</a:t>
            </a:r>
            <a:r>
              <a:rPr lang="de-DE" baseline="0">
                <a:solidFill>
                  <a:sysClr val="windowText" lastClr="000000"/>
                </a:solidFill>
              </a:rPr>
              <a:t> steps</a:t>
            </a:r>
            <a:endParaRPr lang="de-DE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1013 Ohm, 4000 ppm 2023</c:v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'MM 4000 ppm 10^13'!$M$10:$M$15</c:f>
                <c:numCache>
                  <c:formatCode>General</c:formatCode>
                  <c:ptCount val="6"/>
                  <c:pt idx="0">
                    <c:v>5.17E-8</c:v>
                  </c:pt>
                  <c:pt idx="1">
                    <c:v>5.3699999999999998E-8</c:v>
                  </c:pt>
                  <c:pt idx="2">
                    <c:v>5.6500000000000003E-8</c:v>
                  </c:pt>
                  <c:pt idx="3">
                    <c:v>5.1200000000000002E-8</c:v>
                  </c:pt>
                  <c:pt idx="4">
                    <c:v>6.1000000000000004E-8</c:v>
                  </c:pt>
                  <c:pt idx="5">
                    <c:v>5.7700000000000001E-8</c:v>
                  </c:pt>
                </c:numCache>
              </c:numRef>
            </c:plus>
            <c:minus>
              <c:numRef>
                <c:f>'MM 4000 ppm 10^13'!$M$10:$M$15</c:f>
                <c:numCache>
                  <c:formatCode>General</c:formatCode>
                  <c:ptCount val="6"/>
                  <c:pt idx="0">
                    <c:v>5.17E-8</c:v>
                  </c:pt>
                  <c:pt idx="1">
                    <c:v>5.3699999999999998E-8</c:v>
                  </c:pt>
                  <c:pt idx="2">
                    <c:v>5.6500000000000003E-8</c:v>
                  </c:pt>
                  <c:pt idx="3">
                    <c:v>5.1200000000000002E-8</c:v>
                  </c:pt>
                  <c:pt idx="4">
                    <c:v>6.1000000000000004E-8</c:v>
                  </c:pt>
                  <c:pt idx="5">
                    <c:v>5.7700000000000001E-8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xVal>
            <c:numRef>
              <c:f>'MM 4000 ppm 10^13'!$B$10:$B$15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'MM 4000 ppm 10^13'!$L$10:$L$15</c:f>
              <c:numCache>
                <c:formatCode>0.0000000000</c:formatCode>
                <c:ptCount val="6"/>
                <c:pt idx="0">
                  <c:v>27.976950810185844</c:v>
                </c:pt>
                <c:pt idx="1">
                  <c:v>27.976950714639646</c:v>
                </c:pt>
                <c:pt idx="2">
                  <c:v>27.976950779256232</c:v>
                </c:pt>
                <c:pt idx="3">
                  <c:v>27.976950676447132</c:v>
                </c:pt>
                <c:pt idx="4">
                  <c:v>27.976950711634149</c:v>
                </c:pt>
                <c:pt idx="5">
                  <c:v>27.976950951996329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C6-48F2-AC44-325E68796379}"/>
            </c:ext>
          </c:extLst>
        </c:ser>
        <c:ser>
          <c:idx val="2"/>
          <c:order val="1"/>
          <c:tx>
            <c:v>1013 Ohm, 2000 ppm 2023</c:v>
          </c:tx>
          <c:spPr>
            <a:ln w="127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 w="9525">
                <a:noFill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'MM 2000 ppm 10^13'!$M$10:$M$15</c:f>
                <c:numCache>
                  <c:formatCode>General</c:formatCode>
                  <c:ptCount val="6"/>
                  <c:pt idx="0">
                    <c:v>6.1200000000000005E-8</c:v>
                  </c:pt>
                  <c:pt idx="1">
                    <c:v>5.7200000000000003E-8</c:v>
                  </c:pt>
                  <c:pt idx="2">
                    <c:v>5.1900000000000002E-8</c:v>
                  </c:pt>
                  <c:pt idx="3">
                    <c:v>5.0400000000000001E-8</c:v>
                  </c:pt>
                  <c:pt idx="4">
                    <c:v>5.7499999999999999E-8</c:v>
                  </c:pt>
                  <c:pt idx="5">
                    <c:v>5.6599999999999997E-8</c:v>
                  </c:pt>
                </c:numCache>
              </c:numRef>
            </c:plus>
            <c:minus>
              <c:numRef>
                <c:f>'MM 2000 ppm 10^13'!$M$10:$M$15</c:f>
                <c:numCache>
                  <c:formatCode>General</c:formatCode>
                  <c:ptCount val="6"/>
                  <c:pt idx="0">
                    <c:v>6.1200000000000005E-8</c:v>
                  </c:pt>
                  <c:pt idx="1">
                    <c:v>5.7200000000000003E-8</c:v>
                  </c:pt>
                  <c:pt idx="2">
                    <c:v>5.1900000000000002E-8</c:v>
                  </c:pt>
                  <c:pt idx="3">
                    <c:v>5.0400000000000001E-8</c:v>
                  </c:pt>
                  <c:pt idx="4">
                    <c:v>5.7499999999999999E-8</c:v>
                  </c:pt>
                  <c:pt idx="5">
                    <c:v>5.6599999999999997E-8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bg1">
                    <a:lumMod val="65000"/>
                  </a:schemeClr>
                </a:solidFill>
                <a:round/>
              </a:ln>
              <a:effectLst/>
            </c:spPr>
          </c:errBars>
          <c:xVal>
            <c:numRef>
              <c:f>'MM 2000 ppm 10^13'!$B$10:$B$15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'MM 2000 ppm 10^13'!$L$10:$L$15</c:f>
              <c:numCache>
                <c:formatCode>0.0000000000</c:formatCode>
                <c:ptCount val="6"/>
                <c:pt idx="0">
                  <c:v>27.976951190425773</c:v>
                </c:pt>
                <c:pt idx="1">
                  <c:v>27.97695114159589</c:v>
                </c:pt>
                <c:pt idx="2">
                  <c:v>27.976950992130195</c:v>
                </c:pt>
                <c:pt idx="3">
                  <c:v>27.9769508862843</c:v>
                </c:pt>
                <c:pt idx="4">
                  <c:v>27.976950965932414</c:v>
                </c:pt>
                <c:pt idx="5">
                  <c:v>27.976951088296751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C6-48F2-AC44-325E68796379}"/>
            </c:ext>
          </c:extLst>
        </c:ser>
        <c:ser>
          <c:idx val="3"/>
          <c:order val="2"/>
          <c:tx>
            <c:v>1013 Ohm, 1000 ppm 2023</c:v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'MM 1000 ppm 10^13'!$M$10:$M$13</c:f>
                <c:numCache>
                  <c:formatCode>General</c:formatCode>
                  <c:ptCount val="4"/>
                  <c:pt idx="0">
                    <c:v>2.0100000000000001E-7</c:v>
                  </c:pt>
                  <c:pt idx="1">
                    <c:v>5.25E-8</c:v>
                  </c:pt>
                  <c:pt idx="2">
                    <c:v>5.2199999999999998E-8</c:v>
                  </c:pt>
                  <c:pt idx="3">
                    <c:v>5.5299999999999999E-8</c:v>
                  </c:pt>
                </c:numCache>
              </c:numRef>
            </c:plus>
            <c:minus>
              <c:numRef>
                <c:f>'MM 1000 ppm 10^13'!$M$10:$M$13</c:f>
                <c:numCache>
                  <c:formatCode>General</c:formatCode>
                  <c:ptCount val="4"/>
                  <c:pt idx="0">
                    <c:v>2.0100000000000001E-7</c:v>
                  </c:pt>
                  <c:pt idx="1">
                    <c:v>5.25E-8</c:v>
                  </c:pt>
                  <c:pt idx="2">
                    <c:v>5.2199999999999998E-8</c:v>
                  </c:pt>
                  <c:pt idx="3">
                    <c:v>5.5299999999999999E-8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7030A0"/>
                </a:solidFill>
                <a:round/>
              </a:ln>
              <a:effectLst/>
            </c:spPr>
          </c:errBars>
          <c:xVal>
            <c:numRef>
              <c:f>'MM 1000 ppm 10^13'!$B$10:$B$13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'MM 1000 ppm 10^13'!$L$10:$L$13</c:f>
              <c:numCache>
                <c:formatCode>0.0000000000</c:formatCode>
                <c:ptCount val="4"/>
                <c:pt idx="0">
                  <c:v>27.976950228797762</c:v>
                </c:pt>
                <c:pt idx="1">
                  <c:v>27.976950374396463</c:v>
                </c:pt>
                <c:pt idx="2">
                  <c:v>27.976950478299003</c:v>
                </c:pt>
                <c:pt idx="3">
                  <c:v>27.976950438039633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C6-48F2-AC44-325E68796379}"/>
            </c:ext>
          </c:extLst>
        </c:ser>
        <c:ser>
          <c:idx val="0"/>
          <c:order val="3"/>
          <c:tx>
            <c:v>1011 Ohm, 4000 ppm 2020</c:v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'MM 4000 ppm old 10^11'!$M$10:$M$15</c:f>
                <c:numCache>
                  <c:formatCode>General</c:formatCode>
                  <c:ptCount val="6"/>
                  <c:pt idx="0">
                    <c:v>5.54E-8</c:v>
                  </c:pt>
                  <c:pt idx="1">
                    <c:v>1.3199999999999999E-7</c:v>
                  </c:pt>
                  <c:pt idx="2">
                    <c:v>5.8500000000000001E-8</c:v>
                  </c:pt>
                  <c:pt idx="3">
                    <c:v>5.0699999999999997E-8</c:v>
                  </c:pt>
                  <c:pt idx="4">
                    <c:v>7.1200000000000002E-8</c:v>
                  </c:pt>
                  <c:pt idx="5">
                    <c:v>5.2399999999999999E-8</c:v>
                  </c:pt>
                </c:numCache>
              </c:numRef>
            </c:plus>
            <c:minus>
              <c:numRef>
                <c:f>'MM 4000 ppm old 10^11'!$M$10:$M$15</c:f>
                <c:numCache>
                  <c:formatCode>General</c:formatCode>
                  <c:ptCount val="6"/>
                  <c:pt idx="0">
                    <c:v>5.54E-8</c:v>
                  </c:pt>
                  <c:pt idx="1">
                    <c:v>1.3199999999999999E-7</c:v>
                  </c:pt>
                  <c:pt idx="2">
                    <c:v>5.8500000000000001E-8</c:v>
                  </c:pt>
                  <c:pt idx="3">
                    <c:v>5.0699999999999997E-8</c:v>
                  </c:pt>
                  <c:pt idx="4">
                    <c:v>7.1200000000000002E-8</c:v>
                  </c:pt>
                  <c:pt idx="5">
                    <c:v>5.2399999999999999E-8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0070C0"/>
                </a:solidFill>
                <a:round/>
              </a:ln>
              <a:effectLst/>
            </c:spPr>
          </c:errBars>
          <c:xVal>
            <c:numRef>
              <c:f>'MM 4000 ppm old 10^11'!$B$10:$B$15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'MM 4000 ppm old 10^11'!$L$10:$L$15</c:f>
              <c:numCache>
                <c:formatCode>0.0000000000</c:formatCode>
                <c:ptCount val="6"/>
                <c:pt idx="0">
                  <c:v>27.976950677504085</c:v>
                </c:pt>
                <c:pt idx="1">
                  <c:v>27.976950474433465</c:v>
                </c:pt>
                <c:pt idx="2">
                  <c:v>27.976950455582717</c:v>
                </c:pt>
                <c:pt idx="3">
                  <c:v>27.976950357585618</c:v>
                </c:pt>
                <c:pt idx="4">
                  <c:v>27.976950643094028</c:v>
                </c:pt>
                <c:pt idx="5">
                  <c:v>27.976950508133847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DE-4BF9-802F-947D5F8E5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2717512"/>
        <c:axId val="632708872"/>
      </c:scatterChart>
      <c:valAx>
        <c:axId val="632717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ysClr val="windowText" lastClr="000000"/>
                    </a:solidFill>
                  </a:rPr>
                  <a:t>sequence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2708872"/>
        <c:crosses val="autoZero"/>
        <c:crossBetween val="midCat"/>
      </c:valAx>
      <c:valAx>
        <c:axId val="632708872"/>
        <c:scaling>
          <c:orientation val="minMax"/>
          <c:max val="27.976952000000001"/>
          <c:min val="27.9769494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i="1">
                    <a:solidFill>
                      <a:sysClr val="windowText" lastClr="000000"/>
                    </a:solidFill>
                  </a:rPr>
                  <a:t>M</a:t>
                </a:r>
                <a:r>
                  <a:rPr lang="de-DE">
                    <a:solidFill>
                      <a:sysClr val="windowText" lastClr="000000"/>
                    </a:solidFill>
                  </a:rPr>
                  <a:t> / (g/mol)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000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271751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i="1">
                <a:solidFill>
                  <a:sysClr val="windowText" lastClr="000000"/>
                </a:solidFill>
              </a:rPr>
              <a:t>R</a:t>
            </a:r>
            <a:r>
              <a:rPr lang="de-DE">
                <a:solidFill>
                  <a:sysClr val="windowText" lastClr="000000"/>
                </a:solidFill>
              </a:rPr>
              <a:t>: rel. exp. sdv:</a:t>
            </a:r>
            <a:r>
              <a:rPr lang="de-DE" baseline="0">
                <a:solidFill>
                  <a:sysClr val="windowText" lastClr="000000"/>
                </a:solidFill>
              </a:rPr>
              <a:t> 10^11 Ohm vs 10^13 Ohm/dilutions</a:t>
            </a:r>
            <a:endParaRPr lang="de-DE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r_w2</c:v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'sdv V23 all'!$B$6:$B$9</c:f>
              <c:strCache>
                <c:ptCount val="4"/>
                <c:pt idx="0">
                  <c:v>4000 ppm (old)</c:v>
                </c:pt>
                <c:pt idx="1">
                  <c:v>4000 ppm</c:v>
                </c:pt>
                <c:pt idx="2">
                  <c:v>2000 ppm</c:v>
                </c:pt>
                <c:pt idx="3">
                  <c:v>1000 ppm</c:v>
                </c:pt>
              </c:strCache>
            </c:strRef>
          </c:cat>
          <c:val>
            <c:numRef>
              <c:f>'sdv V23 all'!$C$6:$C$9</c:f>
              <c:numCache>
                <c:formatCode>0.0000%</c:formatCode>
                <c:ptCount val="4"/>
                <c:pt idx="0" formatCode="0.000%">
                  <c:v>2.9137767618135353E-4</c:v>
                </c:pt>
                <c:pt idx="1">
                  <c:v>3.0992658368212152E-5</c:v>
                </c:pt>
                <c:pt idx="2">
                  <c:v>2.8056095132831368E-5</c:v>
                </c:pt>
                <c:pt idx="3">
                  <c:v>2.5205757288207159E-5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BA-44E3-8907-16DDF2FCFA72}"/>
            </c:ext>
          </c:extLst>
        </c:ser>
        <c:ser>
          <c:idx val="2"/>
          <c:order val="2"/>
          <c:tx>
            <c:v>r_bx</c:v>
          </c:tx>
          <c:spPr>
            <a:ln w="1270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'sdv V23 all'!$E$6:$E$9</c:f>
              <c:numCache>
                <c:formatCode>0.000%</c:formatCode>
                <c:ptCount val="4"/>
                <c:pt idx="0">
                  <c:v>1.0097560048987685E-4</c:v>
                </c:pt>
                <c:pt idx="1">
                  <c:v>7.8943043170504978E-5</c:v>
                </c:pt>
                <c:pt idx="2">
                  <c:v>1.48116804418567E-4</c:v>
                </c:pt>
                <c:pt idx="3">
                  <c:v>1.0635123513170213E-4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BA-44E3-8907-16DDF2FCF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504464"/>
        <c:axId val="680505184"/>
      </c:lineChart>
      <c:lineChart>
        <c:grouping val="standard"/>
        <c:varyColors val="0"/>
        <c:ser>
          <c:idx val="1"/>
          <c:order val="1"/>
          <c:tx>
            <c:v>r_x</c:v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'sdv V23 all'!$D$6:$D$9</c:f>
              <c:numCache>
                <c:formatCode>0.00%</c:formatCode>
                <c:ptCount val="4"/>
                <c:pt idx="0">
                  <c:v>6.0200347617341754E-3</c:v>
                </c:pt>
                <c:pt idx="1">
                  <c:v>3.7148265318525543E-3</c:v>
                </c:pt>
                <c:pt idx="2">
                  <c:v>3.3273595575345331E-3</c:v>
                </c:pt>
                <c:pt idx="3">
                  <c:v>4.1857836772307552E-3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BA-44E3-8907-16DDF2FCF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465944"/>
        <c:axId val="680465584"/>
      </c:lineChart>
      <c:catAx>
        <c:axId val="6805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sample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0505184"/>
        <c:crosses val="autoZero"/>
        <c:auto val="1"/>
        <c:lblAlgn val="ctr"/>
        <c:lblOffset val="100"/>
        <c:noMultiLvlLbl val="0"/>
      </c:catAx>
      <c:valAx>
        <c:axId val="680505184"/>
        <c:scaling>
          <c:orientation val="minMax"/>
          <c:max val="4.0000000000000013E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ysClr val="windowText" lastClr="000000"/>
                    </a:solidFill>
                  </a:rPr>
                  <a:t>rel. exp. sdv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0504464"/>
        <c:crosses val="autoZero"/>
        <c:crossBetween val="between"/>
      </c:valAx>
      <c:valAx>
        <c:axId val="680465584"/>
        <c:scaling>
          <c:orientation val="minMax"/>
          <c:max val="7.0000000000000019E-3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0465944"/>
        <c:crosses val="max"/>
        <c:crossBetween val="between"/>
      </c:valAx>
      <c:catAx>
        <c:axId val="680465944"/>
        <c:scaling>
          <c:orientation val="minMax"/>
        </c:scaling>
        <c:delete val="1"/>
        <c:axPos val="b"/>
        <c:majorTickMark val="out"/>
        <c:minorTickMark val="none"/>
        <c:tickLblPos val="nextTo"/>
        <c:crossAx val="680465584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ysClr val="windowText" lastClr="000000"/>
                </a:solidFill>
              </a:rPr>
              <a:t>DoE all</a:t>
            </a:r>
            <a:r>
              <a:rPr lang="de-DE" baseline="0">
                <a:solidFill>
                  <a:sysClr val="windowText" lastClr="000000"/>
                </a:solidFill>
              </a:rPr>
              <a:t> (wo scattering)</a:t>
            </a:r>
            <a:endParaRPr lang="de-DE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('MM DoE all'!$X$10:$X$15,'MM DoE all'!$X$17:$X$22,'MM DoE all'!$X$24:$X$29,'MM DoE all'!$X$31:$X$34)</c:f>
                <c:numCache>
                  <c:formatCode>General</c:formatCode>
                  <c:ptCount val="22"/>
                  <c:pt idx="0">
                    <c:v>1.9085449518765162E-7</c:v>
                  </c:pt>
                  <c:pt idx="1">
                    <c:v>3.0634098376373562E-7</c:v>
                  </c:pt>
                  <c:pt idx="2">
                    <c:v>1.9451940348801539E-7</c:v>
                  </c:pt>
                  <c:pt idx="3">
                    <c:v>1.8555527029252854E-7</c:v>
                  </c:pt>
                  <c:pt idx="4">
                    <c:v>2.107760857719237E-7</c:v>
                  </c:pt>
                  <c:pt idx="5">
                    <c:v>1.8743489091770864E-7</c:v>
                  </c:pt>
                  <c:pt idx="6">
                    <c:v>1.8665572140530097E-7</c:v>
                  </c:pt>
                  <c:pt idx="7">
                    <c:v>1.8890092200233785E-7</c:v>
                  </c:pt>
                  <c:pt idx="8">
                    <c:v>1.9214004874916977E-7</c:v>
                  </c:pt>
                  <c:pt idx="9">
                    <c:v>1.8610362256907664E-7</c:v>
                  </c:pt>
                  <c:pt idx="10">
                    <c:v>1.9756719953811497E-7</c:v>
                  </c:pt>
                  <c:pt idx="11">
                    <c:v>1.9356125214859852E-7</c:v>
                  </c:pt>
                  <c:pt idx="12">
                    <c:v>1.9781445430840825E-7</c:v>
                  </c:pt>
                  <c:pt idx="13">
                    <c:v>1.929667285656606E-7</c:v>
                  </c:pt>
                  <c:pt idx="14">
                    <c:v>1.8687760254598015E-7</c:v>
                  </c:pt>
                  <c:pt idx="15">
                    <c:v>1.8522807112674185E-7</c:v>
                  </c:pt>
                  <c:pt idx="16">
                    <c:v>1.9332304139272519E-7</c:v>
                  </c:pt>
                  <c:pt idx="17">
                    <c:v>1.9225773933273358E-7</c:v>
                  </c:pt>
                  <c:pt idx="18">
                    <c:v>4.3099048520046626E-7</c:v>
                  </c:pt>
                  <c:pt idx="19">
                    <c:v>1.8754678971748178E-7</c:v>
                  </c:pt>
                  <c:pt idx="20">
                    <c:v>1.8721153365466917E-7</c:v>
                  </c:pt>
                  <c:pt idx="21">
                    <c:v>1.9073845530813479E-7</c:v>
                  </c:pt>
                </c:numCache>
              </c:numRef>
            </c:plus>
            <c:minus>
              <c:numRef>
                <c:f>('MM DoE all'!$X$10:$X$15,'MM DoE all'!$X$17:$X$22,'MM DoE all'!$X$24:$X$29,'MM DoE all'!$X$31:$X$34)</c:f>
                <c:numCache>
                  <c:formatCode>General</c:formatCode>
                  <c:ptCount val="22"/>
                  <c:pt idx="0">
                    <c:v>1.9085449518765162E-7</c:v>
                  </c:pt>
                  <c:pt idx="1">
                    <c:v>3.0634098376373562E-7</c:v>
                  </c:pt>
                  <c:pt idx="2">
                    <c:v>1.9451940348801539E-7</c:v>
                  </c:pt>
                  <c:pt idx="3">
                    <c:v>1.8555527029252854E-7</c:v>
                  </c:pt>
                  <c:pt idx="4">
                    <c:v>2.107760857719237E-7</c:v>
                  </c:pt>
                  <c:pt idx="5">
                    <c:v>1.8743489091770864E-7</c:v>
                  </c:pt>
                  <c:pt idx="6">
                    <c:v>1.8665572140530097E-7</c:v>
                  </c:pt>
                  <c:pt idx="7">
                    <c:v>1.8890092200233785E-7</c:v>
                  </c:pt>
                  <c:pt idx="8">
                    <c:v>1.9214004874916977E-7</c:v>
                  </c:pt>
                  <c:pt idx="9">
                    <c:v>1.8610362256907664E-7</c:v>
                  </c:pt>
                  <c:pt idx="10">
                    <c:v>1.9756719953811497E-7</c:v>
                  </c:pt>
                  <c:pt idx="11">
                    <c:v>1.9356125214859852E-7</c:v>
                  </c:pt>
                  <c:pt idx="12">
                    <c:v>1.9781445430840825E-7</c:v>
                  </c:pt>
                  <c:pt idx="13">
                    <c:v>1.929667285656606E-7</c:v>
                  </c:pt>
                  <c:pt idx="14">
                    <c:v>1.8687760254598015E-7</c:v>
                  </c:pt>
                  <c:pt idx="15">
                    <c:v>1.8522807112674185E-7</c:v>
                  </c:pt>
                  <c:pt idx="16">
                    <c:v>1.9332304139272519E-7</c:v>
                  </c:pt>
                  <c:pt idx="17">
                    <c:v>1.9225773933273358E-7</c:v>
                  </c:pt>
                  <c:pt idx="18">
                    <c:v>4.3099048520046626E-7</c:v>
                  </c:pt>
                  <c:pt idx="19">
                    <c:v>1.8754678971748178E-7</c:v>
                  </c:pt>
                  <c:pt idx="20">
                    <c:v>1.8721153365466917E-7</c:v>
                  </c:pt>
                  <c:pt idx="21">
                    <c:v>1.9073845530813479E-7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('MM DoE all'!$W$10:$W$15,'MM DoE all'!$W$17:$W$22,'MM DoE all'!$W$24:$W$29,'MM DoE all'!$W$31:$W$34)</c:f>
              <c:numCache>
                <c:formatCode>0.0000000000</c:formatCode>
                <c:ptCount val="22"/>
                <c:pt idx="0">
                  <c:v>-2.2533939159075089E-9</c:v>
                </c:pt>
                <c:pt idx="1">
                  <c:v>-2.053240173438553E-7</c:v>
                </c:pt>
                <c:pt idx="2">
                  <c:v>-2.2417476230884859E-7</c:v>
                </c:pt>
                <c:pt idx="3">
                  <c:v>-3.2217186074490201E-7</c:v>
                </c:pt>
                <c:pt idx="4">
                  <c:v>-3.6663454494600956E-8</c:v>
                </c:pt>
                <c:pt idx="5">
                  <c:v>-1.7162363263878433E-7</c:v>
                </c:pt>
                <c:pt idx="6">
                  <c:v>1.3096846274152085E-7</c:v>
                </c:pt>
                <c:pt idx="7">
                  <c:v>3.5422264232920497E-8</c:v>
                </c:pt>
                <c:pt idx="8">
                  <c:v>1.0003885009268743E-7</c:v>
                </c:pt>
                <c:pt idx="9">
                  <c:v>-2.7702498073267634E-9</c:v>
                </c:pt>
                <c:pt idx="10">
                  <c:v>3.241676793663828E-8</c:v>
                </c:pt>
                <c:pt idx="11">
                  <c:v>2.7277894787403056E-7</c:v>
                </c:pt>
                <c:pt idx="12">
                  <c:v>5.1120839117402284E-7</c:v>
                </c:pt>
                <c:pt idx="13">
                  <c:v>4.6237850881425402E-7</c:v>
                </c:pt>
                <c:pt idx="14">
                  <c:v>3.1291281388234893E-7</c:v>
                </c:pt>
                <c:pt idx="15">
                  <c:v>2.0706691827854229E-7</c:v>
                </c:pt>
                <c:pt idx="16">
                  <c:v>2.8671503216060046E-7</c:v>
                </c:pt>
                <c:pt idx="17">
                  <c:v>4.0907936948997303E-7</c:v>
                </c:pt>
                <c:pt idx="18">
                  <c:v>-4.5041961982406065E-7</c:v>
                </c:pt>
                <c:pt idx="19">
                  <c:v>-3.0482091872841011E-7</c:v>
                </c:pt>
                <c:pt idx="20">
                  <c:v>-2.0091837882318941E-7</c:v>
                </c:pt>
                <c:pt idx="21">
                  <c:v>-2.4117774799492508E-7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4E-4998-A072-AE99A172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246528"/>
        <c:axId val="733248688"/>
      </c:lineChart>
      <c:catAx>
        <c:axId val="7332465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3248688"/>
        <c:crosses val="autoZero"/>
        <c:auto val="1"/>
        <c:lblAlgn val="ctr"/>
        <c:lblOffset val="100"/>
        <c:noMultiLvlLbl val="0"/>
      </c:catAx>
      <c:valAx>
        <c:axId val="733248688"/>
        <c:scaling>
          <c:orientation val="minMax"/>
          <c:max val="1.0000000000000004E-6"/>
          <c:min val="-1.0000000000000004E-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3246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ysClr val="windowText" lastClr="000000"/>
                </a:solidFill>
              </a:rPr>
              <a:t>DoE all (w scattering)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('MM DoE all'!$AC$10:$AC$15,'MM DoE all'!$AC$17:$AC$22,'MM DoE all'!$AC$24:$AC$29,'MM DoE all'!$AC$31:$AC$34)</c:f>
                <c:numCache>
                  <c:formatCode>General</c:formatCode>
                  <c:ptCount val="22"/>
                  <c:pt idx="0">
                    <c:v>3.4938109470704039E-7</c:v>
                  </c:pt>
                  <c:pt idx="1">
                    <c:v>4.2262412299665283E-7</c:v>
                  </c:pt>
                  <c:pt idx="2">
                    <c:v>3.4844820180148715E-7</c:v>
                  </c:pt>
                  <c:pt idx="3">
                    <c:v>3.4630505243020918E-7</c:v>
                  </c:pt>
                  <c:pt idx="4">
                    <c:v>3.6065827224491876E-7</c:v>
                  </c:pt>
                  <c:pt idx="5">
                    <c:v>3.4718149337009588E-7</c:v>
                  </c:pt>
                  <c:pt idx="6">
                    <c:v>3.4718149337009588E-7</c:v>
                  </c:pt>
                  <c:pt idx="7">
                    <c:v>3.4706326417339238E-7</c:v>
                  </c:pt>
                  <c:pt idx="8">
                    <c:v>3.4944411475755305E-7</c:v>
                  </c:pt>
                  <c:pt idx="9">
                    <c:v>3.465945604574456E-7</c:v>
                  </c:pt>
                  <c:pt idx="10">
                    <c:v>3.4869469359124166E-7</c:v>
                  </c:pt>
                  <c:pt idx="11">
                    <c:v>3.4820337353146067E-7</c:v>
                  </c:pt>
                  <c:pt idx="12">
                    <c:v>3.5125032290190128E-7</c:v>
                  </c:pt>
                  <c:pt idx="13">
                    <c:v>3.4888065199820113E-7</c:v>
                  </c:pt>
                  <c:pt idx="14">
                    <c:v>3.4694545585536918E-7</c:v>
                  </c:pt>
                  <c:pt idx="15">
                    <c:v>3.4653644734528277E-7</c:v>
                  </c:pt>
                  <c:pt idx="16">
                    <c:v>3.4789968286661301E-7</c:v>
                  </c:pt>
                  <c:pt idx="17">
                    <c:v>3.4777893745695687E-7</c:v>
                  </c:pt>
                  <c:pt idx="18">
                    <c:v>4.105254551653161E-7</c:v>
                  </c:pt>
                  <c:pt idx="19">
                    <c:v>3.4718149337009588E-7</c:v>
                  </c:pt>
                  <c:pt idx="20">
                    <c:v>3.4730014301564855E-7</c:v>
                  </c:pt>
                  <c:pt idx="21">
                    <c:v>3.4730014301564855E-7</c:v>
                  </c:pt>
                </c:numCache>
              </c:numRef>
            </c:plus>
            <c:minus>
              <c:numRef>
                <c:f>('MM DoE all'!$AC$10:$AC$15,'MM DoE all'!$AC$17:$AC$22,'MM DoE all'!$AC$24:$AC$29,'MM DoE all'!$AC$31:$AC$34)</c:f>
                <c:numCache>
                  <c:formatCode>General</c:formatCode>
                  <c:ptCount val="22"/>
                  <c:pt idx="0">
                    <c:v>3.4938109470704039E-7</c:v>
                  </c:pt>
                  <c:pt idx="1">
                    <c:v>4.2262412299665283E-7</c:v>
                  </c:pt>
                  <c:pt idx="2">
                    <c:v>3.4844820180148715E-7</c:v>
                  </c:pt>
                  <c:pt idx="3">
                    <c:v>3.4630505243020918E-7</c:v>
                  </c:pt>
                  <c:pt idx="4">
                    <c:v>3.6065827224491876E-7</c:v>
                  </c:pt>
                  <c:pt idx="5">
                    <c:v>3.4718149337009588E-7</c:v>
                  </c:pt>
                  <c:pt idx="6">
                    <c:v>3.4718149337009588E-7</c:v>
                  </c:pt>
                  <c:pt idx="7">
                    <c:v>3.4706326417339238E-7</c:v>
                  </c:pt>
                  <c:pt idx="8">
                    <c:v>3.4944411475755305E-7</c:v>
                  </c:pt>
                  <c:pt idx="9">
                    <c:v>3.465945604574456E-7</c:v>
                  </c:pt>
                  <c:pt idx="10">
                    <c:v>3.4869469359124166E-7</c:v>
                  </c:pt>
                  <c:pt idx="11">
                    <c:v>3.4820337353146067E-7</c:v>
                  </c:pt>
                  <c:pt idx="12">
                    <c:v>3.5125032290190128E-7</c:v>
                  </c:pt>
                  <c:pt idx="13">
                    <c:v>3.4888065199820113E-7</c:v>
                  </c:pt>
                  <c:pt idx="14">
                    <c:v>3.4694545585536918E-7</c:v>
                  </c:pt>
                  <c:pt idx="15">
                    <c:v>3.4653644734528277E-7</c:v>
                  </c:pt>
                  <c:pt idx="16">
                    <c:v>3.4789968286661301E-7</c:v>
                  </c:pt>
                  <c:pt idx="17">
                    <c:v>3.4777893745695687E-7</c:v>
                  </c:pt>
                  <c:pt idx="18">
                    <c:v>4.105254551653161E-7</c:v>
                  </c:pt>
                  <c:pt idx="19">
                    <c:v>3.4718149337009588E-7</c:v>
                  </c:pt>
                  <c:pt idx="20">
                    <c:v>3.4730014301564855E-7</c:v>
                  </c:pt>
                  <c:pt idx="21">
                    <c:v>3.4730014301564855E-7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yVal>
            <c:numRef>
              <c:f>('MM DoE all'!$W$10:$W$15,'MM DoE all'!$W$17:$W$22,'MM DoE all'!$W$24:$W$29,'MM DoE all'!$W$31:$W$34)</c:f>
              <c:numCache>
                <c:formatCode>0.0000000000</c:formatCode>
                <c:ptCount val="22"/>
                <c:pt idx="0">
                  <c:v>-2.2533939159075089E-9</c:v>
                </c:pt>
                <c:pt idx="1">
                  <c:v>-2.053240173438553E-7</c:v>
                </c:pt>
                <c:pt idx="2">
                  <c:v>-2.2417476230884859E-7</c:v>
                </c:pt>
                <c:pt idx="3">
                  <c:v>-3.2217186074490201E-7</c:v>
                </c:pt>
                <c:pt idx="4">
                  <c:v>-3.6663454494600956E-8</c:v>
                </c:pt>
                <c:pt idx="5">
                  <c:v>-1.7162363263878433E-7</c:v>
                </c:pt>
                <c:pt idx="6">
                  <c:v>1.3096846274152085E-7</c:v>
                </c:pt>
                <c:pt idx="7">
                  <c:v>3.5422264232920497E-8</c:v>
                </c:pt>
                <c:pt idx="8">
                  <c:v>1.0003885009268743E-7</c:v>
                </c:pt>
                <c:pt idx="9">
                  <c:v>-2.7702498073267634E-9</c:v>
                </c:pt>
                <c:pt idx="10">
                  <c:v>3.241676793663828E-8</c:v>
                </c:pt>
                <c:pt idx="11">
                  <c:v>2.7277894787403056E-7</c:v>
                </c:pt>
                <c:pt idx="12">
                  <c:v>5.1120839117402284E-7</c:v>
                </c:pt>
                <c:pt idx="13">
                  <c:v>4.6237850881425402E-7</c:v>
                </c:pt>
                <c:pt idx="14">
                  <c:v>3.1291281388234893E-7</c:v>
                </c:pt>
                <c:pt idx="15">
                  <c:v>2.0706691827854229E-7</c:v>
                </c:pt>
                <c:pt idx="16">
                  <c:v>2.8671503216060046E-7</c:v>
                </c:pt>
                <c:pt idx="17">
                  <c:v>4.0907936948997303E-7</c:v>
                </c:pt>
                <c:pt idx="18">
                  <c:v>-4.5041961982406065E-7</c:v>
                </c:pt>
                <c:pt idx="19">
                  <c:v>-3.0482091872841011E-7</c:v>
                </c:pt>
                <c:pt idx="20">
                  <c:v>-2.0091837882318941E-7</c:v>
                </c:pt>
                <c:pt idx="21">
                  <c:v>-2.4117774799492508E-7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FB7-4D63-89A4-3CE51D5C8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653152"/>
        <c:axId val="746657112"/>
      </c:scatterChart>
      <c:valAx>
        <c:axId val="746653152"/>
        <c:scaling>
          <c:orientation val="minMax"/>
          <c:max val="2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46657112"/>
        <c:crosses val="autoZero"/>
        <c:crossBetween val="midCat"/>
      </c:valAx>
      <c:valAx>
        <c:axId val="746657112"/>
        <c:scaling>
          <c:orientation val="minMax"/>
          <c:max val="1.0000000000000004E-6"/>
          <c:min val="-1.0000000000000004E-6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46653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ysClr val="windowText" lastClr="000000"/>
                </a:solidFill>
              </a:rPr>
              <a:t>DoE all</a:t>
            </a:r>
            <a:r>
              <a:rPr lang="de-DE" baseline="0">
                <a:solidFill>
                  <a:sysClr val="windowText" lastClr="000000"/>
                </a:solidFill>
              </a:rPr>
              <a:t> (wo scattering)</a:t>
            </a:r>
            <a:endParaRPr lang="de-DE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('MM DoE all wo 2000 ppm'!$X$10:$X$15,'MM DoE all wo 2000 ppm'!$X$17:$X$22,'MM DoE all wo 2000 ppm'!$X$24:$X$29,'MM DoE all wo 2000 ppm'!$X$31:$X$34)</c:f>
                <c:numCache>
                  <c:formatCode>General</c:formatCode>
                  <c:ptCount val="22"/>
                  <c:pt idx="0">
                    <c:v>2.007634373529647E-7</c:v>
                  </c:pt>
                  <c:pt idx="1">
                    <c:v>3.1261048891196497E-7</c:v>
                  </c:pt>
                  <c:pt idx="2">
                    <c:v>2.0425062491404469E-7</c:v>
                  </c:pt>
                  <c:pt idx="3">
                    <c:v>1.9573266916326916E-7</c:v>
                  </c:pt>
                  <c:pt idx="4">
                    <c:v>2.197887116704991E-7</c:v>
                  </c:pt>
                  <c:pt idx="5">
                    <c:v>1.9751546212329246E-7</c:v>
                  </c:pt>
                  <c:pt idx="6">
                    <c:v>1.9677621242868199E-7</c:v>
                  </c:pt>
                  <c:pt idx="7">
                    <c:v>1.9890720896382257E-7</c:v>
                  </c:pt>
                  <c:pt idx="8">
                    <c:v>2.0198593460381786E-7</c:v>
                  </c:pt>
                  <c:pt idx="9">
                    <c:v>1.9625258667792836E-7</c:v>
                  </c:pt>
                  <c:pt idx="10">
                    <c:v>2.0715529869587642E-7</c:v>
                  </c:pt>
                  <c:pt idx="11">
                    <c:v>2.0333833327185944E-7</c:v>
                  </c:pt>
                  <c:pt idx="12">
                    <c:v>2.0739112270726002E-7</c:v>
                  </c:pt>
                  <c:pt idx="13">
                    <c:v>2.0277247786072393E-7</c:v>
                  </c:pt>
                  <c:pt idx="14">
                    <c:v>1.9698669441811999E-7</c:v>
                  </c:pt>
                  <c:pt idx="15">
                    <c:v>1.9542251092895563E-7</c:v>
                  </c:pt>
                  <c:pt idx="16">
                    <c:v>2.0311158947184128E-7</c:v>
                  </c:pt>
                  <c:pt idx="17">
                    <c:v>2.0209789157182659E-7</c:v>
                  </c:pt>
                  <c:pt idx="18">
                    <c:v>4.3546907786635986E-7</c:v>
                  </c:pt>
                  <c:pt idx="19">
                    <c:v>1.9762165310961698E-7</c:v>
                  </c:pt>
                  <c:pt idx="20">
                    <c:v>1.9730351689155919E-7</c:v>
                  </c:pt>
                  <c:pt idx="21">
                    <c:v>2.0065312800397052E-7</c:v>
                  </c:pt>
                </c:numCache>
              </c:numRef>
            </c:plus>
            <c:minus>
              <c:numRef>
                <c:f>('MM DoE all wo 2000 ppm'!$X$10:$X$15,'MM DoE all wo 2000 ppm'!$X$17:$X$22,'MM DoE all wo 2000 ppm'!$X$24:$X$29,'MM DoE all wo 2000 ppm'!$X$31:$X$34)</c:f>
                <c:numCache>
                  <c:formatCode>General</c:formatCode>
                  <c:ptCount val="22"/>
                  <c:pt idx="0">
                    <c:v>2.007634373529647E-7</c:v>
                  </c:pt>
                  <c:pt idx="1">
                    <c:v>3.1261048891196497E-7</c:v>
                  </c:pt>
                  <c:pt idx="2">
                    <c:v>2.0425062491404469E-7</c:v>
                  </c:pt>
                  <c:pt idx="3">
                    <c:v>1.9573266916326916E-7</c:v>
                  </c:pt>
                  <c:pt idx="4">
                    <c:v>2.197887116704991E-7</c:v>
                  </c:pt>
                  <c:pt idx="5">
                    <c:v>1.9751546212329246E-7</c:v>
                  </c:pt>
                  <c:pt idx="6">
                    <c:v>1.9677621242868199E-7</c:v>
                  </c:pt>
                  <c:pt idx="7">
                    <c:v>1.9890720896382257E-7</c:v>
                  </c:pt>
                  <c:pt idx="8">
                    <c:v>2.0198593460381786E-7</c:v>
                  </c:pt>
                  <c:pt idx="9">
                    <c:v>1.9625258667792836E-7</c:v>
                  </c:pt>
                  <c:pt idx="10">
                    <c:v>2.0715529869587642E-7</c:v>
                  </c:pt>
                  <c:pt idx="11">
                    <c:v>2.0333833327185944E-7</c:v>
                  </c:pt>
                  <c:pt idx="12">
                    <c:v>2.0739112270726002E-7</c:v>
                  </c:pt>
                  <c:pt idx="13">
                    <c:v>2.0277247786072393E-7</c:v>
                  </c:pt>
                  <c:pt idx="14">
                    <c:v>1.9698669441811999E-7</c:v>
                  </c:pt>
                  <c:pt idx="15">
                    <c:v>1.9542251092895563E-7</c:v>
                  </c:pt>
                  <c:pt idx="16">
                    <c:v>2.0311158947184128E-7</c:v>
                  </c:pt>
                  <c:pt idx="17">
                    <c:v>2.0209789157182659E-7</c:v>
                  </c:pt>
                  <c:pt idx="18">
                    <c:v>4.3546907786635986E-7</c:v>
                  </c:pt>
                  <c:pt idx="19">
                    <c:v>1.9762165310961698E-7</c:v>
                  </c:pt>
                  <c:pt idx="20">
                    <c:v>1.9730351689155919E-7</c:v>
                  </c:pt>
                  <c:pt idx="21">
                    <c:v>2.0065312800397052E-7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('MM DoE all wo 2000 ppm'!$W$10:$W$15,'MM DoE all wo 2000 ppm'!$W$17:$W$22,'MM DoE all wo 2000 ppm'!$W$24:$W$29,'MM DoE all wo 2000 ppm'!$W$31:$W$34)</c:f>
              <c:numCache>
                <c:formatCode>0.0000000000</c:formatCode>
                <c:ptCount val="22"/>
                <c:pt idx="0">
                  <c:v>1.1937777699699836E-7</c:v>
                </c:pt>
                <c:pt idx="1">
                  <c:v>-8.369284643094943E-8</c:v>
                </c:pt>
                <c:pt idx="2">
                  <c:v>-1.0254359139594271E-7</c:v>
                </c:pt>
                <c:pt idx="3">
                  <c:v>-2.0054068983199613E-7</c:v>
                </c:pt>
                <c:pt idx="4">
                  <c:v>8.4967716418304917E-8</c:v>
                </c:pt>
                <c:pt idx="5">
                  <c:v>-4.9992461725878456E-8</c:v>
                </c:pt>
                <c:pt idx="6">
                  <c:v>2.5259963365442673E-7</c:v>
                </c:pt>
                <c:pt idx="7">
                  <c:v>1.5705343514582637E-7</c:v>
                </c:pt>
                <c:pt idx="8">
                  <c:v>2.216700210055933E-7</c:v>
                </c:pt>
                <c:pt idx="9">
                  <c:v>1.1886092110557911E-7</c:v>
                </c:pt>
                <c:pt idx="10">
                  <c:v>1.5404793884954415E-7</c:v>
                </c:pt>
                <c:pt idx="11">
                  <c:v>3.9441011878693644E-7</c:v>
                </c:pt>
                <c:pt idx="12">
                  <c:v>6.3283956208692871E-7</c:v>
                </c:pt>
                <c:pt idx="13">
                  <c:v>5.8400967972715989E-7</c:v>
                </c:pt>
                <c:pt idx="14">
                  <c:v>4.345439847952548E-7</c:v>
                </c:pt>
                <c:pt idx="15">
                  <c:v>3.2869808919144816E-7</c:v>
                </c:pt>
                <c:pt idx="16">
                  <c:v>4.0834620307350633E-7</c:v>
                </c:pt>
                <c:pt idx="17">
                  <c:v>5.3071054040287891E-7</c:v>
                </c:pt>
                <c:pt idx="18">
                  <c:v>-3.2878844891115477E-7</c:v>
                </c:pt>
                <c:pt idx="19">
                  <c:v>-1.8318974781550423E-7</c:v>
                </c:pt>
                <c:pt idx="20">
                  <c:v>-7.9287207910283541E-8</c:v>
                </c:pt>
                <c:pt idx="21">
                  <c:v>-1.1954657708201921E-7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21-4039-A99A-5F0356AEC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246528"/>
        <c:axId val="733248688"/>
      </c:lineChart>
      <c:catAx>
        <c:axId val="7332465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3248688"/>
        <c:crosses val="autoZero"/>
        <c:auto val="1"/>
        <c:lblAlgn val="ctr"/>
        <c:lblOffset val="100"/>
        <c:noMultiLvlLbl val="0"/>
      </c:catAx>
      <c:valAx>
        <c:axId val="733248688"/>
        <c:scaling>
          <c:orientation val="minMax"/>
          <c:max val="1.0000000000000004E-6"/>
          <c:min val="-1.0000000000000004E-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33246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ysClr val="windowText" lastClr="000000"/>
                </a:solidFill>
              </a:rPr>
              <a:t>DoE all (w scattering)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('MM DoE all wo 2000 ppm'!$AC$10:$AC$15,'MM DoE all wo 2000 ppm'!$AC$17:$AC$22,'MM DoE all wo 2000 ppm'!$AC$24:$AC$29,'MM DoE all wo 2000 ppm'!$AC$31:$AC$34)</c:f>
                <c:numCache>
                  <c:formatCode>General</c:formatCode>
                  <c:ptCount val="22"/>
                  <c:pt idx="0">
                    <c:v>3.0563522268269501E-7</c:v>
                  </c:pt>
                  <c:pt idx="1">
                    <c:v>3.8724267500406071E-7</c:v>
                  </c:pt>
                  <c:pt idx="2">
                    <c:v>3.0456836563290776E-7</c:v>
                  </c:pt>
                  <c:pt idx="3">
                    <c:v>3.0211409987668661E-7</c:v>
                  </c:pt>
                  <c:pt idx="4">
                    <c:v>3.1846527180259481E-7</c:v>
                  </c:pt>
                  <c:pt idx="5">
                    <c:v>3.0311834214428624E-7</c:v>
                  </c:pt>
                  <c:pt idx="6">
                    <c:v>3.0311834214428624E-7</c:v>
                  </c:pt>
                  <c:pt idx="7">
                    <c:v>3.0298291922862677E-7</c:v>
                  </c:pt>
                  <c:pt idx="8">
                    <c:v>3.0570726086290557E-7</c:v>
                  </c:pt>
                  <c:pt idx="9">
                    <c:v>3.0244591143591376E-7</c:v>
                  </c:pt>
                  <c:pt idx="10">
                    <c:v>3.0485033925567572E-7</c:v>
                  </c:pt>
                  <c:pt idx="11">
                    <c:v>3.0428823398925658E-7</c:v>
                  </c:pt>
                  <c:pt idx="12">
                    <c:v>3.0777025415770867E-7</c:v>
                  </c:pt>
                  <c:pt idx="13">
                    <c:v>3.0506302520020446E-7</c:v>
                  </c:pt>
                  <c:pt idx="14">
                    <c:v>3.0284796407488127E-7</c:v>
                  </c:pt>
                  <c:pt idx="15">
                    <c:v>3.0237931368448566E-7</c:v>
                  </c:pt>
                  <c:pt idx="16">
                    <c:v>3.0394066747360507E-7</c:v>
                  </c:pt>
                  <c:pt idx="17">
                    <c:v>3.0380245118217953E-7</c:v>
                  </c:pt>
                  <c:pt idx="18">
                    <c:v>3.740011889610788E-7</c:v>
                  </c:pt>
                  <c:pt idx="19">
                    <c:v>3.0311834214428624E-7</c:v>
                  </c:pt>
                  <c:pt idx="20">
                    <c:v>3.0325423219520051E-7</c:v>
                  </c:pt>
                  <c:pt idx="21">
                    <c:v>3.0325423219520051E-7</c:v>
                  </c:pt>
                </c:numCache>
              </c:numRef>
            </c:plus>
            <c:minus>
              <c:numRef>
                <c:f>('MM DoE all wo 2000 ppm'!$AC$10:$AC$15,'MM DoE all wo 2000 ppm'!$AC$17:$AC$22,'MM DoE all wo 2000 ppm'!$AC$24:$AC$29,'MM DoE all wo 2000 ppm'!$AC$31:$AC$34)</c:f>
                <c:numCache>
                  <c:formatCode>General</c:formatCode>
                  <c:ptCount val="22"/>
                  <c:pt idx="0">
                    <c:v>3.0563522268269501E-7</c:v>
                  </c:pt>
                  <c:pt idx="1">
                    <c:v>3.8724267500406071E-7</c:v>
                  </c:pt>
                  <c:pt idx="2">
                    <c:v>3.0456836563290776E-7</c:v>
                  </c:pt>
                  <c:pt idx="3">
                    <c:v>3.0211409987668661E-7</c:v>
                  </c:pt>
                  <c:pt idx="4">
                    <c:v>3.1846527180259481E-7</c:v>
                  </c:pt>
                  <c:pt idx="5">
                    <c:v>3.0311834214428624E-7</c:v>
                  </c:pt>
                  <c:pt idx="6">
                    <c:v>3.0311834214428624E-7</c:v>
                  </c:pt>
                  <c:pt idx="7">
                    <c:v>3.0298291922862677E-7</c:v>
                  </c:pt>
                  <c:pt idx="8">
                    <c:v>3.0570726086290557E-7</c:v>
                  </c:pt>
                  <c:pt idx="9">
                    <c:v>3.0244591143591376E-7</c:v>
                  </c:pt>
                  <c:pt idx="10">
                    <c:v>3.0485033925567572E-7</c:v>
                  </c:pt>
                  <c:pt idx="11">
                    <c:v>3.0428823398925658E-7</c:v>
                  </c:pt>
                  <c:pt idx="12">
                    <c:v>3.0777025415770867E-7</c:v>
                  </c:pt>
                  <c:pt idx="13">
                    <c:v>3.0506302520020446E-7</c:v>
                  </c:pt>
                  <c:pt idx="14">
                    <c:v>3.0284796407488127E-7</c:v>
                  </c:pt>
                  <c:pt idx="15">
                    <c:v>3.0237931368448566E-7</c:v>
                  </c:pt>
                  <c:pt idx="16">
                    <c:v>3.0394066747360507E-7</c:v>
                  </c:pt>
                  <c:pt idx="17">
                    <c:v>3.0380245118217953E-7</c:v>
                  </c:pt>
                  <c:pt idx="18">
                    <c:v>3.740011889610788E-7</c:v>
                  </c:pt>
                  <c:pt idx="19">
                    <c:v>3.0311834214428624E-7</c:v>
                  </c:pt>
                  <c:pt idx="20">
                    <c:v>3.0325423219520051E-7</c:v>
                  </c:pt>
                  <c:pt idx="21">
                    <c:v>3.0325423219520051E-7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yVal>
            <c:numRef>
              <c:f>('MM DoE all wo 2000 ppm'!$W$10:$W$15,'MM DoE all wo 2000 ppm'!$W$17:$W$22,'MM DoE all wo 2000 ppm'!$W$24:$W$29,'MM DoE all wo 2000 ppm'!$W$31:$W$34)</c:f>
              <c:numCache>
                <c:formatCode>0.0000000000</c:formatCode>
                <c:ptCount val="22"/>
                <c:pt idx="0">
                  <c:v>1.1937777699699836E-7</c:v>
                </c:pt>
                <c:pt idx="1">
                  <c:v>-8.369284643094943E-8</c:v>
                </c:pt>
                <c:pt idx="2">
                  <c:v>-1.0254359139594271E-7</c:v>
                </c:pt>
                <c:pt idx="3">
                  <c:v>-2.0054068983199613E-7</c:v>
                </c:pt>
                <c:pt idx="4">
                  <c:v>8.4967716418304917E-8</c:v>
                </c:pt>
                <c:pt idx="5">
                  <c:v>-4.9992461725878456E-8</c:v>
                </c:pt>
                <c:pt idx="6">
                  <c:v>2.5259963365442673E-7</c:v>
                </c:pt>
                <c:pt idx="7">
                  <c:v>1.5705343514582637E-7</c:v>
                </c:pt>
                <c:pt idx="8">
                  <c:v>2.216700210055933E-7</c:v>
                </c:pt>
                <c:pt idx="9">
                  <c:v>1.1886092110557911E-7</c:v>
                </c:pt>
                <c:pt idx="10">
                  <c:v>1.5404793884954415E-7</c:v>
                </c:pt>
                <c:pt idx="11">
                  <c:v>3.9441011878693644E-7</c:v>
                </c:pt>
                <c:pt idx="12">
                  <c:v>6.3283956208692871E-7</c:v>
                </c:pt>
                <c:pt idx="13">
                  <c:v>5.8400967972715989E-7</c:v>
                </c:pt>
                <c:pt idx="14">
                  <c:v>4.345439847952548E-7</c:v>
                </c:pt>
                <c:pt idx="15">
                  <c:v>3.2869808919144816E-7</c:v>
                </c:pt>
                <c:pt idx="16">
                  <c:v>4.0834620307350633E-7</c:v>
                </c:pt>
                <c:pt idx="17">
                  <c:v>5.3071054040287891E-7</c:v>
                </c:pt>
                <c:pt idx="18">
                  <c:v>-3.2878844891115477E-7</c:v>
                </c:pt>
                <c:pt idx="19">
                  <c:v>-1.8318974781550423E-7</c:v>
                </c:pt>
                <c:pt idx="20">
                  <c:v>-7.9287207910283541E-8</c:v>
                </c:pt>
                <c:pt idx="21">
                  <c:v>-1.1954657708201921E-7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561-4CDB-8920-7B2FA7D9B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653152"/>
        <c:axId val="746657112"/>
      </c:scatterChart>
      <c:valAx>
        <c:axId val="746653152"/>
        <c:scaling>
          <c:orientation val="minMax"/>
          <c:max val="2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46657112"/>
        <c:crosses val="autoZero"/>
        <c:crossBetween val="midCat"/>
      </c:valAx>
      <c:valAx>
        <c:axId val="746657112"/>
        <c:scaling>
          <c:orientation val="minMax"/>
          <c:max val="1.0000000000000004E-6"/>
          <c:min val="-1.0000000000000004E-6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46653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/>
                </a:solidFill>
              </a:rPr>
              <a:t>Molar Mass Si28-33Pr11 V.2.3, 10^11Ohm (4000 ppm)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'MM 4000 ppm old 10^11'!$M$10:$M$15</c:f>
                <c:numCache>
                  <c:formatCode>General</c:formatCode>
                  <c:ptCount val="6"/>
                  <c:pt idx="0">
                    <c:v>5.54E-8</c:v>
                  </c:pt>
                  <c:pt idx="1">
                    <c:v>1.3199999999999999E-7</c:v>
                  </c:pt>
                  <c:pt idx="2">
                    <c:v>5.8500000000000001E-8</c:v>
                  </c:pt>
                  <c:pt idx="3">
                    <c:v>5.0699999999999997E-8</c:v>
                  </c:pt>
                  <c:pt idx="4">
                    <c:v>7.1200000000000002E-8</c:v>
                  </c:pt>
                  <c:pt idx="5">
                    <c:v>5.2399999999999999E-8</c:v>
                  </c:pt>
                </c:numCache>
              </c:numRef>
            </c:plus>
            <c:minus>
              <c:numRef>
                <c:f>'MM 4000 ppm old 10^11'!$M$10:$M$15</c:f>
                <c:numCache>
                  <c:formatCode>General</c:formatCode>
                  <c:ptCount val="6"/>
                  <c:pt idx="0">
                    <c:v>5.54E-8</c:v>
                  </c:pt>
                  <c:pt idx="1">
                    <c:v>1.3199999999999999E-7</c:v>
                  </c:pt>
                  <c:pt idx="2">
                    <c:v>5.8500000000000001E-8</c:v>
                  </c:pt>
                  <c:pt idx="3">
                    <c:v>5.0699999999999997E-8</c:v>
                  </c:pt>
                  <c:pt idx="4">
                    <c:v>7.1200000000000002E-8</c:v>
                  </c:pt>
                  <c:pt idx="5">
                    <c:v>5.2399999999999999E-8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yVal>
            <c:numRef>
              <c:f>'MM 4000 ppm old 10^11'!$L$10:$L$15</c:f>
              <c:numCache>
                <c:formatCode>0.0000000000</c:formatCode>
                <c:ptCount val="6"/>
                <c:pt idx="0">
                  <c:v>27.976950677504085</c:v>
                </c:pt>
                <c:pt idx="1">
                  <c:v>27.976950474433465</c:v>
                </c:pt>
                <c:pt idx="2">
                  <c:v>27.976950455582717</c:v>
                </c:pt>
                <c:pt idx="3">
                  <c:v>27.976950357585618</c:v>
                </c:pt>
                <c:pt idx="4">
                  <c:v>27.976950643094028</c:v>
                </c:pt>
                <c:pt idx="5">
                  <c:v>27.976950508133847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B2-4C19-8038-CBD6B1DB4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6907512"/>
        <c:axId val="656915432"/>
      </c:scatterChart>
      <c:valAx>
        <c:axId val="656907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ysClr val="windowText" lastClr="000000"/>
                    </a:solidFill>
                  </a:rPr>
                  <a:t>Sequence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6915432"/>
        <c:crosses val="autoZero"/>
        <c:crossBetween val="midCat"/>
      </c:valAx>
      <c:valAx>
        <c:axId val="656915432"/>
        <c:scaling>
          <c:orientation val="minMax"/>
          <c:max val="27.976952000000001"/>
          <c:min val="27.9769494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i="1">
                    <a:solidFill>
                      <a:sysClr val="windowText" lastClr="000000"/>
                    </a:solidFill>
                  </a:rPr>
                  <a:t>M</a:t>
                </a:r>
                <a:r>
                  <a:rPr lang="de-DE">
                    <a:solidFill>
                      <a:sysClr val="windowText" lastClr="000000"/>
                    </a:solidFill>
                  </a:rPr>
                  <a:t> / (g/mol)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00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6907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ysClr val="windowText" lastClr="000000"/>
                </a:solidFill>
              </a:rPr>
              <a:t>DoE 4000 ppm (10^11 Ohm)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'MM 4000 ppm old 10^11'!$X$10:$X$15</c:f>
                <c:numCache>
                  <c:formatCode>General</c:formatCode>
                  <c:ptCount val="6"/>
                  <c:pt idx="0">
                    <c:v>1.8746743717243268E-7</c:v>
                  </c:pt>
                  <c:pt idx="1">
                    <c:v>3.0424233761920775E-7</c:v>
                  </c:pt>
                  <c:pt idx="2">
                    <c:v>1.9119728031538525E-7</c:v>
                  </c:pt>
                  <c:pt idx="3">
                    <c:v>1.8206965699973185E-7</c:v>
                  </c:pt>
                  <c:pt idx="4">
                    <c:v>2.0771413047744251E-7</c:v>
                  </c:pt>
                  <c:pt idx="5">
                    <c:v>1.8398489068399069E-7</c:v>
                  </c:pt>
                </c:numCache>
              </c:numRef>
            </c:plus>
            <c:minus>
              <c:numRef>
                <c:f>'MM 4000 ppm old 10^11'!$X$10:$X$15</c:f>
                <c:numCache>
                  <c:formatCode>General</c:formatCode>
                  <c:ptCount val="6"/>
                  <c:pt idx="0">
                    <c:v>1.8746743717243268E-7</c:v>
                  </c:pt>
                  <c:pt idx="1">
                    <c:v>3.0424233761920775E-7</c:v>
                  </c:pt>
                  <c:pt idx="2">
                    <c:v>1.9119728031538525E-7</c:v>
                  </c:pt>
                  <c:pt idx="3">
                    <c:v>1.8206965699973185E-7</c:v>
                  </c:pt>
                  <c:pt idx="4">
                    <c:v>2.0771413047744251E-7</c:v>
                  </c:pt>
                  <c:pt idx="5">
                    <c:v>1.8398489068399069E-7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yVal>
            <c:numRef>
              <c:f>'MM 4000 ppm old 10^11'!$W$10:$W$15</c:f>
              <c:numCache>
                <c:formatCode>0.00E+00</c:formatCode>
                <c:ptCount val="6"/>
                <c:pt idx="0">
                  <c:v>1.5811512454888543E-7</c:v>
                </c:pt>
                <c:pt idx="1">
                  <c:v>-4.4955495326348682E-8</c:v>
                </c:pt>
                <c:pt idx="2">
                  <c:v>-6.3806243844055643E-8</c:v>
                </c:pt>
                <c:pt idx="3">
                  <c:v>-1.6180334228010906E-7</c:v>
                </c:pt>
                <c:pt idx="4">
                  <c:v>1.2370506752290567E-7</c:v>
                </c:pt>
                <c:pt idx="5">
                  <c:v>-1.1255114173991387E-8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B0-4514-86CA-027EE6685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6924792"/>
        <c:axId val="656925872"/>
      </c:scatterChart>
      <c:valAx>
        <c:axId val="656924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6925872"/>
        <c:crosses val="autoZero"/>
        <c:crossBetween val="midCat"/>
      </c:valAx>
      <c:valAx>
        <c:axId val="65692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6924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ysClr val="windowText" lastClr="000000"/>
                </a:solidFill>
              </a:rPr>
              <a:t>Molar Mass Si28-33Pr11 V.2.3, 10^13Ohm </a:t>
            </a:r>
            <a:r>
              <a:rPr lang="de-DE" baseline="0">
                <a:solidFill>
                  <a:sysClr val="windowText" lastClr="000000"/>
                </a:solidFill>
              </a:rPr>
              <a:t>(4000 ppm)</a:t>
            </a:r>
            <a:endParaRPr lang="de-DE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'MM 4000 ppm 10^13'!$M$10:$M$15</c:f>
                <c:numCache>
                  <c:formatCode>General</c:formatCode>
                  <c:ptCount val="6"/>
                  <c:pt idx="0">
                    <c:v>5.17E-8</c:v>
                  </c:pt>
                  <c:pt idx="1">
                    <c:v>5.3699999999999998E-8</c:v>
                  </c:pt>
                  <c:pt idx="2">
                    <c:v>5.6500000000000003E-8</c:v>
                  </c:pt>
                  <c:pt idx="3">
                    <c:v>5.1200000000000002E-8</c:v>
                  </c:pt>
                  <c:pt idx="4">
                    <c:v>6.1000000000000004E-8</c:v>
                  </c:pt>
                  <c:pt idx="5">
                    <c:v>5.7700000000000001E-8</c:v>
                  </c:pt>
                </c:numCache>
              </c:numRef>
            </c:plus>
            <c:minus>
              <c:numRef>
                <c:f>'MM 4000 ppm 10^13'!$M$10:$M$15</c:f>
                <c:numCache>
                  <c:formatCode>General</c:formatCode>
                  <c:ptCount val="6"/>
                  <c:pt idx="0">
                    <c:v>5.17E-8</c:v>
                  </c:pt>
                  <c:pt idx="1">
                    <c:v>5.3699999999999998E-8</c:v>
                  </c:pt>
                  <c:pt idx="2">
                    <c:v>5.6500000000000003E-8</c:v>
                  </c:pt>
                  <c:pt idx="3">
                    <c:v>5.1200000000000002E-8</c:v>
                  </c:pt>
                  <c:pt idx="4">
                    <c:v>6.1000000000000004E-8</c:v>
                  </c:pt>
                  <c:pt idx="5">
                    <c:v>5.7700000000000001E-8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yVal>
            <c:numRef>
              <c:f>'MM 4000 ppm 10^13'!$L$10:$L$15</c:f>
              <c:numCache>
                <c:formatCode>0.0000000000</c:formatCode>
                <c:ptCount val="6"/>
                <c:pt idx="0">
                  <c:v>27.976950810185844</c:v>
                </c:pt>
                <c:pt idx="1">
                  <c:v>27.976950714639646</c:v>
                </c:pt>
                <c:pt idx="2">
                  <c:v>27.976950779256232</c:v>
                </c:pt>
                <c:pt idx="3">
                  <c:v>27.976950676447132</c:v>
                </c:pt>
                <c:pt idx="4">
                  <c:v>27.976950711634149</c:v>
                </c:pt>
                <c:pt idx="5">
                  <c:v>27.976950951996329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E6B-49B8-A22C-02E2A50CF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002000"/>
        <c:axId val="156984048"/>
      </c:scatterChart>
      <c:valAx>
        <c:axId val="523002000"/>
        <c:scaling>
          <c:orientation val="minMax"/>
          <c:max val="7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ysClr val="windowText" lastClr="000000"/>
                    </a:solidFill>
                  </a:rPr>
                  <a:t>sequence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6984048"/>
        <c:crosses val="autoZero"/>
        <c:crossBetween val="midCat"/>
        <c:majorUnit val="1"/>
      </c:valAx>
      <c:valAx>
        <c:axId val="156984048"/>
        <c:scaling>
          <c:orientation val="minMax"/>
          <c:max val="27.976952000000001"/>
          <c:min val="27.9769494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i="1">
                    <a:solidFill>
                      <a:sysClr val="windowText" lastClr="000000"/>
                    </a:solidFill>
                  </a:rPr>
                  <a:t>M</a:t>
                </a:r>
                <a:r>
                  <a:rPr lang="de-DE">
                    <a:solidFill>
                      <a:sysClr val="windowText" lastClr="000000"/>
                    </a:solidFill>
                  </a:rPr>
                  <a:t> / (g/mol)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00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3002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ysClr val="windowText" lastClr="000000"/>
                </a:solidFill>
              </a:rPr>
              <a:t>DoE 4000 ppm (10^13 Ohm)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'MM 4000 ppm 10^13'!$X$10:$X$15</c:f>
                <c:numCache>
                  <c:formatCode>General</c:formatCode>
                  <c:ptCount val="6"/>
                  <c:pt idx="0">
                    <c:v>1.5156494757473884E-7</c:v>
                  </c:pt>
                  <c:pt idx="1">
                    <c:v>1.5432152582622208E-7</c:v>
                  </c:pt>
                  <c:pt idx="2">
                    <c:v>1.5826993818578856E-7</c:v>
                  </c:pt>
                  <c:pt idx="3">
                    <c:v>1.5088450329087256E-7</c:v>
                  </c:pt>
                  <c:pt idx="4">
                    <c:v>1.6481618043545766E-7</c:v>
                  </c:pt>
                  <c:pt idx="5">
                    <c:v>1.5999229148097521E-7</c:v>
                  </c:pt>
                </c:numCache>
              </c:numRef>
            </c:plus>
            <c:minus>
              <c:numRef>
                <c:f>'MM 4000 ppm 10^13'!$X$10:$X$15</c:f>
                <c:numCache>
                  <c:formatCode>General</c:formatCode>
                  <c:ptCount val="6"/>
                  <c:pt idx="0">
                    <c:v>1.5156494757473884E-7</c:v>
                  </c:pt>
                  <c:pt idx="1">
                    <c:v>1.5432152582622208E-7</c:v>
                  </c:pt>
                  <c:pt idx="2">
                    <c:v>1.5826993818578856E-7</c:v>
                  </c:pt>
                  <c:pt idx="3">
                    <c:v>1.5088450329087256E-7</c:v>
                  </c:pt>
                  <c:pt idx="4">
                    <c:v>1.6481618043545766E-7</c:v>
                  </c:pt>
                  <c:pt idx="5">
                    <c:v>1.5999229148097521E-7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yVal>
            <c:numRef>
              <c:f>'MM 4000 ppm 10^13'!$W$10:$W$15</c:f>
              <c:numCache>
                <c:formatCode>0.00E+00</c:formatCode>
                <c:ptCount val="6"/>
                <c:pt idx="0">
                  <c:v>3.6159292449156055E-8</c:v>
                </c:pt>
                <c:pt idx="1">
                  <c:v>-5.93869060594443E-8</c:v>
                </c:pt>
                <c:pt idx="2">
                  <c:v>5.2296798003226286E-9</c:v>
                </c:pt>
                <c:pt idx="3">
                  <c:v>-9.7579420099691561E-8</c:v>
                </c:pt>
                <c:pt idx="4">
                  <c:v>-6.2392402355726517E-8</c:v>
                </c:pt>
                <c:pt idx="5">
                  <c:v>1.7796977758166577E-7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81D-4229-910F-2F97B80AB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0496544"/>
        <c:axId val="680500864"/>
      </c:scatterChart>
      <c:valAx>
        <c:axId val="680496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0500864"/>
        <c:crosses val="autoZero"/>
        <c:crossBetween val="midCat"/>
      </c:valAx>
      <c:valAx>
        <c:axId val="68050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0496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ysClr val="windowText" lastClr="000000"/>
                </a:solidFill>
              </a:rPr>
              <a:t>Molar Mass Si28-33Pr11 V.2.3,</a:t>
            </a:r>
            <a:r>
              <a:rPr lang="de-DE" baseline="0">
                <a:solidFill>
                  <a:sysClr val="windowText" lastClr="000000"/>
                </a:solidFill>
              </a:rPr>
              <a:t> </a:t>
            </a:r>
            <a:r>
              <a:rPr lang="de-DE">
                <a:solidFill>
                  <a:sysClr val="windowText" lastClr="000000"/>
                </a:solidFill>
              </a:rPr>
              <a:t>10^13Ohm</a:t>
            </a:r>
            <a:r>
              <a:rPr lang="de-DE" baseline="0">
                <a:solidFill>
                  <a:sysClr val="windowText" lastClr="000000"/>
                </a:solidFill>
              </a:rPr>
              <a:t> (2000 ppm)</a:t>
            </a:r>
            <a:endParaRPr lang="de-DE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'MM 2000 ppm 10^13'!$M$10:$M$15</c:f>
                <c:numCache>
                  <c:formatCode>General</c:formatCode>
                  <c:ptCount val="6"/>
                  <c:pt idx="0">
                    <c:v>6.1200000000000005E-8</c:v>
                  </c:pt>
                  <c:pt idx="1">
                    <c:v>5.7200000000000003E-8</c:v>
                  </c:pt>
                  <c:pt idx="2">
                    <c:v>5.1900000000000002E-8</c:v>
                  </c:pt>
                  <c:pt idx="3">
                    <c:v>5.0400000000000001E-8</c:v>
                  </c:pt>
                  <c:pt idx="4">
                    <c:v>5.7499999999999999E-8</c:v>
                  </c:pt>
                  <c:pt idx="5">
                    <c:v>5.6599999999999997E-8</c:v>
                  </c:pt>
                </c:numCache>
              </c:numRef>
            </c:plus>
            <c:minus>
              <c:numRef>
                <c:f>'MM 2000 ppm 10^13'!$M$10:$M$15</c:f>
                <c:numCache>
                  <c:formatCode>General</c:formatCode>
                  <c:ptCount val="6"/>
                  <c:pt idx="0">
                    <c:v>6.1200000000000005E-8</c:v>
                  </c:pt>
                  <c:pt idx="1">
                    <c:v>5.7200000000000003E-8</c:v>
                  </c:pt>
                  <c:pt idx="2">
                    <c:v>5.1900000000000002E-8</c:v>
                  </c:pt>
                  <c:pt idx="3">
                    <c:v>5.0400000000000001E-8</c:v>
                  </c:pt>
                  <c:pt idx="4">
                    <c:v>5.7499999999999999E-8</c:v>
                  </c:pt>
                  <c:pt idx="5">
                    <c:v>5.6599999999999997E-8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yVal>
            <c:numRef>
              <c:f>'MM 2000 ppm 10^13'!$L$10:$L$15</c:f>
              <c:numCache>
                <c:formatCode>0.0000000000</c:formatCode>
                <c:ptCount val="6"/>
                <c:pt idx="0">
                  <c:v>27.976951190425773</c:v>
                </c:pt>
                <c:pt idx="1">
                  <c:v>27.97695114159589</c:v>
                </c:pt>
                <c:pt idx="2">
                  <c:v>27.976950992130195</c:v>
                </c:pt>
                <c:pt idx="3">
                  <c:v>27.9769508862843</c:v>
                </c:pt>
                <c:pt idx="4">
                  <c:v>27.976950965932414</c:v>
                </c:pt>
                <c:pt idx="5">
                  <c:v>27.976951088296751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253-4743-8CB7-685D07579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002000"/>
        <c:axId val="156984048"/>
      </c:scatterChart>
      <c:valAx>
        <c:axId val="523002000"/>
        <c:scaling>
          <c:orientation val="minMax"/>
          <c:max val="7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ysClr val="windowText" lastClr="000000"/>
                    </a:solidFill>
                  </a:rPr>
                  <a:t>sequence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6984048"/>
        <c:crosses val="autoZero"/>
        <c:crossBetween val="midCat"/>
        <c:majorUnit val="1"/>
      </c:valAx>
      <c:valAx>
        <c:axId val="156984048"/>
        <c:scaling>
          <c:orientation val="minMax"/>
          <c:max val="27.976952000000001"/>
          <c:min val="27.9769494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i="1">
                    <a:solidFill>
                      <a:sysClr val="windowText" lastClr="000000"/>
                    </a:solidFill>
                  </a:rPr>
                  <a:t>M</a:t>
                </a:r>
                <a:r>
                  <a:rPr lang="de-DE">
                    <a:solidFill>
                      <a:sysClr val="windowText" lastClr="000000"/>
                    </a:solidFill>
                  </a:rPr>
                  <a:t> / (g/mol)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00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3002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ysClr val="windowText" lastClr="000000"/>
                </a:solidFill>
              </a:rPr>
              <a:t>DoE 2000 ppm (10^13 Ohm)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'MM 2000 ppm 10^13'!$X$10:$X$15</c:f>
                <c:numCache>
                  <c:formatCode>General</c:formatCode>
                  <c:ptCount val="6"/>
                  <c:pt idx="0">
                    <c:v>1.6579806995257817E-7</c:v>
                  </c:pt>
                  <c:pt idx="1">
                    <c:v>1.5998312411001358E-7</c:v>
                  </c:pt>
                  <c:pt idx="2">
                    <c:v>1.525833542690683E-7</c:v>
                  </c:pt>
                  <c:pt idx="3">
                    <c:v>1.5055856003562203E-7</c:v>
                  </c:pt>
                  <c:pt idx="4">
                    <c:v>1.6041271770031205E-7</c:v>
                  </c:pt>
                  <c:pt idx="5">
                    <c:v>1.5912724468173262E-7</c:v>
                  </c:pt>
                </c:numCache>
              </c:numRef>
            </c:plus>
            <c:minus>
              <c:numRef>
                <c:f>'MM 2000 ppm 10^13'!$X$10:$X$15</c:f>
                <c:numCache>
                  <c:formatCode>General</c:formatCode>
                  <c:ptCount val="6"/>
                  <c:pt idx="0">
                    <c:v>1.6579806995257817E-7</c:v>
                  </c:pt>
                  <c:pt idx="1">
                    <c:v>1.5998312411001358E-7</c:v>
                  </c:pt>
                  <c:pt idx="2">
                    <c:v>1.525833542690683E-7</c:v>
                  </c:pt>
                  <c:pt idx="3">
                    <c:v>1.5055856003562203E-7</c:v>
                  </c:pt>
                  <c:pt idx="4">
                    <c:v>1.6041271770031205E-7</c:v>
                  </c:pt>
                  <c:pt idx="5">
                    <c:v>1.5912724468173262E-7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yVal>
            <c:numRef>
              <c:f>'MM 2000 ppm 10^13'!$W$10:$W$15</c:f>
              <c:numCache>
                <c:formatCode>0.00E+00</c:formatCode>
                <c:ptCount val="6"/>
                <c:pt idx="0">
                  <c:v>1.4631488554073258E-7</c:v>
                </c:pt>
                <c:pt idx="1">
                  <c:v>9.7485003180963758E-8</c:v>
                </c:pt>
                <c:pt idx="2">
                  <c:v>-5.1980691750941332E-8</c:v>
                </c:pt>
                <c:pt idx="3">
                  <c:v>-1.5782658735474797E-7</c:v>
                </c:pt>
                <c:pt idx="4">
                  <c:v>-7.8178473472689802E-8</c:v>
                </c:pt>
                <c:pt idx="5">
                  <c:v>4.4185863856682772E-8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829-4FFE-88BD-D17E3FC25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0460184"/>
        <c:axId val="680463064"/>
      </c:scatterChart>
      <c:valAx>
        <c:axId val="680460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0463064"/>
        <c:crosses val="autoZero"/>
        <c:crossBetween val="midCat"/>
      </c:valAx>
      <c:valAx>
        <c:axId val="680463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0460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ysClr val="windowText" lastClr="000000"/>
                </a:solidFill>
              </a:rPr>
              <a:t>Molar Mass Si28-33Pr11</a:t>
            </a:r>
            <a:r>
              <a:rPr lang="de-DE" baseline="0">
                <a:solidFill>
                  <a:sysClr val="windowText" lastClr="000000"/>
                </a:solidFill>
              </a:rPr>
              <a:t> V.2.3, 10^13 Ohm (1000 ppm)</a:t>
            </a:r>
            <a:endParaRPr lang="de-DE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'MM 1000 ppm 10^13'!$M$10:$M$13</c:f>
                <c:numCache>
                  <c:formatCode>General</c:formatCode>
                  <c:ptCount val="4"/>
                  <c:pt idx="0">
                    <c:v>2.0100000000000001E-7</c:v>
                  </c:pt>
                  <c:pt idx="1">
                    <c:v>5.25E-8</c:v>
                  </c:pt>
                  <c:pt idx="2">
                    <c:v>5.2199999999999998E-8</c:v>
                  </c:pt>
                  <c:pt idx="3">
                    <c:v>5.5299999999999999E-8</c:v>
                  </c:pt>
                </c:numCache>
              </c:numRef>
            </c:plus>
            <c:minus>
              <c:numRef>
                <c:f>'MM 1000 ppm 10^13'!$M$10:$M$13</c:f>
                <c:numCache>
                  <c:formatCode>General</c:formatCode>
                  <c:ptCount val="4"/>
                  <c:pt idx="0">
                    <c:v>2.0100000000000001E-7</c:v>
                  </c:pt>
                  <c:pt idx="1">
                    <c:v>5.25E-8</c:v>
                  </c:pt>
                  <c:pt idx="2">
                    <c:v>5.2199999999999998E-8</c:v>
                  </c:pt>
                  <c:pt idx="3">
                    <c:v>5.5299999999999999E-8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yVal>
            <c:numRef>
              <c:f>'MM 1000 ppm 10^13'!$L$10:$L$13</c:f>
              <c:numCache>
                <c:formatCode>0.0000000000</c:formatCode>
                <c:ptCount val="4"/>
                <c:pt idx="0">
                  <c:v>27.976950228797762</c:v>
                </c:pt>
                <c:pt idx="1">
                  <c:v>27.976950374396463</c:v>
                </c:pt>
                <c:pt idx="2">
                  <c:v>27.976950478299003</c:v>
                </c:pt>
                <c:pt idx="3">
                  <c:v>27.976950438039633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62-48C9-8D90-9553211ED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508368"/>
        <c:axId val="581503328"/>
      </c:scatterChart>
      <c:valAx>
        <c:axId val="581508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ysClr val="windowText" lastClr="000000"/>
                    </a:solidFill>
                  </a:rPr>
                  <a:t>sequence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1503328"/>
        <c:crosses val="autoZero"/>
        <c:crossBetween val="midCat"/>
        <c:majorUnit val="1"/>
      </c:valAx>
      <c:valAx>
        <c:axId val="581503328"/>
        <c:scaling>
          <c:orientation val="minMax"/>
          <c:max val="27.976952000000001"/>
          <c:min val="27.9769494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i="1">
                    <a:solidFill>
                      <a:sysClr val="windowText" lastClr="000000"/>
                    </a:solidFill>
                  </a:rPr>
                  <a:t>M</a:t>
                </a:r>
                <a:r>
                  <a:rPr lang="de-DE">
                    <a:solidFill>
                      <a:sysClr val="windowText" lastClr="000000"/>
                    </a:solidFill>
                  </a:rPr>
                  <a:t> / (g/mol)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00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15083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ysClr val="windowText" lastClr="000000"/>
                </a:solidFill>
              </a:rPr>
              <a:t>DoE 1000 ppm (10^13 Ohm)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'MM 1000 ppm 10^13'!$X$10:$X$13</c:f>
                <c:numCache>
                  <c:formatCode>General</c:formatCode>
                  <c:ptCount val="4"/>
                  <c:pt idx="0">
                    <c:v>4.5885093440026908E-7</c:v>
                  </c:pt>
                  <c:pt idx="1">
                    <c:v>2.4487788793600785E-7</c:v>
                  </c:pt>
                  <c:pt idx="2">
                    <c:v>2.446212173953846E-7</c:v>
                  </c:pt>
                  <c:pt idx="3">
                    <c:v>2.4733083107449425E-7</c:v>
                  </c:pt>
                </c:numCache>
              </c:numRef>
            </c:plus>
            <c:minus>
              <c:numRef>
                <c:f>'MM 1000 ppm 10^13'!$X$10:$X$13</c:f>
                <c:numCache>
                  <c:formatCode>General</c:formatCode>
                  <c:ptCount val="4"/>
                  <c:pt idx="0">
                    <c:v>4.5885093440026908E-7</c:v>
                  </c:pt>
                  <c:pt idx="1">
                    <c:v>2.4487788793600785E-7</c:v>
                  </c:pt>
                  <c:pt idx="2">
                    <c:v>2.446212173953846E-7</c:v>
                  </c:pt>
                  <c:pt idx="3">
                    <c:v>2.4733083107449425E-7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yVal>
            <c:numRef>
              <c:f>'MM 1000 ppm 10^13'!$W$10:$W$13</c:f>
              <c:numCache>
                <c:formatCode>0.00E+00</c:formatCode>
                <c:ptCount val="4"/>
                <c:pt idx="0">
                  <c:v>-1.5108545525777117E-7</c:v>
                </c:pt>
                <c:pt idx="1">
                  <c:v>-5.4867541621206328E-9</c:v>
                </c:pt>
                <c:pt idx="2">
                  <c:v>9.8415785743100059E-8</c:v>
                </c:pt>
                <c:pt idx="3">
                  <c:v>5.8156416571364389E-8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57-4986-96E9-17FDD5BE6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6874392"/>
        <c:axId val="656875112"/>
      </c:scatterChart>
      <c:valAx>
        <c:axId val="656874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6875112"/>
        <c:crosses val="autoZero"/>
        <c:crossBetween val="midCat"/>
        <c:majorUnit val="1"/>
      </c:valAx>
      <c:valAx>
        <c:axId val="656875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6874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4AD398E-75D9-4D4C-84B6-242D1BD2B888}">
  <sheetPr/>
  <sheetViews>
    <sheetView zoomScale="185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19049</xdr:rowOff>
    </xdr:from>
    <xdr:to>
      <xdr:col>12</xdr:col>
      <xdr:colOff>293751</xdr:colOff>
      <xdr:row>58</xdr:row>
      <xdr:rowOff>40766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EE81B0C-059F-596E-C04E-8718C1460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80974"/>
          <a:ext cx="8666226" cy="9251442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311" cy="5993027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3B4E0D1-8EE8-EB9B-FD73-034CADDE1C9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23</xdr:row>
      <xdr:rowOff>0</xdr:rowOff>
    </xdr:from>
    <xdr:to>
      <xdr:col>16</xdr:col>
      <xdr:colOff>1028700</xdr:colOff>
      <xdr:row>42</xdr:row>
      <xdr:rowOff>47625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97AE3F4B-4BF4-7F02-C8E3-C7D05F7849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0</xdr:colOff>
      <xdr:row>23</xdr:row>
      <xdr:rowOff>0</xdr:rowOff>
    </xdr:from>
    <xdr:to>
      <xdr:col>26</xdr:col>
      <xdr:colOff>666750</xdr:colOff>
      <xdr:row>39</xdr:row>
      <xdr:rowOff>152400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DD62B458-CC31-27E9-EED5-7E2C5EF4DC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22</xdr:row>
      <xdr:rowOff>4762</xdr:rowOff>
    </xdr:from>
    <xdr:to>
      <xdr:col>17</xdr:col>
      <xdr:colOff>0</xdr:colOff>
      <xdr:row>43</xdr:row>
      <xdr:rowOff>85725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0</xdr:colOff>
      <xdr:row>22</xdr:row>
      <xdr:rowOff>4762</xdr:rowOff>
    </xdr:from>
    <xdr:to>
      <xdr:col>27</xdr:col>
      <xdr:colOff>209550</xdr:colOff>
      <xdr:row>38</xdr:row>
      <xdr:rowOff>157162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B49DAD3E-1EC2-7783-B0BC-424928B2ED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23</xdr:row>
      <xdr:rowOff>4762</xdr:rowOff>
    </xdr:from>
    <xdr:to>
      <xdr:col>17</xdr:col>
      <xdr:colOff>0</xdr:colOff>
      <xdr:row>44</xdr:row>
      <xdr:rowOff>85725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0</xdr:colOff>
      <xdr:row>23</xdr:row>
      <xdr:rowOff>4762</xdr:rowOff>
    </xdr:from>
    <xdr:to>
      <xdr:col>27</xdr:col>
      <xdr:colOff>209550</xdr:colOff>
      <xdr:row>39</xdr:row>
      <xdr:rowOff>157162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355E42B-8A5A-6FA1-611E-D32F675E30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1047749</xdr:colOff>
      <xdr:row>20</xdr:row>
      <xdr:rowOff>161924</xdr:rowOff>
    </xdr:from>
    <xdr:to>
      <xdr:col>16</xdr:col>
      <xdr:colOff>257174</xdr:colOff>
      <xdr:row>43</xdr:row>
      <xdr:rowOff>9524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415EF59-03BA-514F-2E7F-FE81DFE009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0</xdr:colOff>
      <xdr:row>21</xdr:row>
      <xdr:rowOff>0</xdr:rowOff>
    </xdr:from>
    <xdr:to>
      <xdr:col>26</xdr:col>
      <xdr:colOff>666750</xdr:colOff>
      <xdr:row>37</xdr:row>
      <xdr:rowOff>152400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67E6E507-3FF5-17AF-6302-18960626D2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11</xdr:row>
      <xdr:rowOff>4762</xdr:rowOff>
    </xdr:from>
    <xdr:to>
      <xdr:col>10</xdr:col>
      <xdr:colOff>742950</xdr:colOff>
      <xdr:row>39</xdr:row>
      <xdr:rowOff>152400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F6C849A-3023-EA6C-4CAA-5A76E799D8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39</xdr:row>
      <xdr:rowOff>0</xdr:rowOff>
    </xdr:from>
    <xdr:to>
      <xdr:col>27</xdr:col>
      <xdr:colOff>647700</xdr:colOff>
      <xdr:row>55</xdr:row>
      <xdr:rowOff>152400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116A2532-C38A-C716-C0FC-94848163CD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9525</xdr:colOff>
      <xdr:row>39</xdr:row>
      <xdr:rowOff>4762</xdr:rowOff>
    </xdr:from>
    <xdr:to>
      <xdr:col>34</xdr:col>
      <xdr:colOff>9525</xdr:colOff>
      <xdr:row>55</xdr:row>
      <xdr:rowOff>138112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75F2E1F-E491-DD2E-7E51-707ADF0EC2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39</xdr:row>
      <xdr:rowOff>0</xdr:rowOff>
    </xdr:from>
    <xdr:to>
      <xdr:col>27</xdr:col>
      <xdr:colOff>647700</xdr:colOff>
      <xdr:row>55</xdr:row>
      <xdr:rowOff>152400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9C6713E-6923-459A-9848-C14352F330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9525</xdr:colOff>
      <xdr:row>39</xdr:row>
      <xdr:rowOff>4762</xdr:rowOff>
    </xdr:from>
    <xdr:to>
      <xdr:col>34</xdr:col>
      <xdr:colOff>9525</xdr:colOff>
      <xdr:row>55</xdr:row>
      <xdr:rowOff>138112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1208B6BA-F125-4666-B55A-2CCC447EA7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76970-E3D2-46FC-BC51-C1E39452CA2A}">
  <dimension ref="A1"/>
  <sheetViews>
    <sheetView tabSelected="1" workbookViewId="0"/>
  </sheetViews>
  <sheetFormatPr baseColWidth="10" defaultRowHeight="12.75" x14ac:dyDescent="0.2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90702-9E68-4704-9D1A-45C60E8A81DA}">
  <dimension ref="A1:Y40"/>
  <sheetViews>
    <sheetView workbookViewId="0"/>
  </sheetViews>
  <sheetFormatPr baseColWidth="10" defaultRowHeight="12.75" x14ac:dyDescent="0.2"/>
  <cols>
    <col min="1" max="1" width="20.7109375" style="1" customWidth="1"/>
    <col min="2" max="2" width="10.7109375" style="1" customWidth="1"/>
    <col min="3" max="4" width="15.7109375" style="1" customWidth="1"/>
    <col min="5" max="5" width="17.7109375" style="1" customWidth="1"/>
    <col min="6" max="25" width="15.7109375" style="1" customWidth="1"/>
    <col min="26" max="16384" width="11.42578125" style="1"/>
  </cols>
  <sheetData>
    <row r="1" spans="1:25" ht="25.9" customHeight="1" x14ac:dyDescent="0.2">
      <c r="A1" s="1" t="s">
        <v>2</v>
      </c>
      <c r="B1" s="2"/>
    </row>
    <row r="2" spans="1:25" ht="15" customHeight="1" x14ac:dyDescent="0.2">
      <c r="B2" s="2"/>
    </row>
    <row r="3" spans="1:25" ht="14.25" x14ac:dyDescent="0.2">
      <c r="C3" s="1" t="s">
        <v>3</v>
      </c>
      <c r="E3" s="3" t="s">
        <v>4</v>
      </c>
      <c r="F3" s="63">
        <v>28.976494669089998</v>
      </c>
      <c r="G3" s="5" t="s">
        <v>5</v>
      </c>
      <c r="I3" s="6" t="s">
        <v>6</v>
      </c>
    </row>
    <row r="4" spans="1:25" ht="14.25" x14ac:dyDescent="0.2">
      <c r="B4" s="2"/>
      <c r="C4" s="1" t="s">
        <v>41</v>
      </c>
      <c r="D4" s="5"/>
      <c r="E4" s="3" t="s">
        <v>7</v>
      </c>
      <c r="F4" s="7">
        <v>29.973770135999999</v>
      </c>
      <c r="G4" s="5" t="s">
        <v>5</v>
      </c>
    </row>
    <row r="5" spans="1:25" ht="14.25" x14ac:dyDescent="0.2">
      <c r="B5" s="2"/>
      <c r="C5" s="3"/>
      <c r="E5" s="3" t="s">
        <v>8</v>
      </c>
      <c r="F5" s="63">
        <v>27.976926534939999</v>
      </c>
      <c r="G5" s="5" t="s">
        <v>5</v>
      </c>
    </row>
    <row r="6" spans="1:25" ht="14.25" x14ac:dyDescent="0.2">
      <c r="A6" s="120" t="s">
        <v>66</v>
      </c>
      <c r="D6" s="11"/>
      <c r="E6" s="11"/>
      <c r="F6" s="11"/>
      <c r="G6" s="11"/>
      <c r="L6" s="9"/>
    </row>
    <row r="7" spans="1:25" x14ac:dyDescent="0.2">
      <c r="A7" s="120" t="s">
        <v>38</v>
      </c>
      <c r="B7" s="13"/>
      <c r="C7" s="12"/>
      <c r="D7" s="12"/>
      <c r="E7" s="12"/>
      <c r="F7" s="12"/>
      <c r="G7" s="12"/>
      <c r="H7" s="12"/>
      <c r="I7" s="15"/>
      <c r="J7" s="12"/>
      <c r="K7" s="12"/>
      <c r="L7" s="12"/>
      <c r="M7" s="12"/>
      <c r="N7" s="16"/>
      <c r="O7" s="16"/>
      <c r="P7" s="12"/>
      <c r="Q7" s="12"/>
      <c r="R7" s="12"/>
      <c r="S7" s="12"/>
      <c r="T7" s="12"/>
      <c r="U7" s="12"/>
      <c r="V7" s="12"/>
    </row>
    <row r="8" spans="1:25" ht="15.75" x14ac:dyDescent="0.3">
      <c r="A8" s="17" t="s">
        <v>9</v>
      </c>
      <c r="B8" s="17" t="s">
        <v>10</v>
      </c>
      <c r="C8" s="18" t="s">
        <v>11</v>
      </c>
      <c r="D8" s="18" t="s">
        <v>12</v>
      </c>
      <c r="E8" s="18" t="s">
        <v>13</v>
      </c>
      <c r="F8" s="19" t="s">
        <v>14</v>
      </c>
      <c r="G8" s="20" t="s">
        <v>15</v>
      </c>
      <c r="H8" s="21" t="s">
        <v>30</v>
      </c>
      <c r="I8" s="19" t="s">
        <v>31</v>
      </c>
      <c r="J8" s="21" t="s">
        <v>33</v>
      </c>
      <c r="K8" s="21" t="s">
        <v>32</v>
      </c>
      <c r="L8" s="20" t="s">
        <v>16</v>
      </c>
      <c r="M8" s="17" t="s">
        <v>17</v>
      </c>
      <c r="N8" s="23" t="s">
        <v>18</v>
      </c>
      <c r="O8" s="17" t="s">
        <v>19</v>
      </c>
      <c r="P8" s="17" t="s">
        <v>20</v>
      </c>
      <c r="Q8" s="17" t="s">
        <v>21</v>
      </c>
      <c r="R8" s="17" t="s">
        <v>22</v>
      </c>
      <c r="S8" s="17" t="s">
        <v>23</v>
      </c>
      <c r="T8" s="17" t="s">
        <v>24</v>
      </c>
      <c r="U8" s="17" t="s">
        <v>25</v>
      </c>
      <c r="V8" s="17" t="s">
        <v>26</v>
      </c>
      <c r="W8" s="73" t="s">
        <v>45</v>
      </c>
      <c r="X8" s="74" t="s">
        <v>46</v>
      </c>
      <c r="Y8" s="75" t="s">
        <v>47</v>
      </c>
    </row>
    <row r="9" spans="1:25" x14ac:dyDescent="0.2">
      <c r="A9" s="24" t="s">
        <v>27</v>
      </c>
      <c r="B9" s="24" t="s">
        <v>28</v>
      </c>
      <c r="C9" s="24" t="s">
        <v>1</v>
      </c>
      <c r="D9" s="24" t="s">
        <v>1</v>
      </c>
      <c r="E9" s="24" t="s">
        <v>1</v>
      </c>
      <c r="F9" s="24" t="s">
        <v>73</v>
      </c>
      <c r="G9" s="24">
        <v>1</v>
      </c>
      <c r="H9" s="24" t="s">
        <v>0</v>
      </c>
      <c r="I9" s="24" t="s">
        <v>0</v>
      </c>
      <c r="J9" s="24" t="s">
        <v>73</v>
      </c>
      <c r="K9" s="24" t="s">
        <v>73</v>
      </c>
      <c r="L9" s="64" t="s">
        <v>5</v>
      </c>
      <c r="M9" s="24" t="s">
        <v>5</v>
      </c>
      <c r="N9" s="5"/>
      <c r="O9" s="24" t="s">
        <v>29</v>
      </c>
      <c r="P9" s="24" t="s">
        <v>29</v>
      </c>
      <c r="Q9" s="24" t="s">
        <v>1</v>
      </c>
      <c r="R9" s="24" t="s">
        <v>1</v>
      </c>
      <c r="S9" s="24" t="s">
        <v>1</v>
      </c>
      <c r="T9" s="37"/>
      <c r="U9" s="24" t="s">
        <v>1</v>
      </c>
      <c r="V9" s="37"/>
      <c r="W9" s="76" t="s">
        <v>5</v>
      </c>
      <c r="X9" s="76" t="s">
        <v>5</v>
      </c>
      <c r="Y9" s="77"/>
    </row>
    <row r="10" spans="1:25" x14ac:dyDescent="0.2">
      <c r="A10" s="22" t="s">
        <v>63</v>
      </c>
      <c r="B10" s="17">
        <v>1</v>
      </c>
      <c r="C10" s="46">
        <v>269.03946799281931</v>
      </c>
      <c r="D10" s="17">
        <v>1.5855225539945401</v>
      </c>
      <c r="E10" s="47">
        <v>0.66230180937464944</v>
      </c>
      <c r="F10" s="23">
        <v>0.69794961654911347</v>
      </c>
      <c r="G10" s="49">
        <f t="shared" ref="G10:G15" si="0">E10/F10</f>
        <v>0.94892495628736329</v>
      </c>
      <c r="H10" s="48">
        <v>6.383718000650565E-2</v>
      </c>
      <c r="I10" s="50">
        <v>6.5673067456897745E-6</v>
      </c>
      <c r="J10" s="23">
        <v>7.8667518481767302E-3</v>
      </c>
      <c r="K10" s="17">
        <v>4.1597751911133214</v>
      </c>
      <c r="L10" s="83">
        <f t="shared" ref="L10:L15" si="1">$F$5/(1+(I10/H10)*($F$5*(1+G10*J10)-$F$3-G10*J10*$F$4)/(D10*$F$5+$F$3+C10*$F$4)*((C10-G10*K10)/(G10*K10-G10*J10)))</f>
        <v>27.976950677504085</v>
      </c>
      <c r="M10" s="58">
        <v>5.54E-8</v>
      </c>
      <c r="N10" s="58">
        <f t="shared" ref="N10:N16" si="2">M10/L10</f>
        <v>1.9802015108296433E-9</v>
      </c>
      <c r="O10" s="84">
        <f t="shared" ref="O10:O15" si="3">($F$3+C10*$F$4)/(D10*$F$5+$F$3+C10*$F$4)</f>
        <v>0.99454890854511613</v>
      </c>
      <c r="P10" s="23">
        <f t="shared" ref="P10:P15" si="4">O10*I10/H10*(($F$3+G10*J10*$F$4)/($F$3+C10*$F$4))*(C10-G10*K10)/(G10*K10-G10*J10)</f>
        <v>2.4838674735307288E-5</v>
      </c>
      <c r="Q10" s="47">
        <f t="shared" ref="Q10:Q15" si="5">((1-P10)/$F$5)/((1-P10)/$F$5+(1+G10*J10)*P10/($F$3+G10*J10*$F$4))</f>
        <v>0.99997602424937426</v>
      </c>
      <c r="R10" s="85">
        <v>5.5000000000000003E-8</v>
      </c>
      <c r="S10" s="57">
        <f t="shared" ref="S10:S15" si="6">(1-Q10)/(1+G10*J10)</f>
        <v>2.3798098837576698E-5</v>
      </c>
      <c r="T10" s="85">
        <v>5.4900000000000002E-8</v>
      </c>
      <c r="U10" s="58">
        <f t="shared" ref="U10:U15" si="7">G10*J10*S10</f>
        <v>1.7765178816094831E-7</v>
      </c>
      <c r="V10" s="86">
        <v>3.36E-9</v>
      </c>
      <c r="W10" s="78">
        <f>L10-$L$16</f>
        <v>1.5811512454888543E-7</v>
      </c>
      <c r="X10" s="53">
        <f>2*SQRT(SUMSQ(M10,$M$16))</f>
        <v>1.8746743717243268E-7</v>
      </c>
      <c r="Y10" s="79">
        <f>ABS(W10/X10)</f>
        <v>0.84342714091435</v>
      </c>
    </row>
    <row r="11" spans="1:25" x14ac:dyDescent="0.2">
      <c r="A11" s="25" t="s">
        <v>63</v>
      </c>
      <c r="B11" s="24">
        <v>2</v>
      </c>
      <c r="C11" s="26">
        <v>269.03946799281931</v>
      </c>
      <c r="D11" s="24">
        <v>1.5855225539945401</v>
      </c>
      <c r="E11" s="27">
        <v>0.66230180937464944</v>
      </c>
      <c r="F11" s="36">
        <v>0.69447571960874788</v>
      </c>
      <c r="G11" s="28">
        <f t="shared" si="0"/>
        <v>0.9536716557171725</v>
      </c>
      <c r="H11" s="36">
        <v>6.383718000650565E-2</v>
      </c>
      <c r="I11" s="29">
        <v>6.5673067456897745E-6</v>
      </c>
      <c r="J11" s="24">
        <v>7.9896446618725157E-3</v>
      </c>
      <c r="K11" s="5">
        <v>4.1750053269927418</v>
      </c>
      <c r="L11" s="30">
        <f t="shared" si="1"/>
        <v>27.976950474433465</v>
      </c>
      <c r="M11" s="31">
        <v>1.3199999999999999E-7</v>
      </c>
      <c r="N11" s="32">
        <f t="shared" si="2"/>
        <v>4.7181696990394729E-9</v>
      </c>
      <c r="O11" s="65">
        <f t="shared" si="3"/>
        <v>0.99454890854511613</v>
      </c>
      <c r="P11" s="5">
        <f t="shared" si="4"/>
        <v>2.4626165175356944E-5</v>
      </c>
      <c r="Q11" s="27">
        <f t="shared" si="5"/>
        <v>0.99997622950079279</v>
      </c>
      <c r="R11" s="34">
        <v>1.31E-7</v>
      </c>
      <c r="S11" s="43">
        <f t="shared" si="6"/>
        <v>2.3590749546401722E-5</v>
      </c>
      <c r="T11" s="34">
        <v>1.3E-7</v>
      </c>
      <c r="U11" s="32">
        <f t="shared" si="7"/>
        <v>1.7974966080792016E-7</v>
      </c>
      <c r="V11" s="34">
        <v>9.53E-9</v>
      </c>
      <c r="W11" s="78">
        <f t="shared" ref="W11:W15" si="8">L11-$L$16</f>
        <v>-4.4955495326348682E-8</v>
      </c>
      <c r="X11" s="40">
        <f t="shared" ref="X11:X15" si="9">2*SQRT(SUMSQ(M11,$M$16))</f>
        <v>3.0424233761920775E-7</v>
      </c>
      <c r="Y11" s="80">
        <f t="shared" ref="Y11:Y15" si="10">ABS(W11/X11)</f>
        <v>0.14776212830252231</v>
      </c>
    </row>
    <row r="12" spans="1:25" x14ac:dyDescent="0.2">
      <c r="A12" s="25" t="s">
        <v>63</v>
      </c>
      <c r="B12" s="24">
        <v>3</v>
      </c>
      <c r="C12" s="26">
        <v>269.03946799281931</v>
      </c>
      <c r="D12" s="24">
        <v>1.5855225539945401</v>
      </c>
      <c r="E12" s="27">
        <v>0.66230180937464944</v>
      </c>
      <c r="F12" s="5">
        <v>0.70118641555470385</v>
      </c>
      <c r="G12" s="28">
        <f t="shared" si="0"/>
        <v>0.94454455289283801</v>
      </c>
      <c r="H12" s="36">
        <v>6.383718000650565E-2</v>
      </c>
      <c r="I12" s="29">
        <v>6.5673067456897745E-6</v>
      </c>
      <c r="J12" s="5">
        <v>6.094628801047405E-3</v>
      </c>
      <c r="K12" s="24">
        <v>4.2014646735243062</v>
      </c>
      <c r="L12" s="30">
        <f t="shared" si="1"/>
        <v>27.976950455582717</v>
      </c>
      <c r="M12" s="31">
        <v>5.8500000000000001E-8</v>
      </c>
      <c r="N12" s="32">
        <f t="shared" si="2"/>
        <v>2.0910070271195871E-9</v>
      </c>
      <c r="O12" s="65">
        <f t="shared" si="3"/>
        <v>0.99454890854511613</v>
      </c>
      <c r="P12" s="5">
        <f t="shared" si="4"/>
        <v>2.4650086287265632E-5</v>
      </c>
      <c r="Q12" s="27">
        <f t="shared" si="5"/>
        <v>0.99997620490588079</v>
      </c>
      <c r="R12" s="34">
        <v>5.3500000000000003E-8</v>
      </c>
      <c r="S12" s="43">
        <f t="shared" si="6"/>
        <v>2.365889816011622E-5</v>
      </c>
      <c r="T12" s="34">
        <v>5.1100000000000001E-8</v>
      </c>
      <c r="U12" s="32">
        <f t="shared" si="7"/>
        <v>1.3619595908933436E-7</v>
      </c>
      <c r="V12" s="34">
        <v>1.27E-8</v>
      </c>
      <c r="W12" s="78">
        <f t="shared" si="8"/>
        <v>-6.3806243844055643E-8</v>
      </c>
      <c r="X12" s="40">
        <f t="shared" si="9"/>
        <v>1.9119728031538525E-7</v>
      </c>
      <c r="Y12" s="80">
        <f t="shared" si="10"/>
        <v>0.33371941137868416</v>
      </c>
    </row>
    <row r="13" spans="1:25" x14ac:dyDescent="0.2">
      <c r="A13" s="25" t="s">
        <v>63</v>
      </c>
      <c r="B13" s="24">
        <v>4</v>
      </c>
      <c r="C13" s="26">
        <v>269.03946799281931</v>
      </c>
      <c r="D13" s="24">
        <v>1.5855225539945401</v>
      </c>
      <c r="E13" s="27">
        <v>0.66230180937464944</v>
      </c>
      <c r="F13" s="5">
        <v>0.70110880123849739</v>
      </c>
      <c r="G13" s="28">
        <f t="shared" si="0"/>
        <v>0.94464911609254365</v>
      </c>
      <c r="H13" s="36">
        <v>6.383718000650565E-2</v>
      </c>
      <c r="I13" s="29">
        <v>6.5673067456897745E-6</v>
      </c>
      <c r="J13" s="5">
        <v>6.2886611399499701E-3</v>
      </c>
      <c r="K13" s="24">
        <v>4.2196998132323751</v>
      </c>
      <c r="L13" s="30">
        <f t="shared" si="1"/>
        <v>27.976950357585618</v>
      </c>
      <c r="M13" s="31">
        <v>5.0699999999999997E-8</v>
      </c>
      <c r="N13" s="32">
        <f t="shared" si="2"/>
        <v>1.8122060965180679E-9</v>
      </c>
      <c r="O13" s="65">
        <f t="shared" si="3"/>
        <v>0.99454890854511613</v>
      </c>
      <c r="P13" s="5">
        <f t="shared" si="4"/>
        <v>2.4544827827562976E-5</v>
      </c>
      <c r="Q13" s="27">
        <f t="shared" si="5"/>
        <v>0.99997630666173365</v>
      </c>
      <c r="R13" s="34">
        <v>4.9899999999999997E-8</v>
      </c>
      <c r="S13" s="43">
        <f t="shared" si="6"/>
        <v>2.355341734901172E-5</v>
      </c>
      <c r="T13" s="34">
        <v>4.9600000000000001E-8</v>
      </c>
      <c r="U13" s="32">
        <f t="shared" si="7"/>
        <v>1.3992091733895303E-7</v>
      </c>
      <c r="V13" s="34">
        <v>4.6200000000000002E-9</v>
      </c>
      <c r="W13" s="78">
        <f t="shared" si="8"/>
        <v>-1.6180334228010906E-7</v>
      </c>
      <c r="X13" s="40">
        <f t="shared" si="9"/>
        <v>1.8206965699973185E-7</v>
      </c>
      <c r="Y13" s="80">
        <f t="shared" si="10"/>
        <v>0.88868922447823018</v>
      </c>
    </row>
    <row r="14" spans="1:25" x14ac:dyDescent="0.2">
      <c r="A14" s="25" t="s">
        <v>63</v>
      </c>
      <c r="B14" s="24">
        <v>5</v>
      </c>
      <c r="C14" s="26">
        <v>269.03946799281931</v>
      </c>
      <c r="D14" s="24">
        <v>1.5855225539945401</v>
      </c>
      <c r="E14" s="27">
        <v>0.66230180937464944</v>
      </c>
      <c r="F14" s="5">
        <v>0.69691479485968688</v>
      </c>
      <c r="G14" s="28">
        <f t="shared" si="0"/>
        <v>0.95033397806972053</v>
      </c>
      <c r="H14" s="36">
        <v>6.383718000650565E-2</v>
      </c>
      <c r="I14" s="29">
        <v>6.5673067456897745E-6</v>
      </c>
      <c r="J14" s="5">
        <v>7.0385576859943793E-3</v>
      </c>
      <c r="K14" s="24">
        <v>4.1523853634782775</v>
      </c>
      <c r="L14" s="30">
        <f t="shared" si="1"/>
        <v>27.976950643094028</v>
      </c>
      <c r="M14" s="31">
        <v>7.1200000000000002E-8</v>
      </c>
      <c r="N14" s="32">
        <f t="shared" si="2"/>
        <v>2.5449521253516372E-9</v>
      </c>
      <c r="O14" s="65">
        <f t="shared" si="3"/>
        <v>0.99454890854511613</v>
      </c>
      <c r="P14" s="5">
        <f t="shared" si="4"/>
        <v>2.4821428080710591E-5</v>
      </c>
      <c r="Q14" s="27">
        <f t="shared" si="5"/>
        <v>0.99997604026613007</v>
      </c>
      <c r="R14" s="34">
        <v>7.0900000000000006E-8</v>
      </c>
      <c r="S14" s="43">
        <f t="shared" si="6"/>
        <v>2.380053257106028E-5</v>
      </c>
      <c r="T14" s="34">
        <v>7.0799999999999999E-8</v>
      </c>
      <c r="U14" s="32">
        <f t="shared" si="7"/>
        <v>1.5920129886683175E-7</v>
      </c>
      <c r="V14" s="34">
        <v>3.0300000000000001E-9</v>
      </c>
      <c r="W14" s="78">
        <f t="shared" si="8"/>
        <v>1.2370506752290567E-7</v>
      </c>
      <c r="X14" s="40">
        <f t="shared" si="9"/>
        <v>2.0771413047744251E-7</v>
      </c>
      <c r="Y14" s="80">
        <f t="shared" si="10"/>
        <v>0.5955544152849046</v>
      </c>
    </row>
    <row r="15" spans="1:25" x14ac:dyDescent="0.2">
      <c r="A15" s="25" t="s">
        <v>63</v>
      </c>
      <c r="B15" s="24">
        <v>6</v>
      </c>
      <c r="C15" s="26">
        <v>269.03946799281931</v>
      </c>
      <c r="D15" s="24">
        <v>1.5855225539945401</v>
      </c>
      <c r="E15" s="27">
        <v>0.66230180937464944</v>
      </c>
      <c r="F15" s="5">
        <v>0.698271693778729</v>
      </c>
      <c r="G15" s="28">
        <f t="shared" si="0"/>
        <v>0.94848726545189466</v>
      </c>
      <c r="H15" s="36">
        <v>6.383718000650565E-2</v>
      </c>
      <c r="I15" s="29">
        <v>6.5673067456897745E-6</v>
      </c>
      <c r="J15" s="5">
        <v>6.4378179786663669E-3</v>
      </c>
      <c r="K15" s="24">
        <v>4.1781748410963822</v>
      </c>
      <c r="L15" s="30">
        <f t="shared" si="1"/>
        <v>27.976950508133847</v>
      </c>
      <c r="M15" s="31">
        <v>5.2399999999999999E-8</v>
      </c>
      <c r="N15" s="32">
        <f t="shared" si="2"/>
        <v>1.8729703934231698E-9</v>
      </c>
      <c r="O15" s="65">
        <f t="shared" si="3"/>
        <v>0.99454890854511613</v>
      </c>
      <c r="P15" s="5">
        <f t="shared" si="4"/>
        <v>2.4696070650763118E-5</v>
      </c>
      <c r="Q15" s="27">
        <f t="shared" si="5"/>
        <v>0.99997616079980556</v>
      </c>
      <c r="R15" s="34">
        <v>5.1399999999999997E-8</v>
      </c>
      <c r="S15" s="43">
        <f t="shared" si="6"/>
        <v>2.3694517010239905E-5</v>
      </c>
      <c r="T15" s="34">
        <v>5.0899999999999999E-8</v>
      </c>
      <c r="U15" s="32">
        <f t="shared" si="7"/>
        <v>1.4468318420217041E-7</v>
      </c>
      <c r="V15" s="34">
        <v>5.4899999999999999E-9</v>
      </c>
      <c r="W15" s="78">
        <f t="shared" si="8"/>
        <v>-1.1255114173991387E-8</v>
      </c>
      <c r="X15" s="40">
        <f t="shared" si="9"/>
        <v>1.8398489068399069E-7</v>
      </c>
      <c r="Y15" s="80">
        <f t="shared" si="10"/>
        <v>6.117412213659968E-2</v>
      </c>
    </row>
    <row r="16" spans="1:25" x14ac:dyDescent="0.2">
      <c r="E16" s="10" t="s">
        <v>36</v>
      </c>
      <c r="F16" s="5">
        <f>AVERAGE(F10:F15)</f>
        <v>0.69831784026491306</v>
      </c>
      <c r="G16" s="5"/>
      <c r="H16" s="36"/>
      <c r="I16" s="36"/>
      <c r="J16" s="5">
        <f>AVERAGE(J10:J15)</f>
        <v>6.9526770192845618E-3</v>
      </c>
      <c r="K16" s="5">
        <f>AVERAGE(K10:K15)</f>
        <v>4.1810842015729008</v>
      </c>
      <c r="L16" s="35">
        <f>AVERAGE(L10:L15)</f>
        <v>27.976950519388961</v>
      </c>
      <c r="M16" s="34">
        <f>SQRT(SUMSQ(M10:M15)/COUNT(M10:M15))</f>
        <v>7.5609853855168907E-8</v>
      </c>
      <c r="N16" s="42">
        <f t="shared" si="2"/>
        <v>2.7025766729926036E-9</v>
      </c>
      <c r="O16" s="45"/>
      <c r="P16" s="45"/>
      <c r="Q16" s="36">
        <f>AVERAGE(Q10:Q15)</f>
        <v>0.99997616106395293</v>
      </c>
      <c r="R16" s="42">
        <f>SQRT(SUMSQ(R10:R15)/COUNT(R10:R15))</f>
        <v>7.4394253810358236E-8</v>
      </c>
      <c r="S16" s="44">
        <f>AVERAGE(S10:S15)</f>
        <v>2.3682702245734421E-5</v>
      </c>
      <c r="T16" s="42">
        <f>SQRT(SUMSQ(T10:T15)/COUNT(T10:T15))</f>
        <v>7.3698518754902168E-8</v>
      </c>
      <c r="U16" s="31">
        <f>AVERAGE(U10:U15)</f>
        <v>1.5623380141102635E-7</v>
      </c>
      <c r="V16" s="42">
        <f>SQRT(SUMSQ(V10:V15)/COUNT(V10:V15))</f>
        <v>7.3492165115291943E-9</v>
      </c>
    </row>
    <row r="17" spans="5:22" x14ac:dyDescent="0.2">
      <c r="E17" s="66" t="s">
        <v>42</v>
      </c>
      <c r="F17" s="5">
        <f>COUNT(F10:F15)</f>
        <v>6</v>
      </c>
      <c r="G17" s="5"/>
      <c r="H17" s="36"/>
      <c r="I17" s="36"/>
      <c r="J17" s="5">
        <f>COUNT(J10:J15)</f>
        <v>6</v>
      </c>
      <c r="K17" s="5">
        <f>COUNT(K10:K15)</f>
        <v>6</v>
      </c>
      <c r="L17" s="39">
        <f>COUNT(L10:L15)</f>
        <v>6</v>
      </c>
      <c r="M17" s="34"/>
      <c r="N17" s="42"/>
      <c r="O17" s="45"/>
      <c r="P17" s="45"/>
      <c r="Q17" s="36"/>
      <c r="R17" s="42"/>
      <c r="S17" s="44"/>
      <c r="T17" s="42"/>
      <c r="U17" s="31"/>
      <c r="V17" s="42"/>
    </row>
    <row r="18" spans="5:22" x14ac:dyDescent="0.2">
      <c r="E18" s="67" t="s">
        <v>43</v>
      </c>
      <c r="F18" s="70">
        <f>STDEV(F10:F15)</f>
        <v>2.5646182210220278E-3</v>
      </c>
      <c r="G18" s="5"/>
      <c r="H18" s="36"/>
      <c r="I18" s="36"/>
      <c r="J18" s="69">
        <f>STDEV(J10:J15)</f>
        <v>8.1981142197921669E-4</v>
      </c>
      <c r="K18" s="71">
        <f>STDEV(K10:K15)</f>
        <v>2.5415127110006149E-2</v>
      </c>
      <c r="L18" s="34">
        <f>STDEV(L10:L15)</f>
        <v>1.2058405269650243E-7</v>
      </c>
      <c r="M18" s="34"/>
      <c r="N18" s="42"/>
      <c r="O18" s="45"/>
      <c r="P18" s="45"/>
      <c r="Q18" s="36"/>
      <c r="R18" s="42"/>
      <c r="S18" s="44"/>
      <c r="T18" s="42"/>
      <c r="U18" s="31"/>
      <c r="V18" s="42"/>
    </row>
    <row r="19" spans="5:22" x14ac:dyDescent="0.2">
      <c r="E19" s="67" t="s">
        <v>44</v>
      </c>
      <c r="F19" s="70">
        <f>F18/(SQRT(F17))</f>
        <v>1.0470010044247165E-3</v>
      </c>
      <c r="G19" s="5"/>
      <c r="H19" s="36"/>
      <c r="I19" s="36"/>
      <c r="J19" s="69">
        <f>J18/(SQRT(J17))</f>
        <v>3.3468661152576384E-4</v>
      </c>
      <c r="K19" s="71">
        <f>K18/(SQRT(K17))</f>
        <v>1.0375682194581791E-2</v>
      </c>
      <c r="L19" s="34">
        <f>L18/(SQRT(L17))</f>
        <v>4.9228233370551491E-8</v>
      </c>
      <c r="M19" s="34"/>
      <c r="N19" s="42"/>
      <c r="O19" s="45"/>
      <c r="P19" s="45"/>
      <c r="Q19" s="36"/>
      <c r="R19" s="42"/>
      <c r="S19" s="44"/>
      <c r="T19" s="42"/>
      <c r="U19" s="31"/>
      <c r="V19" s="42"/>
    </row>
    <row r="20" spans="5:22" x14ac:dyDescent="0.2">
      <c r="E20" s="67" t="s">
        <v>64</v>
      </c>
      <c r="F20" s="68">
        <f>F19/F16</f>
        <v>1.4993187114158897E-3</v>
      </c>
      <c r="G20" s="5"/>
      <c r="H20" s="36"/>
      <c r="I20" s="36"/>
      <c r="J20" s="68">
        <f>J19/J16</f>
        <v>4.8137805135697709E-2</v>
      </c>
      <c r="K20" s="68">
        <f>K19/K16</f>
        <v>2.4815769533362941E-3</v>
      </c>
      <c r="L20" s="34">
        <f>L19/L16</f>
        <v>1.7595996867648131E-9</v>
      </c>
      <c r="M20" s="34"/>
      <c r="N20" s="42"/>
      <c r="O20" s="45"/>
      <c r="P20" s="45"/>
      <c r="Q20" s="36"/>
      <c r="R20" s="42"/>
      <c r="S20" s="44"/>
      <c r="T20" s="42"/>
      <c r="U20" s="31"/>
      <c r="V20" s="42"/>
    </row>
    <row r="21" spans="5:22" x14ac:dyDescent="0.2">
      <c r="F21" s="5"/>
      <c r="G21" s="5"/>
      <c r="H21" s="36"/>
      <c r="I21" s="36"/>
      <c r="J21" s="5"/>
      <c r="K21" s="5"/>
      <c r="M21" s="31"/>
      <c r="R21" s="5"/>
      <c r="T21" s="5"/>
      <c r="V21" s="5"/>
    </row>
    <row r="22" spans="5:22" x14ac:dyDescent="0.2">
      <c r="F22" s="5"/>
      <c r="G22" s="5"/>
      <c r="H22" s="36"/>
      <c r="I22" s="36"/>
      <c r="J22" s="5"/>
      <c r="K22" s="5"/>
      <c r="M22" s="31"/>
      <c r="R22" s="5"/>
      <c r="T22" s="5"/>
      <c r="V22" s="5"/>
    </row>
    <row r="23" spans="5:22" x14ac:dyDescent="0.2">
      <c r="F23" s="5"/>
      <c r="G23" s="5"/>
      <c r="H23" s="36"/>
      <c r="I23" s="36"/>
      <c r="J23" s="5"/>
      <c r="K23" s="5"/>
      <c r="M23" s="31"/>
      <c r="R23" s="5"/>
      <c r="T23" s="5"/>
      <c r="V23" s="5"/>
    </row>
    <row r="24" spans="5:22" x14ac:dyDescent="0.2">
      <c r="F24" s="5"/>
      <c r="G24" s="5"/>
      <c r="H24" s="36"/>
      <c r="I24" s="36"/>
      <c r="J24" s="5"/>
      <c r="K24" s="5"/>
      <c r="M24" s="31"/>
      <c r="R24" s="5"/>
      <c r="T24" s="5"/>
      <c r="V24" s="5"/>
    </row>
    <row r="25" spans="5:22" x14ac:dyDescent="0.2">
      <c r="F25" s="5"/>
      <c r="G25" s="5"/>
      <c r="H25" s="36"/>
      <c r="I25" s="36"/>
      <c r="J25" s="5"/>
      <c r="K25" s="5"/>
      <c r="M25" s="31"/>
      <c r="R25" s="5"/>
      <c r="T25" s="5"/>
      <c r="V25" s="5"/>
    </row>
    <row r="26" spans="5:22" x14ac:dyDescent="0.2">
      <c r="F26" s="5"/>
      <c r="G26" s="5"/>
      <c r="H26" s="36"/>
      <c r="I26" s="36"/>
      <c r="J26" s="5"/>
      <c r="K26" s="5"/>
      <c r="M26" s="31"/>
      <c r="R26" s="5"/>
      <c r="T26" s="5"/>
      <c r="V26" s="5"/>
    </row>
    <row r="27" spans="5:22" x14ac:dyDescent="0.2">
      <c r="F27" s="5"/>
      <c r="G27" s="5"/>
      <c r="H27" s="36"/>
      <c r="I27" s="36"/>
      <c r="J27" s="5"/>
      <c r="K27" s="5"/>
      <c r="M27" s="31"/>
      <c r="R27" s="5"/>
      <c r="T27" s="5"/>
      <c r="V27" s="5"/>
    </row>
    <row r="28" spans="5:22" x14ac:dyDescent="0.2">
      <c r="F28" s="5"/>
      <c r="G28" s="5"/>
      <c r="H28" s="36"/>
      <c r="I28" s="36"/>
      <c r="J28" s="5"/>
      <c r="K28" s="5"/>
      <c r="M28" s="31"/>
      <c r="R28" s="5"/>
      <c r="T28" s="5"/>
      <c r="V28" s="5"/>
    </row>
    <row r="29" spans="5:22" x14ac:dyDescent="0.2">
      <c r="F29" s="5"/>
      <c r="G29" s="5"/>
      <c r="H29" s="36"/>
      <c r="I29" s="36"/>
      <c r="J29" s="5"/>
      <c r="K29" s="5"/>
      <c r="M29" s="31"/>
      <c r="R29" s="5"/>
      <c r="T29" s="5"/>
      <c r="V29" s="5"/>
    </row>
    <row r="30" spans="5:22" x14ac:dyDescent="0.2">
      <c r="F30" s="5"/>
      <c r="G30" s="5"/>
      <c r="H30" s="36"/>
      <c r="I30" s="36"/>
      <c r="M30" s="31"/>
      <c r="R30" s="5"/>
      <c r="T30" s="5"/>
      <c r="V30" s="5"/>
    </row>
    <row r="31" spans="5:22" x14ac:dyDescent="0.2">
      <c r="F31" s="5"/>
      <c r="G31" s="5"/>
      <c r="R31" s="5"/>
      <c r="T31" s="5"/>
      <c r="V31" s="5"/>
    </row>
    <row r="32" spans="5:22" x14ac:dyDescent="0.2">
      <c r="F32" s="5"/>
      <c r="G32" s="5"/>
      <c r="R32" s="5"/>
      <c r="T32" s="5"/>
      <c r="V32" s="5"/>
    </row>
    <row r="33" spans="6:22" x14ac:dyDescent="0.2">
      <c r="F33" s="5"/>
      <c r="G33" s="5"/>
      <c r="R33" s="5"/>
      <c r="T33" s="5"/>
      <c r="V33" s="5"/>
    </row>
    <row r="34" spans="6:22" x14ac:dyDescent="0.2">
      <c r="F34" s="5"/>
      <c r="G34" s="5"/>
      <c r="R34" s="5"/>
      <c r="T34" s="5"/>
      <c r="V34" s="5"/>
    </row>
    <row r="35" spans="6:22" x14ac:dyDescent="0.2">
      <c r="R35" s="5"/>
      <c r="T35" s="5"/>
      <c r="V35" s="5"/>
    </row>
    <row r="36" spans="6:22" x14ac:dyDescent="0.2">
      <c r="T36" s="5"/>
      <c r="V36" s="5"/>
    </row>
    <row r="37" spans="6:22" x14ac:dyDescent="0.2">
      <c r="T37" s="5"/>
      <c r="V37" s="5"/>
    </row>
    <row r="38" spans="6:22" x14ac:dyDescent="0.2">
      <c r="T38" s="5"/>
      <c r="V38" s="5"/>
    </row>
    <row r="39" spans="6:22" x14ac:dyDescent="0.2">
      <c r="T39" s="5"/>
      <c r="V39" s="5"/>
    </row>
    <row r="40" spans="6:22" x14ac:dyDescent="0.2">
      <c r="T40" s="5"/>
      <c r="V40" s="5"/>
    </row>
  </sheetData>
  <phoneticPr fontId="36" type="noConversion"/>
  <pageMargins left="0.78740157499999996" right="0.78740157499999996" top="0.984251969" bottom="0.984251969" header="0.4921259845" footer="0.4921259845"/>
  <pageSetup paperSize="9" scale="11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10106-7BC9-4010-B911-2D824157F106}">
  <dimension ref="A1:AA36"/>
  <sheetViews>
    <sheetView workbookViewId="0"/>
  </sheetViews>
  <sheetFormatPr baseColWidth="10" defaultRowHeight="12.75" x14ac:dyDescent="0.2"/>
  <cols>
    <col min="1" max="1" width="20.7109375" style="1" customWidth="1"/>
    <col min="2" max="2" width="10.7109375" style="1" customWidth="1"/>
    <col min="3" max="4" width="15.7109375" style="1" customWidth="1"/>
    <col min="5" max="5" width="17.7109375" style="1" customWidth="1"/>
    <col min="6" max="25" width="15.7109375" style="1" customWidth="1"/>
    <col min="26" max="16384" width="11.42578125" style="1"/>
  </cols>
  <sheetData>
    <row r="1" spans="1:27" ht="25.9" customHeight="1" x14ac:dyDescent="0.2">
      <c r="A1" s="1" t="s">
        <v>2</v>
      </c>
      <c r="B1" s="2"/>
    </row>
    <row r="2" spans="1:27" ht="15" customHeight="1" x14ac:dyDescent="0.2">
      <c r="B2" s="2"/>
    </row>
    <row r="3" spans="1:27" ht="14.25" x14ac:dyDescent="0.2">
      <c r="C3" s="1" t="s">
        <v>3</v>
      </c>
      <c r="E3" s="3" t="s">
        <v>4</v>
      </c>
      <c r="F3" s="4">
        <v>28.976494664299999</v>
      </c>
      <c r="G3" s="5" t="s">
        <v>5</v>
      </c>
      <c r="I3" s="6" t="s">
        <v>6</v>
      </c>
      <c r="K3" s="4"/>
    </row>
    <row r="4" spans="1:27" ht="14.25" x14ac:dyDescent="0.2">
      <c r="B4" s="2"/>
      <c r="C4" s="1" t="s">
        <v>35</v>
      </c>
      <c r="D4" s="5"/>
      <c r="E4" s="3" t="s">
        <v>7</v>
      </c>
      <c r="F4" s="7">
        <v>29.973770136999999</v>
      </c>
      <c r="G4" s="5" t="s">
        <v>5</v>
      </c>
      <c r="K4" s="8"/>
    </row>
    <row r="5" spans="1:27" ht="14.25" x14ac:dyDescent="0.2">
      <c r="B5" s="2"/>
      <c r="C5" s="3"/>
      <c r="E5" s="3" t="s">
        <v>8</v>
      </c>
      <c r="F5" s="9">
        <v>27.9769265344</v>
      </c>
      <c r="G5" s="5" t="s">
        <v>5</v>
      </c>
      <c r="K5" s="4"/>
    </row>
    <row r="6" spans="1:27" x14ac:dyDescent="0.2">
      <c r="A6" s="120" t="s">
        <v>65</v>
      </c>
      <c r="C6" s="10" t="s">
        <v>34</v>
      </c>
      <c r="D6" s="11"/>
      <c r="E6" s="11"/>
      <c r="F6" s="11"/>
      <c r="G6" s="11"/>
      <c r="L6" s="9"/>
    </row>
    <row r="7" spans="1:27" x14ac:dyDescent="0.2">
      <c r="A7" s="120" t="s">
        <v>38</v>
      </c>
      <c r="B7" s="13"/>
      <c r="C7" s="14"/>
      <c r="D7" s="12"/>
      <c r="E7" s="12"/>
      <c r="F7" s="12"/>
      <c r="G7" s="12"/>
      <c r="H7" s="12"/>
      <c r="I7" s="15"/>
      <c r="J7" s="12"/>
      <c r="K7" s="12"/>
      <c r="L7" s="12"/>
      <c r="M7" s="12"/>
      <c r="N7" s="16"/>
      <c r="O7" s="16"/>
      <c r="P7" s="12"/>
      <c r="Q7" s="12"/>
      <c r="R7" s="12"/>
      <c r="S7" s="12"/>
      <c r="T7" s="12"/>
      <c r="U7" s="12"/>
      <c r="V7" s="12"/>
    </row>
    <row r="8" spans="1:27" ht="15.75" x14ac:dyDescent="0.3">
      <c r="A8" s="17" t="s">
        <v>9</v>
      </c>
      <c r="B8" s="17" t="s">
        <v>10</v>
      </c>
      <c r="C8" s="18" t="s">
        <v>11</v>
      </c>
      <c r="D8" s="18" t="s">
        <v>12</v>
      </c>
      <c r="E8" s="18" t="s">
        <v>13</v>
      </c>
      <c r="F8" s="19" t="s">
        <v>14</v>
      </c>
      <c r="G8" s="20" t="s">
        <v>15</v>
      </c>
      <c r="H8" s="21" t="s">
        <v>30</v>
      </c>
      <c r="I8" s="19" t="s">
        <v>31</v>
      </c>
      <c r="J8" s="21" t="s">
        <v>33</v>
      </c>
      <c r="K8" s="21" t="s">
        <v>32</v>
      </c>
      <c r="L8" s="20" t="s">
        <v>16</v>
      </c>
      <c r="M8" s="22" t="s">
        <v>17</v>
      </c>
      <c r="N8" s="23" t="s">
        <v>18</v>
      </c>
      <c r="O8" s="17" t="s">
        <v>19</v>
      </c>
      <c r="P8" s="17" t="s">
        <v>20</v>
      </c>
      <c r="Q8" s="17" t="s">
        <v>21</v>
      </c>
      <c r="R8" s="17" t="s">
        <v>22</v>
      </c>
      <c r="S8" s="17" t="s">
        <v>23</v>
      </c>
      <c r="T8" s="17" t="s">
        <v>24</v>
      </c>
      <c r="U8" s="17" t="s">
        <v>25</v>
      </c>
      <c r="V8" s="17" t="s">
        <v>26</v>
      </c>
      <c r="W8" s="73" t="s">
        <v>45</v>
      </c>
      <c r="X8" s="74" t="s">
        <v>46</v>
      </c>
      <c r="Y8" s="75" t="s">
        <v>47</v>
      </c>
      <c r="Z8" s="61"/>
      <c r="AA8" s="61"/>
    </row>
    <row r="9" spans="1:27" x14ac:dyDescent="0.2">
      <c r="A9" s="24" t="s">
        <v>27</v>
      </c>
      <c r="B9" s="24" t="s">
        <v>28</v>
      </c>
      <c r="C9" s="24" t="s">
        <v>1</v>
      </c>
      <c r="D9" s="24" t="s">
        <v>1</v>
      </c>
      <c r="E9" s="24" t="s">
        <v>1</v>
      </c>
      <c r="F9" s="24" t="s">
        <v>73</v>
      </c>
      <c r="G9" s="38">
        <v>1</v>
      </c>
      <c r="H9" s="24" t="s">
        <v>0</v>
      </c>
      <c r="I9" s="24" t="s">
        <v>0</v>
      </c>
      <c r="J9" s="24" t="s">
        <v>73</v>
      </c>
      <c r="K9" s="24" t="s">
        <v>73</v>
      </c>
      <c r="L9" s="38" t="s">
        <v>5</v>
      </c>
      <c r="M9" s="25" t="s">
        <v>5</v>
      </c>
      <c r="N9" s="5"/>
      <c r="O9" s="24" t="s">
        <v>29</v>
      </c>
      <c r="P9" s="24" t="s">
        <v>29</v>
      </c>
      <c r="Q9" s="24" t="s">
        <v>1</v>
      </c>
      <c r="R9" s="24" t="s">
        <v>1</v>
      </c>
      <c r="S9" s="24" t="s">
        <v>1</v>
      </c>
      <c r="T9" s="37"/>
      <c r="U9" s="24" t="s">
        <v>1</v>
      </c>
      <c r="V9" s="37"/>
      <c r="W9" s="76" t="s">
        <v>5</v>
      </c>
      <c r="X9" s="76" t="s">
        <v>5</v>
      </c>
      <c r="Y9" s="77"/>
      <c r="Z9" s="5"/>
      <c r="AA9" s="5"/>
    </row>
    <row r="10" spans="1:27" x14ac:dyDescent="0.2">
      <c r="A10" s="22" t="s">
        <v>37</v>
      </c>
      <c r="B10" s="17">
        <v>1</v>
      </c>
      <c r="C10" s="46">
        <v>269.03946799281931</v>
      </c>
      <c r="D10" s="17">
        <v>1.5855225539945401</v>
      </c>
      <c r="E10" s="47">
        <v>0.66230180937464944</v>
      </c>
      <c r="F10" s="48">
        <v>0.69802567283806638</v>
      </c>
      <c r="G10" s="49">
        <f t="shared" ref="G10:G15" si="0">E10/F10</f>
        <v>0.94882156222396641</v>
      </c>
      <c r="H10" s="47">
        <v>6.383718000650565E-2</v>
      </c>
      <c r="I10" s="50">
        <v>6.5673067456897745E-6</v>
      </c>
      <c r="J10" s="51">
        <v>9.2618223474286009E-3</v>
      </c>
      <c r="K10" s="47">
        <v>4.1497433748021724</v>
      </c>
      <c r="L10" s="52">
        <f t="shared" ref="L10:L15" si="1">$F$5/(1+(I10/H10)*($F$5*(1+G10*J10)-$F$3-G10*J10*$F$4)/(D10*$F$5+$F$3+C10*$F$4)*((C10-G10*K10)/(G10*K10-G10*J10)))</f>
        <v>27.976950810185844</v>
      </c>
      <c r="M10" s="53">
        <v>5.17E-8</v>
      </c>
      <c r="N10" s="54">
        <f t="shared" ref="N10:N16" si="2">M10/L10</f>
        <v>1.8479497766131494E-9</v>
      </c>
      <c r="O10" s="55">
        <f t="shared" ref="O10:O15" si="3">($F$3+C10*$F$4)/(D10*$F$5+$F$3+C10*$F$4)</f>
        <v>0.99454890854539768</v>
      </c>
      <c r="P10" s="23">
        <f t="shared" ref="P10:P15" si="4">O10*I10/H10*(($F$3+G10*J10*$F$4)/($F$3+C10*$F$4))*(C10-G10*K10)/(G10*K10-G10*J10)</f>
        <v>2.4944699954891567E-5</v>
      </c>
      <c r="Q10" s="47">
        <f t="shared" ref="Q10:Q15" si="5">((1-P10)/$F$5)/((1-P10)/$F$5+(1+G10*J10)*P10/($F$3+G10*J10*$F$4))</f>
        <v>0.9999759229857883</v>
      </c>
      <c r="R10" s="56">
        <v>5.1399999999999997E-8</v>
      </c>
      <c r="S10" s="57">
        <f t="shared" ref="S10:S15" si="6">(1-Q10)/(1+G10*J10)</f>
        <v>2.3867272990367396E-5</v>
      </c>
      <c r="T10" s="56">
        <v>5.1200000000000002E-8</v>
      </c>
      <c r="U10" s="58">
        <f t="shared" ref="U10:U15" si="7">G10*J10*S10</f>
        <v>2.0974122133121519E-7</v>
      </c>
      <c r="V10" s="59">
        <v>3.0100000000000002E-9</v>
      </c>
      <c r="W10" s="78">
        <f>L10-$L$16</f>
        <v>3.6159292449156055E-8</v>
      </c>
      <c r="X10" s="53">
        <f>2*SQRT(SUMSQ(M10,$M$16))</f>
        <v>1.5156494757473884E-7</v>
      </c>
      <c r="Y10" s="53">
        <f>ABS(W10/X10)</f>
        <v>0.23857292222085447</v>
      </c>
    </row>
    <row r="11" spans="1:27" x14ac:dyDescent="0.2">
      <c r="A11" s="25" t="s">
        <v>37</v>
      </c>
      <c r="B11" s="24">
        <v>2</v>
      </c>
      <c r="C11" s="26">
        <v>269.03946799281931</v>
      </c>
      <c r="D11" s="24">
        <v>1.5855225539945401</v>
      </c>
      <c r="E11" s="27">
        <v>0.66230180937464944</v>
      </c>
      <c r="F11" s="36">
        <v>0.70114308239987067</v>
      </c>
      <c r="G11" s="28">
        <f t="shared" si="0"/>
        <v>0.94460292913070554</v>
      </c>
      <c r="H11" s="27">
        <v>6.383718000650565E-2</v>
      </c>
      <c r="I11" s="29">
        <v>6.5673067456897745E-6</v>
      </c>
      <c r="J11" s="35">
        <v>8.3673405881365456E-3</v>
      </c>
      <c r="K11" s="27">
        <v>4.176407049364343</v>
      </c>
      <c r="L11" s="30">
        <f t="shared" si="1"/>
        <v>27.976950714639646</v>
      </c>
      <c r="M11" s="40">
        <v>5.3699999999999998E-8</v>
      </c>
      <c r="N11" s="41">
        <f t="shared" si="2"/>
        <v>1.9194372019928577E-9</v>
      </c>
      <c r="O11" s="33">
        <f t="shared" si="3"/>
        <v>0.99454890854539768</v>
      </c>
      <c r="P11" s="5">
        <f t="shared" si="4"/>
        <v>2.4867162629118178E-5</v>
      </c>
      <c r="Q11" s="27">
        <f t="shared" si="5"/>
        <v>0.99997599710808771</v>
      </c>
      <c r="R11" s="42">
        <v>5.1200000000000002E-8</v>
      </c>
      <c r="S11" s="43">
        <f t="shared" si="6"/>
        <v>2.381466521772933E-5</v>
      </c>
      <c r="T11" s="42">
        <v>4.9999999999999998E-8</v>
      </c>
      <c r="U11" s="32">
        <f t="shared" si="7"/>
        <v>1.8822669455988236E-7</v>
      </c>
      <c r="V11" s="42">
        <v>8.7399999999999992E-9</v>
      </c>
      <c r="W11" s="78">
        <f t="shared" ref="W11:W15" si="8">L11-$L$16</f>
        <v>-5.93869060594443E-8</v>
      </c>
      <c r="X11" s="40">
        <f t="shared" ref="X11:X15" si="9">2*SQRT(SUMSQ(M11,$M$16))</f>
        <v>1.5432152582622208E-7</v>
      </c>
      <c r="Y11" s="40">
        <f t="shared" ref="Y11:Y15" si="10">ABS(W11/X11)</f>
        <v>0.38482580924140503</v>
      </c>
    </row>
    <row r="12" spans="1:27" x14ac:dyDescent="0.2">
      <c r="A12" s="25" t="s">
        <v>37</v>
      </c>
      <c r="B12" s="24">
        <v>3</v>
      </c>
      <c r="C12" s="26">
        <v>269.03946799281931</v>
      </c>
      <c r="D12" s="24">
        <v>1.5855225539945401</v>
      </c>
      <c r="E12" s="27">
        <v>0.66230180937464944</v>
      </c>
      <c r="F12" s="5">
        <v>0.70148227234605498</v>
      </c>
      <c r="G12" s="28">
        <f t="shared" si="0"/>
        <v>0.94414618228288305</v>
      </c>
      <c r="H12" s="27">
        <v>6.383718000650565E-2</v>
      </c>
      <c r="I12" s="29">
        <v>6.5673067456897745E-6</v>
      </c>
      <c r="J12" s="35">
        <v>8.8422524096165092E-3</v>
      </c>
      <c r="K12" s="24">
        <v>4.1715229781641554</v>
      </c>
      <c r="L12" s="30">
        <f t="shared" si="1"/>
        <v>27.976950779256232</v>
      </c>
      <c r="M12" s="40">
        <v>5.6500000000000003E-8</v>
      </c>
      <c r="N12" s="41">
        <f t="shared" si="2"/>
        <v>2.0195195840245909E-9</v>
      </c>
      <c r="O12" s="33">
        <f t="shared" si="3"/>
        <v>0.99454890854539768</v>
      </c>
      <c r="P12" s="5">
        <f t="shared" si="4"/>
        <v>2.4923197461268262E-5</v>
      </c>
      <c r="Q12" s="27">
        <f t="shared" si="5"/>
        <v>0.99997594338278806</v>
      </c>
      <c r="R12" s="42">
        <v>5.5099999999999997E-8</v>
      </c>
      <c r="S12" s="43">
        <f t="shared" si="6"/>
        <v>2.3857446212440843E-5</v>
      </c>
      <c r="T12" s="42">
        <v>5.4499999999999998E-8</v>
      </c>
      <c r="U12" s="32">
        <f t="shared" si="7"/>
        <v>1.991709995019004E-7</v>
      </c>
      <c r="V12" s="42">
        <v>6.3099999999999999E-9</v>
      </c>
      <c r="W12" s="78">
        <f t="shared" si="8"/>
        <v>5.2296798003226286E-9</v>
      </c>
      <c r="X12" s="40">
        <f t="shared" si="9"/>
        <v>1.5826993818578856E-7</v>
      </c>
      <c r="Y12" s="40">
        <f t="shared" si="10"/>
        <v>3.3042786648363104E-2</v>
      </c>
    </row>
    <row r="13" spans="1:27" x14ac:dyDescent="0.2">
      <c r="A13" s="25" t="s">
        <v>37</v>
      </c>
      <c r="B13" s="24">
        <v>4</v>
      </c>
      <c r="C13" s="26">
        <v>269.03946799281931</v>
      </c>
      <c r="D13" s="24">
        <v>1.5855225539945401</v>
      </c>
      <c r="E13" s="27">
        <v>0.66230180937464944</v>
      </c>
      <c r="F13" s="5">
        <v>0.70406947365433392</v>
      </c>
      <c r="G13" s="28">
        <f t="shared" si="0"/>
        <v>0.94067678568295587</v>
      </c>
      <c r="H13" s="27">
        <v>6.383718000650565E-2</v>
      </c>
      <c r="I13" s="29">
        <v>6.5673067456897745E-6</v>
      </c>
      <c r="J13" s="35">
        <v>8.0448545445877158E-3</v>
      </c>
      <c r="K13" s="24">
        <v>4.1972792624771698</v>
      </c>
      <c r="L13" s="30">
        <f t="shared" si="1"/>
        <v>27.976950676447132</v>
      </c>
      <c r="M13" s="40">
        <v>5.1200000000000002E-8</v>
      </c>
      <c r="N13" s="41">
        <f t="shared" si="2"/>
        <v>1.83007793065538E-9</v>
      </c>
      <c r="O13" s="33">
        <f t="shared" si="3"/>
        <v>0.99454890854539768</v>
      </c>
      <c r="P13" s="5">
        <f t="shared" si="4"/>
        <v>2.4835742034681637E-5</v>
      </c>
      <c r="Q13" s="27">
        <f t="shared" si="5"/>
        <v>0.9999760271635999</v>
      </c>
      <c r="R13" s="42">
        <v>5.0400000000000001E-8</v>
      </c>
      <c r="S13" s="43">
        <f t="shared" si="6"/>
        <v>2.3792781955072886E-5</v>
      </c>
      <c r="T13" s="42">
        <v>4.9999999999999998E-8</v>
      </c>
      <c r="U13" s="32">
        <f t="shared" si="7"/>
        <v>1.8005444502617854E-7</v>
      </c>
      <c r="V13" s="42">
        <v>4.9900000000000003E-9</v>
      </c>
      <c r="W13" s="78">
        <f t="shared" si="8"/>
        <v>-9.7579420099691561E-8</v>
      </c>
      <c r="X13" s="40">
        <f t="shared" si="9"/>
        <v>1.5088450329087256E-7</v>
      </c>
      <c r="Y13" s="40">
        <f t="shared" si="10"/>
        <v>0.64671598455395796</v>
      </c>
    </row>
    <row r="14" spans="1:27" x14ac:dyDescent="0.2">
      <c r="A14" s="25" t="s">
        <v>37</v>
      </c>
      <c r="B14" s="24">
        <v>5</v>
      </c>
      <c r="C14" s="26">
        <v>269.03946799281931</v>
      </c>
      <c r="D14" s="24">
        <v>1.5855225539945401</v>
      </c>
      <c r="E14" s="27">
        <v>0.66230180937464944</v>
      </c>
      <c r="F14" s="5">
        <v>0.70578141113498738</v>
      </c>
      <c r="G14" s="28">
        <f t="shared" si="0"/>
        <v>0.93839508794880677</v>
      </c>
      <c r="H14" s="27">
        <v>6.383718000650565E-2</v>
      </c>
      <c r="I14" s="29">
        <v>6.5673067456897745E-6</v>
      </c>
      <c r="J14" s="35">
        <v>8.4433517013132314E-3</v>
      </c>
      <c r="K14" s="24">
        <v>4.204727488782388</v>
      </c>
      <c r="L14" s="30">
        <f t="shared" si="1"/>
        <v>27.976950711634149</v>
      </c>
      <c r="M14" s="40">
        <v>6.1000000000000004E-8</v>
      </c>
      <c r="N14" s="42">
        <f t="shared" si="2"/>
        <v>2.180366281827608E-9</v>
      </c>
      <c r="O14" s="33">
        <f t="shared" si="3"/>
        <v>0.99454890854539768</v>
      </c>
      <c r="P14" s="5">
        <f t="shared" si="4"/>
        <v>2.4863618391280219E-5</v>
      </c>
      <c r="Q14" s="27">
        <f t="shared" si="5"/>
        <v>0.99997600054490365</v>
      </c>
      <c r="R14" s="42">
        <v>5.39E-8</v>
      </c>
      <c r="S14" s="43">
        <f t="shared" si="6"/>
        <v>2.3810797392108073E-5</v>
      </c>
      <c r="T14" s="42">
        <v>5.0500000000000002E-8</v>
      </c>
      <c r="U14" s="32">
        <f t="shared" si="7"/>
        <v>1.8865770423819411E-7</v>
      </c>
      <c r="V14" s="42">
        <v>1.52E-8</v>
      </c>
      <c r="W14" s="78">
        <f t="shared" si="8"/>
        <v>-6.2392402355726517E-8</v>
      </c>
      <c r="X14" s="40">
        <f t="shared" si="9"/>
        <v>1.6481618043545766E-7</v>
      </c>
      <c r="Y14" s="40">
        <f t="shared" si="10"/>
        <v>0.37855750685934325</v>
      </c>
    </row>
    <row r="15" spans="1:27" x14ac:dyDescent="0.2">
      <c r="A15" s="25" t="s">
        <v>37</v>
      </c>
      <c r="B15" s="24">
        <v>6</v>
      </c>
      <c r="C15" s="26">
        <v>269.03946799281931</v>
      </c>
      <c r="D15" s="24">
        <v>1.5855225539945401</v>
      </c>
      <c r="E15" s="27">
        <v>0.66230180937464944</v>
      </c>
      <c r="F15" s="5">
        <v>0.70310002138541572</v>
      </c>
      <c r="G15" s="28">
        <f t="shared" si="0"/>
        <v>0.94197381486296095</v>
      </c>
      <c r="H15" s="27">
        <v>6.383718000650565E-2</v>
      </c>
      <c r="I15" s="29">
        <v>6.5673067456897745E-6</v>
      </c>
      <c r="J15" s="35">
        <v>1.1903887497476897E-2</v>
      </c>
      <c r="K15" s="24">
        <v>4.1780341592511689</v>
      </c>
      <c r="L15" s="30">
        <f t="shared" si="1"/>
        <v>27.976950951996329</v>
      </c>
      <c r="M15" s="40">
        <v>5.7700000000000001E-8</v>
      </c>
      <c r="N15" s="42">
        <f t="shared" si="2"/>
        <v>2.0624120226326074E-9</v>
      </c>
      <c r="O15" s="33">
        <f t="shared" si="3"/>
        <v>0.99454890854539768</v>
      </c>
      <c r="P15" s="5">
        <f t="shared" si="4"/>
        <v>2.503359997238512E-5</v>
      </c>
      <c r="Q15" s="27">
        <f t="shared" si="5"/>
        <v>0.99997583915440402</v>
      </c>
      <c r="R15" s="42">
        <v>5.3099999999999999E-8</v>
      </c>
      <c r="S15" s="43">
        <f t="shared" si="6"/>
        <v>2.389293057392172E-5</v>
      </c>
      <c r="T15" s="42">
        <v>5.0899999999999999E-8</v>
      </c>
      <c r="U15" s="32">
        <f t="shared" si="7"/>
        <v>2.6791502205570224E-7</v>
      </c>
      <c r="V15" s="42">
        <v>1.2E-8</v>
      </c>
      <c r="W15" s="78">
        <f t="shared" si="8"/>
        <v>1.7796977758166577E-7</v>
      </c>
      <c r="X15" s="40">
        <f t="shared" si="9"/>
        <v>1.5999229148097521E-7</v>
      </c>
      <c r="Y15" s="40">
        <f t="shared" si="10"/>
        <v>1.1123647016633191</v>
      </c>
    </row>
    <row r="16" spans="1:27" x14ac:dyDescent="0.2">
      <c r="E16" s="10" t="s">
        <v>36</v>
      </c>
      <c r="F16" s="5">
        <f>AVERAGE(F10:F15)</f>
        <v>0.70226698895978823</v>
      </c>
      <c r="J16" s="5">
        <f>AVERAGE(J10:J15)</f>
        <v>9.143918181426583E-3</v>
      </c>
      <c r="K16" s="5">
        <f>AVERAGE(K10:K15)</f>
        <v>4.1796190521402332</v>
      </c>
      <c r="L16" s="35">
        <f>AVERAGE(L10:L15)</f>
        <v>27.976950774026552</v>
      </c>
      <c r="M16" s="34">
        <f>SQRT(SUMSQ(M10:M15)/COUNT(M10:M15))</f>
        <v>5.5408422945733922E-8</v>
      </c>
      <c r="N16" s="42">
        <f t="shared" si="2"/>
        <v>1.980502571322905E-9</v>
      </c>
      <c r="O16" s="45"/>
      <c r="P16" s="45"/>
      <c r="Q16" s="36">
        <f>AVERAGE(Q10:Q15)</f>
        <v>0.9999759550565952</v>
      </c>
      <c r="R16" s="42">
        <f>SQRT(SUMSQ(R10:R15)/COUNT(R10:R15))</f>
        <v>5.2542665203305654E-8</v>
      </c>
      <c r="S16" s="44">
        <f>AVERAGE(S10:S15)</f>
        <v>2.383931572360671E-5</v>
      </c>
      <c r="T16" s="42">
        <f>SQRT(SUMSQ(T10:T15)/COUNT(T10:T15))</f>
        <v>5.1206689016182247E-8</v>
      </c>
      <c r="U16" s="31">
        <f>AVERAGE(U10:U15)</f>
        <v>2.0562768111884545E-7</v>
      </c>
      <c r="V16" s="42">
        <f>SQRT(SUMSQ(V10:V15)/COUNT(V10:V15))</f>
        <v>9.355959776171193E-9</v>
      </c>
    </row>
    <row r="17" spans="5:22" x14ac:dyDescent="0.2">
      <c r="E17" s="66" t="s">
        <v>42</v>
      </c>
      <c r="F17" s="5">
        <f>COUNT(F10:F15)</f>
        <v>6</v>
      </c>
      <c r="J17" s="5">
        <f>COUNT(J10:J15)</f>
        <v>6</v>
      </c>
      <c r="K17" s="5">
        <f>COUNT(K10:K15)</f>
        <v>6</v>
      </c>
      <c r="L17" s="39">
        <f>COUNT(L10:L15)</f>
        <v>6</v>
      </c>
      <c r="M17" s="34"/>
      <c r="N17" s="42"/>
      <c r="O17" s="45"/>
      <c r="P17" s="45"/>
      <c r="Q17" s="36"/>
      <c r="R17" s="42"/>
      <c r="S17" s="44"/>
      <c r="T17" s="42"/>
      <c r="U17" s="31"/>
      <c r="V17" s="42"/>
    </row>
    <row r="18" spans="5:22" x14ac:dyDescent="0.2">
      <c r="E18" s="67" t="s">
        <v>43</v>
      </c>
      <c r="F18" s="70">
        <f>STDEV(F10:F15)</f>
        <v>2.6893034743376287E-3</v>
      </c>
      <c r="J18" s="70">
        <f>STDEV(J10:J15)</f>
        <v>1.4159195799946882E-3</v>
      </c>
      <c r="K18" s="71">
        <f>STDEV(K10:K15)</f>
        <v>1.9561431324389946E-2</v>
      </c>
      <c r="L18" s="34">
        <f>STDEV(L10:L15)</f>
        <v>9.9949432638439023E-8</v>
      </c>
      <c r="M18" s="34"/>
      <c r="N18" s="42"/>
      <c r="O18" s="45"/>
      <c r="P18" s="45"/>
      <c r="Q18" s="36"/>
      <c r="R18" s="42"/>
      <c r="S18" s="44"/>
      <c r="T18" s="42"/>
      <c r="U18" s="31"/>
      <c r="V18" s="42"/>
    </row>
    <row r="19" spans="5:22" x14ac:dyDescent="0.2">
      <c r="E19" s="67" t="s">
        <v>44</v>
      </c>
      <c r="F19" s="70">
        <f>F18/(SQRT(F17))</f>
        <v>1.0979035459368644E-3</v>
      </c>
      <c r="J19" s="69">
        <f>J18/(SQRT(J17))</f>
        <v>5.7804674796714246E-4</v>
      </c>
      <c r="K19" s="70">
        <f>K18/(SQRT(K17))</f>
        <v>7.9859208972084556E-3</v>
      </c>
      <c r="L19" s="34">
        <f>L18/(SQRT(L17))</f>
        <v>4.0804185007475769E-8</v>
      </c>
      <c r="M19" s="34"/>
      <c r="N19" s="42"/>
      <c r="O19" s="45"/>
      <c r="P19" s="45"/>
      <c r="Q19" s="36"/>
      <c r="R19" s="42"/>
      <c r="S19" s="44"/>
      <c r="T19" s="42"/>
      <c r="U19" s="31"/>
      <c r="V19" s="42"/>
    </row>
    <row r="20" spans="5:22" x14ac:dyDescent="0.2">
      <c r="E20" s="67" t="s">
        <v>64</v>
      </c>
      <c r="F20" s="68">
        <f>F19/F16</f>
        <v>1.563370574435089E-3</v>
      </c>
      <c r="J20" s="68">
        <f>J19/J16</f>
        <v>6.3216526711851975E-2</v>
      </c>
      <c r="K20" s="68">
        <f>K19/K16</f>
        <v>1.9106815232644591E-3</v>
      </c>
      <c r="L20" s="34">
        <f>L19/L16</f>
        <v>1.4584929335958178E-9</v>
      </c>
      <c r="M20" s="34"/>
      <c r="N20" s="42"/>
      <c r="O20" s="45"/>
      <c r="P20" s="45"/>
      <c r="Q20" s="36"/>
      <c r="R20" s="42"/>
      <c r="S20" s="44"/>
      <c r="T20" s="42"/>
      <c r="U20" s="31"/>
      <c r="V20" s="42"/>
    </row>
    <row r="21" spans="5:22" x14ac:dyDescent="0.2">
      <c r="E21" s="66"/>
      <c r="F21" s="5"/>
      <c r="J21" s="5"/>
      <c r="K21" s="5"/>
      <c r="M21" s="31"/>
      <c r="R21" s="5"/>
      <c r="T21" s="5"/>
      <c r="V21" s="5"/>
    </row>
    <row r="22" spans="5:22" x14ac:dyDescent="0.2">
      <c r="E22" s="67"/>
      <c r="F22" s="5"/>
      <c r="J22" s="5"/>
      <c r="K22" s="5"/>
      <c r="M22" s="31"/>
      <c r="R22" s="5"/>
      <c r="T22" s="5"/>
      <c r="V22" s="5"/>
    </row>
    <row r="23" spans="5:22" x14ac:dyDescent="0.2">
      <c r="E23" s="67"/>
      <c r="F23" s="5"/>
      <c r="J23" s="5"/>
      <c r="K23" s="5"/>
      <c r="M23" s="31"/>
      <c r="R23" s="5"/>
      <c r="T23" s="39"/>
      <c r="V23" s="5"/>
    </row>
    <row r="24" spans="5:22" x14ac:dyDescent="0.2">
      <c r="E24" s="67"/>
      <c r="F24" s="5"/>
      <c r="J24" s="5"/>
      <c r="K24" s="5"/>
      <c r="M24" s="31"/>
      <c r="R24" s="5"/>
      <c r="T24" s="5"/>
      <c r="V24" s="5"/>
    </row>
    <row r="25" spans="5:22" x14ac:dyDescent="0.2">
      <c r="F25" s="5"/>
      <c r="J25" s="5"/>
      <c r="K25" s="5"/>
      <c r="M25" s="31"/>
      <c r="R25" s="5"/>
      <c r="T25" s="5"/>
      <c r="V25" s="5"/>
    </row>
    <row r="26" spans="5:22" x14ac:dyDescent="0.2">
      <c r="F26" s="5"/>
      <c r="J26" s="5"/>
      <c r="K26" s="5"/>
      <c r="M26" s="31"/>
      <c r="R26" s="5"/>
      <c r="T26" s="5"/>
      <c r="V26" s="5"/>
    </row>
    <row r="27" spans="5:22" x14ac:dyDescent="0.2">
      <c r="J27" s="5"/>
      <c r="K27" s="5"/>
      <c r="M27" s="31"/>
      <c r="R27" s="5"/>
      <c r="T27" s="5"/>
      <c r="V27" s="5"/>
    </row>
    <row r="28" spans="5:22" x14ac:dyDescent="0.2">
      <c r="M28" s="31"/>
      <c r="R28" s="5"/>
      <c r="T28" s="5"/>
      <c r="V28" s="5"/>
    </row>
    <row r="29" spans="5:22" x14ac:dyDescent="0.2">
      <c r="M29" s="31"/>
      <c r="R29" s="5"/>
      <c r="T29" s="5"/>
      <c r="V29" s="5"/>
    </row>
    <row r="30" spans="5:22" x14ac:dyDescent="0.2">
      <c r="M30" s="31"/>
      <c r="R30" s="5"/>
      <c r="T30" s="5"/>
      <c r="V30" s="5"/>
    </row>
    <row r="31" spans="5:22" x14ac:dyDescent="0.2">
      <c r="M31" s="31"/>
      <c r="R31" s="5"/>
      <c r="T31" s="5"/>
      <c r="V31" s="5"/>
    </row>
    <row r="32" spans="5:22" x14ac:dyDescent="0.2">
      <c r="M32" s="31"/>
      <c r="R32" s="5"/>
      <c r="T32" s="5"/>
      <c r="V32" s="5"/>
    </row>
    <row r="33" spans="13:20" x14ac:dyDescent="0.2">
      <c r="M33" s="31"/>
      <c r="T33" s="5"/>
    </row>
    <row r="34" spans="13:20" x14ac:dyDescent="0.2">
      <c r="M34" s="31"/>
    </row>
    <row r="35" spans="13:20" x14ac:dyDescent="0.2">
      <c r="M35" s="31"/>
    </row>
    <row r="36" spans="13:20" x14ac:dyDescent="0.2">
      <c r="M36" s="31"/>
    </row>
  </sheetData>
  <pageMargins left="0.78740157499999996" right="0.78740157499999996" top="0.984251969" bottom="0.984251969" header="0.4921259845" footer="0.4921259845"/>
  <pageSetup paperSize="9" scale="11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BC689-EE84-4E4B-B4DC-6385EA3DACF9}">
  <dimension ref="A1:AA37"/>
  <sheetViews>
    <sheetView workbookViewId="0"/>
  </sheetViews>
  <sheetFormatPr baseColWidth="10" defaultRowHeight="12.75" x14ac:dyDescent="0.2"/>
  <cols>
    <col min="1" max="1" width="20.7109375" style="1" customWidth="1"/>
    <col min="2" max="2" width="10.7109375" style="1" customWidth="1"/>
    <col min="3" max="4" width="15.7109375" style="1" customWidth="1"/>
    <col min="5" max="5" width="17.7109375" style="1" customWidth="1"/>
    <col min="6" max="25" width="15.7109375" style="1" customWidth="1"/>
    <col min="26" max="16384" width="11.42578125" style="1"/>
  </cols>
  <sheetData>
    <row r="1" spans="1:27" ht="25.9" customHeight="1" x14ac:dyDescent="0.2">
      <c r="A1" s="1" t="s">
        <v>2</v>
      </c>
      <c r="B1" s="2"/>
    </row>
    <row r="2" spans="1:27" ht="15" customHeight="1" x14ac:dyDescent="0.2">
      <c r="B2" s="2"/>
    </row>
    <row r="3" spans="1:27" ht="14.25" x14ac:dyDescent="0.2">
      <c r="C3" s="1" t="s">
        <v>3</v>
      </c>
      <c r="E3" s="3" t="s">
        <v>4</v>
      </c>
      <c r="F3" s="4">
        <v>28.976494664299999</v>
      </c>
      <c r="G3" s="5" t="s">
        <v>5</v>
      </c>
      <c r="I3" s="6" t="s">
        <v>6</v>
      </c>
      <c r="K3" s="4"/>
    </row>
    <row r="4" spans="1:27" ht="14.25" x14ac:dyDescent="0.2">
      <c r="B4" s="2"/>
      <c r="C4" s="1" t="s">
        <v>35</v>
      </c>
      <c r="D4" s="5"/>
      <c r="E4" s="3" t="s">
        <v>7</v>
      </c>
      <c r="F4" s="7">
        <v>29.973770136999999</v>
      </c>
      <c r="G4" s="5" t="s">
        <v>5</v>
      </c>
      <c r="K4" s="8"/>
    </row>
    <row r="5" spans="1:27" ht="14.25" x14ac:dyDescent="0.2">
      <c r="B5" s="2"/>
      <c r="C5" s="3"/>
      <c r="E5" s="3" t="s">
        <v>8</v>
      </c>
      <c r="F5" s="9">
        <v>27.9769265344</v>
      </c>
      <c r="G5" s="5" t="s">
        <v>5</v>
      </c>
      <c r="K5" s="4"/>
    </row>
    <row r="6" spans="1:27" x14ac:dyDescent="0.2">
      <c r="A6" s="120" t="s">
        <v>65</v>
      </c>
      <c r="C6" s="10" t="s">
        <v>34</v>
      </c>
      <c r="D6" s="11"/>
      <c r="E6" s="11"/>
      <c r="F6" s="11"/>
      <c r="G6" s="11"/>
      <c r="L6" s="9"/>
    </row>
    <row r="7" spans="1:27" x14ac:dyDescent="0.2">
      <c r="A7" s="120" t="s">
        <v>39</v>
      </c>
      <c r="B7" s="13"/>
      <c r="C7" s="14"/>
      <c r="D7" s="12"/>
      <c r="E7" s="12"/>
      <c r="F7" s="12"/>
      <c r="G7" s="12"/>
      <c r="H7" s="12"/>
      <c r="I7" s="15"/>
      <c r="J7" s="12"/>
      <c r="K7" s="12"/>
      <c r="L7" s="12"/>
      <c r="M7" s="12"/>
      <c r="N7" s="16"/>
      <c r="O7" s="16"/>
      <c r="P7" s="12"/>
      <c r="Q7" s="12"/>
      <c r="R7" s="12"/>
      <c r="S7" s="12"/>
      <c r="T7" s="12"/>
      <c r="U7" s="12"/>
      <c r="V7" s="12"/>
    </row>
    <row r="8" spans="1:27" ht="15.75" x14ac:dyDescent="0.3">
      <c r="A8" s="17" t="s">
        <v>9</v>
      </c>
      <c r="B8" s="17" t="s">
        <v>10</v>
      </c>
      <c r="C8" s="18" t="s">
        <v>11</v>
      </c>
      <c r="D8" s="18" t="s">
        <v>12</v>
      </c>
      <c r="E8" s="18" t="s">
        <v>13</v>
      </c>
      <c r="F8" s="19" t="s">
        <v>14</v>
      </c>
      <c r="G8" s="20" t="s">
        <v>15</v>
      </c>
      <c r="H8" s="21" t="s">
        <v>30</v>
      </c>
      <c r="I8" s="19" t="s">
        <v>31</v>
      </c>
      <c r="J8" s="21" t="s">
        <v>33</v>
      </c>
      <c r="K8" s="21" t="s">
        <v>32</v>
      </c>
      <c r="L8" s="20" t="s">
        <v>16</v>
      </c>
      <c r="M8" s="22" t="s">
        <v>17</v>
      </c>
      <c r="N8" s="23" t="s">
        <v>18</v>
      </c>
      <c r="O8" s="17" t="s">
        <v>19</v>
      </c>
      <c r="P8" s="17" t="s">
        <v>20</v>
      </c>
      <c r="Q8" s="17" t="s">
        <v>21</v>
      </c>
      <c r="R8" s="17" t="s">
        <v>22</v>
      </c>
      <c r="S8" s="17" t="s">
        <v>23</v>
      </c>
      <c r="T8" s="17" t="s">
        <v>24</v>
      </c>
      <c r="U8" s="17" t="s">
        <v>25</v>
      </c>
      <c r="V8" s="17" t="s">
        <v>26</v>
      </c>
      <c r="W8" s="73" t="s">
        <v>45</v>
      </c>
      <c r="X8" s="74" t="s">
        <v>46</v>
      </c>
      <c r="Y8" s="75" t="s">
        <v>47</v>
      </c>
      <c r="Z8" s="61"/>
      <c r="AA8" s="61"/>
    </row>
    <row r="9" spans="1:27" x14ac:dyDescent="0.2">
      <c r="A9" s="24" t="s">
        <v>27</v>
      </c>
      <c r="B9" s="24" t="s">
        <v>28</v>
      </c>
      <c r="C9" s="24" t="s">
        <v>1</v>
      </c>
      <c r="D9" s="24" t="s">
        <v>1</v>
      </c>
      <c r="E9" s="24" t="s">
        <v>1</v>
      </c>
      <c r="F9" s="24" t="s">
        <v>73</v>
      </c>
      <c r="G9" s="38">
        <v>1</v>
      </c>
      <c r="H9" s="24" t="s">
        <v>0</v>
      </c>
      <c r="I9" s="24" t="s">
        <v>0</v>
      </c>
      <c r="J9" s="24" t="s">
        <v>73</v>
      </c>
      <c r="K9" s="24" t="s">
        <v>73</v>
      </c>
      <c r="L9" s="38" t="s">
        <v>5</v>
      </c>
      <c r="M9" s="25" t="s">
        <v>5</v>
      </c>
      <c r="N9" s="5"/>
      <c r="O9" s="24" t="s">
        <v>29</v>
      </c>
      <c r="P9" s="24" t="s">
        <v>29</v>
      </c>
      <c r="Q9" s="24" t="s">
        <v>1</v>
      </c>
      <c r="R9" s="24" t="s">
        <v>1</v>
      </c>
      <c r="S9" s="24" t="s">
        <v>1</v>
      </c>
      <c r="T9" s="37"/>
      <c r="U9" s="24" t="s">
        <v>1</v>
      </c>
      <c r="V9" s="37"/>
      <c r="W9" s="76" t="s">
        <v>5</v>
      </c>
      <c r="X9" s="76" t="s">
        <v>5</v>
      </c>
      <c r="Y9" s="77"/>
      <c r="Z9" s="5"/>
      <c r="AA9" s="5"/>
    </row>
    <row r="10" spans="1:27" x14ac:dyDescent="0.2">
      <c r="A10" s="22" t="s">
        <v>37</v>
      </c>
      <c r="B10" s="17">
        <v>1</v>
      </c>
      <c r="C10" s="46">
        <v>269.03946799281931</v>
      </c>
      <c r="D10" s="17">
        <v>1.5855225539945401</v>
      </c>
      <c r="E10" s="47">
        <v>0.66230180937464944</v>
      </c>
      <c r="F10" s="48">
        <v>0.70404718526877152</v>
      </c>
      <c r="G10" s="49">
        <f t="shared" ref="G10:G15" si="0">E10/F10</f>
        <v>0.9407065651740576</v>
      </c>
      <c r="H10" s="47">
        <v>6.383718000650565E-2</v>
      </c>
      <c r="I10" s="50">
        <v>6.5673067456897745E-6</v>
      </c>
      <c r="J10" s="48">
        <v>1.2314831707816437E-2</v>
      </c>
      <c r="K10" s="47">
        <v>4.1472488154981093</v>
      </c>
      <c r="L10" s="52">
        <f t="shared" ref="L10:L15" si="1">$F$5/(1+(I10/H10)*($F$5*(1+G10*J10)-$F$3-G10*J10*$F$4)/(D10*$F$5+$F$3+C10*$F$4)*((C10-G10*K10)/(G10*K10-G10*J10)))</f>
        <v>27.976951190425773</v>
      </c>
      <c r="M10" s="53">
        <v>6.1200000000000005E-8</v>
      </c>
      <c r="N10" s="54">
        <f t="shared" ref="N10:N16" si="2">M10/L10</f>
        <v>2.1875149862985704E-9</v>
      </c>
      <c r="O10" s="55">
        <f t="shared" ref="O10:O15" si="3">($F$3+C10*$F$4)/(D10*$F$5+$F$3+C10*$F$4)</f>
        <v>0.99454890854539768</v>
      </c>
      <c r="P10" s="23">
        <f t="shared" ref="P10:P15" si="4">O10*I10/H10*(($F$3+G10*J10*$F$4)/($F$3+C10*$F$4))*(C10-G10*K10)/(G10*K10-G10*J10)</f>
        <v>2.5269304373397558E-5</v>
      </c>
      <c r="Q10" s="47">
        <f t="shared" ref="Q10:Q15" si="5">((1-P10)/$F$5)/((1-P10)/$F$5+(1+G10*J10)*P10/($F$3+G10*J10*$F$4))</f>
        <v>0.99997561197194196</v>
      </c>
      <c r="R10" s="56">
        <v>5.7900000000000002E-8</v>
      </c>
      <c r="S10" s="57">
        <f t="shared" ref="S10:S15" si="6">(1-Q10)/(1+G10*J10)</f>
        <v>2.4108736946455262E-5</v>
      </c>
      <c r="T10" s="56">
        <v>5.6300000000000001E-8</v>
      </c>
      <c r="U10" s="58">
        <f t="shared" ref="U10:U15" si="7">G10*J10*S10</f>
        <v>2.7929111158692714E-7</v>
      </c>
      <c r="V10" s="59">
        <v>1.04E-8</v>
      </c>
      <c r="W10" s="78">
        <f>L10-$L$16</f>
        <v>1.4631488554073258E-7</v>
      </c>
      <c r="X10" s="53">
        <f>2*SQRT(SUMSQ(M10,$M$16))</f>
        <v>1.6579806995257817E-7</v>
      </c>
      <c r="Y10" s="53">
        <f>ABS(W10/X10)</f>
        <v>0.88248847277041154</v>
      </c>
    </row>
    <row r="11" spans="1:27" x14ac:dyDescent="0.2">
      <c r="A11" s="25" t="s">
        <v>37</v>
      </c>
      <c r="B11" s="24">
        <v>2</v>
      </c>
      <c r="C11" s="26">
        <v>269.03946799281931</v>
      </c>
      <c r="D11" s="24">
        <v>1.5855225539945401</v>
      </c>
      <c r="E11" s="27">
        <v>0.66230180937464944</v>
      </c>
      <c r="F11" s="36">
        <v>0.70324830968337593</v>
      </c>
      <c r="G11" s="28">
        <f t="shared" si="0"/>
        <v>0.9417751884435217</v>
      </c>
      <c r="H11" s="27">
        <v>6.383718000650565E-2</v>
      </c>
      <c r="I11" s="29">
        <v>6.5673067456897745E-6</v>
      </c>
      <c r="J11" s="36">
        <v>1.2244372445616688E-2</v>
      </c>
      <c r="K11" s="24">
        <v>4.1501408977121681</v>
      </c>
      <c r="L11" s="30">
        <f t="shared" si="1"/>
        <v>27.97695114159589</v>
      </c>
      <c r="M11" s="40">
        <v>5.7200000000000003E-8</v>
      </c>
      <c r="N11" s="41">
        <f t="shared" si="2"/>
        <v>2.0445401541612422E-9</v>
      </c>
      <c r="O11" s="33">
        <f t="shared" si="3"/>
        <v>0.99454890854539768</v>
      </c>
      <c r="P11" s="5">
        <f t="shared" si="4"/>
        <v>2.522050824431351E-5</v>
      </c>
      <c r="Q11" s="27">
        <f t="shared" si="5"/>
        <v>0.99997565902279539</v>
      </c>
      <c r="R11" s="42">
        <v>5.4200000000000002E-8</v>
      </c>
      <c r="S11" s="43">
        <f t="shared" si="6"/>
        <v>2.4063490360911364E-5</v>
      </c>
      <c r="T11" s="42">
        <v>5.2700000000000002E-8</v>
      </c>
      <c r="U11" s="32">
        <f t="shared" si="7"/>
        <v>2.7748684369523428E-7</v>
      </c>
      <c r="V11" s="42">
        <v>9.7700000000000008E-9</v>
      </c>
      <c r="W11" s="78">
        <f t="shared" ref="W11:W15" si="8">L11-$L$16</f>
        <v>9.7485003180963758E-8</v>
      </c>
      <c r="X11" s="40">
        <f t="shared" ref="X11:X15" si="9">2*SQRT(SUMSQ(M11,$M$16))</f>
        <v>1.5998312411001358E-7</v>
      </c>
      <c r="Y11" s="40">
        <f t="shared" ref="Y11:Y15" si="10">ABS(W11/X11)</f>
        <v>0.60934554018289755</v>
      </c>
    </row>
    <row r="12" spans="1:27" x14ac:dyDescent="0.2">
      <c r="A12" s="25" t="s">
        <v>37</v>
      </c>
      <c r="B12" s="24">
        <v>3</v>
      </c>
      <c r="C12" s="26">
        <v>269.03946799281931</v>
      </c>
      <c r="D12" s="24">
        <v>1.5855225539945401</v>
      </c>
      <c r="E12" s="27">
        <v>0.66230180937464944</v>
      </c>
      <c r="F12" s="5">
        <v>0.70388270353999638</v>
      </c>
      <c r="G12" s="28">
        <f t="shared" si="0"/>
        <v>0.94092638737075573</v>
      </c>
      <c r="H12" s="27">
        <v>6.383718000650565E-2</v>
      </c>
      <c r="I12" s="29">
        <v>6.5673067456897745E-6</v>
      </c>
      <c r="J12" s="36">
        <v>1.0816826272219837E-2</v>
      </c>
      <c r="K12" s="24">
        <v>4.1665553188477684</v>
      </c>
      <c r="L12" s="30">
        <f t="shared" si="1"/>
        <v>27.976950992130195</v>
      </c>
      <c r="M12" s="40">
        <v>5.1900000000000002E-8</v>
      </c>
      <c r="N12" s="41">
        <f t="shared" si="2"/>
        <v>1.8550985064312142E-9</v>
      </c>
      <c r="O12" s="33">
        <f t="shared" si="3"/>
        <v>0.99454890854539768</v>
      </c>
      <c r="P12" s="5">
        <f t="shared" si="4"/>
        <v>2.5098974154250416E-5</v>
      </c>
      <c r="Q12" s="27">
        <f t="shared" si="5"/>
        <v>0.99997577521466341</v>
      </c>
      <c r="R12" s="42">
        <v>5.1E-8</v>
      </c>
      <c r="S12" s="43">
        <f t="shared" si="6"/>
        <v>2.3980713536664671E-5</v>
      </c>
      <c r="T12" s="42">
        <v>5.0600000000000003E-8</v>
      </c>
      <c r="U12" s="32">
        <f t="shared" si="7"/>
        <v>2.4407179992599977E-7</v>
      </c>
      <c r="V12" s="42">
        <v>4.9499999999999997E-9</v>
      </c>
      <c r="W12" s="78">
        <f t="shared" si="8"/>
        <v>-5.1980691750941332E-8</v>
      </c>
      <c r="X12" s="40">
        <f t="shared" si="9"/>
        <v>1.525833542690683E-7</v>
      </c>
      <c r="Y12" s="40">
        <f t="shared" si="10"/>
        <v>0.34067078941833734</v>
      </c>
    </row>
    <row r="13" spans="1:27" x14ac:dyDescent="0.2">
      <c r="A13" s="25" t="s">
        <v>37</v>
      </c>
      <c r="B13" s="24">
        <v>4</v>
      </c>
      <c r="C13" s="26">
        <v>269.03946799281931</v>
      </c>
      <c r="D13" s="24">
        <v>1.5855225539945401</v>
      </c>
      <c r="E13" s="27">
        <v>0.66230180937464944</v>
      </c>
      <c r="F13" s="5">
        <v>0.70430885941083732</v>
      </c>
      <c r="G13" s="28">
        <f t="shared" si="0"/>
        <v>0.94035706142994246</v>
      </c>
      <c r="H13" s="27">
        <v>6.383718000650565E-2</v>
      </c>
      <c r="I13" s="29">
        <v>6.5673067456897745E-6</v>
      </c>
      <c r="J13" s="36">
        <v>9.9587184333035685E-3</v>
      </c>
      <c r="K13" s="24">
        <v>4.1794847810603191</v>
      </c>
      <c r="L13" s="30">
        <f t="shared" si="1"/>
        <v>27.9769508862843</v>
      </c>
      <c r="M13" s="40">
        <v>5.0400000000000001E-8</v>
      </c>
      <c r="N13" s="42">
        <f t="shared" si="2"/>
        <v>1.8014829494771213E-9</v>
      </c>
      <c r="O13" s="33">
        <f t="shared" si="3"/>
        <v>0.99454890854539768</v>
      </c>
      <c r="P13" s="5">
        <f t="shared" si="4"/>
        <v>2.5009366980922956E-5</v>
      </c>
      <c r="Q13" s="27">
        <f t="shared" si="5"/>
        <v>0.99997586103868141</v>
      </c>
      <c r="R13" s="42">
        <v>5.03E-8</v>
      </c>
      <c r="S13" s="43">
        <f t="shared" si="6"/>
        <v>2.3915003263044512E-5</v>
      </c>
      <c r="T13" s="42">
        <v>5.03E-8</v>
      </c>
      <c r="U13" s="32">
        <f t="shared" si="7"/>
        <v>2.2395805554265736E-7</v>
      </c>
      <c r="V13" s="42">
        <v>1.55E-9</v>
      </c>
      <c r="W13" s="78">
        <f t="shared" si="8"/>
        <v>-1.5782658735474797E-7</v>
      </c>
      <c r="X13" s="40">
        <f t="shared" si="9"/>
        <v>1.5055856003562203E-7</v>
      </c>
      <c r="Y13" s="40">
        <f t="shared" si="10"/>
        <v>1.048273756851861</v>
      </c>
    </row>
    <row r="14" spans="1:27" x14ac:dyDescent="0.2">
      <c r="A14" s="25" t="s">
        <v>37</v>
      </c>
      <c r="B14" s="24">
        <v>5</v>
      </c>
      <c r="C14" s="26">
        <v>269.03946799281931</v>
      </c>
      <c r="D14" s="24">
        <v>1.5855225539945401</v>
      </c>
      <c r="E14" s="27">
        <v>0.66230180937464944</v>
      </c>
      <c r="F14" s="5">
        <v>0.70154096921378684</v>
      </c>
      <c r="G14" s="28">
        <f t="shared" si="0"/>
        <v>0.94406718700532555</v>
      </c>
      <c r="H14" s="27">
        <v>6.383718000650565E-2</v>
      </c>
      <c r="I14" s="29">
        <v>6.5673067456897745E-6</v>
      </c>
      <c r="J14" s="36">
        <v>1.1468830933069543E-2</v>
      </c>
      <c r="K14" s="24">
        <v>4.1629442858887318</v>
      </c>
      <c r="L14" s="30">
        <f t="shared" si="1"/>
        <v>27.976950965932414</v>
      </c>
      <c r="M14" s="40">
        <v>5.7499999999999999E-8</v>
      </c>
      <c r="N14" s="42">
        <f t="shared" si="2"/>
        <v>2.0552632797626111E-9</v>
      </c>
      <c r="O14" s="33">
        <f t="shared" si="3"/>
        <v>0.99454890854539768</v>
      </c>
      <c r="P14" s="5">
        <f t="shared" si="4"/>
        <v>2.5056894867859554E-5</v>
      </c>
      <c r="Q14" s="27">
        <f t="shared" si="5"/>
        <v>0.99997581635760346</v>
      </c>
      <c r="R14" s="42">
        <v>5.2600000000000001E-8</v>
      </c>
      <c r="S14" s="43">
        <f t="shared" si="6"/>
        <v>2.3924602425263865E-5</v>
      </c>
      <c r="T14" s="42">
        <v>5.0400000000000001E-8</v>
      </c>
      <c r="U14" s="32">
        <f t="shared" si="7"/>
        <v>2.5903997127194175E-7</v>
      </c>
      <c r="V14" s="42">
        <v>1.24E-8</v>
      </c>
      <c r="W14" s="78">
        <f t="shared" si="8"/>
        <v>-7.8178473472689802E-8</v>
      </c>
      <c r="X14" s="40">
        <f t="shared" si="9"/>
        <v>1.6041271770031205E-7</v>
      </c>
      <c r="Y14" s="40">
        <f t="shared" si="10"/>
        <v>0.48735832540874485</v>
      </c>
    </row>
    <row r="15" spans="1:27" x14ac:dyDescent="0.2">
      <c r="A15" s="25" t="s">
        <v>37</v>
      </c>
      <c r="B15" s="24">
        <v>6</v>
      </c>
      <c r="C15" s="26">
        <v>269.03946799281931</v>
      </c>
      <c r="D15" s="24">
        <v>1.5855225539945401</v>
      </c>
      <c r="E15" s="27">
        <v>0.66230180937464944</v>
      </c>
      <c r="F15" s="5">
        <v>0.70303423464694093</v>
      </c>
      <c r="G15" s="28">
        <f t="shared" si="0"/>
        <v>0.94206196047800284</v>
      </c>
      <c r="H15" s="27">
        <v>6.383718000650565E-2</v>
      </c>
      <c r="I15" s="29">
        <v>6.5673067456897745E-6</v>
      </c>
      <c r="J15" s="36">
        <v>1.1837153377095148E-2</v>
      </c>
      <c r="K15" s="24">
        <v>4.1542965752407461</v>
      </c>
      <c r="L15" s="30">
        <f t="shared" si="1"/>
        <v>27.976951088296751</v>
      </c>
      <c r="M15" s="40">
        <v>5.6599999999999997E-8</v>
      </c>
      <c r="N15" s="42">
        <f t="shared" si="2"/>
        <v>2.0230939326221566E-9</v>
      </c>
      <c r="O15" s="33">
        <f t="shared" si="3"/>
        <v>0.99454890854539768</v>
      </c>
      <c r="P15" s="5">
        <f t="shared" si="4"/>
        <v>2.5174788407487217E-5</v>
      </c>
      <c r="Q15" s="27">
        <f t="shared" si="5"/>
        <v>0.99997570283760995</v>
      </c>
      <c r="R15" s="42">
        <v>5.2399999999999999E-8</v>
      </c>
      <c r="S15" s="43">
        <f t="shared" si="6"/>
        <v>2.4029204752161681E-5</v>
      </c>
      <c r="T15" s="42">
        <v>5.0500000000000002E-8</v>
      </c>
      <c r="U15" s="32">
        <f t="shared" si="7"/>
        <v>2.6795763789062749E-7</v>
      </c>
      <c r="V15" s="42">
        <v>1.13E-8</v>
      </c>
      <c r="W15" s="78">
        <f t="shared" si="8"/>
        <v>4.4185863856682772E-8</v>
      </c>
      <c r="X15" s="40">
        <f t="shared" si="9"/>
        <v>1.5912724468173262E-7</v>
      </c>
      <c r="Y15" s="40">
        <f t="shared" si="10"/>
        <v>0.27767629575349012</v>
      </c>
    </row>
    <row r="16" spans="1:27" x14ac:dyDescent="0.2">
      <c r="E16" s="10" t="s">
        <v>36</v>
      </c>
      <c r="F16" s="5">
        <f>AVERAGE(F10:F15)</f>
        <v>0.70334371029395149</v>
      </c>
      <c r="I16" s="5"/>
      <c r="J16" s="5">
        <f>AVERAGE(J10:J15)</f>
        <v>1.1440122194853535E-2</v>
      </c>
      <c r="K16" s="5">
        <f>AVERAGE(K10:K15)</f>
        <v>4.1601117790413076</v>
      </c>
      <c r="L16" s="35">
        <f>AVERAGE(L10:L15)</f>
        <v>27.976951044110887</v>
      </c>
      <c r="M16" s="34">
        <f>SQRT(SUMSQ(M10:M15)/COUNT(M10:M15))</f>
        <v>5.591788622614414E-8</v>
      </c>
      <c r="N16" s="42">
        <f t="shared" si="2"/>
        <v>1.9987126595024292E-9</v>
      </c>
      <c r="O16" s="45"/>
      <c r="P16" s="45"/>
      <c r="Q16" s="36">
        <f>AVERAGE(Q10:Q15)</f>
        <v>0.99997573774054926</v>
      </c>
      <c r="R16" s="42">
        <f>SQRT(SUMSQ(R10:R15)/COUNT(R10:R15))</f>
        <v>5.3125103921466984E-8</v>
      </c>
      <c r="S16" s="44">
        <f>AVERAGE(S10:S15)</f>
        <v>2.4003625214083559E-5</v>
      </c>
      <c r="T16" s="42">
        <f>SQRT(SUMSQ(T10:T15)/COUNT(T10:T15))</f>
        <v>5.1845668414375122E-8</v>
      </c>
      <c r="U16" s="31">
        <f>AVERAGE(U10:U15)</f>
        <v>2.586342366522313E-7</v>
      </c>
      <c r="V16" s="42">
        <f>SQRT(SUMSQ(V10:V15)/COUNT(V10:V15))</f>
        <v>9.237314725250697E-9</v>
      </c>
    </row>
    <row r="17" spans="5:22" x14ac:dyDescent="0.2">
      <c r="E17" s="66" t="s">
        <v>42</v>
      </c>
      <c r="F17" s="5">
        <f>COUNT(F10:F15)</f>
        <v>6</v>
      </c>
      <c r="I17" s="5"/>
      <c r="J17" s="5">
        <f>COUNT(J10:J15)</f>
        <v>6</v>
      </c>
      <c r="K17" s="5">
        <f>COUNT(K10:K15)</f>
        <v>6</v>
      </c>
      <c r="L17" s="39">
        <f>COUNT(L10:L15)</f>
        <v>6</v>
      </c>
      <c r="M17" s="34"/>
      <c r="N17" s="42"/>
      <c r="O17" s="45"/>
      <c r="P17" s="45"/>
      <c r="Q17" s="36"/>
      <c r="R17" s="42"/>
      <c r="S17" s="44"/>
      <c r="T17" s="42"/>
      <c r="U17" s="31"/>
      <c r="V17" s="42"/>
    </row>
    <row r="18" spans="5:22" x14ac:dyDescent="0.2">
      <c r="E18" s="67" t="s">
        <v>43</v>
      </c>
      <c r="F18" s="70">
        <f>STDEV(F10:F15)</f>
        <v>1.0071400530223759E-3</v>
      </c>
      <c r="I18" s="62"/>
      <c r="J18" s="69">
        <f>STDEV(J10:J15)</f>
        <v>9.1142175321293521E-4</v>
      </c>
      <c r="K18" s="70">
        <f>STDEV(K10:K15)</f>
        <v>1.2029517100384935E-2</v>
      </c>
      <c r="L18" s="34">
        <f>STDEV(L10:L15)</f>
        <v>1.1540091840728463E-7</v>
      </c>
      <c r="M18" s="34"/>
      <c r="N18" s="42"/>
      <c r="O18" s="45"/>
      <c r="P18" s="45"/>
      <c r="Q18" s="36"/>
      <c r="R18" s="42"/>
      <c r="S18" s="44"/>
      <c r="T18" s="42"/>
      <c r="U18" s="31"/>
      <c r="V18" s="42"/>
    </row>
    <row r="19" spans="5:22" x14ac:dyDescent="0.2">
      <c r="E19" s="67" t="s">
        <v>44</v>
      </c>
      <c r="F19" s="69">
        <f>F18/(SQRT(F17))</f>
        <v>4.1116320490406933E-4</v>
      </c>
      <c r="I19" s="62"/>
      <c r="J19" s="69">
        <f>J18/(SQRT(J17))</f>
        <v>3.720863726407577E-4</v>
      </c>
      <c r="K19" s="70">
        <f>K18/(SQRT(K17))</f>
        <v>4.9110297913379569E-3</v>
      </c>
      <c r="L19" s="34">
        <f>L18/(SQRT(L17))</f>
        <v>4.7112227657733698E-8</v>
      </c>
      <c r="M19" s="34"/>
      <c r="N19" s="42"/>
      <c r="O19" s="45"/>
      <c r="P19" s="45"/>
      <c r="Q19" s="36"/>
      <c r="R19" s="42"/>
      <c r="S19" s="44"/>
      <c r="T19" s="42"/>
      <c r="U19" s="31"/>
      <c r="V19" s="42"/>
    </row>
    <row r="20" spans="5:22" x14ac:dyDescent="0.2">
      <c r="E20" s="67" t="s">
        <v>64</v>
      </c>
      <c r="F20" s="72">
        <f>F19/F16</f>
        <v>5.8458360953029653E-4</v>
      </c>
      <c r="I20" s="5"/>
      <c r="J20" s="68">
        <f>J19/J16</f>
        <v>3.2524685165351196E-2</v>
      </c>
      <c r="K20" s="68">
        <f>K19/K16</f>
        <v>1.1805042874279924E-3</v>
      </c>
      <c r="L20" s="34">
        <f>L19/L16</f>
        <v>1.6839657610814157E-9</v>
      </c>
      <c r="M20" s="34"/>
      <c r="N20" s="42"/>
      <c r="O20" s="45"/>
      <c r="P20" s="45"/>
      <c r="Q20" s="36"/>
      <c r="R20" s="42"/>
      <c r="S20" s="44"/>
      <c r="T20" s="42"/>
      <c r="U20" s="31"/>
      <c r="V20" s="42"/>
    </row>
    <row r="21" spans="5:22" x14ac:dyDescent="0.2">
      <c r="E21" s="10"/>
      <c r="F21" s="5"/>
      <c r="J21" s="5"/>
      <c r="L21" s="35"/>
      <c r="M21" s="34"/>
      <c r="N21" s="42"/>
      <c r="O21" s="45"/>
      <c r="P21" s="45"/>
      <c r="Q21" s="36"/>
      <c r="R21" s="42"/>
      <c r="S21" s="44"/>
      <c r="T21" s="42"/>
      <c r="U21" s="31"/>
      <c r="V21" s="42"/>
    </row>
    <row r="22" spans="5:22" x14ac:dyDescent="0.2">
      <c r="E22" s="66"/>
      <c r="F22" s="5"/>
      <c r="J22" s="5"/>
      <c r="K22" s="5"/>
      <c r="M22" s="31"/>
      <c r="R22" s="5"/>
      <c r="T22" s="5"/>
      <c r="V22" s="5"/>
    </row>
    <row r="23" spans="5:22" x14ac:dyDescent="0.2">
      <c r="E23" s="67"/>
      <c r="F23" s="5"/>
      <c r="J23" s="5"/>
      <c r="K23" s="5"/>
      <c r="M23" s="31"/>
      <c r="R23" s="5"/>
      <c r="T23" s="5"/>
      <c r="V23" s="5"/>
    </row>
    <row r="24" spans="5:22" x14ac:dyDescent="0.2">
      <c r="E24" s="67"/>
      <c r="F24" s="5"/>
      <c r="J24" s="5"/>
      <c r="K24" s="5"/>
      <c r="M24" s="31"/>
      <c r="R24" s="5"/>
      <c r="T24" s="39"/>
      <c r="V24" s="5"/>
    </row>
    <row r="25" spans="5:22" x14ac:dyDescent="0.2">
      <c r="E25" s="67"/>
      <c r="F25" s="5"/>
      <c r="J25" s="5"/>
      <c r="K25" s="5"/>
      <c r="M25" s="31"/>
      <c r="R25" s="5"/>
      <c r="T25" s="5"/>
      <c r="V25" s="5"/>
    </row>
    <row r="26" spans="5:22" x14ac:dyDescent="0.2">
      <c r="F26" s="5"/>
      <c r="J26" s="5"/>
      <c r="K26" s="5"/>
      <c r="M26" s="31"/>
      <c r="R26" s="5"/>
      <c r="T26" s="5"/>
      <c r="V26" s="5"/>
    </row>
    <row r="27" spans="5:22" x14ac:dyDescent="0.2">
      <c r="F27" s="5"/>
      <c r="J27" s="5"/>
      <c r="K27" s="5"/>
      <c r="M27" s="31"/>
      <c r="R27" s="5"/>
      <c r="T27" s="5"/>
      <c r="V27" s="5"/>
    </row>
    <row r="28" spans="5:22" x14ac:dyDescent="0.2">
      <c r="J28" s="5"/>
      <c r="K28" s="5"/>
      <c r="M28" s="31"/>
      <c r="R28" s="5"/>
      <c r="T28" s="5"/>
      <c r="V28" s="5"/>
    </row>
    <row r="29" spans="5:22" x14ac:dyDescent="0.2">
      <c r="M29" s="31"/>
      <c r="R29" s="5"/>
      <c r="T29" s="5"/>
      <c r="V29" s="5"/>
    </row>
    <row r="30" spans="5:22" x14ac:dyDescent="0.2">
      <c r="M30" s="31"/>
      <c r="R30" s="5"/>
      <c r="T30" s="5"/>
      <c r="V30" s="5"/>
    </row>
    <row r="31" spans="5:22" x14ac:dyDescent="0.2">
      <c r="M31" s="31"/>
      <c r="R31" s="5"/>
      <c r="T31" s="5"/>
      <c r="V31" s="5"/>
    </row>
    <row r="32" spans="5:22" x14ac:dyDescent="0.2">
      <c r="M32" s="31"/>
      <c r="R32" s="5"/>
      <c r="T32" s="5"/>
      <c r="V32" s="5"/>
    </row>
    <row r="33" spans="13:22" x14ac:dyDescent="0.2">
      <c r="M33" s="31"/>
      <c r="R33" s="5"/>
      <c r="T33" s="5"/>
      <c r="V33" s="5"/>
    </row>
    <row r="34" spans="13:22" x14ac:dyDescent="0.2">
      <c r="M34" s="31"/>
      <c r="T34" s="5"/>
    </row>
    <row r="35" spans="13:22" x14ac:dyDescent="0.2">
      <c r="M35" s="31"/>
    </row>
    <row r="36" spans="13:22" x14ac:dyDescent="0.2">
      <c r="M36" s="31"/>
    </row>
    <row r="37" spans="13:22" x14ac:dyDescent="0.2">
      <c r="M37" s="31"/>
    </row>
  </sheetData>
  <pageMargins left="0.78740157499999996" right="0.78740157499999996" top="0.984251969" bottom="0.984251969" header="0.4921259845" footer="0.4921259845"/>
  <pageSetup paperSize="9" scale="11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3FA1F-E5E3-4997-AF53-2EEA00570B96}">
  <dimension ref="A1:Y35"/>
  <sheetViews>
    <sheetView workbookViewId="0"/>
  </sheetViews>
  <sheetFormatPr baseColWidth="10" defaultRowHeight="12.75" x14ac:dyDescent="0.2"/>
  <cols>
    <col min="1" max="1" width="20.7109375" style="1" customWidth="1"/>
    <col min="2" max="2" width="10.7109375" style="1" customWidth="1"/>
    <col min="3" max="4" width="15.7109375" style="1" customWidth="1"/>
    <col min="5" max="5" width="17.7109375" style="1" customWidth="1"/>
    <col min="6" max="25" width="15.7109375" style="1" customWidth="1"/>
    <col min="26" max="16384" width="11.42578125" style="1"/>
  </cols>
  <sheetData>
    <row r="1" spans="1:25" ht="25.9" customHeight="1" x14ac:dyDescent="0.2">
      <c r="A1" s="1" t="s">
        <v>2</v>
      </c>
      <c r="B1" s="2"/>
    </row>
    <row r="2" spans="1:25" ht="15" customHeight="1" x14ac:dyDescent="0.2">
      <c r="B2" s="2"/>
    </row>
    <row r="3" spans="1:25" ht="14.25" x14ac:dyDescent="0.2">
      <c r="C3" s="1" t="s">
        <v>3</v>
      </c>
      <c r="E3" s="3" t="s">
        <v>4</v>
      </c>
      <c r="F3" s="4">
        <v>28.976494664299999</v>
      </c>
      <c r="G3" s="5" t="s">
        <v>5</v>
      </c>
      <c r="I3" s="6" t="s">
        <v>6</v>
      </c>
      <c r="K3" s="4"/>
    </row>
    <row r="4" spans="1:25" ht="14.25" x14ac:dyDescent="0.2">
      <c r="B4" s="2"/>
      <c r="C4" s="1" t="s">
        <v>35</v>
      </c>
      <c r="D4" s="5"/>
      <c r="E4" s="3" t="s">
        <v>7</v>
      </c>
      <c r="F4" s="7">
        <v>29.973770136999999</v>
      </c>
      <c r="G4" s="5" t="s">
        <v>5</v>
      </c>
      <c r="K4" s="8"/>
    </row>
    <row r="5" spans="1:25" ht="14.25" x14ac:dyDescent="0.2">
      <c r="B5" s="2"/>
      <c r="C5" s="3"/>
      <c r="E5" s="3" t="s">
        <v>8</v>
      </c>
      <c r="F5" s="9">
        <v>27.9769265344</v>
      </c>
      <c r="G5" s="5" t="s">
        <v>5</v>
      </c>
      <c r="K5" s="4"/>
    </row>
    <row r="6" spans="1:25" x14ac:dyDescent="0.2">
      <c r="A6" s="120" t="s">
        <v>65</v>
      </c>
      <c r="C6" s="10" t="s">
        <v>34</v>
      </c>
      <c r="D6" s="11"/>
      <c r="E6" s="11"/>
      <c r="F6" s="11"/>
      <c r="G6" s="11"/>
      <c r="L6" s="9"/>
    </row>
    <row r="7" spans="1:25" x14ac:dyDescent="0.2">
      <c r="A7" s="120" t="s">
        <v>40</v>
      </c>
      <c r="B7" s="13"/>
      <c r="C7" s="14"/>
      <c r="D7" s="12"/>
      <c r="E7" s="12"/>
      <c r="F7" s="12"/>
      <c r="G7" s="12"/>
      <c r="H7" s="12"/>
      <c r="I7" s="15"/>
      <c r="J7" s="12"/>
      <c r="K7" s="12"/>
      <c r="L7" s="12"/>
      <c r="M7" s="12"/>
      <c r="N7" s="16"/>
      <c r="O7" s="16"/>
      <c r="P7" s="12"/>
      <c r="Q7" s="12"/>
      <c r="R7" s="12"/>
      <c r="S7" s="12"/>
      <c r="T7" s="12"/>
      <c r="U7" s="12"/>
      <c r="V7" s="12"/>
    </row>
    <row r="8" spans="1:25" ht="15.75" x14ac:dyDescent="0.3">
      <c r="A8" s="17" t="s">
        <v>9</v>
      </c>
      <c r="B8" s="17" t="s">
        <v>10</v>
      </c>
      <c r="C8" s="18" t="s">
        <v>11</v>
      </c>
      <c r="D8" s="18" t="s">
        <v>12</v>
      </c>
      <c r="E8" s="18" t="s">
        <v>13</v>
      </c>
      <c r="F8" s="19" t="s">
        <v>14</v>
      </c>
      <c r="G8" s="20" t="s">
        <v>15</v>
      </c>
      <c r="H8" s="21" t="s">
        <v>30</v>
      </c>
      <c r="I8" s="19" t="s">
        <v>31</v>
      </c>
      <c r="J8" s="21" t="s">
        <v>33</v>
      </c>
      <c r="K8" s="21" t="s">
        <v>32</v>
      </c>
      <c r="L8" s="20" t="s">
        <v>16</v>
      </c>
      <c r="M8" s="22" t="s">
        <v>17</v>
      </c>
      <c r="N8" s="23" t="s">
        <v>18</v>
      </c>
      <c r="O8" s="17" t="s">
        <v>19</v>
      </c>
      <c r="P8" s="17" t="s">
        <v>20</v>
      </c>
      <c r="Q8" s="17" t="s">
        <v>21</v>
      </c>
      <c r="R8" s="17" t="s">
        <v>22</v>
      </c>
      <c r="S8" s="17" t="s">
        <v>23</v>
      </c>
      <c r="T8" s="17" t="s">
        <v>24</v>
      </c>
      <c r="U8" s="17" t="s">
        <v>25</v>
      </c>
      <c r="V8" s="17" t="s">
        <v>26</v>
      </c>
      <c r="W8" s="73" t="s">
        <v>45</v>
      </c>
      <c r="X8" s="74" t="s">
        <v>46</v>
      </c>
      <c r="Y8" s="75" t="s">
        <v>47</v>
      </c>
    </row>
    <row r="9" spans="1:25" x14ac:dyDescent="0.2">
      <c r="A9" s="24"/>
      <c r="B9" s="24" t="s">
        <v>28</v>
      </c>
      <c r="C9" s="24" t="s">
        <v>1</v>
      </c>
      <c r="D9" s="24" t="s">
        <v>1</v>
      </c>
      <c r="E9" s="24" t="s">
        <v>1</v>
      </c>
      <c r="F9" s="24" t="s">
        <v>73</v>
      </c>
      <c r="G9" s="38">
        <v>1</v>
      </c>
      <c r="H9" s="24" t="s">
        <v>0</v>
      </c>
      <c r="I9" s="24" t="s">
        <v>0</v>
      </c>
      <c r="J9" s="24" t="s">
        <v>73</v>
      </c>
      <c r="K9" s="24" t="s">
        <v>73</v>
      </c>
      <c r="L9" s="38" t="s">
        <v>5</v>
      </c>
      <c r="M9" s="25" t="s">
        <v>5</v>
      </c>
      <c r="N9" s="5"/>
      <c r="O9" s="24" t="s">
        <v>29</v>
      </c>
      <c r="P9" s="24" t="s">
        <v>29</v>
      </c>
      <c r="Q9" s="24" t="s">
        <v>1</v>
      </c>
      <c r="R9" s="24" t="s">
        <v>1</v>
      </c>
      <c r="S9" s="24" t="s">
        <v>1</v>
      </c>
      <c r="T9" s="37"/>
      <c r="U9" s="24" t="s">
        <v>1</v>
      </c>
      <c r="V9" s="37"/>
      <c r="W9" s="76" t="s">
        <v>5</v>
      </c>
      <c r="X9" s="76" t="s">
        <v>5</v>
      </c>
      <c r="Y9" s="77"/>
    </row>
    <row r="10" spans="1:25" x14ac:dyDescent="0.2">
      <c r="A10" s="22" t="s">
        <v>37</v>
      </c>
      <c r="B10" s="17">
        <v>1</v>
      </c>
      <c r="C10" s="46">
        <v>269.03946799281931</v>
      </c>
      <c r="D10" s="17">
        <v>1.5855225539945401</v>
      </c>
      <c r="E10" s="47">
        <v>0.66230180937464944</v>
      </c>
      <c r="F10" s="23">
        <v>0.70622964274352573</v>
      </c>
      <c r="G10" s="49">
        <f t="shared" ref="G10:G13" si="0">E10/F10</f>
        <v>0.93779950499071718</v>
      </c>
      <c r="H10" s="47">
        <v>6.383718000650565E-2</v>
      </c>
      <c r="I10" s="50">
        <v>6.5673067456897745E-6</v>
      </c>
      <c r="J10" s="51">
        <v>7.5908900156186499E-3</v>
      </c>
      <c r="K10" s="17">
        <v>4.2841646961109507</v>
      </c>
      <c r="L10" s="52">
        <f t="shared" ref="L10:L13" si="1">$F$5/(1+(I10/H10)*($F$5*(1+G10*J10)-$F$3-G10*J10*$F$4)/(D10*$F$5+$F$3+C10*$F$4)*((C10-G10*K10)/(G10*K10-G10*J10)))</f>
        <v>27.976950228797762</v>
      </c>
      <c r="M10" s="53">
        <v>2.0100000000000001E-7</v>
      </c>
      <c r="N10" s="56">
        <f t="shared" ref="N10:N14" si="2">M10/L10</f>
        <v>7.1844857411621262E-9</v>
      </c>
      <c r="O10" s="55">
        <f t="shared" ref="O10:O13" si="3">($F$3+C10*$F$4)/(D10*$F$5+$F$3+C10*$F$4)</f>
        <v>0.99454890854539768</v>
      </c>
      <c r="P10" s="23">
        <f t="shared" ref="P10:P13" si="4">O10*I10/H10*(($F$3+G10*J10*$F$4)/($F$3+C10*$F$4))*(C10-G10*K10)/(G10*K10-G10*J10)</f>
        <v>2.4385541614619938E-5</v>
      </c>
      <c r="Q10" s="47">
        <f t="shared" ref="Q10:Q13" si="5">((1-P10)/$F$5)/((1-P10)/$F$5+(1+G10*J10)*P10/($F$3+G10*J10*$F$4))</f>
        <v>0.99997646136413587</v>
      </c>
      <c r="R10" s="56">
        <v>1.2100000000000001E-7</v>
      </c>
      <c r="S10" s="57">
        <f t="shared" ref="S10:S13" si="6">(1-Q10)/(1+G10*J10)</f>
        <v>2.3372255023368064E-5</v>
      </c>
      <c r="T10" s="56">
        <v>6.13E-8</v>
      </c>
      <c r="U10" s="58">
        <f t="shared" ref="U10:U13" si="7">G10*J10*S10</f>
        <v>1.6638084076068171E-7</v>
      </c>
      <c r="V10" s="56">
        <v>8.5599999999999999E-8</v>
      </c>
      <c r="W10" s="34">
        <f>L10-$L$14</f>
        <v>-1.5108545525777117E-7</v>
      </c>
      <c r="X10" s="34">
        <f>2*SQRT(SUMSQ(M10,$M$14))</f>
        <v>4.5885093440026908E-7</v>
      </c>
      <c r="Y10" s="34">
        <f>ABS(W10/X10)</f>
        <v>0.32926914588338818</v>
      </c>
    </row>
    <row r="11" spans="1:25" x14ac:dyDescent="0.2">
      <c r="A11" s="25" t="s">
        <v>37</v>
      </c>
      <c r="B11" s="24">
        <v>2</v>
      </c>
      <c r="C11" s="26">
        <v>269.03946799281931</v>
      </c>
      <c r="D11" s="24">
        <v>1.5855225539945401</v>
      </c>
      <c r="E11" s="27">
        <v>0.66230180937464944</v>
      </c>
      <c r="F11" s="5">
        <v>0.70627162170842261</v>
      </c>
      <c r="G11" s="28">
        <f t="shared" si="0"/>
        <v>0.93774376460516251</v>
      </c>
      <c r="H11" s="27">
        <v>6.383718000650565E-2</v>
      </c>
      <c r="I11" s="29">
        <v>6.5673067456897745E-6</v>
      </c>
      <c r="J11" s="35">
        <v>6.3965444682035303E-3</v>
      </c>
      <c r="K11" s="24">
        <v>4.248266372126035</v>
      </c>
      <c r="L11" s="30">
        <f t="shared" si="1"/>
        <v>27.976950374396463</v>
      </c>
      <c r="M11" s="40">
        <v>5.25E-8</v>
      </c>
      <c r="N11" s="42">
        <f t="shared" si="2"/>
        <v>1.8765447733733763E-9</v>
      </c>
      <c r="O11" s="33">
        <f t="shared" si="3"/>
        <v>0.99454890854539768</v>
      </c>
      <c r="P11" s="5">
        <f t="shared" si="4"/>
        <v>2.4561362942562645E-5</v>
      </c>
      <c r="Q11" s="27">
        <f t="shared" si="5"/>
        <v>0.99997629074677319</v>
      </c>
      <c r="R11" s="42">
        <v>5.1399999999999997E-8</v>
      </c>
      <c r="S11" s="43">
        <f t="shared" si="6"/>
        <v>2.3567885515072726E-5</v>
      </c>
      <c r="T11" s="42">
        <v>5.0899999999999999E-8</v>
      </c>
      <c r="U11" s="32">
        <f t="shared" si="7"/>
        <v>1.4136771173855318E-7</v>
      </c>
      <c r="V11" s="42">
        <v>5.7900000000000001E-9</v>
      </c>
      <c r="W11" s="34">
        <f t="shared" ref="W11:W13" si="8">L11-$L$14</f>
        <v>-5.4867541621206328E-9</v>
      </c>
      <c r="X11" s="34">
        <f t="shared" ref="X11:X13" si="9">2*SQRT(SUMSQ(M11,$M$14))</f>
        <v>2.4487788793600785E-7</v>
      </c>
      <c r="Y11" s="34">
        <f t="shared" ref="Y11:Y13" si="10">ABS(W11/X11)</f>
        <v>2.2406082510620338E-2</v>
      </c>
    </row>
    <row r="12" spans="1:25" x14ac:dyDescent="0.2">
      <c r="A12" s="25" t="s">
        <v>37</v>
      </c>
      <c r="B12" s="24">
        <v>3</v>
      </c>
      <c r="C12" s="26">
        <v>269.03946799281931</v>
      </c>
      <c r="D12" s="24">
        <v>1.5855225539945401</v>
      </c>
      <c r="E12" s="27">
        <v>0.66230180937464944</v>
      </c>
      <c r="F12" s="5">
        <v>0.69763500528435629</v>
      </c>
      <c r="G12" s="28">
        <f t="shared" si="0"/>
        <v>0.94935289135139511</v>
      </c>
      <c r="H12" s="27">
        <v>6.383718000650565E-2</v>
      </c>
      <c r="I12" s="29">
        <v>6.5673067456897745E-6</v>
      </c>
      <c r="J12" s="35">
        <v>8.7796349457905255E-3</v>
      </c>
      <c r="K12" s="24">
        <v>4.1997869087279609</v>
      </c>
      <c r="L12" s="30">
        <f t="shared" si="1"/>
        <v>27.976950478299003</v>
      </c>
      <c r="M12" s="40">
        <v>5.2199999999999998E-8</v>
      </c>
      <c r="N12" s="42">
        <f t="shared" si="2"/>
        <v>1.8658216534532662E-9</v>
      </c>
      <c r="O12" s="33">
        <f t="shared" si="3"/>
        <v>0.99454890854539768</v>
      </c>
      <c r="P12" s="5">
        <f t="shared" si="4"/>
        <v>2.46141300842279E-5</v>
      </c>
      <c r="Q12" s="27">
        <f t="shared" si="5"/>
        <v>0.99997624169336052</v>
      </c>
      <c r="R12" s="42">
        <v>5.1599999999999999E-8</v>
      </c>
      <c r="S12" s="43">
        <f t="shared" si="6"/>
        <v>2.356191871097655E-5</v>
      </c>
      <c r="T12" s="42">
        <v>5.1300000000000003E-8</v>
      </c>
      <c r="U12" s="32">
        <f t="shared" si="7"/>
        <v>1.963879284998752E-7</v>
      </c>
      <c r="V12" s="42">
        <v>4.1000000000000003E-9</v>
      </c>
      <c r="W12" s="34">
        <f t="shared" si="8"/>
        <v>9.8415785743100059E-8</v>
      </c>
      <c r="X12" s="34">
        <f t="shared" si="9"/>
        <v>2.446212173953846E-7</v>
      </c>
      <c r="Y12" s="34">
        <f t="shared" si="10"/>
        <v>0.40231909067817812</v>
      </c>
    </row>
    <row r="13" spans="1:25" x14ac:dyDescent="0.2">
      <c r="A13" s="25" t="s">
        <v>37</v>
      </c>
      <c r="B13" s="24">
        <v>4</v>
      </c>
      <c r="C13" s="26">
        <v>269.03946799281931</v>
      </c>
      <c r="D13" s="24">
        <v>1.5855225539945401</v>
      </c>
      <c r="E13" s="27">
        <v>0.66230180937464944</v>
      </c>
      <c r="F13" s="5">
        <v>0.69905359435212322</v>
      </c>
      <c r="G13" s="28">
        <f t="shared" si="0"/>
        <v>0.94742637006031705</v>
      </c>
      <c r="H13" s="27">
        <v>6.383718000650565E-2</v>
      </c>
      <c r="I13" s="29">
        <v>6.5673067456897745E-6</v>
      </c>
      <c r="J13" s="35">
        <v>7.6356075187992718E-3</v>
      </c>
      <c r="K13" s="5">
        <v>4.2051860082113217</v>
      </c>
      <c r="L13" s="30">
        <f t="shared" si="1"/>
        <v>27.976950438039633</v>
      </c>
      <c r="M13" s="40">
        <v>5.5299999999999999E-8</v>
      </c>
      <c r="N13" s="42">
        <f t="shared" si="2"/>
        <v>1.9766271567901064E-9</v>
      </c>
      <c r="O13" s="33">
        <f t="shared" si="3"/>
        <v>0.99454890854539768</v>
      </c>
      <c r="P13" s="5">
        <f t="shared" si="4"/>
        <v>2.4598209637842165E-5</v>
      </c>
      <c r="Q13" s="27">
        <f t="shared" si="5"/>
        <v>0.99997625617483576</v>
      </c>
      <c r="R13" s="42">
        <v>5.1599999999999999E-8</v>
      </c>
      <c r="S13" s="43">
        <f t="shared" si="6"/>
        <v>2.3573291824288797E-5</v>
      </c>
      <c r="T13" s="42">
        <v>4.9899999999999997E-8</v>
      </c>
      <c r="U13" s="32">
        <f t="shared" si="7"/>
        <v>1.7053333994643702E-7</v>
      </c>
      <c r="V13" s="42">
        <v>1.0600000000000001E-8</v>
      </c>
      <c r="W13" s="34">
        <f t="shared" si="8"/>
        <v>5.8156416571364389E-8</v>
      </c>
      <c r="X13" s="34">
        <f t="shared" si="9"/>
        <v>2.4733083107449425E-7</v>
      </c>
      <c r="Y13" s="34">
        <f t="shared" si="10"/>
        <v>0.23513613858293347</v>
      </c>
    </row>
    <row r="14" spans="1:25" x14ac:dyDescent="0.2">
      <c r="A14" s="25"/>
      <c r="B14" s="5"/>
      <c r="C14" s="62"/>
      <c r="D14" s="5"/>
      <c r="E14" s="10" t="s">
        <v>36</v>
      </c>
      <c r="F14" s="5">
        <f>AVERAGE(F10:F13)</f>
        <v>0.70229746602210696</v>
      </c>
      <c r="G14" s="60"/>
      <c r="H14" s="36"/>
      <c r="I14" s="35"/>
      <c r="J14" s="35">
        <f>AVERAGE(J10:J13)</f>
        <v>7.6006692371029944E-3</v>
      </c>
      <c r="K14" s="5">
        <f>AVERAGE(K10:K13)</f>
        <v>4.2343509962940669</v>
      </c>
      <c r="L14" s="35">
        <f>AVERAGE(L10:L13)</f>
        <v>27.976950379883217</v>
      </c>
      <c r="M14" s="34">
        <f>SQRT(SUMSQ(M10:M13)/COUNT(M10:M13))</f>
        <v>1.1061213767032984E-7</v>
      </c>
      <c r="N14" s="42">
        <f t="shared" si="2"/>
        <v>3.95368816716583E-9</v>
      </c>
      <c r="O14" s="45"/>
      <c r="P14" s="45"/>
      <c r="Q14" s="36">
        <f>AVERAGE(Q10:Q13)</f>
        <v>0.99997631249477636</v>
      </c>
      <c r="R14" s="42">
        <f>SQRT(SUMSQ(R10:R13)/COUNT(R10:R13))</f>
        <v>7.5179917531213092E-8</v>
      </c>
      <c r="S14" s="44">
        <f>AVERAGE(S10:S13)</f>
        <v>2.3518837768426535E-5</v>
      </c>
      <c r="T14" s="42">
        <f>SQRT(SUMSQ(T10:T13)/COUNT(T10:T13))</f>
        <v>5.3549509801677925E-8</v>
      </c>
      <c r="U14" s="31">
        <f>AVERAGE(U10:U13)</f>
        <v>1.6866745523638677E-7</v>
      </c>
      <c r="V14" s="42">
        <f>SQRT(SUMSQ(V10:V13)/COUNT(V10:V13))</f>
        <v>4.3272549324022956E-8</v>
      </c>
    </row>
    <row r="15" spans="1:25" x14ac:dyDescent="0.2">
      <c r="A15" s="25"/>
      <c r="B15" s="5"/>
      <c r="C15" s="62"/>
      <c r="D15" s="5"/>
      <c r="E15" s="66" t="s">
        <v>42</v>
      </c>
      <c r="F15" s="5">
        <f>COUNT(F10:F13)</f>
        <v>4</v>
      </c>
      <c r="G15" s="60"/>
      <c r="H15" s="36"/>
      <c r="I15" s="35"/>
      <c r="J15" s="39">
        <f>COUNT(J10:J13)</f>
        <v>4</v>
      </c>
      <c r="K15" s="39">
        <f>COUNT(K10:K13)</f>
        <v>4</v>
      </c>
      <c r="L15" s="39">
        <f>COUNT(L10:L13)</f>
        <v>4</v>
      </c>
      <c r="M15" s="34"/>
      <c r="N15" s="42"/>
      <c r="O15" s="45"/>
      <c r="P15" s="45"/>
      <c r="Q15" s="36"/>
      <c r="R15" s="42"/>
      <c r="S15" s="44"/>
      <c r="T15" s="42"/>
      <c r="U15" s="31"/>
      <c r="V15" s="42"/>
    </row>
    <row r="16" spans="1:25" x14ac:dyDescent="0.2">
      <c r="A16" s="5"/>
      <c r="B16" s="5"/>
      <c r="C16" s="62"/>
      <c r="D16" s="5"/>
      <c r="E16" s="67" t="s">
        <v>43</v>
      </c>
      <c r="F16" s="70">
        <f>STDEV(F10:F13)</f>
        <v>4.6013465684852277E-3</v>
      </c>
      <c r="G16" s="60"/>
      <c r="H16" s="36"/>
      <c r="I16" s="35"/>
      <c r="J16" s="69">
        <f>STDEV(J10:J13)</f>
        <v>9.7317228999442996E-4</v>
      </c>
      <c r="K16" s="70">
        <f>STDEV(K10:K13)</f>
        <v>3.9666589859039002E-2</v>
      </c>
      <c r="L16" s="34">
        <f>STDEV(L10:L13)</f>
        <v>1.0942996989481045E-7</v>
      </c>
      <c r="M16" s="34"/>
      <c r="N16" s="42"/>
      <c r="O16" s="45"/>
      <c r="P16" s="45"/>
      <c r="Q16" s="36"/>
      <c r="R16" s="42"/>
      <c r="S16" s="44"/>
      <c r="T16" s="42"/>
      <c r="U16" s="31"/>
      <c r="V16" s="42"/>
    </row>
    <row r="17" spans="1:22" x14ac:dyDescent="0.2">
      <c r="A17" s="5"/>
      <c r="B17" s="5"/>
      <c r="C17" s="62"/>
      <c r="D17" s="5"/>
      <c r="E17" s="67" t="s">
        <v>44</v>
      </c>
      <c r="F17" s="70">
        <f>F16/(SQRT(F15))</f>
        <v>2.3006732842426139E-3</v>
      </c>
      <c r="G17" s="60"/>
      <c r="H17" s="36"/>
      <c r="I17" s="35"/>
      <c r="J17" s="69">
        <f>J16/(SQRT(J15))</f>
        <v>4.8658614499721498E-4</v>
      </c>
      <c r="K17" s="70">
        <f>K16/(SQRT(K15))</f>
        <v>1.9833294929519501E-2</v>
      </c>
      <c r="L17" s="34">
        <f>L16/(SQRT(L15))</f>
        <v>5.4714984947405225E-8</v>
      </c>
      <c r="M17" s="34"/>
      <c r="N17" s="42"/>
      <c r="O17" s="45"/>
      <c r="P17" s="45"/>
      <c r="Q17" s="36"/>
      <c r="R17" s="42"/>
      <c r="S17" s="44"/>
      <c r="T17" s="42"/>
      <c r="U17" s="31"/>
      <c r="V17" s="42"/>
    </row>
    <row r="18" spans="1:22" x14ac:dyDescent="0.2">
      <c r="A18" s="5"/>
      <c r="B18" s="5"/>
      <c r="C18" s="62"/>
      <c r="D18" s="5"/>
      <c r="E18" s="67" t="s">
        <v>64</v>
      </c>
      <c r="F18" s="68">
        <f>F17/F14</f>
        <v>3.2759242280538045E-3</v>
      </c>
      <c r="G18" s="60"/>
      <c r="H18" s="36"/>
      <c r="I18" s="35"/>
      <c r="J18" s="68">
        <f>J17/J14</f>
        <v>6.401885542156259E-2</v>
      </c>
      <c r="K18" s="68">
        <f>K17/K14</f>
        <v>4.6839043213181284E-3</v>
      </c>
      <c r="L18" s="34">
        <f>L17/L14</f>
        <v>1.9557165525356172E-9</v>
      </c>
      <c r="M18" s="34"/>
      <c r="N18" s="42"/>
      <c r="O18" s="45"/>
      <c r="P18" s="45"/>
      <c r="Q18" s="36"/>
      <c r="R18" s="42"/>
      <c r="S18" s="44"/>
      <c r="T18" s="42"/>
      <c r="U18" s="31"/>
      <c r="V18" s="42"/>
    </row>
    <row r="19" spans="1:22" x14ac:dyDescent="0.2">
      <c r="A19" s="5"/>
      <c r="B19" s="5"/>
      <c r="C19" s="62"/>
      <c r="D19" s="5"/>
      <c r="E19" s="36"/>
      <c r="F19" s="5"/>
      <c r="G19" s="60"/>
      <c r="H19" s="36"/>
      <c r="I19" s="35"/>
      <c r="J19" s="35"/>
      <c r="K19" s="5"/>
      <c r="L19" s="35"/>
      <c r="M19" s="34"/>
      <c r="N19" s="42"/>
      <c r="O19" s="45"/>
      <c r="P19" s="45"/>
      <c r="Q19" s="36"/>
      <c r="R19" s="42"/>
      <c r="S19" s="44"/>
      <c r="T19" s="42"/>
      <c r="U19" s="31"/>
      <c r="V19" s="42"/>
    </row>
    <row r="20" spans="1:22" x14ac:dyDescent="0.2">
      <c r="F20" s="5"/>
      <c r="J20" s="5"/>
      <c r="K20" s="5"/>
      <c r="L20" s="10"/>
      <c r="M20" s="31"/>
      <c r="R20" s="5"/>
      <c r="T20" s="5"/>
      <c r="V20" s="5"/>
    </row>
    <row r="21" spans="1:22" x14ac:dyDescent="0.2">
      <c r="F21" s="5"/>
      <c r="J21" s="5"/>
      <c r="K21" s="5"/>
      <c r="M21" s="31"/>
      <c r="R21" s="5"/>
      <c r="T21" s="5"/>
      <c r="V21" s="5"/>
    </row>
    <row r="22" spans="1:22" x14ac:dyDescent="0.2">
      <c r="F22" s="5"/>
      <c r="K22" s="5"/>
      <c r="M22" s="31"/>
      <c r="R22" s="5"/>
      <c r="T22" s="39"/>
      <c r="V22" s="5"/>
    </row>
    <row r="23" spans="1:22" x14ac:dyDescent="0.2">
      <c r="F23" s="5"/>
      <c r="J23" s="5"/>
      <c r="K23" s="5"/>
      <c r="M23" s="31"/>
      <c r="R23" s="5"/>
      <c r="T23" s="5"/>
      <c r="V23" s="5"/>
    </row>
    <row r="24" spans="1:22" x14ac:dyDescent="0.2">
      <c r="F24" s="5"/>
      <c r="J24" s="5"/>
      <c r="K24" s="5"/>
      <c r="M24" s="31"/>
      <c r="R24" s="5"/>
      <c r="T24" s="5"/>
      <c r="V24" s="5"/>
    </row>
    <row r="25" spans="1:22" x14ac:dyDescent="0.2">
      <c r="F25" s="5"/>
      <c r="J25" s="5"/>
      <c r="K25" s="5"/>
      <c r="M25" s="31"/>
      <c r="R25" s="5"/>
      <c r="T25" s="5"/>
      <c r="V25" s="5"/>
    </row>
    <row r="26" spans="1:22" x14ac:dyDescent="0.2">
      <c r="J26" s="5"/>
      <c r="K26" s="5"/>
      <c r="M26" s="31"/>
      <c r="R26" s="5"/>
      <c r="T26" s="5"/>
      <c r="V26" s="5"/>
    </row>
    <row r="27" spans="1:22" x14ac:dyDescent="0.2">
      <c r="M27" s="31"/>
      <c r="R27" s="5"/>
      <c r="T27" s="5"/>
      <c r="V27" s="5"/>
    </row>
    <row r="28" spans="1:22" x14ac:dyDescent="0.2">
      <c r="M28" s="31"/>
      <c r="R28" s="5"/>
      <c r="T28" s="5"/>
      <c r="V28" s="5"/>
    </row>
    <row r="29" spans="1:22" x14ac:dyDescent="0.2">
      <c r="M29" s="31"/>
      <c r="R29" s="5"/>
      <c r="T29" s="5"/>
      <c r="V29" s="5"/>
    </row>
    <row r="30" spans="1:22" x14ac:dyDescent="0.2">
      <c r="M30" s="31"/>
      <c r="R30" s="5"/>
      <c r="T30" s="5"/>
      <c r="V30" s="5"/>
    </row>
    <row r="31" spans="1:22" x14ac:dyDescent="0.2">
      <c r="M31" s="31"/>
      <c r="R31" s="5"/>
      <c r="T31" s="5"/>
      <c r="V31" s="5"/>
    </row>
    <row r="32" spans="1:22" x14ac:dyDescent="0.2">
      <c r="M32" s="31"/>
      <c r="T32" s="5"/>
    </row>
    <row r="33" spans="13:13" x14ac:dyDescent="0.2">
      <c r="M33" s="31"/>
    </row>
    <row r="34" spans="13:13" x14ac:dyDescent="0.2">
      <c r="M34" s="31"/>
    </row>
    <row r="35" spans="13:13" x14ac:dyDescent="0.2">
      <c r="M35" s="31"/>
    </row>
  </sheetData>
  <phoneticPr fontId="36" type="noConversion"/>
  <pageMargins left="0.78740157499999996" right="0.78740157499999996" top="0.984251969" bottom="0.984251969" header="0.4921259845" footer="0.4921259845"/>
  <pageSetup paperSize="9" scale="11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C70B9-8914-434A-B390-A13A92F93FC5}">
  <dimension ref="B2:F9"/>
  <sheetViews>
    <sheetView workbookViewId="0"/>
  </sheetViews>
  <sheetFormatPr baseColWidth="10" defaultRowHeight="12.75" x14ac:dyDescent="0.2"/>
  <cols>
    <col min="2" max="2" width="13.28515625" bestFit="1" customWidth="1"/>
  </cols>
  <sheetData>
    <row r="2" spans="2:6" x14ac:dyDescent="0.2">
      <c r="C2" s="67" t="s">
        <v>50</v>
      </c>
    </row>
    <row r="4" spans="2:6" ht="15.75" x14ac:dyDescent="0.3">
      <c r="C4" s="19" t="s">
        <v>14</v>
      </c>
      <c r="D4" s="21" t="s">
        <v>33</v>
      </c>
      <c r="E4" s="21" t="s">
        <v>32</v>
      </c>
      <c r="F4" s="20" t="s">
        <v>16</v>
      </c>
    </row>
    <row r="5" spans="2:6" x14ac:dyDescent="0.2">
      <c r="C5" s="81" t="s">
        <v>49</v>
      </c>
      <c r="D5" s="81" t="s">
        <v>49</v>
      </c>
      <c r="E5" s="81" t="s">
        <v>49</v>
      </c>
      <c r="F5" s="81" t="s">
        <v>49</v>
      </c>
    </row>
    <row r="6" spans="2:6" x14ac:dyDescent="0.2">
      <c r="B6" s="67" t="s">
        <v>48</v>
      </c>
      <c r="C6" s="172">
        <v>2.9137767618135353E-4</v>
      </c>
      <c r="D6" s="121">
        <v>6.0200347617341754E-3</v>
      </c>
      <c r="E6" s="174">
        <v>1.0097560048987685E-4</v>
      </c>
      <c r="F6" s="122">
        <v>1.7595996867648131E-9</v>
      </c>
    </row>
    <row r="7" spans="2:6" x14ac:dyDescent="0.2">
      <c r="B7" s="67" t="s">
        <v>38</v>
      </c>
      <c r="C7" s="171">
        <v>3.0992658368212152E-5</v>
      </c>
      <c r="D7" s="123">
        <v>3.7148265318525543E-3</v>
      </c>
      <c r="E7" s="173">
        <v>7.8943043170504978E-5</v>
      </c>
      <c r="F7" s="124">
        <v>1.4584929335958178E-9</v>
      </c>
    </row>
    <row r="8" spans="2:6" x14ac:dyDescent="0.2">
      <c r="B8" s="67" t="s">
        <v>39</v>
      </c>
      <c r="C8" s="171">
        <v>2.8056095132831368E-5</v>
      </c>
      <c r="D8" s="123">
        <v>3.3273595575345331E-3</v>
      </c>
      <c r="E8" s="173">
        <v>1.48116804418567E-4</v>
      </c>
      <c r="F8" s="124">
        <v>1.6839657610814157E-9</v>
      </c>
    </row>
    <row r="9" spans="2:6" x14ac:dyDescent="0.2">
      <c r="B9" s="67" t="s">
        <v>40</v>
      </c>
      <c r="C9" s="175">
        <v>2.5205757288207159E-5</v>
      </c>
      <c r="D9" s="125">
        <v>4.1857836772307552E-3</v>
      </c>
      <c r="E9" s="176">
        <v>1.0635123513170213E-4</v>
      </c>
      <c r="F9" s="126">
        <v>1.9557165525356172E-9</v>
      </c>
    </row>
  </sheetData>
  <phoneticPr fontId="36" type="noConversion"/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F036D-B1B5-4D0B-AACD-A5CF82CBA3F2}">
  <dimension ref="A1:AK56"/>
  <sheetViews>
    <sheetView workbookViewId="0"/>
  </sheetViews>
  <sheetFormatPr baseColWidth="10" defaultRowHeight="12.75" x14ac:dyDescent="0.2"/>
  <cols>
    <col min="1" max="1" width="20.7109375" style="1" customWidth="1"/>
    <col min="2" max="2" width="10.7109375" style="1" customWidth="1"/>
    <col min="3" max="19" width="15.7109375" style="1" customWidth="1"/>
    <col min="20" max="20" width="15.85546875" style="1" customWidth="1"/>
    <col min="21" max="25" width="15.7109375" style="1" customWidth="1"/>
    <col min="26" max="26" width="11.42578125" style="1"/>
    <col min="27" max="27" width="13.5703125" style="1" bestFit="1" customWidth="1"/>
    <col min="28" max="35" width="11.42578125" style="1"/>
    <col min="36" max="37" width="15.7109375" style="1" customWidth="1"/>
    <col min="38" max="16384" width="11.42578125" style="1"/>
  </cols>
  <sheetData>
    <row r="1" spans="1:37" ht="25.9" customHeight="1" x14ac:dyDescent="0.2">
      <c r="A1" s="1" t="s">
        <v>2</v>
      </c>
      <c r="B1" s="2"/>
    </row>
    <row r="2" spans="1:37" ht="15" customHeight="1" x14ac:dyDescent="0.2">
      <c r="B2" s="2"/>
    </row>
    <row r="3" spans="1:37" ht="14.25" x14ac:dyDescent="0.2">
      <c r="C3" s="1" t="s">
        <v>3</v>
      </c>
      <c r="E3" s="3" t="s">
        <v>4</v>
      </c>
      <c r="F3" s="4">
        <v>28.976494664299999</v>
      </c>
      <c r="G3" s="5" t="s">
        <v>5</v>
      </c>
      <c r="I3" s="6" t="s">
        <v>6</v>
      </c>
      <c r="K3" s="4"/>
    </row>
    <row r="4" spans="1:37" ht="14.25" x14ac:dyDescent="0.2">
      <c r="B4" s="2"/>
      <c r="C4" s="1" t="s">
        <v>35</v>
      </c>
      <c r="D4" s="5"/>
      <c r="E4" s="3" t="s">
        <v>7</v>
      </c>
      <c r="F4" s="7">
        <v>29.973770136999999</v>
      </c>
      <c r="G4" s="5" t="s">
        <v>5</v>
      </c>
      <c r="K4" s="8"/>
    </row>
    <row r="5" spans="1:37" ht="14.25" x14ac:dyDescent="0.2">
      <c r="B5" s="2"/>
      <c r="C5" s="3"/>
      <c r="E5" s="3" t="s">
        <v>8</v>
      </c>
      <c r="F5" s="9">
        <v>27.9769265344</v>
      </c>
      <c r="G5" s="5" t="s">
        <v>5</v>
      </c>
      <c r="K5" s="4"/>
    </row>
    <row r="6" spans="1:37" x14ac:dyDescent="0.2">
      <c r="A6" s="2" t="s">
        <v>67</v>
      </c>
      <c r="C6" s="10" t="s">
        <v>34</v>
      </c>
      <c r="D6" s="11"/>
      <c r="E6" s="11"/>
      <c r="F6" s="11"/>
      <c r="G6" s="11"/>
      <c r="L6" s="9"/>
      <c r="W6" s="1" t="s">
        <v>56</v>
      </c>
      <c r="AC6" s="1" t="s">
        <v>62</v>
      </c>
    </row>
    <row r="7" spans="1:37" x14ac:dyDescent="0.2">
      <c r="A7" s="2"/>
      <c r="B7" s="13"/>
      <c r="C7" s="14"/>
      <c r="D7" s="12"/>
      <c r="E7" s="12"/>
      <c r="F7" s="12"/>
      <c r="G7" s="12"/>
      <c r="H7" s="12"/>
      <c r="I7" s="15"/>
      <c r="J7" s="12"/>
      <c r="K7" s="12"/>
      <c r="L7" s="12"/>
      <c r="M7" s="12"/>
      <c r="N7" s="16"/>
      <c r="O7" s="16"/>
      <c r="P7" s="12"/>
      <c r="Q7" s="12"/>
      <c r="R7" s="12"/>
      <c r="S7" s="12"/>
      <c r="T7" s="12"/>
      <c r="U7" s="12"/>
      <c r="V7" s="12"/>
    </row>
    <row r="8" spans="1:37" ht="15.75" x14ac:dyDescent="0.3">
      <c r="A8" s="17" t="s">
        <v>9</v>
      </c>
      <c r="B8" s="17" t="s">
        <v>10</v>
      </c>
      <c r="C8" s="18" t="s">
        <v>11</v>
      </c>
      <c r="D8" s="18" t="s">
        <v>12</v>
      </c>
      <c r="E8" s="18" t="s">
        <v>13</v>
      </c>
      <c r="F8" s="19" t="s">
        <v>14</v>
      </c>
      <c r="G8" s="20" t="s">
        <v>15</v>
      </c>
      <c r="H8" s="21" t="s">
        <v>30</v>
      </c>
      <c r="I8" s="19" t="s">
        <v>31</v>
      </c>
      <c r="J8" s="21" t="s">
        <v>33</v>
      </c>
      <c r="K8" s="21" t="s">
        <v>32</v>
      </c>
      <c r="L8" s="20" t="s">
        <v>16</v>
      </c>
      <c r="M8" s="22" t="s">
        <v>17</v>
      </c>
      <c r="N8" s="23" t="s">
        <v>18</v>
      </c>
      <c r="O8" s="17" t="s">
        <v>19</v>
      </c>
      <c r="P8" s="17" t="s">
        <v>20</v>
      </c>
      <c r="Q8" s="17" t="s">
        <v>21</v>
      </c>
      <c r="R8" s="17" t="s">
        <v>22</v>
      </c>
      <c r="S8" s="17" t="s">
        <v>23</v>
      </c>
      <c r="T8" s="17" t="s">
        <v>24</v>
      </c>
      <c r="U8" s="17" t="s">
        <v>25</v>
      </c>
      <c r="V8" s="17" t="s">
        <v>26</v>
      </c>
      <c r="W8" s="73" t="s">
        <v>45</v>
      </c>
      <c r="X8" s="74" t="s">
        <v>46</v>
      </c>
      <c r="Y8" s="75" t="s">
        <v>47</v>
      </c>
      <c r="AC8" s="118" t="s">
        <v>46</v>
      </c>
      <c r="AD8" s="118"/>
      <c r="AG8" s="170" t="s">
        <v>45</v>
      </c>
      <c r="AH8" s="118" t="s">
        <v>46</v>
      </c>
      <c r="AJ8" s="127"/>
      <c r="AK8" s="5"/>
    </row>
    <row r="9" spans="1:37" ht="13.5" customHeight="1" x14ac:dyDescent="0.2">
      <c r="A9" s="24"/>
      <c r="B9" s="24" t="s">
        <v>28</v>
      </c>
      <c r="C9" s="24" t="s">
        <v>1</v>
      </c>
      <c r="D9" s="24" t="s">
        <v>1</v>
      </c>
      <c r="E9" s="24" t="s">
        <v>1</v>
      </c>
      <c r="F9" s="24" t="s">
        <v>73</v>
      </c>
      <c r="G9" s="38">
        <v>1</v>
      </c>
      <c r="H9" s="24" t="s">
        <v>0</v>
      </c>
      <c r="I9" s="24" t="s">
        <v>0</v>
      </c>
      <c r="J9" s="24" t="s">
        <v>73</v>
      </c>
      <c r="K9" s="24" t="s">
        <v>73</v>
      </c>
      <c r="L9" s="38" t="s">
        <v>5</v>
      </c>
      <c r="M9" s="25" t="s">
        <v>5</v>
      </c>
      <c r="N9" s="5"/>
      <c r="O9" s="24" t="s">
        <v>29</v>
      </c>
      <c r="P9" s="24" t="s">
        <v>29</v>
      </c>
      <c r="Q9" s="24" t="s">
        <v>1</v>
      </c>
      <c r="R9" s="24" t="s">
        <v>1</v>
      </c>
      <c r="S9" s="24" t="s">
        <v>1</v>
      </c>
      <c r="T9" s="37"/>
      <c r="U9" s="24" t="s">
        <v>1</v>
      </c>
      <c r="V9" s="37"/>
      <c r="W9" s="76" t="s">
        <v>5</v>
      </c>
      <c r="X9" s="76" t="s">
        <v>5</v>
      </c>
      <c r="Y9" s="77"/>
      <c r="AC9" s="119" t="s">
        <v>5</v>
      </c>
      <c r="AD9" s="119"/>
      <c r="AG9" s="119" t="s">
        <v>5</v>
      </c>
      <c r="AH9" s="119" t="s">
        <v>5</v>
      </c>
      <c r="AJ9" s="11"/>
      <c r="AK9" s="5"/>
    </row>
    <row r="10" spans="1:37" ht="13.5" customHeight="1" x14ac:dyDescent="0.2">
      <c r="A10" s="22" t="s">
        <v>52</v>
      </c>
      <c r="B10" s="17">
        <v>1</v>
      </c>
      <c r="C10" s="46">
        <v>269.03946799281931</v>
      </c>
      <c r="D10" s="17">
        <v>1.5855225539945401</v>
      </c>
      <c r="E10" s="47">
        <v>0.66230180937464944</v>
      </c>
      <c r="F10" s="23">
        <v>0.69794961654911347</v>
      </c>
      <c r="G10" s="49">
        <f t="shared" ref="G10:G15" si="0">E10/F10</f>
        <v>0.94892495628736329</v>
      </c>
      <c r="H10" s="48">
        <v>6.383718000650565E-2</v>
      </c>
      <c r="I10" s="50">
        <v>6.5673067456897745E-6</v>
      </c>
      <c r="J10" s="23">
        <v>7.8667518481767302E-3</v>
      </c>
      <c r="K10" s="17">
        <v>4.1597751911133214</v>
      </c>
      <c r="L10" s="83">
        <f t="shared" ref="L10:L15" si="1">$F$5/(1+(I10/H10)*($F$5*(1+G10*J10)-$F$3-G10*J10*$F$4)/(D10*$F$5+$F$3+C10*$F$4)*((C10-G10*K10)/(G10*K10-G10*J10)))</f>
        <v>27.976950676963988</v>
      </c>
      <c r="M10" s="53">
        <v>5.54E-8</v>
      </c>
      <c r="N10" s="54">
        <f t="shared" ref="N10:N16" si="2">M10/L10</f>
        <v>1.980201510867871E-9</v>
      </c>
      <c r="O10" s="84">
        <f t="shared" ref="O10:O15" si="3">($F$3+C10*$F$4)/(D10*$F$5+$F$3+C10*$F$4)</f>
        <v>0.99454890854539768</v>
      </c>
      <c r="P10" s="23">
        <f t="shared" ref="P10:P15" si="4">O10*I10/H10*(($F$3+G10*J10*$F$4)/($F$3+C10*$F$4))*(C10-G10*K10)/(G10*K10-G10*J10)</f>
        <v>2.4838674730435124E-5</v>
      </c>
      <c r="Q10" s="47">
        <f t="shared" ref="Q10:Q15" si="5">((1-P10)/$F$5)/((1-P10)/$F$5+(1+G10*J10)*P10/($F$3+G10*J10*$F$4))</f>
        <v>0.99997602424937548</v>
      </c>
      <c r="R10" s="56">
        <v>5.5000000000000003E-8</v>
      </c>
      <c r="S10" s="57">
        <f t="shared" ref="S10:S15" si="6">(1-Q10)/(1+G10*J10)</f>
        <v>2.3798098836364499E-5</v>
      </c>
      <c r="T10" s="56">
        <v>5.4900000000000002E-8</v>
      </c>
      <c r="U10" s="58">
        <f t="shared" ref="U10:U15" si="7">G10*J10*S10</f>
        <v>1.7765178815189927E-7</v>
      </c>
      <c r="V10" s="59">
        <v>3.36E-9</v>
      </c>
      <c r="W10" s="35">
        <f t="shared" ref="W10:W15" si="8">L10-$L$36</f>
        <v>-2.2533939159075089E-9</v>
      </c>
      <c r="X10" s="31">
        <f t="shared" ref="X10:X15" si="9">2*SQRT(SUMSQ(M10,$M$36))</f>
        <v>1.9085449518765162E-7</v>
      </c>
      <c r="Y10" s="5">
        <f>ABS(W10/X10)</f>
        <v>1.1806868440232078E-2</v>
      </c>
      <c r="AA10" s="9"/>
      <c r="AC10" s="116">
        <f>2*SQRT(SUMSQ(R10,$M$44))</f>
        <v>3.4938109470704039E-7</v>
      </c>
      <c r="AG10" s="5">
        <f>W10/0.000001</f>
        <v>-2.2533939159075089E-3</v>
      </c>
      <c r="AH10" s="31">
        <f>AC10/0.000001</f>
        <v>0.34938109470704043</v>
      </c>
    </row>
    <row r="11" spans="1:37" ht="13.5" customHeight="1" x14ac:dyDescent="0.2">
      <c r="A11" s="22" t="s">
        <v>52</v>
      </c>
      <c r="B11" s="24">
        <v>2</v>
      </c>
      <c r="C11" s="26">
        <v>269.03946799281931</v>
      </c>
      <c r="D11" s="24">
        <v>1.5855225539945401</v>
      </c>
      <c r="E11" s="27">
        <v>0.66230180937464944</v>
      </c>
      <c r="F11" s="36">
        <v>0.69447571960874788</v>
      </c>
      <c r="G11" s="28">
        <f t="shared" si="0"/>
        <v>0.9536716557171725</v>
      </c>
      <c r="H11" s="36">
        <v>6.383718000650565E-2</v>
      </c>
      <c r="I11" s="29">
        <v>6.5673067456897745E-6</v>
      </c>
      <c r="J11" s="24">
        <v>7.9896446618725157E-3</v>
      </c>
      <c r="K11" s="5">
        <v>4.1750053269927418</v>
      </c>
      <c r="L11" s="30">
        <f t="shared" si="1"/>
        <v>27.976950473893364</v>
      </c>
      <c r="M11" s="34">
        <v>1.3199999999999999E-7</v>
      </c>
      <c r="N11" s="41">
        <f t="shared" si="2"/>
        <v>4.7181696991305587E-9</v>
      </c>
      <c r="O11" s="65">
        <f t="shared" si="3"/>
        <v>0.99454890854539768</v>
      </c>
      <c r="P11" s="5">
        <f t="shared" si="4"/>
        <v>2.4626165170527244E-5</v>
      </c>
      <c r="Q11" s="27">
        <f t="shared" si="5"/>
        <v>0.99997622950079401</v>
      </c>
      <c r="R11" s="42">
        <v>1.31E-7</v>
      </c>
      <c r="S11" s="43">
        <f t="shared" si="6"/>
        <v>2.3590749545189709E-5</v>
      </c>
      <c r="T11" s="42">
        <v>1.3E-7</v>
      </c>
      <c r="U11" s="32">
        <f t="shared" si="7"/>
        <v>1.7974966079868522E-7</v>
      </c>
      <c r="V11" s="112">
        <v>9.53E-9</v>
      </c>
      <c r="W11" s="35">
        <f t="shared" si="8"/>
        <v>-2.053240173438553E-7</v>
      </c>
      <c r="X11" s="31">
        <f t="shared" si="9"/>
        <v>3.0634098376373562E-7</v>
      </c>
      <c r="Y11" s="5">
        <f t="shared" ref="Y11:Y34" si="10">ABS(W11/X11)</f>
        <v>0.67024664744894435</v>
      </c>
      <c r="AA11" s="9"/>
      <c r="AC11" s="116">
        <f t="shared" ref="AC11:AC34" si="11">2*SQRT(SUMSQ(R11,$M$44))</f>
        <v>4.2262412299665283E-7</v>
      </c>
      <c r="AG11" s="5">
        <f t="shared" ref="AG11:AG34" si="12">W11/0.000001</f>
        <v>-0.2053240173438553</v>
      </c>
      <c r="AH11" s="31">
        <f t="shared" ref="AH11:AH34" si="13">AC11/0.000001</f>
        <v>0.42262412299665286</v>
      </c>
    </row>
    <row r="12" spans="1:37" ht="13.5" customHeight="1" x14ac:dyDescent="0.2">
      <c r="A12" s="22" t="s">
        <v>52</v>
      </c>
      <c r="B12" s="24">
        <v>3</v>
      </c>
      <c r="C12" s="26">
        <v>269.03946799281931</v>
      </c>
      <c r="D12" s="24">
        <v>1.5855225539945401</v>
      </c>
      <c r="E12" s="27">
        <v>0.66230180937464944</v>
      </c>
      <c r="F12" s="5">
        <v>0.70118641555470385</v>
      </c>
      <c r="G12" s="28">
        <f t="shared" si="0"/>
        <v>0.94454455289283801</v>
      </c>
      <c r="H12" s="36">
        <v>6.383718000650565E-2</v>
      </c>
      <c r="I12" s="29">
        <v>6.5673067456897745E-6</v>
      </c>
      <c r="J12" s="5">
        <v>6.094628801047405E-3</v>
      </c>
      <c r="K12" s="24">
        <v>4.2014646735243062</v>
      </c>
      <c r="L12" s="30">
        <f t="shared" si="1"/>
        <v>27.976950455042619</v>
      </c>
      <c r="M12" s="34">
        <v>5.8500000000000001E-8</v>
      </c>
      <c r="N12" s="41">
        <f t="shared" si="2"/>
        <v>2.0910070271599544E-9</v>
      </c>
      <c r="O12" s="65">
        <f t="shared" si="3"/>
        <v>0.99454890854539768</v>
      </c>
      <c r="P12" s="5">
        <f t="shared" si="4"/>
        <v>2.4650086282421928E-5</v>
      </c>
      <c r="Q12" s="27">
        <f t="shared" si="5"/>
        <v>0.99997620490588202</v>
      </c>
      <c r="R12" s="42">
        <v>5.3500000000000003E-8</v>
      </c>
      <c r="S12" s="43">
        <f t="shared" si="6"/>
        <v>2.3658898158901964E-5</v>
      </c>
      <c r="T12" s="42">
        <v>5.1100000000000001E-8</v>
      </c>
      <c r="U12" s="32">
        <f t="shared" si="7"/>
        <v>1.361959590823443E-7</v>
      </c>
      <c r="V12" s="112">
        <v>1.27E-8</v>
      </c>
      <c r="W12" s="35">
        <f t="shared" si="8"/>
        <v>-2.2417476230884859E-7</v>
      </c>
      <c r="X12" s="31">
        <f t="shared" si="9"/>
        <v>1.9451940348801539E-7</v>
      </c>
      <c r="Y12" s="5">
        <f t="shared" si="10"/>
        <v>1.1524545021682646</v>
      </c>
      <c r="AA12" s="9"/>
      <c r="AC12" s="116">
        <f t="shared" si="11"/>
        <v>3.4844820180148715E-7</v>
      </c>
      <c r="AG12" s="5">
        <f t="shared" si="12"/>
        <v>-0.22417476230884859</v>
      </c>
      <c r="AH12" s="31">
        <f t="shared" si="13"/>
        <v>0.34844820180148717</v>
      </c>
    </row>
    <row r="13" spans="1:37" ht="13.5" customHeight="1" x14ac:dyDescent="0.2">
      <c r="A13" s="22" t="s">
        <v>52</v>
      </c>
      <c r="B13" s="24">
        <v>4</v>
      </c>
      <c r="C13" s="26">
        <v>269.03946799281931</v>
      </c>
      <c r="D13" s="24">
        <v>1.5855225539945401</v>
      </c>
      <c r="E13" s="27">
        <v>0.66230180937464944</v>
      </c>
      <c r="F13" s="5">
        <v>0.70110880123849739</v>
      </c>
      <c r="G13" s="28">
        <f t="shared" si="0"/>
        <v>0.94464911609254365</v>
      </c>
      <c r="H13" s="36">
        <v>6.383718000650565E-2</v>
      </c>
      <c r="I13" s="29">
        <v>6.5673067456897745E-6</v>
      </c>
      <c r="J13" s="5">
        <v>6.2886611399499701E-3</v>
      </c>
      <c r="K13" s="24">
        <v>4.2196998132323751</v>
      </c>
      <c r="L13" s="30">
        <f t="shared" si="1"/>
        <v>27.976950357045521</v>
      </c>
      <c r="M13" s="34">
        <v>5.0699999999999997E-8</v>
      </c>
      <c r="N13" s="41">
        <f t="shared" si="2"/>
        <v>1.8122060965530527E-9</v>
      </c>
      <c r="O13" s="65">
        <f t="shared" si="3"/>
        <v>0.99454890854539768</v>
      </c>
      <c r="P13" s="5">
        <f t="shared" si="4"/>
        <v>2.4544827822740872E-5</v>
      </c>
      <c r="Q13" s="27">
        <f t="shared" si="5"/>
        <v>0.99997630666173487</v>
      </c>
      <c r="R13" s="42">
        <v>4.9899999999999997E-8</v>
      </c>
      <c r="S13" s="43">
        <f t="shared" si="6"/>
        <v>2.3553417347797685E-5</v>
      </c>
      <c r="T13" s="42">
        <v>4.9600000000000001E-8</v>
      </c>
      <c r="U13" s="32">
        <f t="shared" si="7"/>
        <v>1.3992091733174095E-7</v>
      </c>
      <c r="V13" s="112">
        <v>4.6200000000000002E-9</v>
      </c>
      <c r="W13" s="35">
        <f t="shared" si="8"/>
        <v>-3.2217186074490201E-7</v>
      </c>
      <c r="X13" s="31">
        <f t="shared" si="9"/>
        <v>1.8555527029252854E-7</v>
      </c>
      <c r="Y13" s="5">
        <f t="shared" si="10"/>
        <v>1.7362582061775822</v>
      </c>
      <c r="AA13" s="9"/>
      <c r="AC13" s="116">
        <f t="shared" si="11"/>
        <v>3.4630505243020918E-7</v>
      </c>
      <c r="AG13" s="5">
        <f t="shared" si="12"/>
        <v>-0.32217186074490201</v>
      </c>
      <c r="AH13" s="31">
        <f t="shared" si="13"/>
        <v>0.3463050524302092</v>
      </c>
    </row>
    <row r="14" spans="1:37" ht="13.5" customHeight="1" x14ac:dyDescent="0.2">
      <c r="A14" s="22" t="s">
        <v>52</v>
      </c>
      <c r="B14" s="24">
        <v>5</v>
      </c>
      <c r="C14" s="26">
        <v>269.03946799281931</v>
      </c>
      <c r="D14" s="24">
        <v>1.5855225539945401</v>
      </c>
      <c r="E14" s="27">
        <v>0.66230180937464944</v>
      </c>
      <c r="F14" s="5">
        <v>0.69691479485968688</v>
      </c>
      <c r="G14" s="28">
        <f t="shared" si="0"/>
        <v>0.95033397806972053</v>
      </c>
      <c r="H14" s="36">
        <v>6.383718000650565E-2</v>
      </c>
      <c r="I14" s="29">
        <v>6.5673067456897745E-6</v>
      </c>
      <c r="J14" s="5">
        <v>7.0385576859943793E-3</v>
      </c>
      <c r="K14" s="24">
        <v>4.1523853634782775</v>
      </c>
      <c r="L14" s="30">
        <f t="shared" si="1"/>
        <v>27.976950642553927</v>
      </c>
      <c r="M14" s="34">
        <v>7.1200000000000002E-8</v>
      </c>
      <c r="N14" s="41">
        <f t="shared" si="2"/>
        <v>2.544952125400768E-9</v>
      </c>
      <c r="O14" s="65">
        <f t="shared" si="3"/>
        <v>0.99454890854539768</v>
      </c>
      <c r="P14" s="5">
        <f t="shared" si="4"/>
        <v>2.4821428075837912E-5</v>
      </c>
      <c r="Q14" s="27">
        <f t="shared" si="5"/>
        <v>0.99997604026613129</v>
      </c>
      <c r="R14" s="42">
        <v>7.0900000000000006E-8</v>
      </c>
      <c r="S14" s="43">
        <f t="shared" si="6"/>
        <v>2.3800532569847149E-5</v>
      </c>
      <c r="T14" s="42">
        <v>7.0799999999999999E-8</v>
      </c>
      <c r="U14" s="32">
        <f t="shared" si="7"/>
        <v>1.5920129885871715E-7</v>
      </c>
      <c r="V14" s="112">
        <v>3.0300000000000001E-9</v>
      </c>
      <c r="W14" s="35">
        <f t="shared" si="8"/>
        <v>-3.6663454494600956E-8</v>
      </c>
      <c r="X14" s="31">
        <f t="shared" si="9"/>
        <v>2.107760857719237E-7</v>
      </c>
      <c r="Y14" s="5">
        <f t="shared" si="10"/>
        <v>0.17394503916480211</v>
      </c>
      <c r="AA14" s="9"/>
      <c r="AC14" s="116">
        <f t="shared" si="11"/>
        <v>3.6065827224491876E-7</v>
      </c>
      <c r="AG14" s="5">
        <f t="shared" si="12"/>
        <v>-3.6663454494600956E-2</v>
      </c>
      <c r="AH14" s="31">
        <f t="shared" si="13"/>
        <v>0.36065827224491875</v>
      </c>
    </row>
    <row r="15" spans="1:37" ht="13.5" customHeight="1" x14ac:dyDescent="0.2">
      <c r="A15" s="22" t="s">
        <v>52</v>
      </c>
      <c r="B15" s="24">
        <v>6</v>
      </c>
      <c r="C15" s="26">
        <v>269.03946799281931</v>
      </c>
      <c r="D15" s="24">
        <v>1.5855225539945401</v>
      </c>
      <c r="E15" s="27">
        <v>0.66230180937464944</v>
      </c>
      <c r="F15" s="5">
        <v>0.698271693778729</v>
      </c>
      <c r="G15" s="28">
        <f t="shared" si="0"/>
        <v>0.94848726545189466</v>
      </c>
      <c r="H15" s="36">
        <v>6.383718000650565E-2</v>
      </c>
      <c r="I15" s="29">
        <v>6.5673067456897745E-6</v>
      </c>
      <c r="J15" s="5">
        <v>6.4378179786663669E-3</v>
      </c>
      <c r="K15" s="24">
        <v>4.1781748410963822</v>
      </c>
      <c r="L15" s="30">
        <f t="shared" si="1"/>
        <v>27.976950507593749</v>
      </c>
      <c r="M15" s="34">
        <v>5.2399999999999999E-8</v>
      </c>
      <c r="N15" s="41">
        <f t="shared" si="2"/>
        <v>1.8729703934593275E-9</v>
      </c>
      <c r="O15" s="65">
        <f t="shared" si="3"/>
        <v>0.99454890854539768</v>
      </c>
      <c r="P15" s="5">
        <f t="shared" si="4"/>
        <v>2.4696070645912133E-5</v>
      </c>
      <c r="Q15" s="27">
        <f t="shared" si="5"/>
        <v>0.99997616079980678</v>
      </c>
      <c r="R15" s="42">
        <v>5.1399999999999997E-8</v>
      </c>
      <c r="S15" s="43">
        <f t="shared" si="6"/>
        <v>2.3694517009026073E-5</v>
      </c>
      <c r="T15" s="42">
        <v>5.0899999999999999E-8</v>
      </c>
      <c r="U15" s="32">
        <f t="shared" si="7"/>
        <v>1.446831841947585E-7</v>
      </c>
      <c r="V15" s="112">
        <v>5.4899999999999999E-9</v>
      </c>
      <c r="W15" s="35">
        <f t="shared" si="8"/>
        <v>-1.7162363263878433E-7</v>
      </c>
      <c r="X15" s="31">
        <f t="shared" si="9"/>
        <v>1.8743489091770864E-7</v>
      </c>
      <c r="Y15" s="5">
        <f t="shared" si="10"/>
        <v>0.91564399668860963</v>
      </c>
      <c r="AA15" s="9"/>
      <c r="AC15" s="116">
        <f t="shared" si="11"/>
        <v>3.4718149337009588E-7</v>
      </c>
      <c r="AG15" s="5">
        <f t="shared" si="12"/>
        <v>-0.17162363263878433</v>
      </c>
      <c r="AH15" s="31">
        <f t="shared" si="13"/>
        <v>0.34718149337009591</v>
      </c>
    </row>
    <row r="16" spans="1:37" ht="13.5" customHeight="1" x14ac:dyDescent="0.2">
      <c r="A16" s="88" t="s">
        <v>52</v>
      </c>
      <c r="B16" s="96"/>
      <c r="C16" s="96"/>
      <c r="D16" s="96"/>
      <c r="E16" s="91" t="s">
        <v>36</v>
      </c>
      <c r="F16" s="89">
        <f>AVERAGE(F10:F15)</f>
        <v>0.69831784026491306</v>
      </c>
      <c r="G16" s="89"/>
      <c r="H16" s="93"/>
      <c r="I16" s="93"/>
      <c r="J16" s="89">
        <f>AVERAGE(J10:J15)</f>
        <v>6.9526770192845618E-3</v>
      </c>
      <c r="K16" s="89">
        <f>AVERAGE(K10:K15)</f>
        <v>4.1810842015729008</v>
      </c>
      <c r="L16" s="93">
        <f>AVERAGE(L10:L15)</f>
        <v>27.976950518848863</v>
      </c>
      <c r="M16" s="97">
        <f>SQRT(SUMSQ(M10:M15)/COUNT(M10:M15))</f>
        <v>7.5609853855168907E-8</v>
      </c>
      <c r="N16" s="98">
        <f t="shared" si="2"/>
        <v>2.7025766730447768E-9</v>
      </c>
      <c r="O16" s="99"/>
      <c r="P16" s="99"/>
      <c r="Q16" s="93">
        <f>AVERAGE(Q10:Q15)</f>
        <v>0.99997616106395404</v>
      </c>
      <c r="R16" s="98">
        <f>SQRT(SUMSQ(R10:R15)/COUNT(R10:R15))</f>
        <v>7.4394253810358236E-8</v>
      </c>
      <c r="S16" s="100">
        <f>AVERAGE(S10:S15)</f>
        <v>2.3682702244521178E-5</v>
      </c>
      <c r="T16" s="98">
        <f>SQRT(SUMSQ(T10:T15)/COUNT(T10:T15))</f>
        <v>7.3698518754902168E-8</v>
      </c>
      <c r="U16" s="101">
        <f>AVERAGE(U10:U15)</f>
        <v>1.5623380140302422E-7</v>
      </c>
      <c r="V16" s="114">
        <f>SQRT(SUMSQ(V10:V15)/COUNT(V10:V15))</f>
        <v>7.3492165115291943E-9</v>
      </c>
      <c r="W16" s="35"/>
      <c r="X16" s="31"/>
      <c r="Y16" s="5"/>
      <c r="AC16" s="116"/>
      <c r="AG16" s="5"/>
      <c r="AH16" s="31"/>
    </row>
    <row r="17" spans="1:37" ht="13.5" customHeight="1" x14ac:dyDescent="0.2">
      <c r="A17" s="22" t="s">
        <v>51</v>
      </c>
      <c r="B17" s="17">
        <v>1</v>
      </c>
      <c r="C17" s="46">
        <v>269.03946799281931</v>
      </c>
      <c r="D17" s="17">
        <v>1.5855225539945401</v>
      </c>
      <c r="E17" s="47">
        <v>0.66230180937464944</v>
      </c>
      <c r="F17" s="48">
        <v>0.69802567283806638</v>
      </c>
      <c r="G17" s="49">
        <f t="shared" ref="G17:G22" si="14">E17/F17</f>
        <v>0.94882156222396641</v>
      </c>
      <c r="H17" s="47">
        <v>6.383718000650565E-2</v>
      </c>
      <c r="I17" s="50">
        <v>6.5673067456897745E-6</v>
      </c>
      <c r="J17" s="51">
        <v>9.2618223474286009E-3</v>
      </c>
      <c r="K17" s="47">
        <v>4.1497433748021724</v>
      </c>
      <c r="L17" s="52">
        <f t="shared" ref="L17:L22" si="15">$F$5/(1+(I17/H17)*($F$5*(1+G17*J17)-$F$3-G17*J17*$F$4)/(D17*$F$5+$F$3+C17*$F$4)*((C17-G17*K17)/(G17*K17-G17*J17)))</f>
        <v>27.976950810185844</v>
      </c>
      <c r="M17" s="53">
        <v>5.17E-8</v>
      </c>
      <c r="N17" s="54">
        <f t="shared" ref="N17:N23" si="16">M17/L17</f>
        <v>1.8479497766131494E-9</v>
      </c>
      <c r="O17" s="55">
        <f t="shared" ref="O17:O22" si="17">($F$3+C17*$F$4)/(D17*$F$5+$F$3+C17*$F$4)</f>
        <v>0.99454890854539768</v>
      </c>
      <c r="P17" s="23">
        <f t="shared" ref="P17:P22" si="18">O17*I17/H17*(($F$3+G17*J17*$F$4)/($F$3+C17*$F$4))*(C17-G17*K17)/(G17*K17-G17*J17)</f>
        <v>2.4944699954891567E-5</v>
      </c>
      <c r="Q17" s="47">
        <f t="shared" ref="Q17:Q22" si="19">((1-P17)/$F$5)/((1-P17)/$F$5+(1+G17*J17)*P17/($F$3+G17*J17*$F$4))</f>
        <v>0.9999759229857883</v>
      </c>
      <c r="R17" s="56">
        <v>5.1399999999999997E-8</v>
      </c>
      <c r="S17" s="57">
        <f t="shared" ref="S17:S22" si="20">(1-Q17)/(1+G17*J17)</f>
        <v>2.3867272990367396E-5</v>
      </c>
      <c r="T17" s="56">
        <v>5.1200000000000002E-8</v>
      </c>
      <c r="U17" s="58">
        <f t="shared" ref="U17:U22" si="21">G17*J17*S17</f>
        <v>2.0974122133121519E-7</v>
      </c>
      <c r="V17" s="59">
        <v>3.0100000000000002E-9</v>
      </c>
      <c r="W17" s="35">
        <f t="shared" ref="W17:W22" si="22">L17-$L$36</f>
        <v>1.3096846274152085E-7</v>
      </c>
      <c r="X17" s="31">
        <f t="shared" ref="X17:X22" si="23">2*SQRT(SUMSQ(M17,$M$36))</f>
        <v>1.8665572140530097E-7</v>
      </c>
      <c r="Y17" s="5">
        <f t="shared" si="10"/>
        <v>0.70165790662874039</v>
      </c>
      <c r="AC17" s="116">
        <f t="shared" si="11"/>
        <v>3.4718149337009588E-7</v>
      </c>
      <c r="AG17" s="5">
        <f t="shared" si="12"/>
        <v>0.13096846274152085</v>
      </c>
      <c r="AH17" s="31">
        <f t="shared" si="13"/>
        <v>0.34718149337009591</v>
      </c>
      <c r="AJ17" s="5"/>
      <c r="AK17" s="34"/>
    </row>
    <row r="18" spans="1:37" ht="13.5" customHeight="1" x14ac:dyDescent="0.2">
      <c r="A18" s="22" t="s">
        <v>51</v>
      </c>
      <c r="B18" s="24">
        <v>2</v>
      </c>
      <c r="C18" s="26">
        <v>269.03946799281931</v>
      </c>
      <c r="D18" s="24">
        <v>1.5855225539945401</v>
      </c>
      <c r="E18" s="27">
        <v>0.66230180937464944</v>
      </c>
      <c r="F18" s="36">
        <v>0.70114308239987067</v>
      </c>
      <c r="G18" s="28">
        <f t="shared" si="14"/>
        <v>0.94460292913070554</v>
      </c>
      <c r="H18" s="27">
        <v>6.383718000650565E-2</v>
      </c>
      <c r="I18" s="29">
        <v>6.5673067456897745E-6</v>
      </c>
      <c r="J18" s="35">
        <v>8.3673405881365456E-3</v>
      </c>
      <c r="K18" s="27">
        <v>4.176407049364343</v>
      </c>
      <c r="L18" s="30">
        <f t="shared" si="15"/>
        <v>27.976950714639646</v>
      </c>
      <c r="M18" s="40">
        <v>5.3699999999999998E-8</v>
      </c>
      <c r="N18" s="41">
        <f t="shared" si="16"/>
        <v>1.9194372019928577E-9</v>
      </c>
      <c r="O18" s="33">
        <f t="shared" si="17"/>
        <v>0.99454890854539768</v>
      </c>
      <c r="P18" s="5">
        <f t="shared" si="18"/>
        <v>2.4867162629118178E-5</v>
      </c>
      <c r="Q18" s="27">
        <f t="shared" si="19"/>
        <v>0.99997599710808771</v>
      </c>
      <c r="R18" s="42">
        <v>5.1200000000000002E-8</v>
      </c>
      <c r="S18" s="43">
        <f t="shared" si="20"/>
        <v>2.381466521772933E-5</v>
      </c>
      <c r="T18" s="42">
        <v>4.9999999999999998E-8</v>
      </c>
      <c r="U18" s="32">
        <f t="shared" si="21"/>
        <v>1.8822669455988236E-7</v>
      </c>
      <c r="V18" s="112">
        <v>8.7399999999999992E-9</v>
      </c>
      <c r="W18" s="35">
        <f t="shared" si="22"/>
        <v>3.5422264232920497E-8</v>
      </c>
      <c r="X18" s="31">
        <f t="shared" si="23"/>
        <v>1.8890092200233785E-7</v>
      </c>
      <c r="Y18" s="5">
        <f t="shared" si="10"/>
        <v>0.18751768841277602</v>
      </c>
      <c r="AC18" s="116">
        <f t="shared" si="11"/>
        <v>3.4706326417339238E-7</v>
      </c>
      <c r="AG18" s="5">
        <f t="shared" si="12"/>
        <v>3.5422264232920497E-2</v>
      </c>
      <c r="AH18" s="31">
        <f t="shared" si="13"/>
        <v>0.34706326417339239</v>
      </c>
      <c r="AJ18" s="5"/>
      <c r="AK18" s="34"/>
    </row>
    <row r="19" spans="1:37" ht="13.5" customHeight="1" x14ac:dyDescent="0.2">
      <c r="A19" s="22" t="s">
        <v>51</v>
      </c>
      <c r="B19" s="24">
        <v>3</v>
      </c>
      <c r="C19" s="26">
        <v>269.03946799281931</v>
      </c>
      <c r="D19" s="24">
        <v>1.5855225539945401</v>
      </c>
      <c r="E19" s="27">
        <v>0.66230180937464944</v>
      </c>
      <c r="F19" s="5">
        <v>0.70148227234605498</v>
      </c>
      <c r="G19" s="28">
        <f t="shared" si="14"/>
        <v>0.94414618228288305</v>
      </c>
      <c r="H19" s="27">
        <v>6.383718000650565E-2</v>
      </c>
      <c r="I19" s="29">
        <v>6.5673067456897745E-6</v>
      </c>
      <c r="J19" s="35">
        <v>8.8422524096165092E-3</v>
      </c>
      <c r="K19" s="24">
        <v>4.1715229781641554</v>
      </c>
      <c r="L19" s="30">
        <f t="shared" si="15"/>
        <v>27.976950779256232</v>
      </c>
      <c r="M19" s="40">
        <v>5.6500000000000003E-8</v>
      </c>
      <c r="N19" s="41">
        <f t="shared" si="16"/>
        <v>2.0195195840245909E-9</v>
      </c>
      <c r="O19" s="33">
        <f t="shared" si="17"/>
        <v>0.99454890854539768</v>
      </c>
      <c r="P19" s="5">
        <f t="shared" si="18"/>
        <v>2.4923197461268262E-5</v>
      </c>
      <c r="Q19" s="27">
        <f t="shared" si="19"/>
        <v>0.99997594338278806</v>
      </c>
      <c r="R19" s="42">
        <v>5.5099999999999997E-8</v>
      </c>
      <c r="S19" s="43">
        <f t="shared" si="20"/>
        <v>2.3857446212440843E-5</v>
      </c>
      <c r="T19" s="42">
        <v>5.4499999999999998E-8</v>
      </c>
      <c r="U19" s="32">
        <f t="shared" si="21"/>
        <v>1.991709995019004E-7</v>
      </c>
      <c r="V19" s="112">
        <v>6.3099999999999999E-9</v>
      </c>
      <c r="W19" s="35">
        <f t="shared" si="22"/>
        <v>1.0003885009268743E-7</v>
      </c>
      <c r="X19" s="31">
        <f t="shared" si="23"/>
        <v>1.9214004874916977E-7</v>
      </c>
      <c r="Y19" s="5">
        <f t="shared" si="10"/>
        <v>0.52065590044313803</v>
      </c>
      <c r="AC19" s="116">
        <f t="shared" si="11"/>
        <v>3.4944411475755305E-7</v>
      </c>
      <c r="AG19" s="5">
        <f t="shared" si="12"/>
        <v>0.10003885009268743</v>
      </c>
      <c r="AH19" s="31">
        <f t="shared" si="13"/>
        <v>0.34944411475755305</v>
      </c>
      <c r="AJ19" s="5"/>
      <c r="AK19" s="34"/>
    </row>
    <row r="20" spans="1:37" ht="13.5" customHeight="1" x14ac:dyDescent="0.2">
      <c r="A20" s="22" t="s">
        <v>51</v>
      </c>
      <c r="B20" s="24">
        <v>4</v>
      </c>
      <c r="C20" s="26">
        <v>269.03946799281931</v>
      </c>
      <c r="D20" s="24">
        <v>1.5855225539945401</v>
      </c>
      <c r="E20" s="27">
        <v>0.66230180937464944</v>
      </c>
      <c r="F20" s="5">
        <v>0.70406947365433392</v>
      </c>
      <c r="G20" s="28">
        <f t="shared" si="14"/>
        <v>0.94067678568295587</v>
      </c>
      <c r="H20" s="27">
        <v>6.383718000650565E-2</v>
      </c>
      <c r="I20" s="29">
        <v>6.5673067456897745E-6</v>
      </c>
      <c r="J20" s="35">
        <v>8.0448545445877158E-3</v>
      </c>
      <c r="K20" s="24">
        <v>4.1972792624771698</v>
      </c>
      <c r="L20" s="30">
        <f t="shared" si="15"/>
        <v>27.976950676447132</v>
      </c>
      <c r="M20" s="40">
        <v>5.1200000000000002E-8</v>
      </c>
      <c r="N20" s="41">
        <f t="shared" si="16"/>
        <v>1.83007793065538E-9</v>
      </c>
      <c r="O20" s="33">
        <f t="shared" si="17"/>
        <v>0.99454890854539768</v>
      </c>
      <c r="P20" s="5">
        <f t="shared" si="18"/>
        <v>2.4835742034681637E-5</v>
      </c>
      <c r="Q20" s="27">
        <f t="shared" si="19"/>
        <v>0.9999760271635999</v>
      </c>
      <c r="R20" s="42">
        <v>5.0400000000000001E-8</v>
      </c>
      <c r="S20" s="43">
        <f t="shared" si="20"/>
        <v>2.3792781955072886E-5</v>
      </c>
      <c r="T20" s="42">
        <v>4.9999999999999998E-8</v>
      </c>
      <c r="U20" s="32">
        <f t="shared" si="21"/>
        <v>1.8005444502617854E-7</v>
      </c>
      <c r="V20" s="112">
        <v>4.9900000000000003E-9</v>
      </c>
      <c r="W20" s="35">
        <f t="shared" si="22"/>
        <v>-2.7702498073267634E-9</v>
      </c>
      <c r="X20" s="31">
        <f t="shared" si="23"/>
        <v>1.8610362256907664E-7</v>
      </c>
      <c r="Y20" s="5">
        <f t="shared" si="10"/>
        <v>1.4885523285816328E-2</v>
      </c>
      <c r="AC20" s="116">
        <f t="shared" si="11"/>
        <v>3.465945604574456E-7</v>
      </c>
      <c r="AG20" s="5">
        <f t="shared" si="12"/>
        <v>-2.7702498073267634E-3</v>
      </c>
      <c r="AH20" s="31">
        <f t="shared" si="13"/>
        <v>0.34659456045744563</v>
      </c>
      <c r="AJ20" s="5"/>
      <c r="AK20" s="34"/>
    </row>
    <row r="21" spans="1:37" ht="13.5" customHeight="1" x14ac:dyDescent="0.2">
      <c r="A21" s="22" t="s">
        <v>51</v>
      </c>
      <c r="B21" s="24">
        <v>5</v>
      </c>
      <c r="C21" s="26">
        <v>269.03946799281931</v>
      </c>
      <c r="D21" s="24">
        <v>1.5855225539945401</v>
      </c>
      <c r="E21" s="27">
        <v>0.66230180937464944</v>
      </c>
      <c r="F21" s="5">
        <v>0.70578141113498738</v>
      </c>
      <c r="G21" s="28">
        <f t="shared" si="14"/>
        <v>0.93839508794880677</v>
      </c>
      <c r="H21" s="27">
        <v>6.383718000650565E-2</v>
      </c>
      <c r="I21" s="29">
        <v>6.5673067456897745E-6</v>
      </c>
      <c r="J21" s="35">
        <v>8.4433517013132314E-3</v>
      </c>
      <c r="K21" s="24">
        <v>4.204727488782388</v>
      </c>
      <c r="L21" s="30">
        <f t="shared" si="15"/>
        <v>27.976950711634149</v>
      </c>
      <c r="M21" s="40">
        <v>6.1000000000000004E-8</v>
      </c>
      <c r="N21" s="42">
        <f t="shared" si="16"/>
        <v>2.180366281827608E-9</v>
      </c>
      <c r="O21" s="33">
        <f t="shared" si="17"/>
        <v>0.99454890854539768</v>
      </c>
      <c r="P21" s="5">
        <f t="shared" si="18"/>
        <v>2.4863618391280219E-5</v>
      </c>
      <c r="Q21" s="27">
        <f t="shared" si="19"/>
        <v>0.99997600054490365</v>
      </c>
      <c r="R21" s="42">
        <v>5.39E-8</v>
      </c>
      <c r="S21" s="43">
        <f t="shared" si="20"/>
        <v>2.3810797392108073E-5</v>
      </c>
      <c r="T21" s="42">
        <v>5.0500000000000002E-8</v>
      </c>
      <c r="U21" s="32">
        <f t="shared" si="21"/>
        <v>1.8865770423819411E-7</v>
      </c>
      <c r="V21" s="112">
        <v>1.52E-8</v>
      </c>
      <c r="W21" s="35">
        <f t="shared" si="22"/>
        <v>3.241676793663828E-8</v>
      </c>
      <c r="X21" s="31">
        <f t="shared" si="23"/>
        <v>1.9756719953811497E-7</v>
      </c>
      <c r="Y21" s="5">
        <f t="shared" si="10"/>
        <v>0.16407970560105239</v>
      </c>
      <c r="AC21" s="116">
        <f t="shared" si="11"/>
        <v>3.4869469359124166E-7</v>
      </c>
      <c r="AG21" s="5">
        <f t="shared" si="12"/>
        <v>3.241676793663828E-2</v>
      </c>
      <c r="AH21" s="31">
        <f t="shared" si="13"/>
        <v>0.34869469359124167</v>
      </c>
      <c r="AJ21" s="5"/>
      <c r="AK21" s="34"/>
    </row>
    <row r="22" spans="1:37" ht="13.5" customHeight="1" x14ac:dyDescent="0.2">
      <c r="A22" s="22" t="s">
        <v>51</v>
      </c>
      <c r="B22" s="81">
        <v>6</v>
      </c>
      <c r="C22" s="102">
        <v>269.03946799281931</v>
      </c>
      <c r="D22" s="81">
        <v>1.5855225539945401</v>
      </c>
      <c r="E22" s="103">
        <v>0.66230180937464944</v>
      </c>
      <c r="F22" s="16">
        <v>0.70310002138541572</v>
      </c>
      <c r="G22" s="104">
        <f t="shared" si="14"/>
        <v>0.94197381486296095</v>
      </c>
      <c r="H22" s="103">
        <v>6.383718000650565E-2</v>
      </c>
      <c r="I22" s="105">
        <v>6.5673067456897745E-6</v>
      </c>
      <c r="J22" s="82">
        <v>1.1903887497476897E-2</v>
      </c>
      <c r="K22" s="81">
        <v>4.1780341592511689</v>
      </c>
      <c r="L22" s="106">
        <f t="shared" si="15"/>
        <v>27.976950951996329</v>
      </c>
      <c r="M22" s="107">
        <v>5.7700000000000001E-8</v>
      </c>
      <c r="N22" s="108">
        <f t="shared" si="16"/>
        <v>2.0624120226326074E-9</v>
      </c>
      <c r="O22" s="109">
        <f t="shared" si="17"/>
        <v>0.99454890854539768</v>
      </c>
      <c r="P22" s="16">
        <f t="shared" si="18"/>
        <v>2.503359997238512E-5</v>
      </c>
      <c r="Q22" s="103">
        <f t="shared" si="19"/>
        <v>0.99997583915440402</v>
      </c>
      <c r="R22" s="108">
        <v>5.3099999999999999E-8</v>
      </c>
      <c r="S22" s="110">
        <f t="shared" si="20"/>
        <v>2.389293057392172E-5</v>
      </c>
      <c r="T22" s="108">
        <v>5.0899999999999999E-8</v>
      </c>
      <c r="U22" s="111">
        <f t="shared" si="21"/>
        <v>2.6791502205570224E-7</v>
      </c>
      <c r="V22" s="113">
        <v>1.2E-8</v>
      </c>
      <c r="W22" s="35">
        <f t="shared" si="22"/>
        <v>2.7277894787403056E-7</v>
      </c>
      <c r="X22" s="31">
        <f t="shared" si="23"/>
        <v>1.9356125214859852E-7</v>
      </c>
      <c r="Y22" s="5">
        <f t="shared" si="10"/>
        <v>1.4092642243532087</v>
      </c>
      <c r="AC22" s="116">
        <f t="shared" si="11"/>
        <v>3.4820337353146067E-7</v>
      </c>
      <c r="AG22" s="5">
        <f t="shared" si="12"/>
        <v>0.27277894787403056</v>
      </c>
      <c r="AH22" s="31">
        <f t="shared" si="13"/>
        <v>0.34820337353146069</v>
      </c>
      <c r="AJ22" s="5"/>
      <c r="AK22" s="34"/>
    </row>
    <row r="23" spans="1:37" x14ac:dyDescent="0.2">
      <c r="A23" s="87" t="s">
        <v>51</v>
      </c>
      <c r="E23" s="10" t="s">
        <v>36</v>
      </c>
      <c r="F23" s="5">
        <f>AVERAGE(F17:F22)</f>
        <v>0.70226698895978823</v>
      </c>
      <c r="J23" s="5">
        <f>AVERAGE(J17:J22)</f>
        <v>9.143918181426583E-3</v>
      </c>
      <c r="K23" s="5">
        <f>AVERAGE(K17:K22)</f>
        <v>4.1796190521402332</v>
      </c>
      <c r="L23" s="35">
        <f>AVERAGE(L17:L22)</f>
        <v>27.976950774026552</v>
      </c>
      <c r="M23" s="34">
        <f>SQRT(SUMSQ(M17:M22)/COUNT(M17:M22))</f>
        <v>5.5408422945733922E-8</v>
      </c>
      <c r="N23" s="42">
        <f t="shared" si="16"/>
        <v>1.980502571322905E-9</v>
      </c>
      <c r="O23" s="45"/>
      <c r="P23" s="45"/>
      <c r="Q23" s="36">
        <f>AVERAGE(Q17:Q22)</f>
        <v>0.9999759550565952</v>
      </c>
      <c r="R23" s="42">
        <f>SQRT(SUMSQ(R17:R22)/COUNT(R17:R22))</f>
        <v>5.2542665203305654E-8</v>
      </c>
      <c r="S23" s="44">
        <f>AVERAGE(S17:S22)</f>
        <v>2.383931572360671E-5</v>
      </c>
      <c r="T23" s="42">
        <f>SQRT(SUMSQ(T17:T22)/COUNT(T17:T22))</f>
        <v>5.1206689016182247E-8</v>
      </c>
      <c r="U23" s="31">
        <f>AVERAGE(U17:U22)</f>
        <v>2.0562768111884545E-7</v>
      </c>
      <c r="V23" s="112">
        <f>SQRT(SUMSQ(V17:V22)/COUNT(V17:V22))</f>
        <v>9.355959776171193E-9</v>
      </c>
      <c r="W23" s="35"/>
      <c r="X23" s="31"/>
      <c r="Y23" s="5"/>
      <c r="AC23" s="116"/>
      <c r="AG23" s="5"/>
      <c r="AH23" s="31"/>
      <c r="AJ23" s="5"/>
      <c r="AK23" s="34"/>
    </row>
    <row r="24" spans="1:37" x14ac:dyDescent="0.2">
      <c r="A24" s="22" t="s">
        <v>53</v>
      </c>
      <c r="B24" s="17">
        <v>1</v>
      </c>
      <c r="C24" s="46">
        <v>269.03946799281931</v>
      </c>
      <c r="D24" s="17">
        <v>1.5855225539945401</v>
      </c>
      <c r="E24" s="47">
        <v>0.66230180937464944</v>
      </c>
      <c r="F24" s="48">
        <v>0.70404718526877152</v>
      </c>
      <c r="G24" s="49">
        <f t="shared" ref="G24:G29" si="24">E24/F24</f>
        <v>0.9407065651740576</v>
      </c>
      <c r="H24" s="47">
        <v>6.383718000650565E-2</v>
      </c>
      <c r="I24" s="50">
        <v>6.5673067456897745E-6</v>
      </c>
      <c r="J24" s="51">
        <v>1.2314831707816437E-2</v>
      </c>
      <c r="K24" s="47">
        <v>4.1472488154981093</v>
      </c>
      <c r="L24" s="52">
        <f t="shared" ref="L24:L29" si="25">$F$5/(1+(I24/H24)*($F$5*(1+G24*J24)-$F$3-G24*J24*$F$4)/(D24*$F$5+$F$3+C24*$F$4)*((C24-G24*K24)/(G24*K24-G24*J24)))</f>
        <v>27.976951190425773</v>
      </c>
      <c r="M24" s="53">
        <v>6.1200000000000005E-8</v>
      </c>
      <c r="N24" s="54">
        <f t="shared" ref="N24:N30" si="26">M24/L24</f>
        <v>2.1875149862985704E-9</v>
      </c>
      <c r="O24" s="55">
        <f t="shared" ref="O24:O29" si="27">($F$3+C24*$F$4)/(D24*$F$5+$F$3+C24*$F$4)</f>
        <v>0.99454890854539768</v>
      </c>
      <c r="P24" s="23">
        <f t="shared" ref="P24:P29" si="28">O24*I24/H24*(($F$3+G24*J24*$F$4)/($F$3+C24*$F$4))*(C24-G24*K24)/(G24*K24-G24*J24)</f>
        <v>2.5269304373397558E-5</v>
      </c>
      <c r="Q24" s="47">
        <f t="shared" ref="Q24:Q29" si="29">((1-P24)/$F$5)/((1-P24)/$F$5+(1+G24*J24)*P24/($F$3+G24*J24*$F$4))</f>
        <v>0.99997561197194196</v>
      </c>
      <c r="R24" s="56">
        <v>5.7900000000000002E-8</v>
      </c>
      <c r="S24" s="57">
        <f t="shared" ref="S24:S29" si="30">(1-Q24)/(1+G24*J24)</f>
        <v>2.4108736946455262E-5</v>
      </c>
      <c r="T24" s="56">
        <v>5.6300000000000001E-8</v>
      </c>
      <c r="U24" s="58">
        <f t="shared" ref="U24:U29" si="31">G24*J24*S24</f>
        <v>2.7929111158692714E-7</v>
      </c>
      <c r="V24" s="59">
        <v>1.04E-8</v>
      </c>
      <c r="W24" s="35">
        <f t="shared" ref="W24:W29" si="32">L24-$L$36</f>
        <v>5.1120839117402284E-7</v>
      </c>
      <c r="X24" s="31">
        <f t="shared" ref="X24:X29" si="33">2*SQRT(SUMSQ(M24,$M$36))</f>
        <v>1.9781445430840825E-7</v>
      </c>
      <c r="Y24" s="5">
        <f t="shared" si="10"/>
        <v>2.5842822910049277</v>
      </c>
      <c r="AC24" s="116">
        <f t="shared" si="11"/>
        <v>3.5125032290190128E-7</v>
      </c>
      <c r="AG24" s="5">
        <f t="shared" si="12"/>
        <v>0.51120839117402284</v>
      </c>
      <c r="AH24" s="31">
        <f t="shared" si="13"/>
        <v>0.35125032290190128</v>
      </c>
      <c r="AJ24" s="5"/>
      <c r="AK24" s="34"/>
    </row>
    <row r="25" spans="1:37" x14ac:dyDescent="0.2">
      <c r="A25" s="22" t="s">
        <v>53</v>
      </c>
      <c r="B25" s="24">
        <v>2</v>
      </c>
      <c r="C25" s="26">
        <v>269.03946799281931</v>
      </c>
      <c r="D25" s="24">
        <v>1.5855225539945401</v>
      </c>
      <c r="E25" s="27">
        <v>0.66230180937464944</v>
      </c>
      <c r="F25" s="36">
        <v>0.70324830968337593</v>
      </c>
      <c r="G25" s="28">
        <f t="shared" si="24"/>
        <v>0.9417751884435217</v>
      </c>
      <c r="H25" s="27">
        <v>6.383718000650565E-2</v>
      </c>
      <c r="I25" s="29">
        <v>6.5673067456897745E-6</v>
      </c>
      <c r="J25" s="35">
        <v>1.2244372445616688E-2</v>
      </c>
      <c r="K25" s="24">
        <v>4.1501408977121681</v>
      </c>
      <c r="L25" s="30">
        <f t="shared" si="25"/>
        <v>27.97695114159589</v>
      </c>
      <c r="M25" s="40">
        <v>5.7200000000000003E-8</v>
      </c>
      <c r="N25" s="41">
        <f t="shared" si="26"/>
        <v>2.0445401541612422E-9</v>
      </c>
      <c r="O25" s="33">
        <f t="shared" si="27"/>
        <v>0.99454890854539768</v>
      </c>
      <c r="P25" s="5">
        <f t="shared" si="28"/>
        <v>2.522050824431351E-5</v>
      </c>
      <c r="Q25" s="27">
        <f t="shared" si="29"/>
        <v>0.99997565902279539</v>
      </c>
      <c r="R25" s="42">
        <v>5.4200000000000002E-8</v>
      </c>
      <c r="S25" s="43">
        <f t="shared" si="30"/>
        <v>2.4063490360911364E-5</v>
      </c>
      <c r="T25" s="42">
        <v>5.2700000000000002E-8</v>
      </c>
      <c r="U25" s="32">
        <f t="shared" si="31"/>
        <v>2.7748684369523428E-7</v>
      </c>
      <c r="V25" s="112">
        <v>9.7700000000000008E-9</v>
      </c>
      <c r="W25" s="35">
        <f t="shared" si="32"/>
        <v>4.6237850881425402E-7</v>
      </c>
      <c r="X25" s="31">
        <f t="shared" si="33"/>
        <v>1.929667285656606E-7</v>
      </c>
      <c r="Y25" s="5">
        <f t="shared" si="10"/>
        <v>2.3961566444700386</v>
      </c>
      <c r="AC25" s="116">
        <f t="shared" si="11"/>
        <v>3.4888065199820113E-7</v>
      </c>
      <c r="AG25" s="5">
        <f t="shared" si="12"/>
        <v>0.46237850881425402</v>
      </c>
      <c r="AH25" s="31">
        <f t="shared" si="13"/>
        <v>0.34888065199820117</v>
      </c>
      <c r="AJ25" s="5"/>
      <c r="AK25" s="34"/>
    </row>
    <row r="26" spans="1:37" x14ac:dyDescent="0.2">
      <c r="A26" s="22" t="s">
        <v>53</v>
      </c>
      <c r="B26" s="24">
        <v>3</v>
      </c>
      <c r="C26" s="26">
        <v>269.03946799281931</v>
      </c>
      <c r="D26" s="24">
        <v>1.5855225539945401</v>
      </c>
      <c r="E26" s="27">
        <v>0.66230180937464944</v>
      </c>
      <c r="F26" s="5">
        <v>0.70388270353999638</v>
      </c>
      <c r="G26" s="28">
        <f t="shared" si="24"/>
        <v>0.94092638737075573</v>
      </c>
      <c r="H26" s="27">
        <v>6.383718000650565E-2</v>
      </c>
      <c r="I26" s="29">
        <v>6.5673067456897745E-6</v>
      </c>
      <c r="J26" s="35">
        <v>1.0816826272219837E-2</v>
      </c>
      <c r="K26" s="24">
        <v>4.1665553188477684</v>
      </c>
      <c r="L26" s="30">
        <f t="shared" si="25"/>
        <v>27.976950992130195</v>
      </c>
      <c r="M26" s="40">
        <v>5.1900000000000002E-8</v>
      </c>
      <c r="N26" s="41">
        <f t="shared" si="26"/>
        <v>1.8550985064312142E-9</v>
      </c>
      <c r="O26" s="33">
        <f t="shared" si="27"/>
        <v>0.99454890854539768</v>
      </c>
      <c r="P26" s="5">
        <f t="shared" si="28"/>
        <v>2.5098974154250416E-5</v>
      </c>
      <c r="Q26" s="27">
        <f t="shared" si="29"/>
        <v>0.99997577521466341</v>
      </c>
      <c r="R26" s="42">
        <v>5.1E-8</v>
      </c>
      <c r="S26" s="43">
        <f t="shared" si="30"/>
        <v>2.3980713536664671E-5</v>
      </c>
      <c r="T26" s="42">
        <v>5.0600000000000003E-8</v>
      </c>
      <c r="U26" s="32">
        <f t="shared" si="31"/>
        <v>2.4407179992599977E-7</v>
      </c>
      <c r="V26" s="112">
        <v>4.9499999999999997E-9</v>
      </c>
      <c r="W26" s="35">
        <f t="shared" si="32"/>
        <v>3.1291281388234893E-7</v>
      </c>
      <c r="X26" s="31">
        <f t="shared" si="33"/>
        <v>1.8687760254598015E-7</v>
      </c>
      <c r="Y26" s="5">
        <f t="shared" si="10"/>
        <v>1.6744265209917735</v>
      </c>
      <c r="AC26" s="116">
        <f t="shared" si="11"/>
        <v>3.4694545585536918E-7</v>
      </c>
      <c r="AG26" s="5">
        <f t="shared" si="12"/>
        <v>0.31291281388234893</v>
      </c>
      <c r="AH26" s="31">
        <f t="shared" si="13"/>
        <v>0.34694545585536918</v>
      </c>
      <c r="AJ26" s="5"/>
      <c r="AK26" s="34"/>
    </row>
    <row r="27" spans="1:37" x14ac:dyDescent="0.2">
      <c r="A27" s="22" t="s">
        <v>53</v>
      </c>
      <c r="B27" s="24">
        <v>4</v>
      </c>
      <c r="C27" s="26">
        <v>269.03946799281931</v>
      </c>
      <c r="D27" s="24">
        <v>1.5855225539945401</v>
      </c>
      <c r="E27" s="27">
        <v>0.66230180937464944</v>
      </c>
      <c r="F27" s="5">
        <v>0.70430885941083732</v>
      </c>
      <c r="G27" s="28">
        <f t="shared" si="24"/>
        <v>0.94035706142994246</v>
      </c>
      <c r="H27" s="27">
        <v>6.383718000650565E-2</v>
      </c>
      <c r="I27" s="29">
        <v>6.5673067456897745E-6</v>
      </c>
      <c r="J27" s="35">
        <v>9.9587184333035685E-3</v>
      </c>
      <c r="K27" s="24">
        <v>4.1794847810603191</v>
      </c>
      <c r="L27" s="30">
        <f t="shared" si="25"/>
        <v>27.9769508862843</v>
      </c>
      <c r="M27" s="40">
        <v>5.0400000000000001E-8</v>
      </c>
      <c r="N27" s="42">
        <f t="shared" si="26"/>
        <v>1.8014829494771213E-9</v>
      </c>
      <c r="O27" s="33">
        <f t="shared" si="27"/>
        <v>0.99454890854539768</v>
      </c>
      <c r="P27" s="5">
        <f t="shared" si="28"/>
        <v>2.5009366980922956E-5</v>
      </c>
      <c r="Q27" s="27">
        <f t="shared" si="29"/>
        <v>0.99997586103868141</v>
      </c>
      <c r="R27" s="42">
        <v>5.03E-8</v>
      </c>
      <c r="S27" s="43">
        <f t="shared" si="30"/>
        <v>2.3915003263044512E-5</v>
      </c>
      <c r="T27" s="42">
        <v>5.03E-8</v>
      </c>
      <c r="U27" s="32">
        <f t="shared" si="31"/>
        <v>2.2395805554265736E-7</v>
      </c>
      <c r="V27" s="112">
        <v>1.55E-9</v>
      </c>
      <c r="W27" s="35">
        <f t="shared" si="32"/>
        <v>2.0706691827854229E-7</v>
      </c>
      <c r="X27" s="31">
        <f t="shared" si="33"/>
        <v>1.8522807112674185E-7</v>
      </c>
      <c r="Y27" s="5">
        <f t="shared" si="10"/>
        <v>1.1179024702840925</v>
      </c>
      <c r="AC27" s="116">
        <f t="shared" si="11"/>
        <v>3.4653644734528277E-7</v>
      </c>
      <c r="AG27" s="5">
        <f t="shared" si="12"/>
        <v>0.20706691827854229</v>
      </c>
      <c r="AH27" s="31">
        <f t="shared" si="13"/>
        <v>0.34653644734528277</v>
      </c>
      <c r="AJ27" s="5"/>
      <c r="AK27" s="34"/>
    </row>
    <row r="28" spans="1:37" x14ac:dyDescent="0.2">
      <c r="A28" s="22" t="s">
        <v>53</v>
      </c>
      <c r="B28" s="24">
        <v>5</v>
      </c>
      <c r="C28" s="26">
        <v>269.03946799281931</v>
      </c>
      <c r="D28" s="24">
        <v>1.5855225539945401</v>
      </c>
      <c r="E28" s="27">
        <v>0.66230180937464944</v>
      </c>
      <c r="F28" s="5">
        <v>0.70154096921378684</v>
      </c>
      <c r="G28" s="28">
        <f t="shared" si="24"/>
        <v>0.94406718700532555</v>
      </c>
      <c r="H28" s="27">
        <v>6.383718000650565E-2</v>
      </c>
      <c r="I28" s="29">
        <v>6.5673067456897745E-6</v>
      </c>
      <c r="J28" s="35">
        <v>1.1468830933069543E-2</v>
      </c>
      <c r="K28" s="24">
        <v>4.1629442858887318</v>
      </c>
      <c r="L28" s="30">
        <f t="shared" si="25"/>
        <v>27.976950965932414</v>
      </c>
      <c r="M28" s="40">
        <v>5.7499999999999999E-8</v>
      </c>
      <c r="N28" s="42">
        <f t="shared" si="26"/>
        <v>2.0552632797626111E-9</v>
      </c>
      <c r="O28" s="33">
        <f t="shared" si="27"/>
        <v>0.99454890854539768</v>
      </c>
      <c r="P28" s="5">
        <f t="shared" si="28"/>
        <v>2.5056894867859554E-5</v>
      </c>
      <c r="Q28" s="27">
        <f t="shared" si="29"/>
        <v>0.99997581635760346</v>
      </c>
      <c r="R28" s="42">
        <v>5.2600000000000001E-8</v>
      </c>
      <c r="S28" s="43">
        <f t="shared" si="30"/>
        <v>2.3924602425263865E-5</v>
      </c>
      <c r="T28" s="42">
        <v>5.0400000000000001E-8</v>
      </c>
      <c r="U28" s="32">
        <f t="shared" si="31"/>
        <v>2.5903997127194175E-7</v>
      </c>
      <c r="V28" s="112">
        <v>1.24E-8</v>
      </c>
      <c r="W28" s="35">
        <f t="shared" si="32"/>
        <v>2.8671503216060046E-7</v>
      </c>
      <c r="X28" s="31">
        <f t="shared" si="33"/>
        <v>1.9332304139272519E-7</v>
      </c>
      <c r="Y28" s="5">
        <f t="shared" si="10"/>
        <v>1.4830877379906027</v>
      </c>
      <c r="AC28" s="116">
        <f t="shared" si="11"/>
        <v>3.4789968286661301E-7</v>
      </c>
      <c r="AG28" s="5">
        <f t="shared" si="12"/>
        <v>0.28671503216060046</v>
      </c>
      <c r="AH28" s="31">
        <f t="shared" si="13"/>
        <v>0.34789968286661305</v>
      </c>
      <c r="AJ28" s="5"/>
      <c r="AK28" s="34"/>
    </row>
    <row r="29" spans="1:37" x14ac:dyDescent="0.2">
      <c r="A29" s="22" t="s">
        <v>53</v>
      </c>
      <c r="B29" s="24">
        <v>6</v>
      </c>
      <c r="C29" s="26">
        <v>269.03946799281931</v>
      </c>
      <c r="D29" s="24">
        <v>1.5855225539945401</v>
      </c>
      <c r="E29" s="27">
        <v>0.66230180937464944</v>
      </c>
      <c r="F29" s="5">
        <v>0.70303423464694093</v>
      </c>
      <c r="G29" s="28">
        <f t="shared" si="24"/>
        <v>0.94206196047800284</v>
      </c>
      <c r="H29" s="27">
        <v>6.383718000650565E-2</v>
      </c>
      <c r="I29" s="29">
        <v>6.5673067456897745E-6</v>
      </c>
      <c r="J29" s="35">
        <v>1.1837153377095148E-2</v>
      </c>
      <c r="K29" s="24">
        <v>4.1542965752407461</v>
      </c>
      <c r="L29" s="30">
        <f t="shared" si="25"/>
        <v>27.976951088296751</v>
      </c>
      <c r="M29" s="40">
        <v>5.6599999999999997E-8</v>
      </c>
      <c r="N29" s="42">
        <f t="shared" si="26"/>
        <v>2.0230939326221566E-9</v>
      </c>
      <c r="O29" s="33">
        <f t="shared" si="27"/>
        <v>0.99454890854539768</v>
      </c>
      <c r="P29" s="5">
        <f t="shared" si="28"/>
        <v>2.5174788407487217E-5</v>
      </c>
      <c r="Q29" s="27">
        <f t="shared" si="29"/>
        <v>0.99997570283760995</v>
      </c>
      <c r="R29" s="42">
        <v>5.2399999999999999E-8</v>
      </c>
      <c r="S29" s="43">
        <f t="shared" si="30"/>
        <v>2.4029204752161681E-5</v>
      </c>
      <c r="T29" s="42">
        <v>5.0500000000000002E-8</v>
      </c>
      <c r="U29" s="32">
        <f t="shared" si="31"/>
        <v>2.6795763789062749E-7</v>
      </c>
      <c r="V29" s="112">
        <v>1.13E-8</v>
      </c>
      <c r="W29" s="35">
        <f t="shared" si="32"/>
        <v>4.0907936948997303E-7</v>
      </c>
      <c r="X29" s="31">
        <f t="shared" si="33"/>
        <v>1.9225773933273358E-7</v>
      </c>
      <c r="Y29" s="5">
        <f t="shared" si="10"/>
        <v>2.1277654200541392</v>
      </c>
      <c r="AC29" s="116">
        <f t="shared" si="11"/>
        <v>3.4777893745695687E-7</v>
      </c>
      <c r="AG29" s="5">
        <f t="shared" si="12"/>
        <v>0.40907936948997303</v>
      </c>
      <c r="AH29" s="31">
        <f t="shared" si="13"/>
        <v>0.34777893745695687</v>
      </c>
      <c r="AJ29" s="5"/>
      <c r="AK29" s="34"/>
    </row>
    <row r="30" spans="1:37" x14ac:dyDescent="0.2">
      <c r="A30" s="87" t="s">
        <v>53</v>
      </c>
      <c r="B30" s="96"/>
      <c r="C30" s="96"/>
      <c r="D30" s="96"/>
      <c r="E30" s="91" t="s">
        <v>36</v>
      </c>
      <c r="F30" s="89">
        <f>AVERAGE(F24:F29)</f>
        <v>0.70334371029395149</v>
      </c>
      <c r="G30" s="96"/>
      <c r="H30" s="96"/>
      <c r="I30" s="89"/>
      <c r="J30" s="89">
        <f>AVERAGE(J24:J29)</f>
        <v>1.1440122194853535E-2</v>
      </c>
      <c r="K30" s="89">
        <f>AVERAGE(K24:K29)</f>
        <v>4.1601117790413076</v>
      </c>
      <c r="L30" s="94">
        <f>AVERAGE(L24:L29)</f>
        <v>27.976951044110887</v>
      </c>
      <c r="M30" s="97">
        <f>SQRT(SUMSQ(M24:M29)/COUNT(M24:M29))</f>
        <v>5.591788622614414E-8</v>
      </c>
      <c r="N30" s="98">
        <f t="shared" si="26"/>
        <v>1.9987126595024292E-9</v>
      </c>
      <c r="O30" s="99"/>
      <c r="P30" s="99"/>
      <c r="Q30" s="93">
        <f>AVERAGE(Q24:Q29)</f>
        <v>0.99997573774054926</v>
      </c>
      <c r="R30" s="98">
        <f>SQRT(SUMSQ(R24:R29)/COUNT(R24:R29))</f>
        <v>5.3125103921466984E-8</v>
      </c>
      <c r="S30" s="100">
        <f>AVERAGE(S24:S29)</f>
        <v>2.4003625214083559E-5</v>
      </c>
      <c r="T30" s="98">
        <f>SQRT(SUMSQ(T24:T29)/COUNT(T24:T29))</f>
        <v>5.1845668414375122E-8</v>
      </c>
      <c r="U30" s="101">
        <f>AVERAGE(U24:U29)</f>
        <v>2.586342366522313E-7</v>
      </c>
      <c r="V30" s="114">
        <f>SQRT(SUMSQ(V24:V29)/COUNT(V24:V29))</f>
        <v>9.237314725250697E-9</v>
      </c>
      <c r="W30" s="35"/>
      <c r="X30" s="31"/>
      <c r="Y30" s="5"/>
      <c r="AC30" s="116"/>
      <c r="AG30" s="5"/>
      <c r="AH30" s="31"/>
      <c r="AJ30" s="5"/>
      <c r="AK30" s="34"/>
    </row>
    <row r="31" spans="1:37" x14ac:dyDescent="0.2">
      <c r="A31" s="22" t="s">
        <v>54</v>
      </c>
      <c r="B31" s="17">
        <v>1</v>
      </c>
      <c r="C31" s="46">
        <v>269.03946799281931</v>
      </c>
      <c r="D31" s="17">
        <v>1.5855225539945401</v>
      </c>
      <c r="E31" s="47">
        <v>0.66230180937464944</v>
      </c>
      <c r="F31" s="23">
        <v>0.70622964274352573</v>
      </c>
      <c r="G31" s="49">
        <f t="shared" ref="G31:G34" si="34">E31/F31</f>
        <v>0.93779950499071718</v>
      </c>
      <c r="H31" s="47">
        <v>6.383718000650565E-2</v>
      </c>
      <c r="I31" s="50">
        <v>6.5673067456897745E-6</v>
      </c>
      <c r="J31" s="51">
        <v>7.5908900156186499E-3</v>
      </c>
      <c r="K31" s="17">
        <v>4.2841646961109507</v>
      </c>
      <c r="L31" s="52">
        <f t="shared" ref="L31:L34" si="35">$F$5/(1+(I31/H31)*($F$5*(1+G31*J31)-$F$3-G31*J31*$F$4)/(D31*$F$5+$F$3+C31*$F$4)*((C31-G31*K31)/(G31*K31-G31*J31)))</f>
        <v>27.976950228797762</v>
      </c>
      <c r="M31" s="53">
        <v>2.0100000000000001E-7</v>
      </c>
      <c r="N31" s="56">
        <f t="shared" ref="N31:N35" si="36">M31/L31</f>
        <v>7.1844857411621262E-9</v>
      </c>
      <c r="O31" s="55">
        <f t="shared" ref="O31:O34" si="37">($F$3+C31*$F$4)/(D31*$F$5+$F$3+C31*$F$4)</f>
        <v>0.99454890854539768</v>
      </c>
      <c r="P31" s="23">
        <f t="shared" ref="P31:P34" si="38">O31*I31/H31*(($F$3+G31*J31*$F$4)/($F$3+C31*$F$4))*(C31-G31*K31)/(G31*K31-G31*J31)</f>
        <v>2.4385541614619938E-5</v>
      </c>
      <c r="Q31" s="47">
        <f t="shared" ref="Q31:Q34" si="39">((1-P31)/$F$5)/((1-P31)/$F$5+(1+G31*J31)*P31/($F$3+G31*J31*$F$4))</f>
        <v>0.99997646136413587</v>
      </c>
      <c r="R31" s="56">
        <v>1.2100000000000001E-7</v>
      </c>
      <c r="S31" s="57">
        <f t="shared" ref="S31:S34" si="40">(1-Q31)/(1+G31*J31)</f>
        <v>2.3372255023368064E-5</v>
      </c>
      <c r="T31" s="56">
        <v>6.13E-8</v>
      </c>
      <c r="U31" s="58">
        <f t="shared" ref="U31:U34" si="41">G31*J31*S31</f>
        <v>1.6638084076068171E-7</v>
      </c>
      <c r="V31" s="59">
        <v>8.5599999999999999E-8</v>
      </c>
      <c r="W31" s="35">
        <f>L31-$L$36</f>
        <v>-4.5041961982406065E-7</v>
      </c>
      <c r="X31" s="31">
        <f>2*SQRT(SUMSQ(M31,$M$36))</f>
        <v>4.3099048520046626E-7</v>
      </c>
      <c r="Y31" s="5">
        <f t="shared" si="10"/>
        <v>1.0450801938575449</v>
      </c>
      <c r="AC31" s="116">
        <f t="shared" si="11"/>
        <v>4.105254551653161E-7</v>
      </c>
      <c r="AG31" s="5">
        <f t="shared" si="12"/>
        <v>-0.45041961982406065</v>
      </c>
      <c r="AH31" s="31">
        <f t="shared" si="13"/>
        <v>0.41052545516531613</v>
      </c>
      <c r="AJ31" s="5"/>
      <c r="AK31" s="34"/>
    </row>
    <row r="32" spans="1:37" x14ac:dyDescent="0.2">
      <c r="A32" s="22" t="s">
        <v>54</v>
      </c>
      <c r="B32" s="24">
        <v>2</v>
      </c>
      <c r="C32" s="26">
        <v>269.03946799281931</v>
      </c>
      <c r="D32" s="24">
        <v>1.5855225539945401</v>
      </c>
      <c r="E32" s="27">
        <v>0.66230180937464944</v>
      </c>
      <c r="F32" s="5">
        <v>0.70627162170842261</v>
      </c>
      <c r="G32" s="28">
        <f t="shared" si="34"/>
        <v>0.93774376460516251</v>
      </c>
      <c r="H32" s="27">
        <v>6.383718000650565E-2</v>
      </c>
      <c r="I32" s="29">
        <v>6.5673067456897745E-6</v>
      </c>
      <c r="J32" s="35">
        <v>6.3965444682035303E-3</v>
      </c>
      <c r="K32" s="24">
        <v>4.248266372126035</v>
      </c>
      <c r="L32" s="30">
        <f t="shared" si="35"/>
        <v>27.976950374396463</v>
      </c>
      <c r="M32" s="40">
        <v>5.25E-8</v>
      </c>
      <c r="N32" s="42">
        <f t="shared" si="36"/>
        <v>1.8765447733733763E-9</v>
      </c>
      <c r="O32" s="33">
        <f t="shared" si="37"/>
        <v>0.99454890854539768</v>
      </c>
      <c r="P32" s="5">
        <f t="shared" si="38"/>
        <v>2.4561362942562645E-5</v>
      </c>
      <c r="Q32" s="27">
        <f t="shared" si="39"/>
        <v>0.99997629074677319</v>
      </c>
      <c r="R32" s="42">
        <v>5.1399999999999997E-8</v>
      </c>
      <c r="S32" s="43">
        <f t="shared" si="40"/>
        <v>2.3567885515072726E-5</v>
      </c>
      <c r="T32" s="42">
        <v>5.0899999999999999E-8</v>
      </c>
      <c r="U32" s="32">
        <f t="shared" si="41"/>
        <v>1.4136771173855318E-7</v>
      </c>
      <c r="V32" s="112">
        <v>5.7900000000000001E-9</v>
      </c>
      <c r="W32" s="35">
        <f>L32-$L$36</f>
        <v>-3.0482091872841011E-7</v>
      </c>
      <c r="X32" s="31">
        <f>2*SQRT(SUMSQ(M32,$M$36))</f>
        <v>1.8754678971748178E-7</v>
      </c>
      <c r="Y32" s="5">
        <f t="shared" si="10"/>
        <v>1.6253059793110223</v>
      </c>
      <c r="AC32" s="116">
        <f t="shared" si="11"/>
        <v>3.4718149337009588E-7</v>
      </c>
      <c r="AG32" s="5">
        <f t="shared" si="12"/>
        <v>-0.30482091872841011</v>
      </c>
      <c r="AH32" s="31">
        <f t="shared" si="13"/>
        <v>0.34718149337009591</v>
      </c>
      <c r="AJ32" s="5"/>
      <c r="AK32" s="34"/>
    </row>
    <row r="33" spans="1:34" x14ac:dyDescent="0.2">
      <c r="A33" s="22" t="s">
        <v>54</v>
      </c>
      <c r="B33" s="24">
        <v>3</v>
      </c>
      <c r="C33" s="26">
        <v>269.03946799281931</v>
      </c>
      <c r="D33" s="24">
        <v>1.5855225539945401</v>
      </c>
      <c r="E33" s="27">
        <v>0.66230180937464944</v>
      </c>
      <c r="F33" s="5">
        <v>0.69763500528435629</v>
      </c>
      <c r="G33" s="28">
        <f t="shared" si="34"/>
        <v>0.94935289135139511</v>
      </c>
      <c r="H33" s="27">
        <v>6.383718000650565E-2</v>
      </c>
      <c r="I33" s="29">
        <v>6.5673067456897745E-6</v>
      </c>
      <c r="J33" s="35">
        <v>8.7796349457905255E-3</v>
      </c>
      <c r="K33" s="24">
        <v>4.1997869087279609</v>
      </c>
      <c r="L33" s="30">
        <f t="shared" si="35"/>
        <v>27.976950478299003</v>
      </c>
      <c r="M33" s="40">
        <v>5.2199999999999998E-8</v>
      </c>
      <c r="N33" s="42">
        <f t="shared" si="36"/>
        <v>1.8658216534532662E-9</v>
      </c>
      <c r="O33" s="33">
        <f t="shared" si="37"/>
        <v>0.99454890854539768</v>
      </c>
      <c r="P33" s="5">
        <f t="shared" si="38"/>
        <v>2.46141300842279E-5</v>
      </c>
      <c r="Q33" s="27">
        <f t="shared" si="39"/>
        <v>0.99997624169336052</v>
      </c>
      <c r="R33" s="42">
        <v>5.1599999999999999E-8</v>
      </c>
      <c r="S33" s="43">
        <f t="shared" si="40"/>
        <v>2.356191871097655E-5</v>
      </c>
      <c r="T33" s="42">
        <v>5.1300000000000003E-8</v>
      </c>
      <c r="U33" s="32">
        <f t="shared" si="41"/>
        <v>1.963879284998752E-7</v>
      </c>
      <c r="V33" s="112">
        <v>4.1000000000000003E-9</v>
      </c>
      <c r="W33" s="35">
        <f>L33-$L$36</f>
        <v>-2.0091837882318941E-7</v>
      </c>
      <c r="X33" s="31">
        <f>2*SQRT(SUMSQ(M33,$M$36))</f>
        <v>1.8721153365466917E-7</v>
      </c>
      <c r="Y33" s="5">
        <f t="shared" si="10"/>
        <v>1.0732158158257703</v>
      </c>
      <c r="AC33" s="116">
        <f t="shared" si="11"/>
        <v>3.4730014301564855E-7</v>
      </c>
      <c r="AG33" s="5">
        <f t="shared" si="12"/>
        <v>-0.20091837882318941</v>
      </c>
      <c r="AH33" s="31">
        <f t="shared" si="13"/>
        <v>0.34730014301564854</v>
      </c>
    </row>
    <row r="34" spans="1:34" x14ac:dyDescent="0.2">
      <c r="A34" s="22" t="s">
        <v>54</v>
      </c>
      <c r="B34" s="24">
        <v>4</v>
      </c>
      <c r="C34" s="26">
        <v>269.03946799281931</v>
      </c>
      <c r="D34" s="24">
        <v>1.5855225539945401</v>
      </c>
      <c r="E34" s="27">
        <v>0.66230180937464944</v>
      </c>
      <c r="F34" s="5">
        <v>0.69905359435212322</v>
      </c>
      <c r="G34" s="28">
        <f t="shared" si="34"/>
        <v>0.94742637006031705</v>
      </c>
      <c r="H34" s="27">
        <v>6.383718000650565E-2</v>
      </c>
      <c r="I34" s="29">
        <v>6.5673067456897745E-6</v>
      </c>
      <c r="J34" s="35">
        <v>7.6356075187992718E-3</v>
      </c>
      <c r="K34" s="81">
        <v>4.2051860082113217</v>
      </c>
      <c r="L34" s="30">
        <f t="shared" si="35"/>
        <v>27.976950438039633</v>
      </c>
      <c r="M34" s="40">
        <v>5.5299999999999999E-8</v>
      </c>
      <c r="N34" s="42">
        <f t="shared" si="36"/>
        <v>1.9766271567901064E-9</v>
      </c>
      <c r="O34" s="33">
        <f t="shared" si="37"/>
        <v>0.99454890854539768</v>
      </c>
      <c r="P34" s="5">
        <f t="shared" si="38"/>
        <v>2.4598209637842165E-5</v>
      </c>
      <c r="Q34" s="27">
        <f t="shared" si="39"/>
        <v>0.99997625617483576</v>
      </c>
      <c r="R34" s="42">
        <v>5.1599999999999999E-8</v>
      </c>
      <c r="S34" s="43">
        <f t="shared" si="40"/>
        <v>2.3573291824288797E-5</v>
      </c>
      <c r="T34" s="42">
        <v>4.9899999999999997E-8</v>
      </c>
      <c r="U34" s="32">
        <f t="shared" si="41"/>
        <v>1.7053333994643702E-7</v>
      </c>
      <c r="V34" s="112">
        <v>1.0600000000000001E-8</v>
      </c>
      <c r="W34" s="35">
        <f>L34-$L$36</f>
        <v>-2.4117774799492508E-7</v>
      </c>
      <c r="X34" s="31">
        <f>2*SQRT(SUMSQ(M34,$M$36))</f>
        <v>1.9073845530813479E-7</v>
      </c>
      <c r="Y34" s="5">
        <f t="shared" si="10"/>
        <v>1.264442178716958</v>
      </c>
      <c r="AC34" s="116">
        <f t="shared" si="11"/>
        <v>3.4730014301564855E-7</v>
      </c>
      <c r="AG34" s="5">
        <f t="shared" si="12"/>
        <v>-0.24117774799492508</v>
      </c>
      <c r="AH34" s="31">
        <f t="shared" si="13"/>
        <v>0.34730014301564854</v>
      </c>
    </row>
    <row r="35" spans="1:34" x14ac:dyDescent="0.2">
      <c r="A35" s="88" t="s">
        <v>54</v>
      </c>
      <c r="B35" s="89"/>
      <c r="C35" s="90"/>
      <c r="D35" s="89"/>
      <c r="E35" s="91"/>
      <c r="F35" s="89"/>
      <c r="G35" s="92"/>
      <c r="H35" s="93"/>
      <c r="I35" s="94"/>
      <c r="J35" s="95"/>
      <c r="K35" s="96"/>
      <c r="L35" s="94">
        <f>AVERAGE(L31:L34)</f>
        <v>27.976950379883217</v>
      </c>
      <c r="M35" s="97">
        <f>SQRT(SUMSQ(M31:M34)/COUNT(M31:M34))</f>
        <v>1.1061213767032984E-7</v>
      </c>
      <c r="N35" s="98">
        <f t="shared" si="36"/>
        <v>3.95368816716583E-9</v>
      </c>
      <c r="O35" s="99"/>
      <c r="P35" s="99"/>
      <c r="Q35" s="93">
        <f>AVERAGE(Q31:Q34)</f>
        <v>0.99997631249477636</v>
      </c>
      <c r="R35" s="98">
        <f>SQRT(SUMSQ(R31:R34)/COUNT(R31:R34))</f>
        <v>7.5179917531213092E-8</v>
      </c>
      <c r="S35" s="100">
        <f>AVERAGE(S31:S34)</f>
        <v>2.3518837768426535E-5</v>
      </c>
      <c r="T35" s="98">
        <f>SQRT(SUMSQ(T31:T34)/COUNT(T31:T34))</f>
        <v>5.3549509801677925E-8</v>
      </c>
      <c r="U35" s="101">
        <f>AVERAGE(U31:U34)</f>
        <v>1.6866745523638677E-7</v>
      </c>
      <c r="V35" s="114">
        <f>SQRT(SUMSQ(V31:V34)/COUNT(V31:V34))</f>
        <v>4.3272549324022956E-8</v>
      </c>
    </row>
    <row r="36" spans="1:34" x14ac:dyDescent="0.2">
      <c r="A36" s="25"/>
      <c r="B36" s="5"/>
      <c r="C36" s="62"/>
      <c r="D36" s="5"/>
      <c r="E36" s="66"/>
      <c r="F36" s="5"/>
      <c r="G36" s="60"/>
      <c r="H36" s="36"/>
      <c r="I36" s="35"/>
      <c r="J36" s="39" t="s">
        <v>55</v>
      </c>
      <c r="L36" s="35">
        <f>AVERAGE(L16,L23,L30,L35)</f>
        <v>27.976950679217381</v>
      </c>
      <c r="M36" s="34">
        <f>SQRT(SUMSQ(M16,M23,M30,M35)/COUNT(M16,M23,M30,M35))</f>
        <v>7.7699418165989719E-8</v>
      </c>
      <c r="N36" s="42">
        <f>M36/L36</f>
        <v>2.7772654374269805E-9</v>
      </c>
      <c r="O36" s="45"/>
      <c r="P36" s="45"/>
      <c r="Q36" s="36"/>
      <c r="R36" s="42"/>
      <c r="S36" s="44"/>
      <c r="T36" s="42"/>
      <c r="U36" s="31"/>
      <c r="V36" s="42"/>
    </row>
    <row r="37" spans="1:34" x14ac:dyDescent="0.2">
      <c r="A37" s="5"/>
      <c r="B37" s="5"/>
      <c r="C37" s="62"/>
      <c r="D37" s="5"/>
      <c r="E37" s="67"/>
      <c r="F37" s="70"/>
      <c r="G37" s="60"/>
      <c r="H37" s="36"/>
      <c r="I37" s="35"/>
      <c r="J37" s="69"/>
      <c r="K37" s="70"/>
      <c r="L37" s="34"/>
      <c r="M37" s="34"/>
      <c r="N37" s="42"/>
      <c r="O37" s="45"/>
      <c r="P37" s="45"/>
      <c r="Q37" s="36"/>
      <c r="R37" s="42"/>
      <c r="S37" s="44"/>
      <c r="T37" s="42"/>
      <c r="U37" s="31"/>
      <c r="V37" s="42"/>
    </row>
    <row r="38" spans="1:34" x14ac:dyDescent="0.2">
      <c r="A38" s="5"/>
      <c r="B38" s="5"/>
      <c r="C38" s="62"/>
      <c r="D38" s="5"/>
      <c r="E38" s="67"/>
      <c r="F38" s="70"/>
      <c r="G38" s="60"/>
      <c r="H38" s="36"/>
      <c r="I38" s="35"/>
      <c r="J38" s="69"/>
      <c r="K38" s="67" t="s">
        <v>57</v>
      </c>
      <c r="L38" s="34"/>
      <c r="M38" s="34">
        <f>STDEV(L16,L23,L30,L35)/SQRT(COUNT(L16,L23,L30,L35))</f>
        <v>1.4647384664621582E-7</v>
      </c>
      <c r="N38" s="42"/>
      <c r="O38" s="45"/>
      <c r="P38" s="45"/>
      <c r="Q38" s="36"/>
      <c r="R38" s="42"/>
      <c r="S38" s="44"/>
      <c r="T38" s="42"/>
      <c r="U38" s="31"/>
      <c r="V38" s="42"/>
    </row>
    <row r="39" spans="1:34" x14ac:dyDescent="0.2">
      <c r="A39" s="5"/>
      <c r="B39" s="5"/>
      <c r="C39" s="62"/>
      <c r="D39" s="5"/>
      <c r="E39" s="67"/>
      <c r="F39" s="68"/>
      <c r="G39" s="60"/>
      <c r="H39" s="36"/>
      <c r="I39" s="35"/>
      <c r="J39" s="68"/>
      <c r="K39"/>
      <c r="L39" s="34"/>
      <c r="M39" s="34"/>
      <c r="N39" s="42"/>
      <c r="O39" s="45"/>
      <c r="P39" s="45"/>
      <c r="Q39" s="36"/>
      <c r="R39" s="42"/>
      <c r="S39" s="44"/>
      <c r="T39" s="42"/>
      <c r="U39" s="31"/>
      <c r="V39" s="42"/>
    </row>
    <row r="40" spans="1:34" x14ac:dyDescent="0.2">
      <c r="A40" s="5"/>
      <c r="B40" s="5"/>
      <c r="C40" s="62"/>
      <c r="D40" s="5"/>
      <c r="E40" s="36"/>
      <c r="F40" s="5"/>
      <c r="G40" s="60"/>
      <c r="H40" s="36"/>
      <c r="I40" s="35"/>
      <c r="J40" s="35"/>
      <c r="K40" s="67" t="s">
        <v>58</v>
      </c>
      <c r="L40" s="35"/>
      <c r="M40" s="34">
        <f>STDEV(L16,L23,L30,L35)</f>
        <v>2.9294769329243165E-7</v>
      </c>
      <c r="N40" s="42"/>
      <c r="O40" s="45"/>
      <c r="P40" s="45"/>
      <c r="Q40" s="36"/>
      <c r="R40" s="42"/>
      <c r="S40" s="44"/>
      <c r="T40" s="42"/>
      <c r="U40" s="31"/>
      <c r="V40" s="42"/>
    </row>
    <row r="41" spans="1:34" x14ac:dyDescent="0.2">
      <c r="F41" s="5"/>
      <c r="J41" s="5"/>
      <c r="K41"/>
      <c r="L41" s="10"/>
      <c r="M41" s="31"/>
      <c r="R41" s="5"/>
      <c r="T41" s="5"/>
      <c r="V41" s="5"/>
    </row>
    <row r="42" spans="1:34" x14ac:dyDescent="0.2">
      <c r="F42" s="5"/>
      <c r="J42" s="5"/>
      <c r="K42" s="66" t="s">
        <v>42</v>
      </c>
      <c r="M42" s="39">
        <f>COUNT(L16,L23,L30,L35)</f>
        <v>4</v>
      </c>
      <c r="R42" s="5"/>
      <c r="T42" s="5"/>
      <c r="V42" s="5"/>
    </row>
    <row r="43" spans="1:34" x14ac:dyDescent="0.2">
      <c r="F43" s="5"/>
      <c r="K43"/>
      <c r="M43" s="31"/>
      <c r="R43" s="5"/>
      <c r="T43" s="39"/>
      <c r="V43" s="5"/>
    </row>
    <row r="44" spans="1:34" ht="14.25" x14ac:dyDescent="0.25">
      <c r="F44" s="5"/>
      <c r="J44" s="5" t="s">
        <v>61</v>
      </c>
      <c r="K44" s="115" t="s">
        <v>59</v>
      </c>
      <c r="M44" s="34">
        <f>SQRT(SUMSQ(M16,M23,M30,M35)/COUNT(M16,M23,M30,M35)+(STDEV(L16,L23,L30,L35)/SQRT(M42))^2)</f>
        <v>1.658064755510848E-7</v>
      </c>
      <c r="N44" s="117">
        <f>M44/L36</f>
        <v>5.926538508510643E-9</v>
      </c>
      <c r="R44" s="5"/>
      <c r="T44" s="5"/>
      <c r="V44" s="5"/>
    </row>
    <row r="45" spans="1:34" x14ac:dyDescent="0.2">
      <c r="F45" s="5"/>
      <c r="J45" s="5"/>
      <c r="K45" s="5"/>
      <c r="M45" s="31"/>
      <c r="R45" s="5"/>
      <c r="T45" s="5"/>
      <c r="V45" s="5"/>
    </row>
    <row r="46" spans="1:34" x14ac:dyDescent="0.2">
      <c r="F46" s="5"/>
      <c r="J46" s="5"/>
      <c r="K46" s="5"/>
      <c r="M46" s="31"/>
      <c r="R46" s="5"/>
      <c r="T46" s="5"/>
      <c r="V46" s="5"/>
    </row>
    <row r="47" spans="1:34" x14ac:dyDescent="0.2">
      <c r="J47" s="5"/>
      <c r="K47" s="5"/>
      <c r="M47" s="31"/>
      <c r="R47" s="5"/>
      <c r="T47" s="5"/>
      <c r="V47" s="5"/>
    </row>
    <row r="48" spans="1:34" x14ac:dyDescent="0.2">
      <c r="M48" s="31"/>
      <c r="R48" s="5"/>
      <c r="T48" s="5"/>
      <c r="V48" s="5"/>
    </row>
    <row r="49" spans="12:22" x14ac:dyDescent="0.2">
      <c r="L49" s="1" t="s">
        <v>60</v>
      </c>
      <c r="M49" s="31">
        <f>SQRT(M36^2+M38^2)</f>
        <v>1.658064755510848E-7</v>
      </c>
      <c r="R49" s="5"/>
      <c r="T49" s="5"/>
      <c r="V49" s="5"/>
    </row>
    <row r="50" spans="12:22" x14ac:dyDescent="0.2">
      <c r="M50" s="31"/>
      <c r="R50" s="5"/>
      <c r="T50" s="5"/>
      <c r="V50" s="5"/>
    </row>
    <row r="51" spans="12:22" x14ac:dyDescent="0.2">
      <c r="M51" s="31"/>
      <c r="R51" s="5"/>
      <c r="T51" s="5"/>
      <c r="V51" s="5"/>
    </row>
    <row r="52" spans="12:22" x14ac:dyDescent="0.2">
      <c r="M52" s="31"/>
      <c r="R52" s="5"/>
      <c r="T52" s="5"/>
      <c r="V52" s="5"/>
    </row>
    <row r="53" spans="12:22" x14ac:dyDescent="0.2">
      <c r="M53" s="31"/>
      <c r="T53" s="5"/>
    </row>
    <row r="54" spans="12:22" x14ac:dyDescent="0.2">
      <c r="M54" s="31"/>
    </row>
    <row r="55" spans="12:22" x14ac:dyDescent="0.2">
      <c r="M55" s="31"/>
    </row>
    <row r="56" spans="12:22" x14ac:dyDescent="0.2">
      <c r="M56" s="31"/>
    </row>
  </sheetData>
  <phoneticPr fontId="36" type="noConversion"/>
  <pageMargins left="0.78740157499999996" right="0.78740157499999996" top="0.984251969" bottom="0.984251969" header="0.4921259845" footer="0.4921259845"/>
  <pageSetup paperSize="9" scale="110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B0441-A95D-4685-9DC6-4AA7366D1AD1}">
  <dimension ref="A1:AK56"/>
  <sheetViews>
    <sheetView workbookViewId="0"/>
  </sheetViews>
  <sheetFormatPr baseColWidth="10" defaultRowHeight="12.75" x14ac:dyDescent="0.2"/>
  <cols>
    <col min="1" max="1" width="20.7109375" style="1" customWidth="1"/>
    <col min="2" max="2" width="10.7109375" style="1" customWidth="1"/>
    <col min="3" max="19" width="15.7109375" style="1" customWidth="1"/>
    <col min="20" max="20" width="15.85546875" style="1" customWidth="1"/>
    <col min="21" max="25" width="15.7109375" style="1" customWidth="1"/>
    <col min="26" max="26" width="11.42578125" style="1"/>
    <col min="27" max="27" width="13.5703125" style="1" bestFit="1" customWidth="1"/>
    <col min="28" max="31" width="11.42578125" style="1"/>
    <col min="32" max="32" width="13.5703125" style="1" bestFit="1" customWidth="1"/>
    <col min="33" max="34" width="12.5703125" style="1" bestFit="1" customWidth="1"/>
    <col min="35" max="35" width="11.42578125" style="1"/>
    <col min="36" max="37" width="15.7109375" style="1" customWidth="1"/>
    <col min="38" max="16384" width="11.42578125" style="1"/>
  </cols>
  <sheetData>
    <row r="1" spans="1:37" ht="25.9" customHeight="1" x14ac:dyDescent="0.2">
      <c r="A1" s="1" t="s">
        <v>2</v>
      </c>
      <c r="B1" s="2"/>
    </row>
    <row r="2" spans="1:37" ht="15" customHeight="1" x14ac:dyDescent="0.2">
      <c r="B2" s="2"/>
    </row>
    <row r="3" spans="1:37" ht="14.25" x14ac:dyDescent="0.2">
      <c r="C3" s="1" t="s">
        <v>3</v>
      </c>
      <c r="E3" s="3" t="s">
        <v>4</v>
      </c>
      <c r="F3" s="4">
        <v>28.976494664299999</v>
      </c>
      <c r="G3" s="5" t="s">
        <v>5</v>
      </c>
      <c r="I3" s="6" t="s">
        <v>6</v>
      </c>
      <c r="K3" s="4"/>
    </row>
    <row r="4" spans="1:37" ht="14.25" x14ac:dyDescent="0.2">
      <c r="B4" s="2"/>
      <c r="C4" s="1" t="s">
        <v>35</v>
      </c>
      <c r="D4" s="5"/>
      <c r="E4" s="3" t="s">
        <v>7</v>
      </c>
      <c r="F4" s="7">
        <v>29.973770136999999</v>
      </c>
      <c r="G4" s="5" t="s">
        <v>5</v>
      </c>
      <c r="K4" s="8"/>
    </row>
    <row r="5" spans="1:37" ht="14.25" x14ac:dyDescent="0.2">
      <c r="B5" s="2"/>
      <c r="C5" s="3"/>
      <c r="E5" s="3" t="s">
        <v>8</v>
      </c>
      <c r="F5" s="9">
        <v>27.9769265344</v>
      </c>
      <c r="G5" s="5" t="s">
        <v>5</v>
      </c>
      <c r="K5" s="4"/>
    </row>
    <row r="6" spans="1:37" x14ac:dyDescent="0.2">
      <c r="A6" s="2" t="s">
        <v>67</v>
      </c>
      <c r="C6" s="10" t="s">
        <v>34</v>
      </c>
      <c r="D6" s="11"/>
      <c r="E6" s="11"/>
      <c r="F6" s="11"/>
      <c r="G6" s="11"/>
      <c r="L6" s="9"/>
      <c r="W6" s="1" t="s">
        <v>56</v>
      </c>
      <c r="AC6" s="1" t="s">
        <v>62</v>
      </c>
      <c r="AF6" s="1" t="s">
        <v>68</v>
      </c>
    </row>
    <row r="7" spans="1:37" x14ac:dyDescent="0.2">
      <c r="A7" s="2"/>
      <c r="B7" s="13"/>
      <c r="C7" s="14"/>
      <c r="D7" s="12"/>
      <c r="E7" s="12"/>
      <c r="F7" s="12"/>
      <c r="G7" s="12"/>
      <c r="H7" s="12"/>
      <c r="I7" s="15"/>
      <c r="J7" s="12"/>
      <c r="K7" s="12"/>
      <c r="L7" s="12"/>
      <c r="M7" s="12"/>
      <c r="N7" s="16"/>
      <c r="O7" s="16"/>
      <c r="P7" s="12"/>
      <c r="Q7" s="12"/>
      <c r="R7" s="12"/>
      <c r="S7" s="12"/>
      <c r="T7" s="12"/>
      <c r="U7" s="12"/>
      <c r="V7" s="12"/>
      <c r="AG7" s="1" t="s">
        <v>69</v>
      </c>
    </row>
    <row r="8" spans="1:37" ht="15.75" x14ac:dyDescent="0.3">
      <c r="A8" s="17" t="s">
        <v>9</v>
      </c>
      <c r="B8" s="17" t="s">
        <v>10</v>
      </c>
      <c r="C8" s="18" t="s">
        <v>11</v>
      </c>
      <c r="D8" s="18" t="s">
        <v>12</v>
      </c>
      <c r="E8" s="18" t="s">
        <v>13</v>
      </c>
      <c r="F8" s="19" t="s">
        <v>14</v>
      </c>
      <c r="G8" s="20" t="s">
        <v>15</v>
      </c>
      <c r="H8" s="21" t="s">
        <v>30</v>
      </c>
      <c r="I8" s="19" t="s">
        <v>31</v>
      </c>
      <c r="J8" s="21" t="s">
        <v>33</v>
      </c>
      <c r="K8" s="21" t="s">
        <v>32</v>
      </c>
      <c r="L8" s="20" t="s">
        <v>16</v>
      </c>
      <c r="M8" s="22" t="s">
        <v>17</v>
      </c>
      <c r="N8" s="23" t="s">
        <v>18</v>
      </c>
      <c r="O8" s="17" t="s">
        <v>19</v>
      </c>
      <c r="P8" s="17" t="s">
        <v>20</v>
      </c>
      <c r="Q8" s="17" t="s">
        <v>21</v>
      </c>
      <c r="R8" s="17" t="s">
        <v>22</v>
      </c>
      <c r="S8" s="17" t="s">
        <v>23</v>
      </c>
      <c r="T8" s="17" t="s">
        <v>24</v>
      </c>
      <c r="U8" s="17" t="s">
        <v>25</v>
      </c>
      <c r="V8" s="17" t="s">
        <v>26</v>
      </c>
      <c r="W8" s="73" t="s">
        <v>45</v>
      </c>
      <c r="X8" s="74" t="s">
        <v>46</v>
      </c>
      <c r="Y8" s="75" t="s">
        <v>47</v>
      </c>
      <c r="AC8" s="118" t="s">
        <v>46</v>
      </c>
      <c r="AD8" s="118"/>
      <c r="AF8" s="61" t="s">
        <v>70</v>
      </c>
      <c r="AG8" s="61" t="s">
        <v>71</v>
      </c>
      <c r="AH8" s="61" t="s">
        <v>72</v>
      </c>
      <c r="AJ8" s="127"/>
      <c r="AK8" s="5"/>
    </row>
    <row r="9" spans="1:37" ht="13.5" customHeight="1" x14ac:dyDescent="0.2">
      <c r="A9" s="24"/>
      <c r="B9" s="24" t="s">
        <v>28</v>
      </c>
      <c r="C9" s="24" t="s">
        <v>1</v>
      </c>
      <c r="D9" s="24" t="s">
        <v>1</v>
      </c>
      <c r="E9" s="24" t="s">
        <v>1</v>
      </c>
      <c r="F9" s="24" t="s">
        <v>73</v>
      </c>
      <c r="G9" s="38">
        <v>1</v>
      </c>
      <c r="H9" s="24" t="s">
        <v>0</v>
      </c>
      <c r="I9" s="24" t="s">
        <v>0</v>
      </c>
      <c r="J9" s="24" t="s">
        <v>73</v>
      </c>
      <c r="K9" s="24" t="s">
        <v>73</v>
      </c>
      <c r="L9" s="38" t="s">
        <v>5</v>
      </c>
      <c r="M9" s="25" t="s">
        <v>5</v>
      </c>
      <c r="N9" s="5"/>
      <c r="O9" s="24" t="s">
        <v>29</v>
      </c>
      <c r="P9" s="24" t="s">
        <v>29</v>
      </c>
      <c r="Q9" s="24" t="s">
        <v>1</v>
      </c>
      <c r="R9" s="24" t="s">
        <v>1</v>
      </c>
      <c r="S9" s="24" t="s">
        <v>1</v>
      </c>
      <c r="T9" s="37"/>
      <c r="U9" s="24" t="s">
        <v>1</v>
      </c>
      <c r="V9" s="37"/>
      <c r="W9" s="76" t="s">
        <v>5</v>
      </c>
      <c r="X9" s="76" t="s">
        <v>5</v>
      </c>
      <c r="Y9" s="77"/>
      <c r="AC9" s="119" t="s">
        <v>5</v>
      </c>
      <c r="AD9" s="119"/>
      <c r="AF9" s="5" t="s">
        <v>5</v>
      </c>
      <c r="AG9" s="5" t="s">
        <v>5</v>
      </c>
      <c r="AH9" s="5" t="s">
        <v>5</v>
      </c>
      <c r="AJ9" s="11"/>
      <c r="AK9" s="5"/>
    </row>
    <row r="10" spans="1:37" ht="13.5" customHeight="1" x14ac:dyDescent="0.2">
      <c r="A10" s="22" t="s">
        <v>52</v>
      </c>
      <c r="B10" s="17">
        <v>1</v>
      </c>
      <c r="C10" s="46">
        <v>269.03946799281931</v>
      </c>
      <c r="D10" s="17">
        <v>1.5855225539945401</v>
      </c>
      <c r="E10" s="47">
        <v>0.66230180937464944</v>
      </c>
      <c r="F10" s="23">
        <v>0.69794961654911347</v>
      </c>
      <c r="G10" s="49">
        <f t="shared" ref="G10:G15" si="0">E10/F10</f>
        <v>0.94892495628736329</v>
      </c>
      <c r="H10" s="48">
        <v>6.383718000650565E-2</v>
      </c>
      <c r="I10" s="50">
        <v>6.5673067456897745E-6</v>
      </c>
      <c r="J10" s="23">
        <v>7.8667518481767302E-3</v>
      </c>
      <c r="K10" s="17">
        <v>4.1597751911133214</v>
      </c>
      <c r="L10" s="83">
        <f t="shared" ref="L10:L15" si="1">$F$5/(1+(I10/H10)*($F$5*(1+G10*J10)-$F$3-G10*J10*$F$4)/(D10*$F$5+$F$3+C10*$F$4)*((C10-G10*K10)/(G10*K10-G10*J10)))</f>
        <v>27.976950676963988</v>
      </c>
      <c r="M10" s="53">
        <v>5.54E-8</v>
      </c>
      <c r="N10" s="54">
        <f t="shared" ref="N10:N35" si="2">M10/L10</f>
        <v>1.980201510867871E-9</v>
      </c>
      <c r="O10" s="84">
        <f t="shared" ref="O10:O15" si="3">($F$3+C10*$F$4)/(D10*$F$5+$F$3+C10*$F$4)</f>
        <v>0.99454890854539768</v>
      </c>
      <c r="P10" s="23">
        <f t="shared" ref="P10:P15" si="4">O10*I10/H10*(($F$3+G10*J10*$F$4)/($F$3+C10*$F$4))*(C10-G10*K10)/(G10*K10-G10*J10)</f>
        <v>2.4838674730435124E-5</v>
      </c>
      <c r="Q10" s="47">
        <f t="shared" ref="Q10:Q15" si="5">((1-P10)/$F$5)/((1-P10)/$F$5+(1+G10*J10)*P10/($F$3+G10*J10*$F$4))</f>
        <v>0.99997602424937548</v>
      </c>
      <c r="R10" s="56">
        <v>5.5000000000000003E-8</v>
      </c>
      <c r="S10" s="57">
        <f t="shared" ref="S10:S15" si="6">(1-Q10)/(1+G10*J10)</f>
        <v>2.3798098836364499E-5</v>
      </c>
      <c r="T10" s="56">
        <v>5.4900000000000002E-8</v>
      </c>
      <c r="U10" s="58">
        <f t="shared" ref="U10:U15" si="7">G10*J10*S10</f>
        <v>1.7765178815189927E-7</v>
      </c>
      <c r="V10" s="59">
        <v>3.36E-9</v>
      </c>
      <c r="W10" s="35">
        <f t="shared" ref="W10:W15" si="8">L10-$L$36</f>
        <v>1.1937777699699836E-7</v>
      </c>
      <c r="X10" s="31">
        <f t="shared" ref="X10:X15" si="9">2*SQRT(SUMSQ(M10,$M$36))</f>
        <v>2.007634373529647E-7</v>
      </c>
      <c r="Y10" s="5">
        <f>ABS(W10/X10)</f>
        <v>0.59461911277758617</v>
      </c>
      <c r="AA10" s="9"/>
      <c r="AC10" s="116">
        <f t="shared" ref="AC10:AC15" si="10">2*SQRT(SUMSQ(R10,$M$44))</f>
        <v>3.0563522268269501E-7</v>
      </c>
      <c r="AF10" s="9">
        <f>$L$36</f>
        <v>27.976950557586211</v>
      </c>
      <c r="AG10" s="7">
        <f>AF10+$M$44</f>
        <v>27.976950700163286</v>
      </c>
      <c r="AH10" s="7">
        <f>AF10-$M$44</f>
        <v>27.976950415009135</v>
      </c>
    </row>
    <row r="11" spans="1:37" ht="13.5" customHeight="1" x14ac:dyDescent="0.2">
      <c r="A11" s="22" t="s">
        <v>52</v>
      </c>
      <c r="B11" s="24">
        <v>2</v>
      </c>
      <c r="C11" s="26">
        <v>269.03946799281931</v>
      </c>
      <c r="D11" s="24">
        <v>1.5855225539945401</v>
      </c>
      <c r="E11" s="27">
        <v>0.66230180937464944</v>
      </c>
      <c r="F11" s="36">
        <v>0.69447571960874788</v>
      </c>
      <c r="G11" s="28">
        <f t="shared" si="0"/>
        <v>0.9536716557171725</v>
      </c>
      <c r="H11" s="36">
        <v>6.383718000650565E-2</v>
      </c>
      <c r="I11" s="29">
        <v>6.5673067456897745E-6</v>
      </c>
      <c r="J11" s="24">
        <v>7.9896446618725157E-3</v>
      </c>
      <c r="K11" s="5">
        <v>4.1750053269927418</v>
      </c>
      <c r="L11" s="30">
        <f t="shared" si="1"/>
        <v>27.976950473893364</v>
      </c>
      <c r="M11" s="34">
        <v>1.3199999999999999E-7</v>
      </c>
      <c r="N11" s="41">
        <f t="shared" si="2"/>
        <v>4.7181696991305587E-9</v>
      </c>
      <c r="O11" s="65">
        <f t="shared" si="3"/>
        <v>0.99454890854539768</v>
      </c>
      <c r="P11" s="5">
        <f t="shared" si="4"/>
        <v>2.4626165170527244E-5</v>
      </c>
      <c r="Q11" s="27">
        <f t="shared" si="5"/>
        <v>0.99997622950079401</v>
      </c>
      <c r="R11" s="42">
        <v>1.31E-7</v>
      </c>
      <c r="S11" s="43">
        <f t="shared" si="6"/>
        <v>2.3590749545189709E-5</v>
      </c>
      <c r="T11" s="42">
        <v>1.3E-7</v>
      </c>
      <c r="U11" s="32">
        <f t="shared" si="7"/>
        <v>1.7974966079868522E-7</v>
      </c>
      <c r="V11" s="112">
        <v>9.53E-9</v>
      </c>
      <c r="W11" s="35">
        <f t="shared" si="8"/>
        <v>-8.369284643094943E-8</v>
      </c>
      <c r="X11" s="31">
        <f t="shared" si="9"/>
        <v>3.1261048891196497E-7</v>
      </c>
      <c r="Y11" s="5">
        <f t="shared" ref="Y11:Y34" si="11">ABS(W11/X11)</f>
        <v>0.26772245141946721</v>
      </c>
      <c r="AA11" s="9"/>
      <c r="AC11" s="116">
        <f t="shared" si="10"/>
        <v>3.8724267500406071E-7</v>
      </c>
      <c r="AF11" s="9">
        <f>AF10</f>
        <v>27.976950557586211</v>
      </c>
      <c r="AG11" s="7">
        <f t="shared" ref="AG11:AG15" si="12">AF11+$M$44</f>
        <v>27.976950700163286</v>
      </c>
      <c r="AH11" s="7">
        <f t="shared" ref="AH11:AH15" si="13">AF11-$M$44</f>
        <v>27.976950415009135</v>
      </c>
    </row>
    <row r="12" spans="1:37" ht="13.5" customHeight="1" x14ac:dyDescent="0.2">
      <c r="A12" s="22" t="s">
        <v>52</v>
      </c>
      <c r="B12" s="24">
        <v>3</v>
      </c>
      <c r="C12" s="26">
        <v>269.03946799281931</v>
      </c>
      <c r="D12" s="24">
        <v>1.5855225539945401</v>
      </c>
      <c r="E12" s="27">
        <v>0.66230180937464944</v>
      </c>
      <c r="F12" s="5">
        <v>0.70118641555470385</v>
      </c>
      <c r="G12" s="28">
        <f t="shared" si="0"/>
        <v>0.94454455289283801</v>
      </c>
      <c r="H12" s="36">
        <v>6.383718000650565E-2</v>
      </c>
      <c r="I12" s="29">
        <v>6.5673067456897745E-6</v>
      </c>
      <c r="J12" s="5">
        <v>6.094628801047405E-3</v>
      </c>
      <c r="K12" s="24">
        <v>4.2014646735243062</v>
      </c>
      <c r="L12" s="30">
        <f t="shared" si="1"/>
        <v>27.976950455042619</v>
      </c>
      <c r="M12" s="34">
        <v>5.8500000000000001E-8</v>
      </c>
      <c r="N12" s="41">
        <f t="shared" si="2"/>
        <v>2.0910070271599544E-9</v>
      </c>
      <c r="O12" s="65">
        <f t="shared" si="3"/>
        <v>0.99454890854539768</v>
      </c>
      <c r="P12" s="5">
        <f t="shared" si="4"/>
        <v>2.4650086282421928E-5</v>
      </c>
      <c r="Q12" s="27">
        <f t="shared" si="5"/>
        <v>0.99997620490588202</v>
      </c>
      <c r="R12" s="42">
        <v>5.3500000000000003E-8</v>
      </c>
      <c r="S12" s="43">
        <f t="shared" si="6"/>
        <v>2.3658898158901964E-5</v>
      </c>
      <c r="T12" s="42">
        <v>5.1100000000000001E-8</v>
      </c>
      <c r="U12" s="32">
        <f t="shared" si="7"/>
        <v>1.361959590823443E-7</v>
      </c>
      <c r="V12" s="112">
        <v>1.27E-8</v>
      </c>
      <c r="W12" s="35">
        <f t="shared" si="8"/>
        <v>-1.0254359139594271E-7</v>
      </c>
      <c r="X12" s="31">
        <f t="shared" si="9"/>
        <v>2.0425062491404469E-7</v>
      </c>
      <c r="Y12" s="5">
        <f t="shared" si="11"/>
        <v>0.50204787103636228</v>
      </c>
      <c r="AA12" s="9"/>
      <c r="AC12" s="116">
        <f t="shared" si="10"/>
        <v>3.0456836563290776E-7</v>
      </c>
      <c r="AF12" s="9">
        <f>AF10</f>
        <v>27.976950557586211</v>
      </c>
      <c r="AG12" s="7">
        <f t="shared" si="12"/>
        <v>27.976950700163286</v>
      </c>
      <c r="AH12" s="7">
        <f t="shared" si="13"/>
        <v>27.976950415009135</v>
      </c>
    </row>
    <row r="13" spans="1:37" ht="13.5" customHeight="1" x14ac:dyDescent="0.2">
      <c r="A13" s="22" t="s">
        <v>52</v>
      </c>
      <c r="B13" s="24">
        <v>4</v>
      </c>
      <c r="C13" s="26">
        <v>269.03946799281931</v>
      </c>
      <c r="D13" s="24">
        <v>1.5855225539945401</v>
      </c>
      <c r="E13" s="27">
        <v>0.66230180937464944</v>
      </c>
      <c r="F13" s="5">
        <v>0.70110880123849739</v>
      </c>
      <c r="G13" s="28">
        <f t="shared" si="0"/>
        <v>0.94464911609254365</v>
      </c>
      <c r="H13" s="36">
        <v>6.383718000650565E-2</v>
      </c>
      <c r="I13" s="29">
        <v>6.5673067456897745E-6</v>
      </c>
      <c r="J13" s="5">
        <v>6.2886611399499701E-3</v>
      </c>
      <c r="K13" s="24">
        <v>4.2196998132323751</v>
      </c>
      <c r="L13" s="30">
        <f t="shared" si="1"/>
        <v>27.976950357045521</v>
      </c>
      <c r="M13" s="34">
        <v>5.0699999999999997E-8</v>
      </c>
      <c r="N13" s="41">
        <f t="shared" si="2"/>
        <v>1.8122060965530527E-9</v>
      </c>
      <c r="O13" s="65">
        <f t="shared" si="3"/>
        <v>0.99454890854539768</v>
      </c>
      <c r="P13" s="5">
        <f t="shared" si="4"/>
        <v>2.4544827822740872E-5</v>
      </c>
      <c r="Q13" s="27">
        <f t="shared" si="5"/>
        <v>0.99997630666173487</v>
      </c>
      <c r="R13" s="42">
        <v>4.9899999999999997E-8</v>
      </c>
      <c r="S13" s="43">
        <f t="shared" si="6"/>
        <v>2.3553417347797685E-5</v>
      </c>
      <c r="T13" s="42">
        <v>4.9600000000000001E-8</v>
      </c>
      <c r="U13" s="32">
        <f t="shared" si="7"/>
        <v>1.3992091733174095E-7</v>
      </c>
      <c r="V13" s="112">
        <v>4.6200000000000002E-9</v>
      </c>
      <c r="W13" s="35">
        <f t="shared" si="8"/>
        <v>-2.0054068983199613E-7</v>
      </c>
      <c r="X13" s="31">
        <f t="shared" si="9"/>
        <v>1.9573266916326916E-7</v>
      </c>
      <c r="Y13" s="5">
        <f t="shared" si="11"/>
        <v>1.0245642216461903</v>
      </c>
      <c r="AA13" s="9"/>
      <c r="AC13" s="116">
        <f t="shared" si="10"/>
        <v>3.0211409987668661E-7</v>
      </c>
      <c r="AF13" s="9">
        <f>AF10</f>
        <v>27.976950557586211</v>
      </c>
      <c r="AG13" s="7">
        <f t="shared" si="12"/>
        <v>27.976950700163286</v>
      </c>
      <c r="AH13" s="7">
        <f t="shared" si="13"/>
        <v>27.976950415009135</v>
      </c>
    </row>
    <row r="14" spans="1:37" ht="13.5" customHeight="1" x14ac:dyDescent="0.2">
      <c r="A14" s="22" t="s">
        <v>52</v>
      </c>
      <c r="B14" s="24">
        <v>5</v>
      </c>
      <c r="C14" s="26">
        <v>269.03946799281931</v>
      </c>
      <c r="D14" s="24">
        <v>1.5855225539945401</v>
      </c>
      <c r="E14" s="27">
        <v>0.66230180937464944</v>
      </c>
      <c r="F14" s="5">
        <v>0.69691479485968688</v>
      </c>
      <c r="G14" s="28">
        <f t="shared" si="0"/>
        <v>0.95033397806972053</v>
      </c>
      <c r="H14" s="36">
        <v>6.383718000650565E-2</v>
      </c>
      <c r="I14" s="29">
        <v>6.5673067456897745E-6</v>
      </c>
      <c r="J14" s="5">
        <v>7.0385576859943793E-3</v>
      </c>
      <c r="K14" s="24">
        <v>4.1523853634782775</v>
      </c>
      <c r="L14" s="30">
        <f t="shared" si="1"/>
        <v>27.976950642553927</v>
      </c>
      <c r="M14" s="34">
        <v>7.1200000000000002E-8</v>
      </c>
      <c r="N14" s="41">
        <f t="shared" si="2"/>
        <v>2.544952125400768E-9</v>
      </c>
      <c r="O14" s="65">
        <f t="shared" si="3"/>
        <v>0.99454890854539768</v>
      </c>
      <c r="P14" s="5">
        <f t="shared" si="4"/>
        <v>2.4821428075837912E-5</v>
      </c>
      <c r="Q14" s="27">
        <f t="shared" si="5"/>
        <v>0.99997604026613129</v>
      </c>
      <c r="R14" s="42">
        <v>7.0900000000000006E-8</v>
      </c>
      <c r="S14" s="43">
        <f t="shared" si="6"/>
        <v>2.3800532569847149E-5</v>
      </c>
      <c r="T14" s="42">
        <v>7.0799999999999999E-8</v>
      </c>
      <c r="U14" s="32">
        <f t="shared" si="7"/>
        <v>1.5920129885871715E-7</v>
      </c>
      <c r="V14" s="112">
        <v>3.0300000000000001E-9</v>
      </c>
      <c r="W14" s="35">
        <f t="shared" si="8"/>
        <v>8.4967716418304917E-8</v>
      </c>
      <c r="X14" s="31">
        <f t="shared" si="9"/>
        <v>2.197887116704991E-7</v>
      </c>
      <c r="Y14" s="5">
        <f t="shared" si="11"/>
        <v>0.38658817267051487</v>
      </c>
      <c r="AA14" s="9"/>
      <c r="AC14" s="116">
        <f t="shared" si="10"/>
        <v>3.1846527180259481E-7</v>
      </c>
      <c r="AF14" s="9">
        <f>AF10</f>
        <v>27.976950557586211</v>
      </c>
      <c r="AG14" s="7">
        <f t="shared" si="12"/>
        <v>27.976950700163286</v>
      </c>
      <c r="AH14" s="7">
        <f t="shared" si="13"/>
        <v>27.976950415009135</v>
      </c>
    </row>
    <row r="15" spans="1:37" ht="13.5" customHeight="1" x14ac:dyDescent="0.2">
      <c r="A15" s="22" t="s">
        <v>52</v>
      </c>
      <c r="B15" s="24">
        <v>6</v>
      </c>
      <c r="C15" s="26">
        <v>269.03946799281931</v>
      </c>
      <c r="D15" s="24">
        <v>1.5855225539945401</v>
      </c>
      <c r="E15" s="27">
        <v>0.66230180937464944</v>
      </c>
      <c r="F15" s="5">
        <v>0.698271693778729</v>
      </c>
      <c r="G15" s="28">
        <f t="shared" si="0"/>
        <v>0.94848726545189466</v>
      </c>
      <c r="H15" s="36">
        <v>6.383718000650565E-2</v>
      </c>
      <c r="I15" s="29">
        <v>6.5673067456897745E-6</v>
      </c>
      <c r="J15" s="5">
        <v>6.4378179786663669E-3</v>
      </c>
      <c r="K15" s="24">
        <v>4.1781748410963822</v>
      </c>
      <c r="L15" s="30">
        <f t="shared" si="1"/>
        <v>27.976950507593749</v>
      </c>
      <c r="M15" s="34">
        <v>5.2399999999999999E-8</v>
      </c>
      <c r="N15" s="41">
        <f t="shared" si="2"/>
        <v>1.8729703934593275E-9</v>
      </c>
      <c r="O15" s="65">
        <f t="shared" si="3"/>
        <v>0.99454890854539768</v>
      </c>
      <c r="P15" s="5">
        <f t="shared" si="4"/>
        <v>2.4696070645912133E-5</v>
      </c>
      <c r="Q15" s="27">
        <f t="shared" si="5"/>
        <v>0.99997616079980678</v>
      </c>
      <c r="R15" s="42">
        <v>5.1399999999999997E-8</v>
      </c>
      <c r="S15" s="43">
        <f t="shared" si="6"/>
        <v>2.3694517009026073E-5</v>
      </c>
      <c r="T15" s="42">
        <v>5.0899999999999999E-8</v>
      </c>
      <c r="U15" s="32">
        <f t="shared" si="7"/>
        <v>1.446831841947585E-7</v>
      </c>
      <c r="V15" s="112">
        <v>5.4899999999999999E-9</v>
      </c>
      <c r="W15" s="35">
        <f t="shared" si="8"/>
        <v>-4.9992461725878456E-8</v>
      </c>
      <c r="X15" s="31">
        <f t="shared" si="9"/>
        <v>1.9751546212329246E-7</v>
      </c>
      <c r="Y15" s="5">
        <f t="shared" si="11"/>
        <v>0.25310657296628414</v>
      </c>
      <c r="AA15" s="9"/>
      <c r="AC15" s="116">
        <f t="shared" si="10"/>
        <v>3.0311834214428624E-7</v>
      </c>
      <c r="AF15" s="9">
        <f>AF10</f>
        <v>27.976950557586211</v>
      </c>
      <c r="AG15" s="7">
        <f t="shared" si="12"/>
        <v>27.976950700163286</v>
      </c>
      <c r="AH15" s="7">
        <f t="shared" si="13"/>
        <v>27.976950415009135</v>
      </c>
    </row>
    <row r="16" spans="1:37" ht="13.5" customHeight="1" x14ac:dyDescent="0.2">
      <c r="A16" s="88" t="s">
        <v>52</v>
      </c>
      <c r="B16" s="96"/>
      <c r="C16" s="96"/>
      <c r="D16" s="96"/>
      <c r="E16" s="91" t="s">
        <v>36</v>
      </c>
      <c r="F16" s="89">
        <f>AVERAGE(F10:F15)</f>
        <v>0.69831784026491306</v>
      </c>
      <c r="G16" s="89"/>
      <c r="H16" s="93"/>
      <c r="I16" s="93"/>
      <c r="J16" s="89">
        <f>AVERAGE(J10:J15)</f>
        <v>6.9526770192845618E-3</v>
      </c>
      <c r="K16" s="89">
        <f>AVERAGE(K10:K15)</f>
        <v>4.1810842015729008</v>
      </c>
      <c r="L16" s="93">
        <f>AVERAGE(L10:L15)</f>
        <v>27.976950518848863</v>
      </c>
      <c r="M16" s="97">
        <f>SQRT(SUMSQ(M10:M15)/COUNT(M10:M15))</f>
        <v>7.5609853855168907E-8</v>
      </c>
      <c r="N16" s="98">
        <f t="shared" si="2"/>
        <v>2.7025766730447768E-9</v>
      </c>
      <c r="O16" s="99"/>
      <c r="P16" s="99"/>
      <c r="Q16" s="93">
        <f>AVERAGE(Q10:Q15)</f>
        <v>0.99997616106395404</v>
      </c>
      <c r="R16" s="98">
        <f>SQRT(SUMSQ(R10:R15)/COUNT(R10:R15))</f>
        <v>7.4394253810358236E-8</v>
      </c>
      <c r="S16" s="100">
        <f>AVERAGE(S10:S15)</f>
        <v>2.3682702244521178E-5</v>
      </c>
      <c r="T16" s="98">
        <f>SQRT(SUMSQ(T10:T15)/COUNT(T10:T15))</f>
        <v>7.3698518754902168E-8</v>
      </c>
      <c r="U16" s="101">
        <f>AVERAGE(U10:U15)</f>
        <v>1.5623380140302422E-7</v>
      </c>
      <c r="V16" s="114">
        <f>SQRT(SUMSQ(V10:V15)/COUNT(V10:V15))</f>
        <v>7.3492165115291943E-9</v>
      </c>
      <c r="W16" s="35"/>
      <c r="X16" s="31"/>
      <c r="Y16" s="5"/>
      <c r="AC16" s="116"/>
    </row>
    <row r="17" spans="1:37" ht="13.5" customHeight="1" x14ac:dyDescent="0.2">
      <c r="A17" s="22" t="s">
        <v>51</v>
      </c>
      <c r="B17" s="17">
        <v>1</v>
      </c>
      <c r="C17" s="46">
        <v>269.03946799281931</v>
      </c>
      <c r="D17" s="17">
        <v>1.5855225539945401</v>
      </c>
      <c r="E17" s="47">
        <v>0.66230180937464944</v>
      </c>
      <c r="F17" s="48">
        <v>0.69802567283806638</v>
      </c>
      <c r="G17" s="49">
        <f t="shared" ref="G17:G22" si="14">E17/F17</f>
        <v>0.94882156222396641</v>
      </c>
      <c r="H17" s="47">
        <v>6.383718000650565E-2</v>
      </c>
      <c r="I17" s="50">
        <v>6.5673067456897745E-6</v>
      </c>
      <c r="J17" s="51">
        <v>9.2618223474286009E-3</v>
      </c>
      <c r="K17" s="47">
        <v>4.1497433748021724</v>
      </c>
      <c r="L17" s="52">
        <f t="shared" ref="L17:L22" si="15">$F$5/(1+(I17/H17)*($F$5*(1+G17*J17)-$F$3-G17*J17*$F$4)/(D17*$F$5+$F$3+C17*$F$4)*((C17-G17*K17)/(G17*K17-G17*J17)))</f>
        <v>27.976950810185844</v>
      </c>
      <c r="M17" s="53">
        <v>5.17E-8</v>
      </c>
      <c r="N17" s="54">
        <f t="shared" si="2"/>
        <v>1.8479497766131494E-9</v>
      </c>
      <c r="O17" s="55">
        <f t="shared" ref="O17:O22" si="16">($F$3+C17*$F$4)/(D17*$F$5+$F$3+C17*$F$4)</f>
        <v>0.99454890854539768</v>
      </c>
      <c r="P17" s="23">
        <f t="shared" ref="P17:P22" si="17">O17*I17/H17*(($F$3+G17*J17*$F$4)/($F$3+C17*$F$4))*(C17-G17*K17)/(G17*K17-G17*J17)</f>
        <v>2.4944699954891567E-5</v>
      </c>
      <c r="Q17" s="47">
        <f t="shared" ref="Q17:Q22" si="18">((1-P17)/$F$5)/((1-P17)/$F$5+(1+G17*J17)*P17/($F$3+G17*J17*$F$4))</f>
        <v>0.9999759229857883</v>
      </c>
      <c r="R17" s="56">
        <v>5.1399999999999997E-8</v>
      </c>
      <c r="S17" s="57">
        <f t="shared" ref="S17:S22" si="19">(1-Q17)/(1+G17*J17)</f>
        <v>2.3867272990367396E-5</v>
      </c>
      <c r="T17" s="56">
        <v>5.1200000000000002E-8</v>
      </c>
      <c r="U17" s="58">
        <f t="shared" ref="U17:U22" si="20">G17*J17*S17</f>
        <v>2.0974122133121519E-7</v>
      </c>
      <c r="V17" s="59">
        <v>3.0100000000000002E-9</v>
      </c>
      <c r="W17" s="35">
        <f t="shared" ref="W17:W22" si="21">L17-$L$36</f>
        <v>2.5259963365442673E-7</v>
      </c>
      <c r="X17" s="31">
        <f t="shared" ref="X17:X22" si="22">2*SQRT(SUMSQ(M17,$M$36))</f>
        <v>1.9677621242868199E-7</v>
      </c>
      <c r="Y17" s="5">
        <f t="shared" si="11"/>
        <v>1.2836898857679606</v>
      </c>
      <c r="AC17" s="116">
        <f t="shared" ref="AC17:AC22" si="23">2*SQRT(SUMSQ(R17,$M$44))</f>
        <v>3.0311834214428624E-7</v>
      </c>
      <c r="AJ17" s="5"/>
      <c r="AK17" s="34"/>
    </row>
    <row r="18" spans="1:37" ht="13.5" customHeight="1" x14ac:dyDescent="0.2">
      <c r="A18" s="22" t="s">
        <v>51</v>
      </c>
      <c r="B18" s="24">
        <v>2</v>
      </c>
      <c r="C18" s="26">
        <v>269.03946799281931</v>
      </c>
      <c r="D18" s="24">
        <v>1.5855225539945401</v>
      </c>
      <c r="E18" s="27">
        <v>0.66230180937464944</v>
      </c>
      <c r="F18" s="36">
        <v>0.70114308239987067</v>
      </c>
      <c r="G18" s="28">
        <f t="shared" si="14"/>
        <v>0.94460292913070554</v>
      </c>
      <c r="H18" s="27">
        <v>6.383718000650565E-2</v>
      </c>
      <c r="I18" s="29">
        <v>6.5673067456897745E-6</v>
      </c>
      <c r="J18" s="35">
        <v>8.3673405881365456E-3</v>
      </c>
      <c r="K18" s="27">
        <v>4.176407049364343</v>
      </c>
      <c r="L18" s="30">
        <f t="shared" si="15"/>
        <v>27.976950714639646</v>
      </c>
      <c r="M18" s="40">
        <v>5.3699999999999998E-8</v>
      </c>
      <c r="N18" s="41">
        <f t="shared" si="2"/>
        <v>1.9194372019928577E-9</v>
      </c>
      <c r="O18" s="33">
        <f t="shared" si="16"/>
        <v>0.99454890854539768</v>
      </c>
      <c r="P18" s="5">
        <f t="shared" si="17"/>
        <v>2.4867162629118178E-5</v>
      </c>
      <c r="Q18" s="27">
        <f t="shared" si="18"/>
        <v>0.99997599710808771</v>
      </c>
      <c r="R18" s="42">
        <v>5.1200000000000002E-8</v>
      </c>
      <c r="S18" s="43">
        <f t="shared" si="19"/>
        <v>2.381466521772933E-5</v>
      </c>
      <c r="T18" s="42">
        <v>4.9999999999999998E-8</v>
      </c>
      <c r="U18" s="32">
        <f t="shared" si="20"/>
        <v>1.8822669455988236E-7</v>
      </c>
      <c r="V18" s="112">
        <v>8.7399999999999992E-9</v>
      </c>
      <c r="W18" s="35">
        <f t="shared" si="21"/>
        <v>1.5705343514582637E-7</v>
      </c>
      <c r="X18" s="31">
        <f t="shared" si="22"/>
        <v>1.9890720896382257E-7</v>
      </c>
      <c r="Y18" s="5">
        <f t="shared" si="11"/>
        <v>0.78958141318242214</v>
      </c>
      <c r="AC18" s="116">
        <f t="shared" si="23"/>
        <v>3.0298291922862677E-7</v>
      </c>
      <c r="AJ18" s="5"/>
      <c r="AK18" s="34"/>
    </row>
    <row r="19" spans="1:37" ht="13.5" customHeight="1" x14ac:dyDescent="0.2">
      <c r="A19" s="22" t="s">
        <v>51</v>
      </c>
      <c r="B19" s="24">
        <v>3</v>
      </c>
      <c r="C19" s="26">
        <v>269.03946799281931</v>
      </c>
      <c r="D19" s="24">
        <v>1.5855225539945401</v>
      </c>
      <c r="E19" s="27">
        <v>0.66230180937464944</v>
      </c>
      <c r="F19" s="5">
        <v>0.70148227234605498</v>
      </c>
      <c r="G19" s="28">
        <f t="shared" si="14"/>
        <v>0.94414618228288305</v>
      </c>
      <c r="H19" s="27">
        <v>6.383718000650565E-2</v>
      </c>
      <c r="I19" s="29">
        <v>6.5673067456897745E-6</v>
      </c>
      <c r="J19" s="35">
        <v>8.8422524096165092E-3</v>
      </c>
      <c r="K19" s="24">
        <v>4.1715229781641554</v>
      </c>
      <c r="L19" s="30">
        <f t="shared" si="15"/>
        <v>27.976950779256232</v>
      </c>
      <c r="M19" s="40">
        <v>5.6500000000000003E-8</v>
      </c>
      <c r="N19" s="41">
        <f t="shared" si="2"/>
        <v>2.0195195840245909E-9</v>
      </c>
      <c r="O19" s="33">
        <f t="shared" si="16"/>
        <v>0.99454890854539768</v>
      </c>
      <c r="P19" s="5">
        <f t="shared" si="17"/>
        <v>2.4923197461268262E-5</v>
      </c>
      <c r="Q19" s="27">
        <f t="shared" si="18"/>
        <v>0.99997594338278806</v>
      </c>
      <c r="R19" s="42">
        <v>5.5099999999999997E-8</v>
      </c>
      <c r="S19" s="43">
        <f t="shared" si="19"/>
        <v>2.3857446212440843E-5</v>
      </c>
      <c r="T19" s="42">
        <v>5.4499999999999998E-8</v>
      </c>
      <c r="U19" s="32">
        <f t="shared" si="20"/>
        <v>1.991709995019004E-7</v>
      </c>
      <c r="V19" s="112">
        <v>6.3099999999999999E-9</v>
      </c>
      <c r="W19" s="35">
        <f t="shared" si="21"/>
        <v>2.216700210055933E-7</v>
      </c>
      <c r="X19" s="31">
        <f t="shared" si="22"/>
        <v>2.0198593460381786E-7</v>
      </c>
      <c r="Y19" s="5">
        <f t="shared" si="11"/>
        <v>1.0974527579872553</v>
      </c>
      <c r="AC19" s="116">
        <f t="shared" si="23"/>
        <v>3.0570726086290557E-7</v>
      </c>
      <c r="AJ19" s="5"/>
      <c r="AK19" s="34"/>
    </row>
    <row r="20" spans="1:37" ht="13.5" customHeight="1" x14ac:dyDescent="0.2">
      <c r="A20" s="22" t="s">
        <v>51</v>
      </c>
      <c r="B20" s="24">
        <v>4</v>
      </c>
      <c r="C20" s="26">
        <v>269.03946799281931</v>
      </c>
      <c r="D20" s="24">
        <v>1.5855225539945401</v>
      </c>
      <c r="E20" s="27">
        <v>0.66230180937464944</v>
      </c>
      <c r="F20" s="5">
        <v>0.70406947365433392</v>
      </c>
      <c r="G20" s="28">
        <f t="shared" si="14"/>
        <v>0.94067678568295587</v>
      </c>
      <c r="H20" s="27">
        <v>6.383718000650565E-2</v>
      </c>
      <c r="I20" s="29">
        <v>6.5673067456897745E-6</v>
      </c>
      <c r="J20" s="35">
        <v>8.0448545445877158E-3</v>
      </c>
      <c r="K20" s="24">
        <v>4.1972792624771698</v>
      </c>
      <c r="L20" s="30">
        <f t="shared" si="15"/>
        <v>27.976950676447132</v>
      </c>
      <c r="M20" s="40">
        <v>5.1200000000000002E-8</v>
      </c>
      <c r="N20" s="41">
        <f t="shared" si="2"/>
        <v>1.83007793065538E-9</v>
      </c>
      <c r="O20" s="33">
        <f t="shared" si="16"/>
        <v>0.99454890854539768</v>
      </c>
      <c r="P20" s="5">
        <f t="shared" si="17"/>
        <v>2.4835742034681637E-5</v>
      </c>
      <c r="Q20" s="27">
        <f t="shared" si="18"/>
        <v>0.9999760271635999</v>
      </c>
      <c r="R20" s="42">
        <v>5.0400000000000001E-8</v>
      </c>
      <c r="S20" s="43">
        <f t="shared" si="19"/>
        <v>2.3792781955072886E-5</v>
      </c>
      <c r="T20" s="42">
        <v>4.9999999999999998E-8</v>
      </c>
      <c r="U20" s="32">
        <f t="shared" si="20"/>
        <v>1.8005444502617854E-7</v>
      </c>
      <c r="V20" s="112">
        <v>4.9900000000000003E-9</v>
      </c>
      <c r="W20" s="35">
        <f t="shared" si="21"/>
        <v>1.1886092110557911E-7</v>
      </c>
      <c r="X20" s="31">
        <f t="shared" si="22"/>
        <v>1.9625258667792836E-7</v>
      </c>
      <c r="Y20" s="5">
        <f t="shared" si="11"/>
        <v>0.60565276166597837</v>
      </c>
      <c r="AC20" s="116">
        <f t="shared" si="23"/>
        <v>3.0244591143591376E-7</v>
      </c>
      <c r="AJ20" s="5"/>
      <c r="AK20" s="34"/>
    </row>
    <row r="21" spans="1:37" ht="13.5" customHeight="1" x14ac:dyDescent="0.2">
      <c r="A21" s="22" t="s">
        <v>51</v>
      </c>
      <c r="B21" s="24">
        <v>5</v>
      </c>
      <c r="C21" s="26">
        <v>269.03946799281931</v>
      </c>
      <c r="D21" s="24">
        <v>1.5855225539945401</v>
      </c>
      <c r="E21" s="27">
        <v>0.66230180937464944</v>
      </c>
      <c r="F21" s="5">
        <v>0.70578141113498738</v>
      </c>
      <c r="G21" s="28">
        <f t="shared" si="14"/>
        <v>0.93839508794880677</v>
      </c>
      <c r="H21" s="27">
        <v>6.383718000650565E-2</v>
      </c>
      <c r="I21" s="29">
        <v>6.5673067456897745E-6</v>
      </c>
      <c r="J21" s="35">
        <v>8.4433517013132314E-3</v>
      </c>
      <c r="K21" s="24">
        <v>4.204727488782388</v>
      </c>
      <c r="L21" s="30">
        <f t="shared" si="15"/>
        <v>27.976950711634149</v>
      </c>
      <c r="M21" s="40">
        <v>6.1000000000000004E-8</v>
      </c>
      <c r="N21" s="42">
        <f t="shared" si="2"/>
        <v>2.180366281827608E-9</v>
      </c>
      <c r="O21" s="33">
        <f t="shared" si="16"/>
        <v>0.99454890854539768</v>
      </c>
      <c r="P21" s="5">
        <f t="shared" si="17"/>
        <v>2.4863618391280219E-5</v>
      </c>
      <c r="Q21" s="27">
        <f t="shared" si="18"/>
        <v>0.99997600054490365</v>
      </c>
      <c r="R21" s="42">
        <v>5.39E-8</v>
      </c>
      <c r="S21" s="43">
        <f t="shared" si="19"/>
        <v>2.3810797392108073E-5</v>
      </c>
      <c r="T21" s="42">
        <v>5.0500000000000002E-8</v>
      </c>
      <c r="U21" s="32">
        <f t="shared" si="20"/>
        <v>1.8865770423819411E-7</v>
      </c>
      <c r="V21" s="112">
        <v>1.52E-8</v>
      </c>
      <c r="W21" s="35">
        <f t="shared" si="21"/>
        <v>1.5404793884954415E-7</v>
      </c>
      <c r="X21" s="31">
        <f t="shared" si="22"/>
        <v>2.0715529869587642E-7</v>
      </c>
      <c r="Y21" s="5">
        <f t="shared" si="11"/>
        <v>0.74363504008507697</v>
      </c>
      <c r="AC21" s="116">
        <f t="shared" si="23"/>
        <v>3.0485033925567572E-7</v>
      </c>
      <c r="AJ21" s="5"/>
      <c r="AK21" s="34"/>
    </row>
    <row r="22" spans="1:37" ht="13.5" customHeight="1" x14ac:dyDescent="0.2">
      <c r="A22" s="22" t="s">
        <v>51</v>
      </c>
      <c r="B22" s="81">
        <v>6</v>
      </c>
      <c r="C22" s="102">
        <v>269.03946799281931</v>
      </c>
      <c r="D22" s="81">
        <v>1.5855225539945401</v>
      </c>
      <c r="E22" s="103">
        <v>0.66230180937464944</v>
      </c>
      <c r="F22" s="16">
        <v>0.70310002138541572</v>
      </c>
      <c r="G22" s="104">
        <f t="shared" si="14"/>
        <v>0.94197381486296095</v>
      </c>
      <c r="H22" s="103">
        <v>6.383718000650565E-2</v>
      </c>
      <c r="I22" s="105">
        <v>6.5673067456897745E-6</v>
      </c>
      <c r="J22" s="82">
        <v>1.1903887497476897E-2</v>
      </c>
      <c r="K22" s="81">
        <v>4.1780341592511689</v>
      </c>
      <c r="L22" s="106">
        <f t="shared" si="15"/>
        <v>27.976950951996329</v>
      </c>
      <c r="M22" s="107">
        <v>5.7700000000000001E-8</v>
      </c>
      <c r="N22" s="108">
        <f t="shared" si="2"/>
        <v>2.0624120226326074E-9</v>
      </c>
      <c r="O22" s="109">
        <f t="shared" si="16"/>
        <v>0.99454890854539768</v>
      </c>
      <c r="P22" s="16">
        <f t="shared" si="17"/>
        <v>2.503359997238512E-5</v>
      </c>
      <c r="Q22" s="103">
        <f t="shared" si="18"/>
        <v>0.99997583915440402</v>
      </c>
      <c r="R22" s="108">
        <v>5.3099999999999999E-8</v>
      </c>
      <c r="S22" s="110">
        <f t="shared" si="19"/>
        <v>2.389293057392172E-5</v>
      </c>
      <c r="T22" s="108">
        <v>5.0899999999999999E-8</v>
      </c>
      <c r="U22" s="111">
        <f t="shared" si="20"/>
        <v>2.6791502205570224E-7</v>
      </c>
      <c r="V22" s="113">
        <v>1.2E-8</v>
      </c>
      <c r="W22" s="35">
        <f t="shared" si="21"/>
        <v>3.9441011878693644E-7</v>
      </c>
      <c r="X22" s="31">
        <f t="shared" si="22"/>
        <v>2.0333833327185944E-7</v>
      </c>
      <c r="Y22" s="5">
        <f t="shared" si="11"/>
        <v>1.9396741993533393</v>
      </c>
      <c r="AC22" s="116">
        <f t="shared" si="23"/>
        <v>3.0428823398925658E-7</v>
      </c>
      <c r="AJ22" s="5"/>
      <c r="AK22" s="34"/>
    </row>
    <row r="23" spans="1:37" x14ac:dyDescent="0.2">
      <c r="A23" s="87" t="s">
        <v>51</v>
      </c>
      <c r="E23" s="10" t="s">
        <v>36</v>
      </c>
      <c r="F23" s="5">
        <f>AVERAGE(F17:F22)</f>
        <v>0.70226698895978823</v>
      </c>
      <c r="J23" s="5">
        <f>AVERAGE(J17:J22)</f>
        <v>9.143918181426583E-3</v>
      </c>
      <c r="K23" s="5">
        <f>AVERAGE(K17:K22)</f>
        <v>4.1796190521402332</v>
      </c>
      <c r="L23" s="35">
        <f>AVERAGE(L17:L22)</f>
        <v>27.976950774026552</v>
      </c>
      <c r="M23" s="34">
        <f>SQRT(SUMSQ(M17:M22)/COUNT(M17:M22))</f>
        <v>5.5408422945733922E-8</v>
      </c>
      <c r="N23" s="42">
        <f t="shared" si="2"/>
        <v>1.980502571322905E-9</v>
      </c>
      <c r="O23" s="45"/>
      <c r="P23" s="45"/>
      <c r="Q23" s="36">
        <f>AVERAGE(Q17:Q22)</f>
        <v>0.9999759550565952</v>
      </c>
      <c r="R23" s="42">
        <f>SQRT(SUMSQ(R17:R22)/COUNT(R17:R22))</f>
        <v>5.2542665203305654E-8</v>
      </c>
      <c r="S23" s="44">
        <f>AVERAGE(S17:S22)</f>
        <v>2.383931572360671E-5</v>
      </c>
      <c r="T23" s="42">
        <f>SQRT(SUMSQ(T17:T22)/COUNT(T17:T22))</f>
        <v>5.1206689016182247E-8</v>
      </c>
      <c r="U23" s="31">
        <f>AVERAGE(U17:U22)</f>
        <v>2.0562768111884545E-7</v>
      </c>
      <c r="V23" s="112">
        <f>SQRT(SUMSQ(V17:V22)/COUNT(V17:V22))</f>
        <v>9.355959776171193E-9</v>
      </c>
      <c r="W23" s="35"/>
      <c r="X23" s="31"/>
      <c r="Y23" s="5"/>
      <c r="AC23" s="116"/>
      <c r="AJ23" s="5"/>
      <c r="AK23" s="34"/>
    </row>
    <row r="24" spans="1:37" x14ac:dyDescent="0.2">
      <c r="A24" s="128" t="s">
        <v>53</v>
      </c>
      <c r="B24" s="129">
        <v>1</v>
      </c>
      <c r="C24" s="130">
        <v>269.03946799281931</v>
      </c>
      <c r="D24" s="129">
        <v>1.5855225539945401</v>
      </c>
      <c r="E24" s="131">
        <v>0.66230180937464944</v>
      </c>
      <c r="F24" s="132">
        <v>0.70404718526877152</v>
      </c>
      <c r="G24" s="131">
        <f t="shared" ref="G24:G29" si="24">E24/F24</f>
        <v>0.9407065651740576</v>
      </c>
      <c r="H24" s="131">
        <v>6.383718000650565E-2</v>
      </c>
      <c r="I24" s="133">
        <v>6.5673067456897745E-6</v>
      </c>
      <c r="J24" s="134">
        <v>1.2314831707816437E-2</v>
      </c>
      <c r="K24" s="131">
        <v>4.1472488154981093</v>
      </c>
      <c r="L24" s="133">
        <f t="shared" ref="L24:L29" si="25">$F$5/(1+(I24/H24)*($F$5*(1+G24*J24)-$F$3-G24*J24*$F$4)/(D24*$F$5+$F$3+C24*$F$4)*((C24-G24*K24)/(G24*K24-G24*J24)))</f>
        <v>27.976951190425773</v>
      </c>
      <c r="M24" s="135">
        <v>6.1200000000000005E-8</v>
      </c>
      <c r="N24" s="136">
        <f t="shared" si="2"/>
        <v>2.1875149862985704E-9</v>
      </c>
      <c r="O24" s="137">
        <f t="shared" ref="O24:O29" si="26">($F$3+C24*$F$4)/(D24*$F$5+$F$3+C24*$F$4)</f>
        <v>0.99454890854539768</v>
      </c>
      <c r="P24" s="138">
        <f t="shared" ref="P24:P29" si="27">O24*I24/H24*(($F$3+G24*J24*$F$4)/($F$3+C24*$F$4))*(C24-G24*K24)/(G24*K24-G24*J24)</f>
        <v>2.5269304373397558E-5</v>
      </c>
      <c r="Q24" s="131">
        <f t="shared" ref="Q24:Q29" si="28">((1-P24)/$F$5)/((1-P24)/$F$5+(1+G24*J24)*P24/($F$3+G24*J24*$F$4))</f>
        <v>0.99997561197194196</v>
      </c>
      <c r="R24" s="139">
        <v>5.7900000000000002E-8</v>
      </c>
      <c r="S24" s="140">
        <f t="shared" ref="S24:S29" si="29">(1-Q24)/(1+G24*J24)</f>
        <v>2.4108736946455262E-5</v>
      </c>
      <c r="T24" s="139">
        <v>5.6300000000000001E-8</v>
      </c>
      <c r="U24" s="141">
        <f t="shared" ref="U24:U29" si="30">G24*J24*S24</f>
        <v>2.7929111158692714E-7</v>
      </c>
      <c r="V24" s="142">
        <v>1.04E-8</v>
      </c>
      <c r="W24" s="143">
        <f t="shared" ref="W24:W29" si="31">L24-$L$36</f>
        <v>6.3283956208692871E-7</v>
      </c>
      <c r="X24" s="144">
        <f t="shared" ref="X24:X29" si="32">2*SQRT(SUMSQ(M24,$M$36))</f>
        <v>2.0739112270726002E-7</v>
      </c>
      <c r="Y24" s="145">
        <f t="shared" si="11"/>
        <v>3.0514303304110291</v>
      </c>
      <c r="AC24" s="169">
        <f t="shared" ref="AC24:AC29" si="33">2*SQRT(SUMSQ(R24,$M$44))</f>
        <v>3.0777025415770867E-7</v>
      </c>
      <c r="AJ24" s="5"/>
      <c r="AK24" s="34"/>
    </row>
    <row r="25" spans="1:37" x14ac:dyDescent="0.2">
      <c r="A25" s="128" t="s">
        <v>53</v>
      </c>
      <c r="B25" s="146">
        <v>2</v>
      </c>
      <c r="C25" s="147">
        <v>269.03946799281931</v>
      </c>
      <c r="D25" s="146">
        <v>1.5855225539945401</v>
      </c>
      <c r="E25" s="148">
        <v>0.66230180937464944</v>
      </c>
      <c r="F25" s="149">
        <v>0.70324830968337593</v>
      </c>
      <c r="G25" s="148">
        <f t="shared" si="24"/>
        <v>0.9417751884435217</v>
      </c>
      <c r="H25" s="148">
        <v>6.383718000650565E-2</v>
      </c>
      <c r="I25" s="150">
        <v>6.5673067456897745E-6</v>
      </c>
      <c r="J25" s="143">
        <v>1.2244372445616688E-2</v>
      </c>
      <c r="K25" s="146">
        <v>4.1501408977121681</v>
      </c>
      <c r="L25" s="150">
        <f t="shared" si="25"/>
        <v>27.97695114159589</v>
      </c>
      <c r="M25" s="151">
        <v>5.7200000000000003E-8</v>
      </c>
      <c r="N25" s="152">
        <f t="shared" si="2"/>
        <v>2.0445401541612422E-9</v>
      </c>
      <c r="O25" s="153">
        <f t="shared" si="26"/>
        <v>0.99454890854539768</v>
      </c>
      <c r="P25" s="145">
        <f t="shared" si="27"/>
        <v>2.522050824431351E-5</v>
      </c>
      <c r="Q25" s="148">
        <f t="shared" si="28"/>
        <v>0.99997565902279539</v>
      </c>
      <c r="R25" s="154">
        <v>5.4200000000000002E-8</v>
      </c>
      <c r="S25" s="155">
        <f t="shared" si="29"/>
        <v>2.4063490360911364E-5</v>
      </c>
      <c r="T25" s="154">
        <v>5.2700000000000002E-8</v>
      </c>
      <c r="U25" s="156">
        <f t="shared" si="30"/>
        <v>2.7748684369523428E-7</v>
      </c>
      <c r="V25" s="157">
        <v>9.7700000000000008E-9</v>
      </c>
      <c r="W25" s="143">
        <f t="shared" si="31"/>
        <v>5.8400967972715989E-7</v>
      </c>
      <c r="X25" s="144">
        <f t="shared" si="32"/>
        <v>2.0277247786072393E-7</v>
      </c>
      <c r="Y25" s="145">
        <f t="shared" si="11"/>
        <v>2.8801230121983918</v>
      </c>
      <c r="AC25" s="169">
        <f t="shared" si="33"/>
        <v>3.0506302520020446E-7</v>
      </c>
      <c r="AJ25" s="5"/>
      <c r="AK25" s="34"/>
    </row>
    <row r="26" spans="1:37" x14ac:dyDescent="0.2">
      <c r="A26" s="128" t="s">
        <v>53</v>
      </c>
      <c r="B26" s="146">
        <v>3</v>
      </c>
      <c r="C26" s="147">
        <v>269.03946799281931</v>
      </c>
      <c r="D26" s="146">
        <v>1.5855225539945401</v>
      </c>
      <c r="E26" s="148">
        <v>0.66230180937464944</v>
      </c>
      <c r="F26" s="145">
        <v>0.70388270353999638</v>
      </c>
      <c r="G26" s="148">
        <f t="shared" si="24"/>
        <v>0.94092638737075573</v>
      </c>
      <c r="H26" s="148">
        <v>6.383718000650565E-2</v>
      </c>
      <c r="I26" s="150">
        <v>6.5673067456897745E-6</v>
      </c>
      <c r="J26" s="143">
        <v>1.0816826272219837E-2</v>
      </c>
      <c r="K26" s="146">
        <v>4.1665553188477684</v>
      </c>
      <c r="L26" s="150">
        <f t="shared" si="25"/>
        <v>27.976950992130195</v>
      </c>
      <c r="M26" s="151">
        <v>5.1900000000000002E-8</v>
      </c>
      <c r="N26" s="152">
        <f t="shared" si="2"/>
        <v>1.8550985064312142E-9</v>
      </c>
      <c r="O26" s="153">
        <f t="shared" si="26"/>
        <v>0.99454890854539768</v>
      </c>
      <c r="P26" s="145">
        <f t="shared" si="27"/>
        <v>2.5098974154250416E-5</v>
      </c>
      <c r="Q26" s="148">
        <f t="shared" si="28"/>
        <v>0.99997577521466341</v>
      </c>
      <c r="R26" s="154">
        <v>5.1E-8</v>
      </c>
      <c r="S26" s="155">
        <f t="shared" si="29"/>
        <v>2.3980713536664671E-5</v>
      </c>
      <c r="T26" s="154">
        <v>5.0600000000000003E-8</v>
      </c>
      <c r="U26" s="156">
        <f t="shared" si="30"/>
        <v>2.4407179992599977E-7</v>
      </c>
      <c r="V26" s="157">
        <v>4.9499999999999997E-9</v>
      </c>
      <c r="W26" s="143">
        <f t="shared" si="31"/>
        <v>4.345439847952548E-7</v>
      </c>
      <c r="X26" s="144">
        <f t="shared" si="32"/>
        <v>1.9698669441811999E-7</v>
      </c>
      <c r="Y26" s="145">
        <f t="shared" si="11"/>
        <v>2.2059560219478604</v>
      </c>
      <c r="AC26" s="169">
        <f t="shared" si="33"/>
        <v>3.0284796407488127E-7</v>
      </c>
      <c r="AJ26" s="5"/>
      <c r="AK26" s="34"/>
    </row>
    <row r="27" spans="1:37" x14ac:dyDescent="0.2">
      <c r="A27" s="128" t="s">
        <v>53</v>
      </c>
      <c r="B27" s="146">
        <v>4</v>
      </c>
      <c r="C27" s="147">
        <v>269.03946799281931</v>
      </c>
      <c r="D27" s="146">
        <v>1.5855225539945401</v>
      </c>
      <c r="E27" s="148">
        <v>0.66230180937464944</v>
      </c>
      <c r="F27" s="145">
        <v>0.70430885941083732</v>
      </c>
      <c r="G27" s="148">
        <f t="shared" si="24"/>
        <v>0.94035706142994246</v>
      </c>
      <c r="H27" s="148">
        <v>6.383718000650565E-2</v>
      </c>
      <c r="I27" s="150">
        <v>6.5673067456897745E-6</v>
      </c>
      <c r="J27" s="143">
        <v>9.9587184333035685E-3</v>
      </c>
      <c r="K27" s="146">
        <v>4.1794847810603191</v>
      </c>
      <c r="L27" s="150">
        <f t="shared" si="25"/>
        <v>27.9769508862843</v>
      </c>
      <c r="M27" s="151">
        <v>5.0400000000000001E-8</v>
      </c>
      <c r="N27" s="154">
        <f t="shared" si="2"/>
        <v>1.8014829494771213E-9</v>
      </c>
      <c r="O27" s="153">
        <f t="shared" si="26"/>
        <v>0.99454890854539768</v>
      </c>
      <c r="P27" s="145">
        <f t="shared" si="27"/>
        <v>2.5009366980922956E-5</v>
      </c>
      <c r="Q27" s="148">
        <f t="shared" si="28"/>
        <v>0.99997586103868141</v>
      </c>
      <c r="R27" s="154">
        <v>5.03E-8</v>
      </c>
      <c r="S27" s="155">
        <f t="shared" si="29"/>
        <v>2.3915003263044512E-5</v>
      </c>
      <c r="T27" s="154">
        <v>5.03E-8</v>
      </c>
      <c r="U27" s="156">
        <f t="shared" si="30"/>
        <v>2.2395805554265736E-7</v>
      </c>
      <c r="V27" s="157">
        <v>1.55E-9</v>
      </c>
      <c r="W27" s="143">
        <f t="shared" si="31"/>
        <v>3.2869808919144816E-7</v>
      </c>
      <c r="X27" s="144">
        <f t="shared" si="32"/>
        <v>1.9542251092895563E-7</v>
      </c>
      <c r="Y27" s="145">
        <f t="shared" si="11"/>
        <v>1.681986827561252</v>
      </c>
      <c r="AC27" s="169">
        <f t="shared" si="33"/>
        <v>3.0237931368448566E-7</v>
      </c>
      <c r="AJ27" s="5"/>
      <c r="AK27" s="34"/>
    </row>
    <row r="28" spans="1:37" x14ac:dyDescent="0.2">
      <c r="A28" s="128" t="s">
        <v>53</v>
      </c>
      <c r="B28" s="146">
        <v>5</v>
      </c>
      <c r="C28" s="147">
        <v>269.03946799281931</v>
      </c>
      <c r="D28" s="146">
        <v>1.5855225539945401</v>
      </c>
      <c r="E28" s="148">
        <v>0.66230180937464944</v>
      </c>
      <c r="F28" s="145">
        <v>0.70154096921378684</v>
      </c>
      <c r="G28" s="148">
        <f t="shared" si="24"/>
        <v>0.94406718700532555</v>
      </c>
      <c r="H28" s="148">
        <v>6.383718000650565E-2</v>
      </c>
      <c r="I28" s="150">
        <v>6.5673067456897745E-6</v>
      </c>
      <c r="J28" s="143">
        <v>1.1468830933069543E-2</v>
      </c>
      <c r="K28" s="146">
        <v>4.1629442858887318</v>
      </c>
      <c r="L28" s="150">
        <f t="shared" si="25"/>
        <v>27.976950965932414</v>
      </c>
      <c r="M28" s="151">
        <v>5.7499999999999999E-8</v>
      </c>
      <c r="N28" s="154">
        <f t="shared" si="2"/>
        <v>2.0552632797626111E-9</v>
      </c>
      <c r="O28" s="153">
        <f t="shared" si="26"/>
        <v>0.99454890854539768</v>
      </c>
      <c r="P28" s="145">
        <f t="shared" si="27"/>
        <v>2.5056894867859554E-5</v>
      </c>
      <c r="Q28" s="148">
        <f t="shared" si="28"/>
        <v>0.99997581635760346</v>
      </c>
      <c r="R28" s="154">
        <v>5.2600000000000001E-8</v>
      </c>
      <c r="S28" s="155">
        <f t="shared" si="29"/>
        <v>2.3924602425263865E-5</v>
      </c>
      <c r="T28" s="154">
        <v>5.0400000000000001E-8</v>
      </c>
      <c r="U28" s="156">
        <f t="shared" si="30"/>
        <v>2.5903997127194175E-7</v>
      </c>
      <c r="V28" s="157">
        <v>1.24E-8</v>
      </c>
      <c r="W28" s="143">
        <f t="shared" si="31"/>
        <v>4.0834620307350633E-7</v>
      </c>
      <c r="X28" s="144">
        <f t="shared" si="32"/>
        <v>2.0311158947184128E-7</v>
      </c>
      <c r="Y28" s="145">
        <f t="shared" si="11"/>
        <v>2.0104525011858967</v>
      </c>
      <c r="AC28" s="169">
        <f t="shared" si="33"/>
        <v>3.0394066747360507E-7</v>
      </c>
      <c r="AJ28" s="5"/>
      <c r="AK28" s="34"/>
    </row>
    <row r="29" spans="1:37" x14ac:dyDescent="0.2">
      <c r="A29" s="128" t="s">
        <v>53</v>
      </c>
      <c r="B29" s="146">
        <v>6</v>
      </c>
      <c r="C29" s="147">
        <v>269.03946799281931</v>
      </c>
      <c r="D29" s="146">
        <v>1.5855225539945401</v>
      </c>
      <c r="E29" s="148">
        <v>0.66230180937464944</v>
      </c>
      <c r="F29" s="145">
        <v>0.70303423464694093</v>
      </c>
      <c r="G29" s="148">
        <f t="shared" si="24"/>
        <v>0.94206196047800284</v>
      </c>
      <c r="H29" s="148">
        <v>6.383718000650565E-2</v>
      </c>
      <c r="I29" s="150">
        <v>6.5673067456897745E-6</v>
      </c>
      <c r="J29" s="143">
        <v>1.1837153377095148E-2</v>
      </c>
      <c r="K29" s="146">
        <v>4.1542965752407461</v>
      </c>
      <c r="L29" s="150">
        <f t="shared" si="25"/>
        <v>27.976951088296751</v>
      </c>
      <c r="M29" s="151">
        <v>5.6599999999999997E-8</v>
      </c>
      <c r="N29" s="154">
        <f t="shared" si="2"/>
        <v>2.0230939326221566E-9</v>
      </c>
      <c r="O29" s="153">
        <f t="shared" si="26"/>
        <v>0.99454890854539768</v>
      </c>
      <c r="P29" s="145">
        <f t="shared" si="27"/>
        <v>2.5174788407487217E-5</v>
      </c>
      <c r="Q29" s="148">
        <f t="shared" si="28"/>
        <v>0.99997570283760995</v>
      </c>
      <c r="R29" s="154">
        <v>5.2399999999999999E-8</v>
      </c>
      <c r="S29" s="155">
        <f t="shared" si="29"/>
        <v>2.4029204752161681E-5</v>
      </c>
      <c r="T29" s="154">
        <v>5.0500000000000002E-8</v>
      </c>
      <c r="U29" s="156">
        <f t="shared" si="30"/>
        <v>2.6795763789062749E-7</v>
      </c>
      <c r="V29" s="157">
        <v>1.13E-8</v>
      </c>
      <c r="W29" s="143">
        <f t="shared" si="31"/>
        <v>5.3071054040287891E-7</v>
      </c>
      <c r="X29" s="144">
        <f t="shared" si="32"/>
        <v>2.0209789157182659E-7</v>
      </c>
      <c r="Y29" s="145">
        <f t="shared" si="11"/>
        <v>2.6260073090087719</v>
      </c>
      <c r="AC29" s="169">
        <f t="shared" si="33"/>
        <v>3.0380245118217953E-7</v>
      </c>
      <c r="AJ29" s="5"/>
      <c r="AK29" s="34"/>
    </row>
    <row r="30" spans="1:37" x14ac:dyDescent="0.2">
      <c r="A30" s="128" t="s">
        <v>53</v>
      </c>
      <c r="B30" s="158"/>
      <c r="C30" s="158"/>
      <c r="D30" s="158"/>
      <c r="E30" s="159" t="s">
        <v>36</v>
      </c>
      <c r="F30" s="160">
        <f>AVERAGE(F24:F29)</f>
        <v>0.70334371029395149</v>
      </c>
      <c r="G30" s="158"/>
      <c r="H30" s="158"/>
      <c r="I30" s="160"/>
      <c r="J30" s="160">
        <f>AVERAGE(J24:J29)</f>
        <v>1.1440122194853535E-2</v>
      </c>
      <c r="K30" s="160">
        <f>AVERAGE(K24:K29)</f>
        <v>4.1601117790413076</v>
      </c>
      <c r="L30" s="161">
        <f>AVERAGE(L24:L29)</f>
        <v>27.976951044110887</v>
      </c>
      <c r="M30" s="162">
        <f>SQRT(SUMSQ(M24:M29)/COUNT(M24:M29))</f>
        <v>5.591788622614414E-8</v>
      </c>
      <c r="N30" s="163">
        <f t="shared" si="2"/>
        <v>1.9987126595024292E-9</v>
      </c>
      <c r="O30" s="164"/>
      <c r="P30" s="164"/>
      <c r="Q30" s="165">
        <f>AVERAGE(Q24:Q29)</f>
        <v>0.99997573774054926</v>
      </c>
      <c r="R30" s="163">
        <f>SQRT(SUMSQ(R24:R29)/COUNT(R24:R29))</f>
        <v>5.3125103921466984E-8</v>
      </c>
      <c r="S30" s="166">
        <f>AVERAGE(S24:S29)</f>
        <v>2.4003625214083559E-5</v>
      </c>
      <c r="T30" s="163">
        <f>SQRT(SUMSQ(T24:T29)/COUNT(T24:T29))</f>
        <v>5.1845668414375122E-8</v>
      </c>
      <c r="U30" s="167">
        <f>AVERAGE(U24:U29)</f>
        <v>2.586342366522313E-7</v>
      </c>
      <c r="V30" s="168">
        <f>SQRT(SUMSQ(V24:V29)/COUNT(V24:V29))</f>
        <v>9.237314725250697E-9</v>
      </c>
      <c r="W30" s="143"/>
      <c r="X30" s="144"/>
      <c r="Y30" s="145"/>
      <c r="AC30" s="116"/>
      <c r="AJ30" s="5"/>
      <c r="AK30" s="34"/>
    </row>
    <row r="31" spans="1:37" x14ac:dyDescent="0.2">
      <c r="A31" s="22" t="s">
        <v>54</v>
      </c>
      <c r="B31" s="17">
        <v>1</v>
      </c>
      <c r="C31" s="46">
        <v>269.03946799281931</v>
      </c>
      <c r="D31" s="17">
        <v>1.5855225539945401</v>
      </c>
      <c r="E31" s="47">
        <v>0.66230180937464944</v>
      </c>
      <c r="F31" s="23">
        <v>0.70622964274352573</v>
      </c>
      <c r="G31" s="49">
        <f t="shared" ref="G31:G34" si="34">E31/F31</f>
        <v>0.93779950499071718</v>
      </c>
      <c r="H31" s="47">
        <v>6.383718000650565E-2</v>
      </c>
      <c r="I31" s="50">
        <v>6.5673067456897745E-6</v>
      </c>
      <c r="J31" s="51">
        <v>7.5908900156186499E-3</v>
      </c>
      <c r="K31" s="17">
        <v>4.2841646961109507</v>
      </c>
      <c r="L31" s="52">
        <f t="shared" ref="L31:L34" si="35">$F$5/(1+(I31/H31)*($F$5*(1+G31*J31)-$F$3-G31*J31*$F$4)/(D31*$F$5+$F$3+C31*$F$4)*((C31-G31*K31)/(G31*K31-G31*J31)))</f>
        <v>27.976950228797762</v>
      </c>
      <c r="M31" s="53">
        <v>2.0100000000000001E-7</v>
      </c>
      <c r="N31" s="56">
        <f t="shared" si="2"/>
        <v>7.1844857411621262E-9</v>
      </c>
      <c r="O31" s="55">
        <f t="shared" ref="O31:O34" si="36">($F$3+C31*$F$4)/(D31*$F$5+$F$3+C31*$F$4)</f>
        <v>0.99454890854539768</v>
      </c>
      <c r="P31" s="23">
        <f t="shared" ref="P31:P34" si="37">O31*I31/H31*(($F$3+G31*J31*$F$4)/($F$3+C31*$F$4))*(C31-G31*K31)/(G31*K31-G31*J31)</f>
        <v>2.4385541614619938E-5</v>
      </c>
      <c r="Q31" s="47">
        <f t="shared" ref="Q31:Q34" si="38">((1-P31)/$F$5)/((1-P31)/$F$5+(1+G31*J31)*P31/($F$3+G31*J31*$F$4))</f>
        <v>0.99997646136413587</v>
      </c>
      <c r="R31" s="56">
        <v>1.2100000000000001E-7</v>
      </c>
      <c r="S31" s="57">
        <f t="shared" ref="S31:S34" si="39">(1-Q31)/(1+G31*J31)</f>
        <v>2.3372255023368064E-5</v>
      </c>
      <c r="T31" s="56">
        <v>6.13E-8</v>
      </c>
      <c r="U31" s="58">
        <f t="shared" ref="U31:U34" si="40">G31*J31*S31</f>
        <v>1.6638084076068171E-7</v>
      </c>
      <c r="V31" s="59">
        <v>8.5599999999999999E-8</v>
      </c>
      <c r="W31" s="35">
        <f>L31-$L$36</f>
        <v>-3.2878844891115477E-7</v>
      </c>
      <c r="X31" s="31">
        <f>2*SQRT(SUMSQ(M31,$M$36))</f>
        <v>4.3546907786635986E-7</v>
      </c>
      <c r="Y31" s="5">
        <f t="shared" si="11"/>
        <v>0.75502134507942242</v>
      </c>
      <c r="AC31" s="116">
        <f>2*SQRT(SUMSQ(R31,$M$44))</f>
        <v>3.740011889610788E-7</v>
      </c>
      <c r="AJ31" s="5"/>
      <c r="AK31" s="34"/>
    </row>
    <row r="32" spans="1:37" x14ac:dyDescent="0.2">
      <c r="A32" s="22" t="s">
        <v>54</v>
      </c>
      <c r="B32" s="24">
        <v>2</v>
      </c>
      <c r="C32" s="26">
        <v>269.03946799281931</v>
      </c>
      <c r="D32" s="24">
        <v>1.5855225539945401</v>
      </c>
      <c r="E32" s="27">
        <v>0.66230180937464944</v>
      </c>
      <c r="F32" s="5">
        <v>0.70627162170842261</v>
      </c>
      <c r="G32" s="28">
        <f t="shared" si="34"/>
        <v>0.93774376460516251</v>
      </c>
      <c r="H32" s="27">
        <v>6.383718000650565E-2</v>
      </c>
      <c r="I32" s="29">
        <v>6.5673067456897745E-6</v>
      </c>
      <c r="J32" s="35">
        <v>6.3965444682035303E-3</v>
      </c>
      <c r="K32" s="24">
        <v>4.248266372126035</v>
      </c>
      <c r="L32" s="30">
        <f t="shared" si="35"/>
        <v>27.976950374396463</v>
      </c>
      <c r="M32" s="40">
        <v>5.25E-8</v>
      </c>
      <c r="N32" s="42">
        <f t="shared" si="2"/>
        <v>1.8765447733733763E-9</v>
      </c>
      <c r="O32" s="33">
        <f t="shared" si="36"/>
        <v>0.99454890854539768</v>
      </c>
      <c r="P32" s="5">
        <f t="shared" si="37"/>
        <v>2.4561362942562645E-5</v>
      </c>
      <c r="Q32" s="27">
        <f t="shared" si="38"/>
        <v>0.99997629074677319</v>
      </c>
      <c r="R32" s="42">
        <v>5.1399999999999997E-8</v>
      </c>
      <c r="S32" s="43">
        <f t="shared" si="39"/>
        <v>2.3567885515072726E-5</v>
      </c>
      <c r="T32" s="42">
        <v>5.0899999999999999E-8</v>
      </c>
      <c r="U32" s="32">
        <f t="shared" si="40"/>
        <v>1.4136771173855318E-7</v>
      </c>
      <c r="V32" s="112">
        <v>5.7900000000000001E-9</v>
      </c>
      <c r="W32" s="35">
        <f>L32-$L$36</f>
        <v>-1.8318974781550423E-7</v>
      </c>
      <c r="X32" s="31">
        <f>2*SQRT(SUMSQ(M32,$M$36))</f>
        <v>1.9762165310961698E-7</v>
      </c>
      <c r="Y32" s="5">
        <f t="shared" si="11"/>
        <v>0.92697204447476389</v>
      </c>
      <c r="AC32" s="116">
        <f>2*SQRT(SUMSQ(R32,$M$44))</f>
        <v>3.0311834214428624E-7</v>
      </c>
      <c r="AJ32" s="5"/>
      <c r="AK32" s="34"/>
    </row>
    <row r="33" spans="1:29" x14ac:dyDescent="0.2">
      <c r="A33" s="22" t="s">
        <v>54</v>
      </c>
      <c r="B33" s="24">
        <v>3</v>
      </c>
      <c r="C33" s="26">
        <v>269.03946799281931</v>
      </c>
      <c r="D33" s="24">
        <v>1.5855225539945401</v>
      </c>
      <c r="E33" s="27">
        <v>0.66230180937464944</v>
      </c>
      <c r="F33" s="5">
        <v>0.69763500528435629</v>
      </c>
      <c r="G33" s="28">
        <f t="shared" si="34"/>
        <v>0.94935289135139511</v>
      </c>
      <c r="H33" s="27">
        <v>6.383718000650565E-2</v>
      </c>
      <c r="I33" s="29">
        <v>6.5673067456897745E-6</v>
      </c>
      <c r="J33" s="35">
        <v>8.7796349457905255E-3</v>
      </c>
      <c r="K33" s="24">
        <v>4.1997869087279609</v>
      </c>
      <c r="L33" s="30">
        <f t="shared" si="35"/>
        <v>27.976950478299003</v>
      </c>
      <c r="M33" s="40">
        <v>5.2199999999999998E-8</v>
      </c>
      <c r="N33" s="42">
        <f t="shared" si="2"/>
        <v>1.8658216534532662E-9</v>
      </c>
      <c r="O33" s="33">
        <f t="shared" si="36"/>
        <v>0.99454890854539768</v>
      </c>
      <c r="P33" s="5">
        <f t="shared" si="37"/>
        <v>2.46141300842279E-5</v>
      </c>
      <c r="Q33" s="27">
        <f t="shared" si="38"/>
        <v>0.99997624169336052</v>
      </c>
      <c r="R33" s="42">
        <v>5.1599999999999999E-8</v>
      </c>
      <c r="S33" s="43">
        <f t="shared" si="39"/>
        <v>2.356191871097655E-5</v>
      </c>
      <c r="T33" s="42">
        <v>5.1300000000000003E-8</v>
      </c>
      <c r="U33" s="32">
        <f t="shared" si="40"/>
        <v>1.963879284998752E-7</v>
      </c>
      <c r="V33" s="112">
        <v>4.1000000000000003E-9</v>
      </c>
      <c r="W33" s="35">
        <f>L33-$L$36</f>
        <v>-7.9287207910283541E-8</v>
      </c>
      <c r="X33" s="31">
        <f>2*SQRT(SUMSQ(M33,$M$36))</f>
        <v>1.9730351689155919E-7</v>
      </c>
      <c r="Y33" s="5">
        <f t="shared" si="11"/>
        <v>0.40185400219632639</v>
      </c>
      <c r="AC33" s="116">
        <f>2*SQRT(SUMSQ(R33,$M$44))</f>
        <v>3.0325423219520051E-7</v>
      </c>
    </row>
    <row r="34" spans="1:29" x14ac:dyDescent="0.2">
      <c r="A34" s="22" t="s">
        <v>54</v>
      </c>
      <c r="B34" s="24">
        <v>4</v>
      </c>
      <c r="C34" s="26">
        <v>269.03946799281931</v>
      </c>
      <c r="D34" s="24">
        <v>1.5855225539945401</v>
      </c>
      <c r="E34" s="27">
        <v>0.66230180937464944</v>
      </c>
      <c r="F34" s="5">
        <v>0.69905359435212322</v>
      </c>
      <c r="G34" s="28">
        <f t="shared" si="34"/>
        <v>0.94742637006031705</v>
      </c>
      <c r="H34" s="27">
        <v>6.383718000650565E-2</v>
      </c>
      <c r="I34" s="29">
        <v>6.5673067456897745E-6</v>
      </c>
      <c r="J34" s="35">
        <v>7.6356075187992718E-3</v>
      </c>
      <c r="K34" s="81">
        <v>4.2051860082113217</v>
      </c>
      <c r="L34" s="30">
        <f t="shared" si="35"/>
        <v>27.976950438039633</v>
      </c>
      <c r="M34" s="40">
        <v>5.5299999999999999E-8</v>
      </c>
      <c r="N34" s="42">
        <f t="shared" si="2"/>
        <v>1.9766271567901064E-9</v>
      </c>
      <c r="O34" s="33">
        <f t="shared" si="36"/>
        <v>0.99454890854539768</v>
      </c>
      <c r="P34" s="5">
        <f t="shared" si="37"/>
        <v>2.4598209637842165E-5</v>
      </c>
      <c r="Q34" s="27">
        <f t="shared" si="38"/>
        <v>0.99997625617483576</v>
      </c>
      <c r="R34" s="42">
        <v>5.1599999999999999E-8</v>
      </c>
      <c r="S34" s="43">
        <f t="shared" si="39"/>
        <v>2.3573291824288797E-5</v>
      </c>
      <c r="T34" s="42">
        <v>4.9899999999999997E-8</v>
      </c>
      <c r="U34" s="32">
        <f t="shared" si="40"/>
        <v>1.7053333994643702E-7</v>
      </c>
      <c r="V34" s="112">
        <v>1.0600000000000001E-8</v>
      </c>
      <c r="W34" s="35">
        <f>L34-$L$36</f>
        <v>-1.1954657708201921E-7</v>
      </c>
      <c r="X34" s="31">
        <f>2*SQRT(SUMSQ(M34,$M$36))</f>
        <v>2.0065312800397052E-7</v>
      </c>
      <c r="Y34" s="5">
        <f t="shared" si="11"/>
        <v>0.59578725869478411</v>
      </c>
      <c r="AC34" s="116">
        <f>2*SQRT(SUMSQ(R34,$M$44))</f>
        <v>3.0325423219520051E-7</v>
      </c>
    </row>
    <row r="35" spans="1:29" x14ac:dyDescent="0.2">
      <c r="A35" s="88" t="s">
        <v>54</v>
      </c>
      <c r="B35" s="89"/>
      <c r="C35" s="90"/>
      <c r="D35" s="89"/>
      <c r="E35" s="91"/>
      <c r="F35" s="89"/>
      <c r="G35" s="92"/>
      <c r="H35" s="93"/>
      <c r="I35" s="94"/>
      <c r="J35" s="95"/>
      <c r="K35" s="96"/>
      <c r="L35" s="94">
        <f>AVERAGE(L31:L34)</f>
        <v>27.976950379883217</v>
      </c>
      <c r="M35" s="97">
        <f>SQRT(SUMSQ(M31:M34)/COUNT(M31:M34))</f>
        <v>1.1061213767032984E-7</v>
      </c>
      <c r="N35" s="98">
        <f t="shared" si="2"/>
        <v>3.95368816716583E-9</v>
      </c>
      <c r="O35" s="99"/>
      <c r="P35" s="99"/>
      <c r="Q35" s="93">
        <f>AVERAGE(Q31:Q34)</f>
        <v>0.99997631249477636</v>
      </c>
      <c r="R35" s="98">
        <f>SQRT(SUMSQ(R31:R34)/COUNT(R31:R34))</f>
        <v>7.5179917531213092E-8</v>
      </c>
      <c r="S35" s="100">
        <f>AVERAGE(S31:S34)</f>
        <v>2.3518837768426535E-5</v>
      </c>
      <c r="T35" s="98">
        <f>SQRT(SUMSQ(T31:T34)/COUNT(T31:T34))</f>
        <v>5.3549509801677925E-8</v>
      </c>
      <c r="U35" s="101">
        <f>AVERAGE(U31:U34)</f>
        <v>1.6866745523638677E-7</v>
      </c>
      <c r="V35" s="114">
        <f>SQRT(SUMSQ(V31:V34)/COUNT(V31:V34))</f>
        <v>4.3272549324022956E-8</v>
      </c>
    </row>
    <row r="36" spans="1:29" x14ac:dyDescent="0.2">
      <c r="A36" s="25"/>
      <c r="B36" s="5"/>
      <c r="C36" s="62"/>
      <c r="D36" s="5"/>
      <c r="E36" s="66"/>
      <c r="F36" s="5"/>
      <c r="G36" s="60"/>
      <c r="H36" s="36"/>
      <c r="I36" s="35"/>
      <c r="J36" s="39" t="s">
        <v>55</v>
      </c>
      <c r="L36" s="35">
        <f>AVERAGE(L16,L23,L35)</f>
        <v>27.976950557586211</v>
      </c>
      <c r="M36" s="34">
        <f>SQRT(SUMSQ(M16,M23,M35)/COUNT(M16,M23,M35))</f>
        <v>8.370979300204036E-8</v>
      </c>
      <c r="N36" s="42">
        <f>M36/L36</f>
        <v>2.9920985430394476E-9</v>
      </c>
      <c r="O36" s="45"/>
      <c r="P36" s="45"/>
      <c r="Q36" s="36"/>
      <c r="R36" s="42"/>
      <c r="S36" s="44"/>
      <c r="T36" s="42"/>
      <c r="U36" s="31"/>
      <c r="V36" s="42"/>
    </row>
    <row r="37" spans="1:29" x14ac:dyDescent="0.2">
      <c r="A37" s="5"/>
      <c r="B37" s="5"/>
      <c r="C37" s="62"/>
      <c r="D37" s="5"/>
      <c r="E37" s="67"/>
      <c r="F37" s="70"/>
      <c r="G37" s="60"/>
      <c r="H37" s="36"/>
      <c r="I37" s="35"/>
      <c r="J37" s="69"/>
      <c r="K37" s="70"/>
      <c r="L37" s="34"/>
      <c r="M37" s="34"/>
      <c r="N37" s="42"/>
      <c r="O37" s="45"/>
      <c r="P37" s="45"/>
      <c r="Q37" s="36"/>
      <c r="R37" s="42"/>
      <c r="S37" s="44"/>
      <c r="T37" s="42"/>
      <c r="U37" s="31"/>
      <c r="V37" s="42"/>
    </row>
    <row r="38" spans="1:29" x14ac:dyDescent="0.2">
      <c r="A38" s="5"/>
      <c r="B38" s="5"/>
      <c r="C38" s="62"/>
      <c r="D38" s="5"/>
      <c r="E38" s="67"/>
      <c r="F38" s="70"/>
      <c r="G38" s="60"/>
      <c r="H38" s="36"/>
      <c r="I38" s="35"/>
      <c r="J38" s="69"/>
      <c r="K38" s="67" t="s">
        <v>57</v>
      </c>
      <c r="L38" s="34"/>
      <c r="M38" s="34">
        <f>STDEV(L16,L23,L35)/SQRT(COUNT(L16,L23,L35))</f>
        <v>1.1541617257399718E-7</v>
      </c>
      <c r="N38" s="42"/>
      <c r="O38" s="45"/>
      <c r="P38" s="45"/>
      <c r="Q38" s="36"/>
      <c r="R38" s="42"/>
      <c r="S38" s="44"/>
      <c r="T38" s="42"/>
      <c r="U38" s="31"/>
      <c r="V38" s="42"/>
    </row>
    <row r="39" spans="1:29" x14ac:dyDescent="0.2">
      <c r="A39" s="5"/>
      <c r="B39" s="5"/>
      <c r="C39" s="62"/>
      <c r="D39" s="5"/>
      <c r="E39" s="67"/>
      <c r="F39" s="68"/>
      <c r="G39" s="60"/>
      <c r="H39" s="36"/>
      <c r="I39" s="35"/>
      <c r="J39" s="68"/>
      <c r="K39"/>
      <c r="L39" s="34"/>
      <c r="M39" s="34"/>
      <c r="N39" s="42"/>
      <c r="O39" s="45"/>
      <c r="P39" s="45"/>
      <c r="Q39" s="36"/>
      <c r="R39" s="42"/>
      <c r="S39" s="44"/>
      <c r="T39" s="42"/>
      <c r="U39" s="31"/>
      <c r="V39" s="42"/>
    </row>
    <row r="40" spans="1:29" x14ac:dyDescent="0.2">
      <c r="A40" s="5"/>
      <c r="B40" s="5"/>
      <c r="C40" s="62"/>
      <c r="D40" s="5"/>
      <c r="E40" s="36"/>
      <c r="F40" s="5"/>
      <c r="G40" s="60"/>
      <c r="H40" s="36"/>
      <c r="I40" s="35"/>
      <c r="J40" s="35"/>
      <c r="K40" s="67" t="s">
        <v>58</v>
      </c>
      <c r="L40" s="35"/>
      <c r="M40" s="34">
        <f>STDEV(L16,L23,L35)</f>
        <v>1.999066749133007E-7</v>
      </c>
      <c r="N40" s="42"/>
      <c r="O40" s="45"/>
      <c r="P40" s="45"/>
      <c r="Q40" s="36"/>
      <c r="R40" s="42"/>
      <c r="S40" s="44"/>
      <c r="T40" s="42"/>
      <c r="U40" s="31"/>
      <c r="V40" s="42"/>
    </row>
    <row r="41" spans="1:29" x14ac:dyDescent="0.2">
      <c r="F41" s="5"/>
      <c r="J41" s="5"/>
      <c r="K41"/>
      <c r="L41" s="10"/>
      <c r="M41" s="31"/>
      <c r="R41" s="5"/>
      <c r="T41" s="5"/>
      <c r="V41" s="5"/>
    </row>
    <row r="42" spans="1:29" x14ac:dyDescent="0.2">
      <c r="F42" s="5"/>
      <c r="J42" s="5"/>
      <c r="K42" s="66" t="s">
        <v>42</v>
      </c>
      <c r="M42" s="39">
        <f>COUNT(L16,L23,L35)</f>
        <v>3</v>
      </c>
      <c r="R42" s="5"/>
      <c r="T42" s="5"/>
      <c r="V42" s="5"/>
    </row>
    <row r="43" spans="1:29" x14ac:dyDescent="0.2">
      <c r="F43" s="5"/>
      <c r="K43"/>
      <c r="M43" s="31"/>
      <c r="R43" s="5"/>
      <c r="T43" s="39"/>
      <c r="V43" s="5"/>
    </row>
    <row r="44" spans="1:29" ht="14.25" x14ac:dyDescent="0.25">
      <c r="F44" s="5"/>
      <c r="J44" s="5" t="s">
        <v>61</v>
      </c>
      <c r="K44" s="115" t="s">
        <v>59</v>
      </c>
      <c r="M44" s="34">
        <f>SQRT(SUMSQ(M16,M23,M35)/COUNT(M16,M23,M35)+(STDEV(L16,L23,L35)/SQRT(M42))^2)</f>
        <v>1.4257707507195939E-7</v>
      </c>
      <c r="N44" s="117">
        <f>M44/L36</f>
        <v>5.0962335862333032E-9</v>
      </c>
      <c r="R44" s="5"/>
      <c r="T44" s="5"/>
      <c r="V44" s="5"/>
    </row>
    <row r="45" spans="1:29" x14ac:dyDescent="0.2">
      <c r="F45" s="5"/>
      <c r="J45" s="5"/>
      <c r="K45" s="5"/>
      <c r="M45" s="31"/>
      <c r="R45" s="5"/>
      <c r="T45" s="5"/>
      <c r="V45" s="5"/>
    </row>
    <row r="46" spans="1:29" x14ac:dyDescent="0.2">
      <c r="F46" s="5"/>
      <c r="J46" s="5"/>
      <c r="K46" s="5"/>
      <c r="M46" s="31"/>
      <c r="R46" s="5"/>
      <c r="T46" s="5"/>
      <c r="V46" s="5"/>
    </row>
    <row r="47" spans="1:29" x14ac:dyDescent="0.2">
      <c r="J47" s="5"/>
      <c r="K47" s="5"/>
      <c r="M47" s="31"/>
      <c r="R47" s="5"/>
      <c r="T47" s="5"/>
      <c r="V47" s="5"/>
    </row>
    <row r="48" spans="1:29" x14ac:dyDescent="0.2">
      <c r="M48" s="31"/>
      <c r="R48" s="5"/>
      <c r="T48" s="5"/>
      <c r="V48" s="5"/>
    </row>
    <row r="49" spans="12:22" x14ac:dyDescent="0.2">
      <c r="L49" s="1" t="s">
        <v>60</v>
      </c>
      <c r="M49" s="42">
        <f>SQRT(M36^2+M38^2)</f>
        <v>1.4257707507195939E-7</v>
      </c>
      <c r="R49" s="5"/>
      <c r="T49" s="5"/>
      <c r="V49" s="5"/>
    </row>
    <row r="50" spans="12:22" x14ac:dyDescent="0.2">
      <c r="M50" s="31"/>
      <c r="R50" s="5"/>
      <c r="T50" s="5"/>
      <c r="V50" s="5"/>
    </row>
    <row r="51" spans="12:22" x14ac:dyDescent="0.2">
      <c r="M51" s="31"/>
      <c r="R51" s="5"/>
      <c r="T51" s="5"/>
      <c r="V51" s="5"/>
    </row>
    <row r="52" spans="12:22" x14ac:dyDescent="0.2">
      <c r="M52" s="31"/>
      <c r="R52" s="5"/>
      <c r="T52" s="5"/>
      <c r="V52" s="5"/>
    </row>
    <row r="53" spans="12:22" x14ac:dyDescent="0.2">
      <c r="M53" s="31"/>
      <c r="T53" s="5"/>
    </row>
    <row r="54" spans="12:22" x14ac:dyDescent="0.2">
      <c r="M54" s="31"/>
    </row>
    <row r="55" spans="12:22" x14ac:dyDescent="0.2">
      <c r="M55" s="31"/>
    </row>
    <row r="56" spans="12:22" x14ac:dyDescent="0.2">
      <c r="M56" s="31"/>
    </row>
  </sheetData>
  <pageMargins left="0.78740157499999996" right="0.78740157499999996" top="0.984251969" bottom="0.984251969" header="0.4921259845" footer="0.4921259845"/>
  <pageSetup paperSize="9" scale="11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8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MM 4000 ppm old 10^11</vt:lpstr>
      <vt:lpstr>MM 4000 ppm 10^13</vt:lpstr>
      <vt:lpstr>MM 2000 ppm 10^13</vt:lpstr>
      <vt:lpstr>MM 1000 ppm 10^13</vt:lpstr>
      <vt:lpstr>sdv V23 all</vt:lpstr>
      <vt:lpstr>MM DoE all</vt:lpstr>
      <vt:lpstr>MM DoE all wo 2000 ppm</vt:lpstr>
      <vt:lpstr>Dia comp</vt:lpstr>
      <vt:lpstr>Info!OLE_LINK4</vt:lpstr>
    </vt:vector>
  </TitlesOfParts>
  <Company>PTB Braunschweig &amp; Berlin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AG3.11</dc:creator>
  <cp:lastModifiedBy>Axel Pramann</cp:lastModifiedBy>
  <cp:lastPrinted>2011-04-28T11:53:07Z</cp:lastPrinted>
  <dcterms:created xsi:type="dcterms:W3CDTF">2008-11-19T13:42:22Z</dcterms:created>
  <dcterms:modified xsi:type="dcterms:W3CDTF">2024-04-12T08:42:31Z</dcterms:modified>
</cp:coreProperties>
</file>