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embeddings/oleObject1.bin" ContentType="application/vnd.openxmlformats-officedocument.oleObject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5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QT20\Inorganic Speciation Analysis Team\Projects\Current\CBM2125\Impact\Gas Phase IDMS Paper\Supplementary Materials\"/>
    </mc:Choice>
  </mc:AlternateContent>
  <xr:revisionPtr revIDLastSave="0" documentId="13_ncr:1_{D842FEED-3FE8-419F-9C0D-7C4C3A096F85}" xr6:coauthVersionLast="47" xr6:coauthVersionMax="47" xr10:uidLastSave="{00000000-0000-0000-0000-000000000000}"/>
  <bookViews>
    <workbookView xWindow="-120" yWindow="-120" windowWidth="29040" windowHeight="17790" xr2:uid="{1175134B-7D87-4448-8AA0-5291550D1908}"/>
  </bookViews>
  <sheets>
    <sheet name="Overview" sheetId="10" r:id="rId1"/>
    <sheet name="Calculation template" sheetId="1" r:id="rId2"/>
    <sheet name="Peripump MassFlow" sheetId="11" r:id="rId3"/>
    <sheet name="FlexCal-H value and u " sheetId="8" r:id="rId4"/>
    <sheet name="Aw(Hg_e)" sheetId="7" r:id="rId5"/>
    <sheet name="Mass fraction 199Hg" sheetId="3" r:id="rId6"/>
  </sheets>
  <externalReferences>
    <externalReference r:id="rId7"/>
    <externalReference r:id="rId8"/>
    <externalReference r:id="rId9"/>
    <externalReference r:id="rId10"/>
  </externalReferences>
  <definedNames>
    <definedName name="mercury" localSheetId="4">'Aw(Hg_e)'!#REF!</definedName>
    <definedName name="mercury" localSheetId="1">'Calculation template'!$I$6:$K$58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F12" i="1"/>
  <c r="Q12" i="1" s="1"/>
  <c r="N12" i="1" l="1"/>
  <c r="O12" i="1"/>
  <c r="J12" i="1"/>
  <c r="L12" i="1"/>
  <c r="H12" i="1"/>
  <c r="P12" i="1"/>
  <c r="K12" i="1"/>
  <c r="M12" i="1"/>
  <c r="I12" i="1"/>
  <c r="G9" i="1" l="1"/>
  <c r="F9" i="1"/>
  <c r="G31" i="1"/>
  <c r="F31" i="1"/>
  <c r="E20" i="11"/>
  <c r="D10" i="11"/>
  <c r="E68" i="11"/>
  <c r="D68" i="11"/>
  <c r="B68" i="11"/>
  <c r="D67" i="11"/>
  <c r="B67" i="11"/>
  <c r="D66" i="11"/>
  <c r="B66" i="11"/>
  <c r="D65" i="11"/>
  <c r="B65" i="11"/>
  <c r="D64" i="11"/>
  <c r="B64" i="11"/>
  <c r="D63" i="11"/>
  <c r="B63" i="11"/>
  <c r="E62" i="11"/>
  <c r="D62" i="11"/>
  <c r="B62" i="11"/>
  <c r="D61" i="11"/>
  <c r="B61" i="11"/>
  <c r="D60" i="11"/>
  <c r="B60" i="11"/>
  <c r="D59" i="11"/>
  <c r="B59" i="11"/>
  <c r="D58" i="11"/>
  <c r="B58" i="11"/>
  <c r="D57" i="11"/>
  <c r="B57" i="11"/>
  <c r="E56" i="11"/>
  <c r="D56" i="11"/>
  <c r="B56" i="11"/>
  <c r="D55" i="11"/>
  <c r="B55" i="11"/>
  <c r="D54" i="11"/>
  <c r="B54" i="11"/>
  <c r="D53" i="11"/>
  <c r="B53" i="11"/>
  <c r="D52" i="11"/>
  <c r="B52" i="11"/>
  <c r="D51" i="11"/>
  <c r="B51" i="11"/>
  <c r="E50" i="11"/>
  <c r="D50" i="11"/>
  <c r="B50" i="11"/>
  <c r="D49" i="11"/>
  <c r="B49" i="11"/>
  <c r="D48" i="11"/>
  <c r="B48" i="11"/>
  <c r="D47" i="11"/>
  <c r="B47" i="11"/>
  <c r="D46" i="11"/>
  <c r="B46" i="11"/>
  <c r="D45" i="11"/>
  <c r="B45" i="11"/>
  <c r="E44" i="11"/>
  <c r="D44" i="11"/>
  <c r="B44" i="11"/>
  <c r="D43" i="11"/>
  <c r="B43" i="11"/>
  <c r="D42" i="11"/>
  <c r="B42" i="11"/>
  <c r="D41" i="11"/>
  <c r="B41" i="11"/>
  <c r="D40" i="11"/>
  <c r="B40" i="11"/>
  <c r="D39" i="11"/>
  <c r="B39" i="11"/>
  <c r="E38" i="11"/>
  <c r="D38" i="11"/>
  <c r="B38" i="11"/>
  <c r="D37" i="11"/>
  <c r="B37" i="11"/>
  <c r="D36" i="11"/>
  <c r="B36" i="11"/>
  <c r="D35" i="11"/>
  <c r="B35" i="11"/>
  <c r="D34" i="11"/>
  <c r="B34" i="11"/>
  <c r="D33" i="11"/>
  <c r="B33" i="11"/>
  <c r="E32" i="11"/>
  <c r="D32" i="11"/>
  <c r="B32" i="11"/>
  <c r="D31" i="11"/>
  <c r="B31" i="11"/>
  <c r="D30" i="11"/>
  <c r="B30" i="11"/>
  <c r="D29" i="11"/>
  <c r="B29" i="11"/>
  <c r="D28" i="11"/>
  <c r="B28" i="11"/>
  <c r="D27" i="11"/>
  <c r="B27" i="11"/>
  <c r="E26" i="11"/>
  <c r="D26" i="11"/>
  <c r="B26" i="11"/>
  <c r="D25" i="11"/>
  <c r="B25" i="11"/>
  <c r="D24" i="11"/>
  <c r="B24" i="11"/>
  <c r="D23" i="11"/>
  <c r="B23" i="11"/>
  <c r="D22" i="11"/>
  <c r="B22" i="11"/>
  <c r="D21" i="11"/>
  <c r="B21" i="11"/>
  <c r="D20" i="11"/>
  <c r="B20" i="11"/>
  <c r="D19" i="11"/>
  <c r="B19" i="11"/>
  <c r="D18" i="11"/>
  <c r="B18" i="11"/>
  <c r="D17" i="11"/>
  <c r="B17" i="11"/>
  <c r="D16" i="11"/>
  <c r="B16" i="11"/>
  <c r="D15" i="11"/>
  <c r="B15" i="11"/>
  <c r="E14" i="11"/>
  <c r="D14" i="11"/>
  <c r="B14" i="11"/>
  <c r="D13" i="11"/>
  <c r="B13" i="11"/>
  <c r="D12" i="11"/>
  <c r="B12" i="11"/>
  <c r="D11" i="11"/>
  <c r="B11" i="11"/>
  <c r="B10" i="11"/>
  <c r="D9" i="11"/>
  <c r="B9" i="11"/>
  <c r="B8" i="11"/>
  <c r="H9" i="11" l="1"/>
  <c r="H8" i="11"/>
  <c r="H10" i="11" l="1"/>
  <c r="E11" i="8" l="1"/>
  <c r="B11" i="8"/>
  <c r="E10" i="8"/>
  <c r="C10" i="8"/>
  <c r="E12" i="3" l="1"/>
  <c r="H12" i="3"/>
  <c r="B10" i="8" l="1"/>
  <c r="D10" i="8" l="1"/>
  <c r="F11" i="1" l="1"/>
  <c r="F10" i="1"/>
  <c r="F6" i="1"/>
  <c r="G54" i="3" l="1"/>
  <c r="J50" i="3"/>
  <c r="F50" i="3" s="1"/>
  <c r="H50" i="3" s="1"/>
  <c r="G50" i="3"/>
  <c r="E50" i="3"/>
  <c r="J49" i="3"/>
  <c r="F49" i="3" s="1"/>
  <c r="H49" i="3" s="1"/>
  <c r="G49" i="3"/>
  <c r="E49" i="3"/>
  <c r="J48" i="3"/>
  <c r="F48" i="3" s="1"/>
  <c r="H48" i="3" s="1"/>
  <c r="G48" i="3"/>
  <c r="E48" i="3"/>
  <c r="G10" i="8"/>
  <c r="F29" i="1" l="1"/>
  <c r="F10" i="8"/>
  <c r="H10" i="8" s="1"/>
  <c r="E58" i="3"/>
  <c r="F58" i="3"/>
  <c r="K51" i="3"/>
  <c r="F57" i="3"/>
  <c r="E57" i="3"/>
  <c r="H13" i="8" l="1"/>
  <c r="G29" i="1"/>
  <c r="H58" i="3"/>
  <c r="H57" i="3"/>
  <c r="G5" i="1" l="1"/>
  <c r="D11" i="8" l="1"/>
  <c r="G34" i="3" l="1"/>
  <c r="J30" i="3"/>
  <c r="F30" i="3" s="1"/>
  <c r="G30" i="3"/>
  <c r="E30" i="3"/>
  <c r="J29" i="3"/>
  <c r="F29" i="3" s="1"/>
  <c r="G29" i="3"/>
  <c r="E29" i="3"/>
  <c r="J28" i="3"/>
  <c r="F28" i="3" s="1"/>
  <c r="H28" i="3" s="1"/>
  <c r="G28" i="3"/>
  <c r="E28" i="3"/>
  <c r="G15" i="3"/>
  <c r="J11" i="3"/>
  <c r="F11" i="3" s="1"/>
  <c r="G11" i="3"/>
  <c r="E11" i="3"/>
  <c r="J10" i="3"/>
  <c r="F10" i="3" s="1"/>
  <c r="G10" i="3"/>
  <c r="E10" i="3"/>
  <c r="J9" i="3"/>
  <c r="F9" i="3" s="1"/>
  <c r="G9" i="3"/>
  <c r="E9" i="3"/>
  <c r="H11" i="3" l="1"/>
  <c r="H9" i="3"/>
  <c r="K11" i="3"/>
  <c r="H29" i="3"/>
  <c r="F37" i="3" s="1"/>
  <c r="H30" i="3"/>
  <c r="F38" i="3" s="1"/>
  <c r="E37" i="3"/>
  <c r="E15" i="3"/>
  <c r="E16" i="3" s="1"/>
  <c r="E31" i="3" s="1"/>
  <c r="H10" i="3"/>
  <c r="F18" i="3" s="1"/>
  <c r="K12" i="3"/>
  <c r="L12" i="3" s="1"/>
  <c r="E19" i="3"/>
  <c r="E38" i="3"/>
  <c r="E18" i="3"/>
  <c r="K31" i="3"/>
  <c r="K9" i="3"/>
  <c r="L9" i="3" s="1"/>
  <c r="K10" i="3"/>
  <c r="L11" i="3" l="1"/>
  <c r="F19" i="3"/>
  <c r="H19" i="3" s="1"/>
  <c r="K28" i="3"/>
  <c r="L28" i="3" s="1"/>
  <c r="H37" i="3"/>
  <c r="L10" i="3"/>
  <c r="L13" i="3" s="1"/>
  <c r="M10" i="3" s="1"/>
  <c r="H38" i="3"/>
  <c r="H18" i="3"/>
  <c r="K29" i="3" l="1"/>
  <c r="L29" i="3" s="1"/>
  <c r="K30" i="3"/>
  <c r="L30" i="3" s="1"/>
  <c r="E34" i="3"/>
  <c r="F15" i="3"/>
  <c r="M11" i="3"/>
  <c r="M12" i="3"/>
  <c r="M9" i="3"/>
  <c r="E51" i="3" l="1"/>
  <c r="E54" i="3" s="1"/>
  <c r="E35" i="3"/>
  <c r="H15" i="3"/>
  <c r="F16" i="3"/>
  <c r="H31" i="3" s="1"/>
  <c r="L31" i="3" l="1"/>
  <c r="H16" i="3"/>
  <c r="K50" i="3" l="1"/>
  <c r="L50" i="3" s="1"/>
  <c r="K49" i="3"/>
  <c r="L49" i="3" s="1"/>
  <c r="E55" i="3"/>
  <c r="K48" i="3"/>
  <c r="L48" i="3" s="1"/>
  <c r="L32" i="3"/>
  <c r="F17" i="7"/>
  <c r="F21" i="1" l="1"/>
  <c r="F3" i="1" s="1"/>
  <c r="F34" i="3"/>
  <c r="H51" i="3" s="1"/>
  <c r="M28" i="3"/>
  <c r="M30" i="3"/>
  <c r="M29" i="3"/>
  <c r="M31" i="3"/>
  <c r="F35" i="3" l="1"/>
  <c r="H35" i="3" s="1"/>
  <c r="H34" i="3"/>
  <c r="C11" i="8" l="1"/>
  <c r="F30" i="1" s="1"/>
  <c r="I15" i="1"/>
  <c r="J15" i="1"/>
  <c r="K15" i="1"/>
  <c r="L15" i="1"/>
  <c r="M15" i="1"/>
  <c r="N15" i="1"/>
  <c r="O15" i="1"/>
  <c r="P15" i="1"/>
  <c r="H15" i="1"/>
  <c r="M8" i="1"/>
  <c r="L7" i="1"/>
  <c r="I5" i="1"/>
  <c r="K5" i="1"/>
  <c r="L5" i="1"/>
  <c r="M5" i="1"/>
  <c r="N5" i="1"/>
  <c r="O5" i="1"/>
  <c r="P5" i="1"/>
  <c r="L6" i="1"/>
  <c r="I7" i="1"/>
  <c r="J7" i="1"/>
  <c r="K7" i="1"/>
  <c r="M7" i="1"/>
  <c r="N7" i="1"/>
  <c r="O7" i="1"/>
  <c r="P7" i="1"/>
  <c r="I8" i="1"/>
  <c r="J8" i="1"/>
  <c r="K8" i="1"/>
  <c r="L8" i="1"/>
  <c r="N8" i="1"/>
  <c r="O8" i="1"/>
  <c r="P8" i="1"/>
  <c r="H5" i="1"/>
  <c r="H7" i="1"/>
  <c r="H8" i="1"/>
  <c r="G6" i="1"/>
  <c r="M6" i="1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H21" i="7"/>
  <c r="G17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H20" i="7"/>
  <c r="U16" i="7"/>
  <c r="T15" i="7"/>
  <c r="S14" i="7"/>
  <c r="R13" i="7"/>
  <c r="Q12" i="7"/>
  <c r="P11" i="7"/>
  <c r="P10" i="7"/>
  <c r="Q10" i="7"/>
  <c r="O10" i="7"/>
  <c r="N9" i="7"/>
  <c r="M8" i="7"/>
  <c r="L7" i="7"/>
  <c r="K6" i="7"/>
  <c r="J5" i="7"/>
  <c r="I4" i="7"/>
  <c r="H3" i="7"/>
  <c r="I3" i="7"/>
  <c r="J3" i="7"/>
  <c r="K3" i="7"/>
  <c r="L3" i="7"/>
  <c r="M3" i="7"/>
  <c r="N3" i="7"/>
  <c r="O3" i="7"/>
  <c r="P3" i="7"/>
  <c r="Q3" i="7"/>
  <c r="R3" i="7"/>
  <c r="S3" i="7"/>
  <c r="T3" i="7"/>
  <c r="U3" i="7"/>
  <c r="H4" i="7"/>
  <c r="J4" i="7"/>
  <c r="K4" i="7"/>
  <c r="L4" i="7"/>
  <c r="M4" i="7"/>
  <c r="N4" i="7"/>
  <c r="O4" i="7"/>
  <c r="P4" i="7"/>
  <c r="Q4" i="7"/>
  <c r="R4" i="7"/>
  <c r="S4" i="7"/>
  <c r="T4" i="7"/>
  <c r="U4" i="7"/>
  <c r="H5" i="7"/>
  <c r="I5" i="7"/>
  <c r="K5" i="7"/>
  <c r="L5" i="7"/>
  <c r="M5" i="7"/>
  <c r="N5" i="7"/>
  <c r="O5" i="7"/>
  <c r="P5" i="7"/>
  <c r="Q5" i="7"/>
  <c r="R5" i="7"/>
  <c r="S5" i="7"/>
  <c r="T5" i="7"/>
  <c r="U5" i="7"/>
  <c r="H6" i="7"/>
  <c r="I6" i="7"/>
  <c r="J6" i="7"/>
  <c r="L6" i="7"/>
  <c r="M6" i="7"/>
  <c r="N6" i="7"/>
  <c r="O6" i="7"/>
  <c r="P6" i="7"/>
  <c r="Q6" i="7"/>
  <c r="R6" i="7"/>
  <c r="S6" i="7"/>
  <c r="T6" i="7"/>
  <c r="U6" i="7"/>
  <c r="H7" i="7"/>
  <c r="I7" i="7"/>
  <c r="J7" i="7"/>
  <c r="K7" i="7"/>
  <c r="M7" i="7"/>
  <c r="N7" i="7"/>
  <c r="O7" i="7"/>
  <c r="P7" i="7"/>
  <c r="Q7" i="7"/>
  <c r="R7" i="7"/>
  <c r="S7" i="7"/>
  <c r="T7" i="7"/>
  <c r="U7" i="7"/>
  <c r="H8" i="7"/>
  <c r="I8" i="7"/>
  <c r="J8" i="7"/>
  <c r="K8" i="7"/>
  <c r="L8" i="7"/>
  <c r="N8" i="7"/>
  <c r="O8" i="7"/>
  <c r="P8" i="7"/>
  <c r="Q8" i="7"/>
  <c r="R8" i="7"/>
  <c r="S8" i="7"/>
  <c r="T8" i="7"/>
  <c r="U8" i="7"/>
  <c r="H9" i="7"/>
  <c r="I9" i="7"/>
  <c r="J9" i="7"/>
  <c r="K9" i="7"/>
  <c r="L9" i="7"/>
  <c r="M9" i="7"/>
  <c r="O9" i="7"/>
  <c r="P9" i="7"/>
  <c r="Q9" i="7"/>
  <c r="R9" i="7"/>
  <c r="S9" i="7"/>
  <c r="T9" i="7"/>
  <c r="U9" i="7"/>
  <c r="H10" i="7"/>
  <c r="I10" i="7"/>
  <c r="J10" i="7"/>
  <c r="K10" i="7"/>
  <c r="L10" i="7"/>
  <c r="M10" i="7"/>
  <c r="N10" i="7"/>
  <c r="R10" i="7"/>
  <c r="S10" i="7"/>
  <c r="T10" i="7"/>
  <c r="U10" i="7"/>
  <c r="H11" i="7"/>
  <c r="I11" i="7"/>
  <c r="J11" i="7"/>
  <c r="K11" i="7"/>
  <c r="L11" i="7"/>
  <c r="M11" i="7"/>
  <c r="N11" i="7"/>
  <c r="O11" i="7"/>
  <c r="Q11" i="7"/>
  <c r="R11" i="7"/>
  <c r="S11" i="7"/>
  <c r="T11" i="7"/>
  <c r="U11" i="7"/>
  <c r="H12" i="7"/>
  <c r="I12" i="7"/>
  <c r="J12" i="7"/>
  <c r="K12" i="7"/>
  <c r="L12" i="7"/>
  <c r="M12" i="7"/>
  <c r="N12" i="7"/>
  <c r="O12" i="7"/>
  <c r="P12" i="7"/>
  <c r="R12" i="7"/>
  <c r="S12" i="7"/>
  <c r="T12" i="7"/>
  <c r="U12" i="7"/>
  <c r="H13" i="7"/>
  <c r="I13" i="7"/>
  <c r="J13" i="7"/>
  <c r="K13" i="7"/>
  <c r="L13" i="7"/>
  <c r="M13" i="7"/>
  <c r="N13" i="7"/>
  <c r="O13" i="7"/>
  <c r="P13" i="7"/>
  <c r="Q13" i="7"/>
  <c r="S13" i="7"/>
  <c r="T13" i="7"/>
  <c r="U13" i="7"/>
  <c r="H14" i="7"/>
  <c r="I14" i="7"/>
  <c r="J14" i="7"/>
  <c r="K14" i="7"/>
  <c r="L14" i="7"/>
  <c r="M14" i="7"/>
  <c r="N14" i="7"/>
  <c r="O14" i="7"/>
  <c r="P14" i="7"/>
  <c r="Q14" i="7"/>
  <c r="R14" i="7"/>
  <c r="T14" i="7"/>
  <c r="U14" i="7"/>
  <c r="H15" i="7"/>
  <c r="I15" i="7"/>
  <c r="J15" i="7"/>
  <c r="K15" i="7"/>
  <c r="L15" i="7"/>
  <c r="M15" i="7"/>
  <c r="N15" i="7"/>
  <c r="O15" i="7"/>
  <c r="P15" i="7"/>
  <c r="Q15" i="7"/>
  <c r="R15" i="7"/>
  <c r="S15" i="7"/>
  <c r="U15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G49" i="1"/>
  <c r="G50" i="1"/>
  <c r="G51" i="1"/>
  <c r="G52" i="1"/>
  <c r="G53" i="1"/>
  <c r="G48" i="1"/>
  <c r="I40" i="1"/>
  <c r="I47" i="1" s="1"/>
  <c r="J40" i="1"/>
  <c r="J47" i="1" s="1"/>
  <c r="K40" i="1"/>
  <c r="K47" i="1" s="1"/>
  <c r="L40" i="1"/>
  <c r="L47" i="1" s="1"/>
  <c r="M40" i="1"/>
  <c r="M47" i="1" s="1"/>
  <c r="N40" i="1"/>
  <c r="N47" i="1" s="1"/>
  <c r="O40" i="1"/>
  <c r="O47" i="1" s="1"/>
  <c r="P40" i="1"/>
  <c r="P47" i="1" s="1"/>
  <c r="H40" i="1"/>
  <c r="H47" i="1" s="1"/>
  <c r="J5" i="1"/>
  <c r="L51" i="3" l="1"/>
  <c r="L52" i="3" s="1"/>
  <c r="F11" i="8"/>
  <c r="G11" i="8"/>
  <c r="J6" i="1"/>
  <c r="J41" i="1" s="1"/>
  <c r="I6" i="1"/>
  <c r="I41" i="1" s="1"/>
  <c r="K6" i="1"/>
  <c r="K41" i="1" s="1"/>
  <c r="P6" i="1"/>
  <c r="P41" i="1" s="1"/>
  <c r="O6" i="1"/>
  <c r="O41" i="1" s="1"/>
  <c r="N6" i="1"/>
  <c r="N41" i="1" s="1"/>
  <c r="H6" i="1"/>
  <c r="H41" i="1" s="1"/>
  <c r="O17" i="7"/>
  <c r="N17" i="7"/>
  <c r="U17" i="7"/>
  <c r="M17" i="7"/>
  <c r="T17" i="7"/>
  <c r="L17" i="7"/>
  <c r="P17" i="7"/>
  <c r="H17" i="7"/>
  <c r="S17" i="7"/>
  <c r="K17" i="7"/>
  <c r="R17" i="7"/>
  <c r="J17" i="7"/>
  <c r="Q17" i="7"/>
  <c r="I17" i="7"/>
  <c r="L41" i="1"/>
  <c r="M41" i="1"/>
  <c r="F54" i="3" l="1"/>
  <c r="F55" i="3" s="1"/>
  <c r="G21" i="1" s="1"/>
  <c r="G3" i="1" s="1"/>
  <c r="H11" i="8"/>
  <c r="F4" i="1"/>
  <c r="M48" i="3"/>
  <c r="M50" i="3"/>
  <c r="M49" i="3"/>
  <c r="M51" i="3"/>
  <c r="M48" i="1"/>
  <c r="P48" i="1"/>
  <c r="J48" i="1"/>
  <c r="K48" i="1"/>
  <c r="H48" i="1"/>
  <c r="N48" i="1"/>
  <c r="O48" i="1"/>
  <c r="I48" i="1"/>
  <c r="L48" i="1"/>
  <c r="H3" i="1" l="1"/>
  <c r="N4" i="1"/>
  <c r="N45" i="1" s="1"/>
  <c r="P4" i="1"/>
  <c r="P45" i="1" s="1"/>
  <c r="M4" i="1"/>
  <c r="M45" i="1" s="1"/>
  <c r="H4" i="1"/>
  <c r="H45" i="1" s="1"/>
  <c r="O4" i="1"/>
  <c r="O45" i="1" s="1"/>
  <c r="L4" i="1"/>
  <c r="L45" i="1" s="1"/>
  <c r="K4" i="1"/>
  <c r="K45" i="1" s="1"/>
  <c r="J4" i="1"/>
  <c r="J45" i="1" s="1"/>
  <c r="H14" i="8"/>
  <c r="G30" i="1"/>
  <c r="G4" i="1" s="1"/>
  <c r="I4" i="1" s="1"/>
  <c r="I45" i="1" s="1"/>
  <c r="H54" i="3"/>
  <c r="K52" i="1" l="1"/>
  <c r="I52" i="1"/>
  <c r="P52" i="1"/>
  <c r="H52" i="1"/>
  <c r="O52" i="1"/>
  <c r="L52" i="1"/>
  <c r="N52" i="1"/>
  <c r="J52" i="1"/>
  <c r="M52" i="1"/>
  <c r="H55" i="3"/>
  <c r="H44" i="1"/>
  <c r="G10" i="1"/>
  <c r="O10" i="1" s="1"/>
  <c r="O43" i="1" s="1"/>
  <c r="I10" i="1"/>
  <c r="J10" i="1"/>
  <c r="J43" i="1" s="1"/>
  <c r="K10" i="1"/>
  <c r="L10" i="1"/>
  <c r="L43" i="1" s="1"/>
  <c r="H10" i="1"/>
  <c r="M10" i="1"/>
  <c r="M43" i="1" s="1"/>
  <c r="N10" i="1"/>
  <c r="N43" i="1" s="1"/>
  <c r="P10" i="1"/>
  <c r="K3" i="1"/>
  <c r="L3" i="1"/>
  <c r="M3" i="1"/>
  <c r="J3" i="1"/>
  <c r="J44" i="1" s="1"/>
  <c r="N3" i="1"/>
  <c r="N44" i="1" s="1"/>
  <c r="O3" i="1"/>
  <c r="O44" i="1" s="1"/>
  <c r="P3" i="1"/>
  <c r="P44" i="1" s="1"/>
  <c r="I3" i="1"/>
  <c r="I44" i="1" s="1"/>
  <c r="G11" i="1"/>
  <c r="P11" i="1" s="1"/>
  <c r="P42" i="1" s="1"/>
  <c r="I11" i="1"/>
  <c r="I42" i="1" s="1"/>
  <c r="J11" i="1"/>
  <c r="J42" i="1" s="1"/>
  <c r="K11" i="1"/>
  <c r="L11" i="1"/>
  <c r="L42" i="1" s="1"/>
  <c r="M11" i="1"/>
  <c r="N11" i="1"/>
  <c r="H11" i="1"/>
  <c r="H42" i="1" s="1"/>
  <c r="O11" i="1"/>
  <c r="O42" i="1" s="1"/>
  <c r="K42" i="1"/>
  <c r="M42" i="1"/>
  <c r="N42" i="1"/>
  <c r="I43" i="1"/>
  <c r="H43" i="1"/>
  <c r="K43" i="1"/>
  <c r="P43" i="1"/>
  <c r="M44" i="1" l="1"/>
  <c r="L44" i="1"/>
  <c r="J49" i="1"/>
  <c r="K50" i="1"/>
  <c r="I49" i="1"/>
  <c r="H50" i="1"/>
  <c r="J50" i="1"/>
  <c r="O50" i="1"/>
  <c r="N50" i="1"/>
  <c r="H49" i="1"/>
  <c r="L49" i="1"/>
  <c r="L50" i="1"/>
  <c r="M50" i="1"/>
  <c r="N49" i="1"/>
  <c r="M49" i="1"/>
  <c r="P50" i="1"/>
  <c r="I50" i="1"/>
  <c r="O49" i="1"/>
  <c r="P49" i="1"/>
  <c r="K49" i="1"/>
  <c r="K44" i="1" l="1"/>
  <c r="K51" i="1" l="1"/>
  <c r="M51" i="1"/>
  <c r="H51" i="1"/>
  <c r="J51" i="1"/>
  <c r="N51" i="1"/>
  <c r="P51" i="1"/>
  <c r="O51" i="1"/>
  <c r="L51" i="1"/>
  <c r="I51" i="1"/>
  <c r="F13" i="1" l="1"/>
  <c r="B17" i="10" s="1"/>
  <c r="B18" i="10" s="1"/>
  <c r="O9" i="1"/>
  <c r="O13" i="1" s="1"/>
  <c r="I9" i="1"/>
  <c r="I13" i="1" s="1"/>
  <c r="P9" i="1"/>
  <c r="P13" i="1" s="1"/>
  <c r="N9" i="1"/>
  <c r="N13" i="1" s="1"/>
  <c r="J9" i="1"/>
  <c r="J13" i="1" s="1"/>
  <c r="H9" i="1"/>
  <c r="H13" i="1" s="1"/>
  <c r="L9" i="1"/>
  <c r="L13" i="1" s="1"/>
  <c r="M9" i="1"/>
  <c r="M13" i="1" s="1"/>
  <c r="K9" i="1"/>
  <c r="K13" i="1" s="1"/>
  <c r="L46" i="1" l="1"/>
  <c r="L16" i="1"/>
  <c r="H16" i="1"/>
  <c r="H46" i="1"/>
  <c r="J16" i="1"/>
  <c r="J46" i="1"/>
  <c r="N16" i="1"/>
  <c r="N46" i="1"/>
  <c r="N53" i="1" s="1"/>
  <c r="P16" i="1"/>
  <c r="P46" i="1"/>
  <c r="I46" i="1"/>
  <c r="I16" i="1"/>
  <c r="K16" i="1"/>
  <c r="K46" i="1"/>
  <c r="O16" i="1"/>
  <c r="O46" i="1"/>
  <c r="O53" i="1" s="1"/>
  <c r="M46" i="1"/>
  <c r="M16" i="1"/>
  <c r="N17" i="1" l="1"/>
  <c r="O17" i="1"/>
  <c r="J53" i="1"/>
  <c r="J17" i="1"/>
  <c r="I17" i="1"/>
  <c r="G13" i="1"/>
  <c r="G14" i="1" s="1"/>
  <c r="H53" i="1"/>
  <c r="K17" i="1"/>
  <c r="H17" i="1"/>
  <c r="I53" i="1"/>
  <c r="M17" i="1"/>
  <c r="P53" i="1"/>
  <c r="L17" i="1"/>
  <c r="K53" i="1"/>
  <c r="M53" i="1"/>
  <c r="P17" i="1"/>
  <c r="L5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tc={40E6C858-4051-4A9C-B42B-CA740424D75B}</author>
    <author>tc={446E808F-1671-49D6-A8D3-06041EEF957D}</author>
    <author>Sophie Page</author>
  </authors>
  <commentList>
    <comment ref="G3" authorId="0" shapeId="0" xr:uid="{40E6C858-4051-4A9C-B42B-CA740424D75B}">
      <text>
        <t>[Threaded comment]
Your version of Excel allows you to read this threaded comment; however, any edits to it will get removed if the file is opened in a newer version of Excel. Learn more: https://go.microsoft.com/fwlink/?linkid=870924
Comment:
    Adding the cold vapour efficiency to the calculation has a negligible effect on the overall MFgen uncertainty, and a minor effect on the spike mass flow uncertainty (increases by 0.01 pg/min). The contribution of the spike mass flow in the uncertainty budget is still 26% and does not change.</t>
      </text>
    </comment>
    <comment ref="G5" authorId="1" shapeId="0" xr:uid="{446E808F-1671-49D6-A8D3-06041EEF957D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https://www.ciaaw.org/mercury.htm - assumed k=2</t>
      </text>
    </comment>
    <comment ref="C12" authorId="2" shapeId="0" xr:uid="{756F05B6-D443-4204-A1E0-2D0BF32A501D}">
      <text>
        <r>
          <rPr>
            <b/>
            <sz val="9"/>
            <color indexed="81"/>
            <rFont val="Tahoma"/>
            <family val="2"/>
          </rPr>
          <t>Sophie Page:</t>
        </r>
        <r>
          <rPr>
            <sz val="9"/>
            <color indexed="81"/>
            <rFont val="Tahoma"/>
            <family val="2"/>
          </rPr>
          <t xml:space="preserve">
negligible effect on uncertainty and very minor effect on generator mass flow result</t>
        </r>
      </text>
    </comment>
    <comment ref="G29" authorId="2" shapeId="0" xr:uid="{9129BFCA-5735-425E-B6A8-98C083097252}">
      <text>
        <r>
          <rPr>
            <b/>
            <sz val="9"/>
            <color indexed="81"/>
            <rFont val="Tahoma"/>
            <family val="2"/>
          </rPr>
          <t>Sophie Page:</t>
        </r>
        <r>
          <rPr>
            <sz val="9"/>
            <color indexed="81"/>
            <rFont val="Tahoma"/>
            <family val="2"/>
          </rPr>
          <t xml:space="preserve">
based on uncertainty from certificate. The SD of flow measurement is of similar magnitude</t>
        </r>
      </text>
    </comment>
    <comment ref="G30" authorId="2" shapeId="0" xr:uid="{D8DBDA3E-1F2E-49D2-854A-2770C89A4730}">
      <text>
        <r>
          <rPr>
            <b/>
            <sz val="9"/>
            <color indexed="81"/>
            <rFont val="Tahoma"/>
            <family val="2"/>
          </rPr>
          <t>Sophie Page:</t>
        </r>
        <r>
          <rPr>
            <sz val="9"/>
            <color indexed="81"/>
            <rFont val="Tahoma"/>
            <family val="2"/>
          </rPr>
          <t xml:space="preserve">
based on uncertainty from certificate. The SD of flow measurement is of similar magnitude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Sophie Page</author>
  </authors>
  <commentList>
    <comment ref="H12" authorId="0" shapeId="0" xr:uid="{B96C7011-EAB0-4453-8C42-10E8FC52D81A}">
      <text>
        <r>
          <rPr>
            <b/>
            <sz val="9"/>
            <color indexed="81"/>
            <rFont val="Tahoma"/>
            <family val="2"/>
          </rPr>
          <t>Sophie Page:</t>
        </r>
        <r>
          <rPr>
            <sz val="9"/>
            <color indexed="81"/>
            <rFont val="Tahoma"/>
            <family val="2"/>
          </rPr>
          <t xml:space="preserve">
Concentration and uncertainty from reverse IDMS of 199Hg from 10/02/2022 SP/PP 
(T:\QT20\Inorganic Speciation Analysis Team\Projects\Current\CBM2125\WP2\220210 Reverse IDMS 199Hg)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E13E228-D24A-480F-910D-812DDC5318DB}" name="Connection" type="4" refreshedVersion="7" background="1" saveData="1">
    <webPr sourceData="1" parsePre="1" consecutive="1" xl2000="1" url="https://www.ciaaw.org/mercury.htm" htmlTables="1" htmlFormat="all"/>
  </connection>
</connections>
</file>

<file path=xl/sharedStrings.xml><?xml version="1.0" encoding="utf-8"?>
<sst xmlns="http://schemas.openxmlformats.org/spreadsheetml/2006/main" count="486" uniqueCount="196">
  <si>
    <t>Term</t>
  </si>
  <si>
    <t>Unit</t>
  </si>
  <si>
    <t>Value</t>
  </si>
  <si>
    <t>Uncertainty</t>
  </si>
  <si>
    <t>natHg Atomic weight</t>
  </si>
  <si>
    <t>g mol-1</t>
  </si>
  <si>
    <t>199Hg Atomic weight</t>
  </si>
  <si>
    <t>199Hg IR (202/199)</t>
  </si>
  <si>
    <t>natHg IR (199/202)</t>
  </si>
  <si>
    <t>Blend IR (202/199)</t>
  </si>
  <si>
    <t>measured</t>
  </si>
  <si>
    <t>cert</t>
  </si>
  <si>
    <t>Generator mass flow (natHg)</t>
  </si>
  <si>
    <t>Total Gen flow</t>
  </si>
  <si>
    <t>Waste Gen Flow</t>
  </si>
  <si>
    <t>[sl min-1]</t>
  </si>
  <si>
    <t>Type (measured/calc)</t>
  </si>
  <si>
    <t>calculated</t>
  </si>
  <si>
    <t>Spike Mass Flow 199Hg</t>
  </si>
  <si>
    <t>cert (IUPAC website)</t>
  </si>
  <si>
    <t>Atomic mass (Da)</t>
  </si>
  <si>
    <t>Isotopic abundance (amount fraction)</t>
  </si>
  <si>
    <t>195.965 83(2)</t>
  </si>
  <si>
    <t>0.0015(1)</t>
  </si>
  <si>
    <t>197.966 769(3)</t>
  </si>
  <si>
    <t>0.1004(3)</t>
  </si>
  <si>
    <t>198.968 281(4)</t>
  </si>
  <si>
    <t>0.1694(12)</t>
  </si>
  <si>
    <t>199.968 327(4)</t>
  </si>
  <si>
    <t>0.2314(9)</t>
  </si>
  <si>
    <t>200.970 303(5)</t>
  </si>
  <si>
    <t>0.1317(9)</t>
  </si>
  <si>
    <t>201.970 644(5)</t>
  </si>
  <si>
    <t>0.2974(13)</t>
  </si>
  <si>
    <t>203.973 494(3)</t>
  </si>
  <si>
    <t>0.0682(4)</t>
  </si>
  <si>
    <t>Atomic mass 196Hg</t>
  </si>
  <si>
    <t>Atomic mass 198Hg</t>
  </si>
  <si>
    <t>Atomic mass 199Hg</t>
  </si>
  <si>
    <t>Atomic mass 200Hg</t>
  </si>
  <si>
    <t>Atomic mass 201Hg</t>
  </si>
  <si>
    <t>Atomic mass 202Hg</t>
  </si>
  <si>
    <t>Atomic mass 204Hg</t>
  </si>
  <si>
    <t>Da</t>
  </si>
  <si>
    <t>natHg Atom fraction202Hg</t>
  </si>
  <si>
    <t>natHg Atom fraction199Hg</t>
  </si>
  <si>
    <t>budget</t>
  </si>
  <si>
    <r>
      <t>(difference)</t>
    </r>
    <r>
      <rPr>
        <vertAlign val="superscript"/>
        <sz val="11"/>
        <color theme="1"/>
        <rFont val="Calibri"/>
        <family val="2"/>
        <scheme val="minor"/>
      </rPr>
      <t>2</t>
    </r>
  </si>
  <si>
    <t>Auto updating table from the website</t>
  </si>
  <si>
    <t>Dilution with 3 weighings (bottle-analyte-solvent)</t>
  </si>
  <si>
    <t>Analyte/Std ID</t>
  </si>
  <si>
    <t>Analyst/Lab book</t>
  </si>
  <si>
    <t>Solvent</t>
  </si>
  <si>
    <t>Date</t>
  </si>
  <si>
    <t>Source/Lot no</t>
  </si>
  <si>
    <t>Balance</t>
  </si>
  <si>
    <t>Bottle</t>
  </si>
  <si>
    <t>Data:</t>
  </si>
  <si>
    <t>value</t>
  </si>
  <si>
    <t>repeat</t>
  </si>
  <si>
    <t>linearity</t>
  </si>
  <si>
    <t>std. uncert.</t>
  </si>
  <si>
    <t>n</t>
  </si>
  <si>
    <t>derivatives</t>
  </si>
  <si>
    <t>variances</t>
  </si>
  <si>
    <r>
      <t>m</t>
    </r>
    <r>
      <rPr>
        <vertAlign val="subscript"/>
        <sz val="11"/>
        <rFont val="Calibri"/>
        <family val="2"/>
        <scheme val="minor"/>
      </rPr>
      <t>1</t>
    </r>
  </si>
  <si>
    <t>g</t>
  </si>
  <si>
    <t>%</t>
  </si>
  <si>
    <r>
      <t>m</t>
    </r>
    <r>
      <rPr>
        <vertAlign val="subscript"/>
        <sz val="11"/>
        <rFont val="Calibri"/>
        <family val="2"/>
        <scheme val="minor"/>
      </rPr>
      <t>2</t>
    </r>
  </si>
  <si>
    <r>
      <t>m</t>
    </r>
    <r>
      <rPr>
        <vertAlign val="subscript"/>
        <sz val="11"/>
        <rFont val="Calibri"/>
        <family val="2"/>
        <scheme val="minor"/>
      </rPr>
      <t>3</t>
    </r>
  </si>
  <si>
    <r>
      <t>w</t>
    </r>
    <r>
      <rPr>
        <vertAlign val="subscript"/>
        <sz val="11"/>
        <rFont val="Calibri"/>
        <family val="2"/>
        <scheme val="minor"/>
      </rPr>
      <t>stock</t>
    </r>
  </si>
  <si>
    <t>Bottle +analyte</t>
  </si>
  <si>
    <t>sum</t>
  </si>
  <si>
    <t>Results</t>
  </si>
  <si>
    <t>mass (g)</t>
  </si>
  <si>
    <t>uncert.</t>
  </si>
  <si>
    <t>unit</t>
  </si>
  <si>
    <t>rsu (%)</t>
  </si>
  <si>
    <r>
      <t>w</t>
    </r>
    <r>
      <rPr>
        <vertAlign val="subscript"/>
        <sz val="11"/>
        <rFont val="Calibri"/>
        <family val="2"/>
        <scheme val="minor"/>
      </rPr>
      <t>Analyte</t>
    </r>
  </si>
  <si>
    <r>
      <t>w</t>
    </r>
    <r>
      <rPr>
        <b/>
        <vertAlign val="subscript"/>
        <sz val="11"/>
        <rFont val="Calibri"/>
        <family val="2"/>
        <scheme val="minor"/>
      </rPr>
      <t>Analyte</t>
    </r>
  </si>
  <si>
    <t>µg/g</t>
  </si>
  <si>
    <t>Bottle +analyte+solvent</t>
  </si>
  <si>
    <t>m(Analyte)</t>
  </si>
  <si>
    <t>m (Solution)</t>
  </si>
  <si>
    <t>calculated (external)</t>
  </si>
  <si>
    <t>Anotation</t>
  </si>
  <si>
    <t>W(199Hg)</t>
  </si>
  <si>
    <t>Aw(196Hg)</t>
  </si>
  <si>
    <t>Aw(198Hg)</t>
  </si>
  <si>
    <t>Aw(199Hg)</t>
  </si>
  <si>
    <t>Aw(200Hg)</t>
  </si>
  <si>
    <t>Aw(201Hg)</t>
  </si>
  <si>
    <t>Aw(202Hg)</t>
  </si>
  <si>
    <t>Aw(204Hg)</t>
  </si>
  <si>
    <t>F(Gen_tot)</t>
  </si>
  <si>
    <t>F(Gen_exh)</t>
  </si>
  <si>
    <t>Rb(202Hg/199Hg)</t>
  </si>
  <si>
    <t>A(202Hg)_n</t>
  </si>
  <si>
    <t>Rn(199Hg/202Hg)</t>
  </si>
  <si>
    <t>A(199Hg)_n</t>
  </si>
  <si>
    <t>[pg min-1]</t>
  </si>
  <si>
    <t>F(PP)</t>
  </si>
  <si>
    <t>[g min-1]</t>
  </si>
  <si>
    <t>Vf</t>
  </si>
  <si>
    <t>Peri Pump flow</t>
  </si>
  <si>
    <t>Valumetric flow (split-flow)</t>
  </si>
  <si>
    <t>MFt_e</t>
  </si>
  <si>
    <t>pg g-1</t>
  </si>
  <si>
    <t>enrHg Atom fraction 198Hg</t>
  </si>
  <si>
    <t>enrHg Atom fraction 200Hg</t>
  </si>
  <si>
    <t>enrHg Atom fraction 201Hg</t>
  </si>
  <si>
    <t>enrHg Atom fraction 202Hg</t>
  </si>
  <si>
    <t>enrHg Atom fraction 204Hg</t>
  </si>
  <si>
    <t>enrHg Atom fraction199Hg</t>
  </si>
  <si>
    <t>enrHg mass fraction</t>
  </si>
  <si>
    <t>enrHg Atom fraction 196Hg</t>
  </si>
  <si>
    <t>MFgen</t>
  </si>
  <si>
    <t>A(199Hg)_e</t>
  </si>
  <si>
    <t>A(196Hg)_e</t>
  </si>
  <si>
    <t>A(198Hg)_e</t>
  </si>
  <si>
    <t>A(200Hg)_e</t>
  </si>
  <si>
    <t>A(201Hg)_e</t>
  </si>
  <si>
    <t>A(202Hg)_e</t>
  </si>
  <si>
    <t>A(204Hg)_e</t>
  </si>
  <si>
    <t>Aw(Hg_e)</t>
  </si>
  <si>
    <t>Aw(Hg_n)</t>
  </si>
  <si>
    <t>Squared deviations</t>
  </si>
  <si>
    <t>Budget</t>
  </si>
  <si>
    <t>Re(202Hg/199Hg)</t>
  </si>
  <si>
    <t>Uncertainty Budget</t>
  </si>
  <si>
    <t>RSU</t>
  </si>
  <si>
    <t>SD</t>
  </si>
  <si>
    <t>RSD</t>
  </si>
  <si>
    <t>Bias</t>
  </si>
  <si>
    <t>Reference flow</t>
  </si>
  <si>
    <t>Standard uncertainty</t>
  </si>
  <si>
    <t>Corrected flow</t>
  </si>
  <si>
    <t>Measured flow [ml min-1]</t>
  </si>
  <si>
    <t>199Hg Spike (ORNL) SAMD/116 in 20% HNO3 prepared 02/03/2005</t>
  </si>
  <si>
    <t>10 % v/v c.HCl Romil UpA</t>
  </si>
  <si>
    <t>TBC</t>
  </si>
  <si>
    <t>Denver Si-234A, S/N 23408682, Weights NPL 1405</t>
  </si>
  <si>
    <t>ng/g</t>
  </si>
  <si>
    <t>pg/g</t>
  </si>
  <si>
    <t>ng m-3 (=pg/L)</t>
  </si>
  <si>
    <t>Time [min]</t>
  </si>
  <si>
    <t>weight loss [g]</t>
  </si>
  <si>
    <t>Momentum mass flow [g/min]</t>
  </si>
  <si>
    <t>Mass flow [g/min]</t>
  </si>
  <si>
    <t>Mass flow at sample scale</t>
  </si>
  <si>
    <t>AVG</t>
  </si>
  <si>
    <t>Time [s]</t>
  </si>
  <si>
    <t>Peripump Massflow Determination</t>
  </si>
  <si>
    <t>Peripump</t>
  </si>
  <si>
    <t>Analysts</t>
  </si>
  <si>
    <t>ICP-MS06 peripump</t>
  </si>
  <si>
    <t>SP/PP</t>
  </si>
  <si>
    <t>Solution</t>
  </si>
  <si>
    <t>Calibration Unceratinty (k=1)</t>
  </si>
  <si>
    <t>Repeatability</t>
  </si>
  <si>
    <t>Combined U</t>
  </si>
  <si>
    <t>ü</t>
  </si>
  <si>
    <t>mol mol-1</t>
  </si>
  <si>
    <r>
      <t xml:space="preserve">ext file checked </t>
    </r>
    <r>
      <rPr>
        <sz val="11"/>
        <color rgb="FF00B050"/>
        <rFont val="Wingdings"/>
        <charset val="2"/>
      </rPr>
      <t>ü</t>
    </r>
  </si>
  <si>
    <t>10% v/v HCl</t>
  </si>
  <si>
    <t>Volumetric flow (split-flow)</t>
  </si>
  <si>
    <t>Flow IDMS Calculation Overview</t>
  </si>
  <si>
    <t>Date of Calculation</t>
  </si>
  <si>
    <t>Date of Analysis</t>
  </si>
  <si>
    <t>Analyst(s)</t>
  </si>
  <si>
    <t>Detector</t>
  </si>
  <si>
    <t>Generator</t>
  </si>
  <si>
    <t>Mass Flow Meter</t>
  </si>
  <si>
    <t>CV</t>
  </si>
  <si>
    <t>Set-up</t>
  </si>
  <si>
    <t>Gen Flow Settings</t>
  </si>
  <si>
    <t>SP</t>
  </si>
  <si>
    <t>ICP-MS06</t>
  </si>
  <si>
    <t>Drycal Pro Flexcal (S/N 175689)</t>
  </si>
  <si>
    <t>Cetac HGX-200</t>
  </si>
  <si>
    <t>Panayot's Flow IDMS set-up</t>
  </si>
  <si>
    <t>Temp (°C)</t>
  </si>
  <si>
    <t>Press(hPa)</t>
  </si>
  <si>
    <t>Measured/Calc Ratio</t>
  </si>
  <si>
    <t>PSA 10.534 (high-level Hg0)</t>
  </si>
  <si>
    <t>1.5 L/min dilution flow + 1 mL/min reservoir flow</t>
  </si>
  <si>
    <t>SP1 88-89</t>
  </si>
  <si>
    <t>199Hg Dilution 1</t>
  </si>
  <si>
    <t>199Hg Dilution 2</t>
  </si>
  <si>
    <t>4 ppb 199Hg</t>
  </si>
  <si>
    <t>Measured Conc (ng/L)</t>
  </si>
  <si>
    <t>Dumarey Conc (ng/L) measured flow rate</t>
  </si>
  <si>
    <t>Dumarey Conc (ng/L) flow setting</t>
  </si>
  <si>
    <t>measured by JSI (Dec 2022)</t>
  </si>
  <si>
    <t>Cold Vapour Efficiency</t>
  </si>
  <si>
    <t>CVE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</si>
</sst>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0.000"/>
    <numFmt numFmtId="165" formatCode="0.0000000"/>
    <numFmt numFmtId="166" formatCode="0.000000"/>
    <numFmt numFmtId="167" formatCode="0.00000"/>
    <numFmt numFmtId="168" formatCode="0.0000"/>
    <numFmt numFmtId="169" formatCode="0.0"/>
    <numFmt numFmtId="170" formatCode="0.0E+00"/>
    <numFmt numFmtId="171" formatCode="_-* #,##0.0000_-;\-* #,##0.0000_-;_-* &quot;-&quot;??_-;_-@_-"/>
    <numFmt numFmtId="172" formatCode="0.0%"/>
    <numFmt numFmtId="173" formatCode="0.000%"/>
  </numFmts>
  <fonts count="3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48"/>
      <name val="Calibri"/>
      <family val="2"/>
      <scheme val="minor"/>
    </font>
    <font>
      <sz val="11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Times New Roman"/>
      <family val="1"/>
    </font>
    <font>
      <i/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indexed="17"/>
      <name val="Calibri"/>
      <family val="2"/>
      <scheme val="minor"/>
    </font>
    <font>
      <sz val="10"/>
      <name val="Times New Roman"/>
      <family val="1"/>
    </font>
    <font>
      <sz val="11"/>
      <color indexed="10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B050"/>
      <name val="Wingdings"/>
      <charset val="2"/>
    </font>
    <font>
      <sz val="8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B050"/>
      <name val="Wingdings"/>
      <charset val="2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EFEF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9" fontId="8" fillId="0" borderId="0" applyFont="0" applyFill="0" applyBorder="0" applyAlignment="0" applyProtection="0"/>
    <xf numFmtId="0" fontId="13" fillId="0" borderId="0"/>
    <xf numFmtId="43" fontId="1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0" fontId="13" fillId="0" borderId="0"/>
    <xf numFmtId="43" fontId="13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/>
    <xf numFmtId="0" fontId="6" fillId="5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10" fillId="0" borderId="0" xfId="0" applyFont="1" applyProtection="1">
      <protection locked="0"/>
    </xf>
    <xf numFmtId="0" fontId="0" fillId="0" borderId="17" xfId="0" applyBorder="1"/>
    <xf numFmtId="0" fontId="0" fillId="4" borderId="17" xfId="0" applyFill="1" applyBorder="1"/>
    <xf numFmtId="0" fontId="0" fillId="3" borderId="17" xfId="0" applyFill="1" applyBorder="1"/>
    <xf numFmtId="0" fontId="0" fillId="0" borderId="20" xfId="0" applyBorder="1"/>
    <xf numFmtId="0" fontId="0" fillId="0" borderId="23" xfId="0" applyBorder="1"/>
    <xf numFmtId="0" fontId="1" fillId="0" borderId="19" xfId="0" applyFont="1" applyBorder="1"/>
    <xf numFmtId="0" fontId="1" fillId="0" borderId="0" xfId="0" applyFont="1"/>
    <xf numFmtId="0" fontId="0" fillId="6" borderId="20" xfId="0" applyFill="1" applyBorder="1"/>
    <xf numFmtId="0" fontId="0" fillId="6" borderId="23" xfId="0" applyFill="1" applyBorder="1"/>
    <xf numFmtId="0" fontId="0" fillId="6" borderId="17" xfId="0" applyFill="1" applyBorder="1"/>
    <xf numFmtId="169" fontId="0" fillId="6" borderId="17" xfId="0" applyNumberFormat="1" applyFill="1" applyBorder="1"/>
    <xf numFmtId="0" fontId="0" fillId="6" borderId="0" xfId="0" applyFill="1"/>
    <xf numFmtId="165" fontId="0" fillId="0" borderId="17" xfId="0" applyNumberFormat="1" applyBorder="1"/>
    <xf numFmtId="49" fontId="4" fillId="2" borderId="19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0" fontId="2" fillId="0" borderId="26" xfId="0" applyFont="1" applyBorder="1"/>
    <xf numFmtId="0" fontId="0" fillId="0" borderId="19" xfId="0" applyBorder="1"/>
    <xf numFmtId="169" fontId="0" fillId="0" borderId="17" xfId="0" applyNumberFormat="1" applyBorder="1"/>
    <xf numFmtId="171" fontId="0" fillId="0" borderId="26" xfId="5" applyNumberFormat="1" applyFont="1" applyBorder="1"/>
    <xf numFmtId="9" fontId="0" fillId="0" borderId="17" xfId="2" applyFont="1" applyBorder="1"/>
    <xf numFmtId="0" fontId="0" fillId="0" borderId="22" xfId="0" applyBorder="1"/>
    <xf numFmtId="9" fontId="0" fillId="0" borderId="22" xfId="2" applyFont="1" applyBorder="1"/>
    <xf numFmtId="9" fontId="0" fillId="0" borderId="0" xfId="0" applyNumberFormat="1"/>
    <xf numFmtId="0" fontId="0" fillId="7" borderId="0" xfId="0" applyFill="1"/>
    <xf numFmtId="11" fontId="0" fillId="0" borderId="0" xfId="0" applyNumberFormat="1"/>
    <xf numFmtId="11" fontId="0" fillId="0" borderId="17" xfId="0" applyNumberFormat="1" applyBorder="1"/>
    <xf numFmtId="2" fontId="0" fillId="0" borderId="17" xfId="0" applyNumberFormat="1" applyBorder="1"/>
    <xf numFmtId="168" fontId="0" fillId="0" borderId="17" xfId="0" applyNumberFormat="1" applyBorder="1"/>
    <xf numFmtId="164" fontId="0" fillId="0" borderId="17" xfId="0" applyNumberFormat="1" applyBorder="1"/>
    <xf numFmtId="0" fontId="2" fillId="0" borderId="21" xfId="0" applyFont="1" applyBorder="1"/>
    <xf numFmtId="0" fontId="2" fillId="0" borderId="22" xfId="0" applyFont="1" applyBorder="1"/>
    <xf numFmtId="1" fontId="2" fillId="0" borderId="22" xfId="0" applyNumberFormat="1" applyFont="1" applyBorder="1"/>
    <xf numFmtId="169" fontId="0" fillId="4" borderId="17" xfId="0" applyNumberFormat="1" applyFill="1" applyBorder="1"/>
    <xf numFmtId="10" fontId="0" fillId="0" borderId="0" xfId="2" applyNumberFormat="1" applyFont="1"/>
    <xf numFmtId="10" fontId="0" fillId="0" borderId="17" xfId="0" applyNumberFormat="1" applyBorder="1"/>
    <xf numFmtId="164" fontId="21" fillId="0" borderId="17" xfId="0" applyNumberFormat="1" applyFont="1" applyBorder="1"/>
    <xf numFmtId="0" fontId="22" fillId="0" borderId="0" xfId="0" applyFont="1"/>
    <xf numFmtId="0" fontId="2" fillId="0" borderId="0" xfId="0" applyFont="1"/>
    <xf numFmtId="172" fontId="0" fillId="0" borderId="0" xfId="2" applyNumberFormat="1" applyFont="1"/>
    <xf numFmtId="2" fontId="2" fillId="0" borderId="22" xfId="0" applyNumberFormat="1" applyFont="1" applyBorder="1"/>
    <xf numFmtId="164" fontId="2" fillId="0" borderId="22" xfId="0" applyNumberFormat="1" applyFont="1" applyBorder="1"/>
    <xf numFmtId="0" fontId="9" fillId="0" borderId="0" xfId="6" applyFont="1" applyProtection="1">
      <protection locked="0"/>
    </xf>
    <xf numFmtId="0" fontId="10" fillId="0" borderId="0" xfId="6" applyFont="1"/>
    <xf numFmtId="0" fontId="10" fillId="0" borderId="0" xfId="6" applyFont="1" applyProtection="1">
      <protection locked="0"/>
    </xf>
    <xf numFmtId="0" fontId="11" fillId="2" borderId="0" xfId="6" applyFont="1" applyFill="1" applyProtection="1">
      <protection locked="0"/>
    </xf>
    <xf numFmtId="0" fontId="10" fillId="2" borderId="0" xfId="6" applyFont="1" applyFill="1" applyProtection="1">
      <protection locked="0"/>
    </xf>
    <xf numFmtId="14" fontId="11" fillId="2" borderId="0" xfId="6" applyNumberFormat="1" applyFont="1" applyFill="1" applyAlignment="1" applyProtection="1">
      <alignment horizontal="center"/>
      <protection locked="0"/>
    </xf>
    <xf numFmtId="0" fontId="11" fillId="0" borderId="0" xfId="6" applyFont="1" applyProtection="1">
      <protection locked="0"/>
    </xf>
    <xf numFmtId="0" fontId="12" fillId="0" borderId="2" xfId="6" applyFont="1" applyBorder="1" applyAlignment="1">
      <alignment horizontal="left"/>
    </xf>
    <xf numFmtId="0" fontId="10" fillId="0" borderId="3" xfId="6" applyFont="1" applyBorder="1"/>
    <xf numFmtId="0" fontId="10" fillId="0" borderId="3" xfId="6" applyFont="1" applyBorder="1" applyAlignment="1">
      <alignment horizontal="center"/>
    </xf>
    <xf numFmtId="14" fontId="10" fillId="0" borderId="3" xfId="6" applyNumberFormat="1" applyFont="1" applyBorder="1" applyAlignment="1">
      <alignment horizontal="center"/>
    </xf>
    <xf numFmtId="0" fontId="10" fillId="0" borderId="1" xfId="6" applyFont="1" applyBorder="1"/>
    <xf numFmtId="0" fontId="10" fillId="0" borderId="0" xfId="6" applyFont="1" applyAlignment="1">
      <alignment horizontal="center"/>
    </xf>
    <xf numFmtId="0" fontId="10" fillId="0" borderId="5" xfId="6" applyFont="1" applyBorder="1"/>
    <xf numFmtId="168" fontId="11" fillId="2" borderId="0" xfId="7" applyNumberFormat="1" applyFont="1" applyFill="1" applyAlignment="1" applyProtection="1">
      <alignment horizontal="center"/>
      <protection locked="0"/>
    </xf>
    <xf numFmtId="0" fontId="12" fillId="0" borderId="0" xfId="6" applyFont="1"/>
    <xf numFmtId="0" fontId="14" fillId="0" borderId="6" xfId="6" applyFont="1" applyBorder="1" applyAlignment="1">
      <alignment horizontal="center"/>
    </xf>
    <xf numFmtId="0" fontId="11" fillId="0" borderId="0" xfId="6" applyFont="1" applyAlignment="1" applyProtection="1">
      <alignment horizontal="center"/>
      <protection locked="0"/>
    </xf>
    <xf numFmtId="170" fontId="16" fillId="0" borderId="0" xfId="6" applyNumberFormat="1" applyFont="1" applyAlignment="1">
      <alignment horizontal="center"/>
    </xf>
    <xf numFmtId="11" fontId="11" fillId="2" borderId="0" xfId="6" applyNumberFormat="1" applyFont="1" applyFill="1" applyAlignment="1" applyProtection="1">
      <alignment horizontal="center"/>
      <protection locked="0"/>
    </xf>
    <xf numFmtId="11" fontId="16" fillId="0" borderId="0" xfId="6" applyNumberFormat="1" applyFont="1" applyAlignment="1">
      <alignment horizontal="center"/>
    </xf>
    <xf numFmtId="0" fontId="11" fillId="0" borderId="6" xfId="6" applyFont="1" applyBorder="1" applyAlignment="1" applyProtection="1">
      <alignment horizontal="center"/>
      <protection locked="0"/>
    </xf>
    <xf numFmtId="11" fontId="17" fillId="0" borderId="0" xfId="6" applyNumberFormat="1" applyFont="1"/>
    <xf numFmtId="2" fontId="17" fillId="0" borderId="0" xfId="6" applyNumberFormat="1" applyFont="1"/>
    <xf numFmtId="0" fontId="17" fillId="0" borderId="0" xfId="6" applyFont="1"/>
    <xf numFmtId="166" fontId="11" fillId="0" borderId="0" xfId="6" applyNumberFormat="1" applyFont="1" applyAlignment="1" applyProtection="1">
      <alignment horizontal="center"/>
      <protection locked="0"/>
    </xf>
    <xf numFmtId="167" fontId="11" fillId="2" borderId="0" xfId="6" applyNumberFormat="1" applyFont="1" applyFill="1" applyAlignment="1" applyProtection="1">
      <alignment horizontal="center"/>
      <protection locked="0"/>
    </xf>
    <xf numFmtId="170" fontId="10" fillId="0" borderId="0" xfId="6" applyNumberFormat="1" applyFont="1" applyAlignment="1">
      <alignment horizontal="center"/>
    </xf>
    <xf numFmtId="11" fontId="10" fillId="0" borderId="0" xfId="6" applyNumberFormat="1" applyFont="1" applyAlignment="1">
      <alignment horizontal="center"/>
    </xf>
    <xf numFmtId="0" fontId="10" fillId="0" borderId="6" xfId="6" applyFont="1" applyBorder="1" applyAlignment="1">
      <alignment horizontal="center"/>
    </xf>
    <xf numFmtId="166" fontId="10" fillId="0" borderId="0" xfId="6" applyNumberFormat="1" applyFont="1" applyAlignment="1">
      <alignment horizontal="center"/>
    </xf>
    <xf numFmtId="11" fontId="10" fillId="0" borderId="0" xfId="6" applyNumberFormat="1" applyFont="1"/>
    <xf numFmtId="0" fontId="10" fillId="0" borderId="6" xfId="6" applyFont="1" applyBorder="1"/>
    <xf numFmtId="0" fontId="12" fillId="0" borderId="9" xfId="6" applyFont="1" applyBorder="1"/>
    <xf numFmtId="0" fontId="10" fillId="0" borderId="10" xfId="6" applyFont="1" applyBorder="1" applyAlignment="1">
      <alignment horizontal="center"/>
    </xf>
    <xf numFmtId="0" fontId="10" fillId="0" borderId="11" xfId="6" applyFont="1" applyBorder="1"/>
    <xf numFmtId="0" fontId="10" fillId="0" borderId="12" xfId="6" applyFont="1" applyBorder="1"/>
    <xf numFmtId="165" fontId="19" fillId="0" borderId="0" xfId="8" applyNumberFormat="1" applyFont="1" applyBorder="1" applyAlignment="1" applyProtection="1">
      <alignment horizontal="center"/>
    </xf>
    <xf numFmtId="0" fontId="19" fillId="0" borderId="0" xfId="6" applyFont="1" applyAlignment="1">
      <alignment horizontal="center"/>
    </xf>
    <xf numFmtId="168" fontId="19" fillId="0" borderId="0" xfId="6" applyNumberFormat="1" applyFont="1" applyAlignment="1">
      <alignment horizontal="center"/>
    </xf>
    <xf numFmtId="0" fontId="19" fillId="0" borderId="13" xfId="6" applyFont="1" applyBorder="1"/>
    <xf numFmtId="0" fontId="12" fillId="0" borderId="12" xfId="6" applyFont="1" applyBorder="1"/>
    <xf numFmtId="167" fontId="1" fillId="0" borderId="0" xfId="6" applyNumberFormat="1" applyFont="1" applyAlignment="1" applyProtection="1">
      <alignment horizontal="center"/>
      <protection locked="0"/>
    </xf>
    <xf numFmtId="0" fontId="1" fillId="2" borderId="0" xfId="6" applyFont="1" applyFill="1" applyAlignment="1" applyProtection="1">
      <alignment horizontal="center"/>
      <protection locked="0"/>
    </xf>
    <xf numFmtId="168" fontId="1" fillId="0" borderId="0" xfId="6" applyNumberFormat="1" applyFont="1" applyAlignment="1">
      <alignment horizontal="center"/>
    </xf>
    <xf numFmtId="0" fontId="1" fillId="0" borderId="13" xfId="6" applyFont="1" applyBorder="1" applyProtection="1">
      <protection locked="0"/>
    </xf>
    <xf numFmtId="170" fontId="10" fillId="0" borderId="12" xfId="6" applyNumberFormat="1" applyFont="1" applyBorder="1" applyAlignment="1">
      <alignment horizontal="center"/>
    </xf>
    <xf numFmtId="167" fontId="10" fillId="0" borderId="0" xfId="6" applyNumberFormat="1" applyFont="1" applyAlignment="1">
      <alignment horizontal="center"/>
    </xf>
    <xf numFmtId="0" fontId="10" fillId="0" borderId="13" xfId="6" applyFont="1" applyBorder="1"/>
    <xf numFmtId="167" fontId="19" fillId="0" borderId="0" xfId="6" applyNumberFormat="1" applyFont="1"/>
    <xf numFmtId="11" fontId="19" fillId="0" borderId="0" xfId="6" applyNumberFormat="1" applyFont="1"/>
    <xf numFmtId="0" fontId="19" fillId="0" borderId="0" xfId="6" applyFont="1"/>
    <xf numFmtId="164" fontId="19" fillId="0" borderId="0" xfId="6" applyNumberFormat="1" applyFont="1"/>
    <xf numFmtId="0" fontId="12" fillId="0" borderId="6" xfId="6" applyFont="1" applyBorder="1"/>
    <xf numFmtId="0" fontId="10" fillId="0" borderId="14" xfId="6" applyFont="1" applyBorder="1"/>
    <xf numFmtId="167" fontId="19" fillId="0" borderId="15" xfId="6" applyNumberFormat="1" applyFont="1" applyBorder="1"/>
    <xf numFmtId="11" fontId="19" fillId="0" borderId="15" xfId="6" applyNumberFormat="1" applyFont="1" applyBorder="1"/>
    <xf numFmtId="0" fontId="19" fillId="0" borderId="15" xfId="6" applyFont="1" applyBorder="1"/>
    <xf numFmtId="0" fontId="19" fillId="0" borderId="16" xfId="6" applyFont="1" applyBorder="1"/>
    <xf numFmtId="0" fontId="11" fillId="2" borderId="0" xfId="6" applyFont="1" applyFill="1" applyAlignment="1" applyProtection="1">
      <alignment horizontal="center"/>
      <protection locked="0"/>
    </xf>
    <xf numFmtId="0" fontId="14" fillId="0" borderId="0" xfId="6" applyFont="1" applyAlignment="1">
      <alignment horizontal="left"/>
    </xf>
    <xf numFmtId="168" fontId="10" fillId="0" borderId="0" xfId="6" applyNumberFormat="1" applyFont="1"/>
    <xf numFmtId="166" fontId="10" fillId="0" borderId="0" xfId="6" applyNumberFormat="1" applyFont="1"/>
    <xf numFmtId="164" fontId="10" fillId="0" borderId="0" xfId="6" applyNumberFormat="1" applyFont="1" applyAlignment="1">
      <alignment horizontal="center"/>
    </xf>
    <xf numFmtId="0" fontId="10" fillId="0" borderId="7" xfId="6" applyFont="1" applyBorder="1"/>
    <xf numFmtId="0" fontId="11" fillId="0" borderId="8" xfId="6" applyFont="1" applyBorder="1" applyProtection="1">
      <protection locked="0"/>
    </xf>
    <xf numFmtId="0" fontId="10" fillId="0" borderId="8" xfId="6" applyFont="1" applyBorder="1"/>
    <xf numFmtId="0" fontId="12" fillId="0" borderId="8" xfId="6" applyFont="1" applyBorder="1" applyAlignment="1">
      <alignment horizontal="left"/>
    </xf>
    <xf numFmtId="166" fontId="10" fillId="0" borderId="8" xfId="6" applyNumberFormat="1" applyFont="1" applyBorder="1"/>
    <xf numFmtId="164" fontId="10" fillId="0" borderId="8" xfId="6" applyNumberFormat="1" applyFont="1" applyBorder="1" applyAlignment="1">
      <alignment horizontal="center"/>
    </xf>
    <xf numFmtId="0" fontId="10" fillId="0" borderId="4" xfId="6" applyFont="1" applyBorder="1"/>
    <xf numFmtId="0" fontId="12" fillId="0" borderId="0" xfId="6" applyFont="1" applyAlignment="1">
      <alignment horizontal="left"/>
    </xf>
    <xf numFmtId="0" fontId="11" fillId="2" borderId="0" xfId="7" applyFont="1" applyFill="1" applyAlignment="1" applyProtection="1">
      <alignment horizontal="center"/>
      <protection locked="0"/>
    </xf>
    <xf numFmtId="167" fontId="21" fillId="2" borderId="0" xfId="6" applyNumberFormat="1" applyFont="1" applyFill="1" applyAlignment="1" applyProtection="1">
      <alignment horizontal="center"/>
      <protection locked="0"/>
    </xf>
    <xf numFmtId="0" fontId="10" fillId="0" borderId="17" xfId="0" applyFont="1" applyBorder="1"/>
    <xf numFmtId="2" fontId="10" fillId="0" borderId="17" xfId="0" applyNumberFormat="1" applyFont="1" applyBorder="1"/>
    <xf numFmtId="164" fontId="10" fillId="0" borderId="17" xfId="0" applyNumberFormat="1" applyFont="1" applyBorder="1"/>
    <xf numFmtId="0" fontId="2" fillId="0" borderId="17" xfId="0" applyFont="1" applyBorder="1"/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2" fillId="6" borderId="0" xfId="0" applyFont="1" applyFill="1" applyAlignment="1">
      <alignment horizontal="right" vertical="center"/>
    </xf>
    <xf numFmtId="172" fontId="8" fillId="6" borderId="0" xfId="2" applyNumberFormat="1" applyFont="1" applyFill="1" applyAlignment="1">
      <alignment horizontal="center" vertical="center"/>
    </xf>
    <xf numFmtId="14" fontId="0" fillId="0" borderId="0" xfId="0" applyNumberFormat="1"/>
    <xf numFmtId="2" fontId="21" fillId="0" borderId="17" xfId="0" applyNumberFormat="1" applyFont="1" applyBorder="1"/>
    <xf numFmtId="169" fontId="21" fillId="0" borderId="17" xfId="0" applyNumberFormat="1" applyFont="1" applyBorder="1"/>
    <xf numFmtId="173" fontId="0" fillId="0" borderId="0" xfId="2" applyNumberFormat="1" applyFont="1"/>
    <xf numFmtId="169" fontId="2" fillId="0" borderId="0" xfId="0" applyNumberFormat="1" applyFont="1"/>
    <xf numFmtId="0" fontId="21" fillId="2" borderId="0" xfId="6" applyFont="1" applyFill="1" applyProtection="1">
      <protection locked="0"/>
    </xf>
    <xf numFmtId="14" fontId="11" fillId="2" borderId="0" xfId="6" applyNumberFormat="1" applyFont="1" applyFill="1" applyAlignment="1" applyProtection="1">
      <alignment horizontal="left"/>
      <protection locked="0"/>
    </xf>
    <xf numFmtId="0" fontId="25" fillId="0" borderId="0" xfId="0" applyFont="1" applyAlignment="1">
      <alignment horizontal="center"/>
    </xf>
    <xf numFmtId="172" fontId="0" fillId="0" borderId="22" xfId="2" applyNumberFormat="1" applyFont="1" applyBorder="1"/>
    <xf numFmtId="0" fontId="27" fillId="0" borderId="17" xfId="0" applyFont="1" applyBorder="1"/>
    <xf numFmtId="164" fontId="1" fillId="0" borderId="17" xfId="0" applyNumberFormat="1" applyFont="1" applyBorder="1"/>
    <xf numFmtId="0" fontId="29" fillId="0" borderId="0" xfId="0" applyFont="1"/>
    <xf numFmtId="0" fontId="30" fillId="0" borderId="0" xfId="0" applyFont="1"/>
    <xf numFmtId="9" fontId="1" fillId="0" borderId="0" xfId="2" applyFont="1"/>
    <xf numFmtId="164" fontId="0" fillId="0" borderId="0" xfId="0" applyNumberFormat="1"/>
    <xf numFmtId="2" fontId="0" fillId="0" borderId="0" xfId="0" applyNumberFormat="1"/>
    <xf numFmtId="0" fontId="0" fillId="4" borderId="28" xfId="0" applyFill="1" applyBorder="1"/>
    <xf numFmtId="49" fontId="4" fillId="2" borderId="19" xfId="1" applyNumberFormat="1" applyFont="1" applyFill="1" applyBorder="1" applyAlignment="1">
      <alignment horizontal="center" vertical="center"/>
    </xf>
    <xf numFmtId="49" fontId="4" fillId="2" borderId="17" xfId="1" applyNumberFormat="1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49" fontId="4" fillId="2" borderId="18" xfId="1" applyNumberFormat="1" applyFont="1" applyFill="1" applyBorder="1" applyAlignment="1">
      <alignment horizontal="center" vertical="center"/>
    </xf>
    <xf numFmtId="49" fontId="4" fillId="2" borderId="20" xfId="1" applyNumberFormat="1" applyFont="1" applyFill="1" applyBorder="1" applyAlignment="1">
      <alignment horizontal="center" vertical="center"/>
    </xf>
    <xf numFmtId="49" fontId="4" fillId="2" borderId="24" xfId="1" applyNumberFormat="1" applyFont="1" applyFill="1" applyBorder="1" applyAlignment="1">
      <alignment horizontal="center" vertical="center"/>
    </xf>
    <xf numFmtId="49" fontId="4" fillId="2" borderId="25" xfId="1" applyNumberFormat="1" applyFont="1" applyFill="1" applyBorder="1" applyAlignment="1">
      <alignment horizontal="center" vertical="center"/>
    </xf>
  </cellXfs>
  <cellStyles count="9">
    <cellStyle name="Comma" xfId="5" builtinId="3"/>
    <cellStyle name="Comma 2" xfId="4" xr:uid="{8827266F-A894-4556-9648-9B72D5001FFA}"/>
    <cellStyle name="Comma 2 2" xfId="8" xr:uid="{BCE1CAD5-2E52-49CB-8584-FAA152E5C9C3}"/>
    <cellStyle name="Normal" xfId="0" builtinId="0"/>
    <cellStyle name="Normal 2" xfId="3" xr:uid="{742B523A-605F-4E20-84CC-540AE7B0C68C}"/>
    <cellStyle name="Normal 2 2" xfId="7" xr:uid="{63DB6DD7-6F57-49CF-91CD-7D92B6910972}"/>
    <cellStyle name="Normal 6" xfId="6" xr:uid="{44916C90-6C7E-431F-9203-8430AE7E3A7B}"/>
    <cellStyle name="Normal_Isodat d13C Calculation" xfId="1" xr:uid="{C7F3DFDA-4593-4027-9A7F-F895E5731687}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'Calculation template'!$G$17</c:f>
              <c:strCache>
                <c:ptCount val="1"/>
                <c:pt idx="0">
                  <c:v>Uncertainty Budget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'Calculation template'!$H$15:$P$15</c:f>
              <c:strCache>
                <c:ptCount val="9"/>
                <c:pt idx="0">
                  <c:v>Spike Mass Flow 199Hg</c:v>
                </c:pt>
                <c:pt idx="1">
                  <c:v>Volumetric flow (split-flow)</c:v>
                </c:pt>
                <c:pt idx="2">
                  <c:v>natHg Atomic weight</c:v>
                </c:pt>
                <c:pt idx="3">
                  <c:v>199Hg Atomic weight</c:v>
                </c:pt>
                <c:pt idx="4">
                  <c:v>enrHg Atom fraction199Hg</c:v>
                </c:pt>
                <c:pt idx="5">
                  <c:v>natHg Atom fraction202Hg</c:v>
                </c:pt>
                <c:pt idx="6">
                  <c:v>Blend IR (202/199)</c:v>
                </c:pt>
                <c:pt idx="7">
                  <c:v>199Hg IR (202/199)</c:v>
                </c:pt>
                <c:pt idx="8">
                  <c:v>natHg IR (199/202)</c:v>
                </c:pt>
              </c:strCache>
            </c:strRef>
          </c:cat>
          <c:val>
            <c:numRef>
              <c:f>'Calculation template'!$H$17:$P$17</c:f>
              <c:numCache>
                <c:formatCode>0%</c:formatCode>
                <c:ptCount val="9"/>
                <c:pt idx="0">
                  <c:v>0.44492272248907161</c:v>
                </c:pt>
                <c:pt idx="1">
                  <c:v>0.32959985080025805</c:v>
                </c:pt>
                <c:pt idx="2">
                  <c:v>2.9346882514014241E-8</c:v>
                </c:pt>
                <c:pt idx="3">
                  <c:v>2.3575263376443954E-4</c:v>
                </c:pt>
                <c:pt idx="4">
                  <c:v>1.5518266785484821E-4</c:v>
                </c:pt>
                <c:pt idx="5">
                  <c:v>9.9408365196776861E-3</c:v>
                </c:pt>
                <c:pt idx="6">
                  <c:v>0.14738967506617434</c:v>
                </c:pt>
                <c:pt idx="7">
                  <c:v>6.2110761343364082E-6</c:v>
                </c:pt>
                <c:pt idx="8">
                  <c:v>6.7749739400182224E-2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AD-4888-AF0D-2E868A2C18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67"/>
        <c:overlap val="-43"/>
        <c:axId val="925690312"/>
        <c:axId val="925687688"/>
      </c:barChart>
      <c:catAx>
        <c:axId val="925690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687688"/>
        <c:crosses val="autoZero"/>
        <c:auto val="1"/>
        <c:lblAlgn val="ctr"/>
        <c:lblOffset val="100"/>
        <c:noMultiLvlLbl val="0"/>
      </c:catAx>
      <c:valAx>
        <c:axId val="92568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5690312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Weight loss function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'Peripump MassFlow'!$C$7</c:f>
              <c:strCache>
                <c:ptCount val="1"/>
                <c:pt idx="0">
                  <c:v>weight loss [g]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2610246719160104"/>
                  <c:y val="-0.43903326210617727"/>
                </c:manualLayout>
              </c:layout>
              <c:numFmt formatCode="#,##0.00000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'Peripump MassFlow'!$A$8:$A$68</c:f>
              <c:numCache>
                <c:formatCode>General</c:formatCode>
                <c:ptCount val="6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</c:numCache>
            </c:numRef>
          </c:xVal>
          <c:yVal>
            <c:numRef>
              <c:f>'Peripump MassFlow'!$C$8:$C$68</c:f>
              <c:numCache>
                <c:formatCode>General</c:formatCode>
                <c:ptCount val="61"/>
                <c:pt idx="0">
                  <c:v>-3.6999999999999998E-2</c:v>
                </c:pt>
                <c:pt idx="1">
                  <c:v>-7.9600000000000004E-2</c:v>
                </c:pt>
                <c:pt idx="2">
                  <c:v>-0.124</c:v>
                </c:pt>
                <c:pt idx="3">
                  <c:v>-0.15</c:v>
                </c:pt>
                <c:pt idx="4">
                  <c:v>-0.20660000000000001</c:v>
                </c:pt>
                <c:pt idx="5">
                  <c:v>-0.25319999999999998</c:v>
                </c:pt>
                <c:pt idx="6">
                  <c:v>-0.29659999999999997</c:v>
                </c:pt>
                <c:pt idx="7">
                  <c:v>-0.34110000000000001</c:v>
                </c:pt>
                <c:pt idx="8">
                  <c:v>-0.371</c:v>
                </c:pt>
                <c:pt idx="9">
                  <c:v>-0.41289999999999999</c:v>
                </c:pt>
                <c:pt idx="10">
                  <c:v>-0.45479999999999998</c:v>
                </c:pt>
                <c:pt idx="11">
                  <c:v>-0.50239999999999996</c:v>
                </c:pt>
                <c:pt idx="12">
                  <c:v>-0.54830000000000001</c:v>
                </c:pt>
                <c:pt idx="13">
                  <c:v>-0.58560000000000001</c:v>
                </c:pt>
                <c:pt idx="14">
                  <c:v>-0.62260000000000004</c:v>
                </c:pt>
                <c:pt idx="15">
                  <c:v>-0.66249999999999998</c:v>
                </c:pt>
                <c:pt idx="16">
                  <c:v>-0.71319999999999995</c:v>
                </c:pt>
                <c:pt idx="17">
                  <c:v>-0.751</c:v>
                </c:pt>
                <c:pt idx="18">
                  <c:v>-0.80169999999999997</c:v>
                </c:pt>
                <c:pt idx="19">
                  <c:v>-0.8458</c:v>
                </c:pt>
                <c:pt idx="20">
                  <c:v>-0.88519999999999999</c:v>
                </c:pt>
                <c:pt idx="21">
                  <c:v>-0.94269999999999998</c:v>
                </c:pt>
                <c:pt idx="22">
                  <c:v>-0.98350000000000004</c:v>
                </c:pt>
                <c:pt idx="23">
                  <c:v>-1.0181</c:v>
                </c:pt>
                <c:pt idx="24">
                  <c:v>-1.0570999999999999</c:v>
                </c:pt>
                <c:pt idx="25">
                  <c:v>-1.0881000000000001</c:v>
                </c:pt>
                <c:pt idx="26">
                  <c:v>-1.1393</c:v>
                </c:pt>
                <c:pt idx="27">
                  <c:v>-1.1792</c:v>
                </c:pt>
                <c:pt idx="28">
                  <c:v>-1.2210000000000001</c:v>
                </c:pt>
                <c:pt idx="29">
                  <c:v>-1.2646999999999999</c:v>
                </c:pt>
                <c:pt idx="30">
                  <c:v>-1.3027</c:v>
                </c:pt>
                <c:pt idx="31">
                  <c:v>-1.3693</c:v>
                </c:pt>
                <c:pt idx="32">
                  <c:v>-1.4004000000000001</c:v>
                </c:pt>
                <c:pt idx="33">
                  <c:v>-1.4261999999999999</c:v>
                </c:pt>
                <c:pt idx="34">
                  <c:v>-1.4943</c:v>
                </c:pt>
                <c:pt idx="35">
                  <c:v>-1.5216000000000001</c:v>
                </c:pt>
                <c:pt idx="36">
                  <c:v>-1.5580000000000001</c:v>
                </c:pt>
                <c:pt idx="37">
                  <c:v>-1.6484000000000001</c:v>
                </c:pt>
                <c:pt idx="38">
                  <c:v>-1.6556</c:v>
                </c:pt>
                <c:pt idx="39">
                  <c:v>-1.7177</c:v>
                </c:pt>
                <c:pt idx="40">
                  <c:v>-1.7332000000000001</c:v>
                </c:pt>
                <c:pt idx="41">
                  <c:v>-1.7624</c:v>
                </c:pt>
                <c:pt idx="42">
                  <c:v>-1.8002</c:v>
                </c:pt>
                <c:pt idx="43">
                  <c:v>-1.8445</c:v>
                </c:pt>
                <c:pt idx="44">
                  <c:v>-1.8888</c:v>
                </c:pt>
                <c:pt idx="45">
                  <c:v>-1.9352</c:v>
                </c:pt>
                <c:pt idx="46">
                  <c:v>-1.9795</c:v>
                </c:pt>
                <c:pt idx="47">
                  <c:v>-2.0165999999999999</c:v>
                </c:pt>
                <c:pt idx="48">
                  <c:v>-2.0651000000000002</c:v>
                </c:pt>
                <c:pt idx="49">
                  <c:v>-2.0987</c:v>
                </c:pt>
                <c:pt idx="50">
                  <c:v>-2.1472000000000002</c:v>
                </c:pt>
                <c:pt idx="51">
                  <c:v>-2.1886000000000001</c:v>
                </c:pt>
                <c:pt idx="52">
                  <c:v>-2.2305000000000001</c:v>
                </c:pt>
                <c:pt idx="53">
                  <c:v>-2.2688999999999999</c:v>
                </c:pt>
                <c:pt idx="54">
                  <c:v>-2.3106</c:v>
                </c:pt>
                <c:pt idx="55">
                  <c:v>-2.3574999999999999</c:v>
                </c:pt>
                <c:pt idx="56">
                  <c:v>-2.4034</c:v>
                </c:pt>
                <c:pt idx="57">
                  <c:v>-2.4417</c:v>
                </c:pt>
                <c:pt idx="58">
                  <c:v>-2.4857999999999998</c:v>
                </c:pt>
                <c:pt idx="59">
                  <c:v>-2.5184000000000002</c:v>
                </c:pt>
                <c:pt idx="60">
                  <c:v>-2.5657999999999999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5E8-4102-93DC-949056E1E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541032"/>
        <c:axId val="516541360"/>
      </c:scatterChart>
      <c:valAx>
        <c:axId val="51654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360"/>
        <c:crosses val="autoZero"/>
        <c:crossBetween val="midCat"/>
      </c:valAx>
      <c:valAx>
        <c:axId val="516541360"/>
        <c:scaling>
          <c:orientation val="minMax"/>
          <c:max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Weight loss [g]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'Peripump MassFlow'!$D$7</c:f>
              <c:strCache>
                <c:ptCount val="1"/>
                <c:pt idx="0">
                  <c:v>Momentum mass flow [g/min]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'Peripump MassFlow'!$A$8:$A$68</c:f>
              <c:numCache>
                <c:formatCode>General</c:formatCode>
                <c:ptCount val="6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</c:numCache>
            </c:numRef>
          </c:xVal>
          <c:yVal>
            <c:numRef>
              <c:f>'Peripump MassFlow'!$D$8:$D$68</c:f>
              <c:numCache>
                <c:formatCode>0.000</c:formatCode>
                <c:ptCount val="61"/>
                <c:pt idx="1">
                  <c:v>0.25560000000000005</c:v>
                </c:pt>
                <c:pt idx="2">
                  <c:v>0.26639999999999997</c:v>
                </c:pt>
                <c:pt idx="3">
                  <c:v>0.15599999999999997</c:v>
                </c:pt>
                <c:pt idx="4">
                  <c:v>0.33960000000000007</c:v>
                </c:pt>
                <c:pt idx="5">
                  <c:v>0.27959999999999985</c:v>
                </c:pt>
                <c:pt idx="6">
                  <c:v>0.26039999999999996</c:v>
                </c:pt>
                <c:pt idx="7">
                  <c:v>0.26700000000000024</c:v>
                </c:pt>
                <c:pt idx="8">
                  <c:v>0.17939999999999989</c:v>
                </c:pt>
                <c:pt idx="9">
                  <c:v>0.25139999999999996</c:v>
                </c:pt>
                <c:pt idx="10">
                  <c:v>0.25139999999999996</c:v>
                </c:pt>
                <c:pt idx="11">
                  <c:v>0.28559999999999985</c:v>
                </c:pt>
                <c:pt idx="12">
                  <c:v>0.27540000000000031</c:v>
                </c:pt>
                <c:pt idx="13">
                  <c:v>0.2238</c:v>
                </c:pt>
                <c:pt idx="14">
                  <c:v>0.2220000000000002</c:v>
                </c:pt>
                <c:pt idx="15">
                  <c:v>0.23939999999999961</c:v>
                </c:pt>
                <c:pt idx="16">
                  <c:v>0.3041999999999998</c:v>
                </c:pt>
                <c:pt idx="17">
                  <c:v>0.22680000000000033</c:v>
                </c:pt>
                <c:pt idx="18">
                  <c:v>0.3041999999999998</c:v>
                </c:pt>
                <c:pt idx="19">
                  <c:v>0.26460000000000017</c:v>
                </c:pt>
                <c:pt idx="20">
                  <c:v>0.23639999999999994</c:v>
                </c:pt>
                <c:pt idx="21">
                  <c:v>0.34499999999999997</c:v>
                </c:pt>
                <c:pt idx="22">
                  <c:v>0.24480000000000032</c:v>
                </c:pt>
                <c:pt idx="23">
                  <c:v>0.20759999999999978</c:v>
                </c:pt>
                <c:pt idx="24">
                  <c:v>0.23399999999999954</c:v>
                </c:pt>
                <c:pt idx="25">
                  <c:v>0.18600000000000083</c:v>
                </c:pt>
                <c:pt idx="26">
                  <c:v>0.30719999999999947</c:v>
                </c:pt>
                <c:pt idx="27">
                  <c:v>0.23940000000000028</c:v>
                </c:pt>
                <c:pt idx="28">
                  <c:v>0.25080000000000036</c:v>
                </c:pt>
                <c:pt idx="29">
                  <c:v>0.2621999999999991</c:v>
                </c:pt>
                <c:pt idx="30">
                  <c:v>0.2280000000000002</c:v>
                </c:pt>
                <c:pt idx="31">
                  <c:v>0.39959999999999996</c:v>
                </c:pt>
                <c:pt idx="32">
                  <c:v>0.18660000000000077</c:v>
                </c:pt>
                <c:pt idx="33">
                  <c:v>0.15479999999999894</c:v>
                </c:pt>
                <c:pt idx="34">
                  <c:v>0.4086000000000003</c:v>
                </c:pt>
                <c:pt idx="35">
                  <c:v>0.16380000000000061</c:v>
                </c:pt>
                <c:pt idx="36">
                  <c:v>0.21839999999999993</c:v>
                </c:pt>
                <c:pt idx="37">
                  <c:v>0.54240000000000022</c:v>
                </c:pt>
                <c:pt idx="38">
                  <c:v>4.3199999999999239E-2</c:v>
                </c:pt>
                <c:pt idx="39">
                  <c:v>0.37260000000000026</c:v>
                </c:pt>
                <c:pt idx="40">
                  <c:v>9.3000000000000416E-2</c:v>
                </c:pt>
                <c:pt idx="41">
                  <c:v>0.17519999999999936</c:v>
                </c:pt>
                <c:pt idx="42">
                  <c:v>0.22680000000000033</c:v>
                </c:pt>
                <c:pt idx="43">
                  <c:v>0.26580000000000004</c:v>
                </c:pt>
                <c:pt idx="44">
                  <c:v>0.26580000000000004</c:v>
                </c:pt>
                <c:pt idx="45">
                  <c:v>0.27839999999999998</c:v>
                </c:pt>
                <c:pt idx="46">
                  <c:v>0.26580000000000004</c:v>
                </c:pt>
                <c:pt idx="47">
                  <c:v>0.22259999999999946</c:v>
                </c:pt>
                <c:pt idx="48">
                  <c:v>0.29100000000000126</c:v>
                </c:pt>
                <c:pt idx="49">
                  <c:v>0.20159999999999911</c:v>
                </c:pt>
                <c:pt idx="50">
                  <c:v>0.29100000000000126</c:v>
                </c:pt>
                <c:pt idx="51">
                  <c:v>0.24839999999999929</c:v>
                </c:pt>
                <c:pt idx="52">
                  <c:v>0.25140000000000029</c:v>
                </c:pt>
                <c:pt idx="53">
                  <c:v>0.23039999999999861</c:v>
                </c:pt>
                <c:pt idx="54">
                  <c:v>0.25020000000000042</c:v>
                </c:pt>
                <c:pt idx="55">
                  <c:v>0.28139999999999965</c:v>
                </c:pt>
                <c:pt idx="56">
                  <c:v>0.27540000000000031</c:v>
                </c:pt>
                <c:pt idx="57">
                  <c:v>0.2298</c:v>
                </c:pt>
                <c:pt idx="58">
                  <c:v>0.26459999999999884</c:v>
                </c:pt>
                <c:pt idx="59">
                  <c:v>0.19560000000000244</c:v>
                </c:pt>
                <c:pt idx="60">
                  <c:v>0.28439999999999799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D6-4853-A851-F1D8241716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541032"/>
        <c:axId val="516541360"/>
      </c:scatterChart>
      <c:valAx>
        <c:axId val="51654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360"/>
        <c:crosses val="autoZero"/>
        <c:crossBetween val="midCat"/>
      </c:valAx>
      <c:valAx>
        <c:axId val="516541360"/>
        <c:scaling>
          <c:orientation val="minMax"/>
          <c:min val="0.15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Flow [g min-1]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Mass flow [g/min] - per</a:t>
            </a:r>
            <a:r>
              <a:rPr lang="en-GB" baseline="0"/>
              <a:t> sample scale</a:t>
            </a:r>
            <a:endParaRPr lang="en-GB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'Peripump MassFlow'!$D$7</c:f>
              <c:strCache>
                <c:ptCount val="1"/>
                <c:pt idx="0">
                  <c:v>Momentum mass flow [g/min]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'Peripump MassFlow'!$A$8:$A$68</c:f>
              <c:numCache>
                <c:formatCode>General</c:formatCode>
                <c:ptCount val="61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30</c:v>
                </c:pt>
                <c:pt idx="4">
                  <c:v>40</c:v>
                </c:pt>
                <c:pt idx="5">
                  <c:v>50</c:v>
                </c:pt>
                <c:pt idx="6">
                  <c:v>60</c:v>
                </c:pt>
                <c:pt idx="7">
                  <c:v>70</c:v>
                </c:pt>
                <c:pt idx="8">
                  <c:v>80</c:v>
                </c:pt>
                <c:pt idx="9">
                  <c:v>90</c:v>
                </c:pt>
                <c:pt idx="10">
                  <c:v>100</c:v>
                </c:pt>
                <c:pt idx="11">
                  <c:v>110</c:v>
                </c:pt>
                <c:pt idx="12">
                  <c:v>120</c:v>
                </c:pt>
                <c:pt idx="13">
                  <c:v>130</c:v>
                </c:pt>
                <c:pt idx="14">
                  <c:v>140</c:v>
                </c:pt>
                <c:pt idx="15">
                  <c:v>150</c:v>
                </c:pt>
                <c:pt idx="16">
                  <c:v>160</c:v>
                </c:pt>
                <c:pt idx="17">
                  <c:v>170</c:v>
                </c:pt>
                <c:pt idx="18">
                  <c:v>180</c:v>
                </c:pt>
                <c:pt idx="19">
                  <c:v>190</c:v>
                </c:pt>
                <c:pt idx="20">
                  <c:v>200</c:v>
                </c:pt>
                <c:pt idx="21">
                  <c:v>210</c:v>
                </c:pt>
                <c:pt idx="22">
                  <c:v>220</c:v>
                </c:pt>
                <c:pt idx="23">
                  <c:v>230</c:v>
                </c:pt>
                <c:pt idx="24">
                  <c:v>240</c:v>
                </c:pt>
                <c:pt idx="25">
                  <c:v>250</c:v>
                </c:pt>
                <c:pt idx="26">
                  <c:v>260</c:v>
                </c:pt>
                <c:pt idx="27">
                  <c:v>270</c:v>
                </c:pt>
                <c:pt idx="28">
                  <c:v>280</c:v>
                </c:pt>
                <c:pt idx="29">
                  <c:v>290</c:v>
                </c:pt>
                <c:pt idx="30">
                  <c:v>300</c:v>
                </c:pt>
                <c:pt idx="31">
                  <c:v>310</c:v>
                </c:pt>
                <c:pt idx="32">
                  <c:v>320</c:v>
                </c:pt>
                <c:pt idx="33">
                  <c:v>330</c:v>
                </c:pt>
                <c:pt idx="34">
                  <c:v>340</c:v>
                </c:pt>
                <c:pt idx="35">
                  <c:v>350</c:v>
                </c:pt>
                <c:pt idx="36">
                  <c:v>360</c:v>
                </c:pt>
                <c:pt idx="37">
                  <c:v>370</c:v>
                </c:pt>
                <c:pt idx="38">
                  <c:v>380</c:v>
                </c:pt>
                <c:pt idx="39">
                  <c:v>390</c:v>
                </c:pt>
                <c:pt idx="40">
                  <c:v>400</c:v>
                </c:pt>
                <c:pt idx="41">
                  <c:v>410</c:v>
                </c:pt>
                <c:pt idx="42">
                  <c:v>420</c:v>
                </c:pt>
                <c:pt idx="43">
                  <c:v>430</c:v>
                </c:pt>
                <c:pt idx="44">
                  <c:v>440</c:v>
                </c:pt>
                <c:pt idx="45">
                  <c:v>450</c:v>
                </c:pt>
                <c:pt idx="46">
                  <c:v>460</c:v>
                </c:pt>
                <c:pt idx="47">
                  <c:v>470</c:v>
                </c:pt>
                <c:pt idx="48">
                  <c:v>480</c:v>
                </c:pt>
                <c:pt idx="49">
                  <c:v>490</c:v>
                </c:pt>
                <c:pt idx="50">
                  <c:v>500</c:v>
                </c:pt>
                <c:pt idx="51">
                  <c:v>510</c:v>
                </c:pt>
                <c:pt idx="52">
                  <c:v>520</c:v>
                </c:pt>
                <c:pt idx="53">
                  <c:v>530</c:v>
                </c:pt>
                <c:pt idx="54">
                  <c:v>540</c:v>
                </c:pt>
                <c:pt idx="55">
                  <c:v>550</c:v>
                </c:pt>
                <c:pt idx="56">
                  <c:v>560</c:v>
                </c:pt>
                <c:pt idx="57">
                  <c:v>570</c:v>
                </c:pt>
                <c:pt idx="58">
                  <c:v>580</c:v>
                </c:pt>
                <c:pt idx="59">
                  <c:v>590</c:v>
                </c:pt>
                <c:pt idx="60">
                  <c:v>600</c:v>
                </c:pt>
              </c:numCache>
            </c:numRef>
          </c:xVal>
          <c:yVal>
            <c:numRef>
              <c:f>'Peripump MassFlow'!$E$8:$E$68</c:f>
              <c:numCache>
                <c:formatCode>General</c:formatCode>
                <c:ptCount val="61"/>
                <c:pt idx="6">
                  <c:v>0.2596</c:v>
                </c:pt>
                <c:pt idx="12">
                  <c:v>0.25170000000000003</c:v>
                </c:pt>
                <c:pt idx="18">
                  <c:v>0.25339999999999996</c:v>
                </c:pt>
                <c:pt idx="24">
                  <c:v>0.25539999999999996</c:v>
                </c:pt>
                <c:pt idx="30">
                  <c:v>0.24560000000000004</c:v>
                </c:pt>
                <c:pt idx="36">
                  <c:v>0.25530000000000008</c:v>
                </c:pt>
                <c:pt idx="42">
                  <c:v>0.24219999999999997</c:v>
                </c:pt>
                <c:pt idx="48">
                  <c:v>0.26490000000000014</c:v>
                </c:pt>
                <c:pt idx="54">
                  <c:v>0.24549999999999983</c:v>
                </c:pt>
                <c:pt idx="60">
                  <c:v>0.25519999999999987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17-4053-8EBA-353905A12C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6541032"/>
        <c:axId val="516541360"/>
      </c:scatterChart>
      <c:valAx>
        <c:axId val="51654103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[min]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360"/>
        <c:crosses val="autoZero"/>
        <c:crossBetween val="midCat"/>
      </c:valAx>
      <c:valAx>
        <c:axId val="51654136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Mass flow [g min-1]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accen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65410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'FlexCal-H value and u '!$C$3</c:f>
              <c:strCache>
                <c:ptCount val="1"/>
                <c:pt idx="0">
                  <c:v>Bias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og"/>
            <c:dispRSqr val="0"/>
            <c:dispEq val="1"/>
            <c:trendlineLbl>
              <c:layout>
                <c:manualLayout>
                  <c:x val="0.16128521434820647"/>
                  <c:y val="-0.202390638670166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'FlexCal-H value and u '!$B$4:$B$6</c:f>
              <c:numCache>
                <c:formatCode>General</c:formatCode>
                <c:ptCount val="3"/>
                <c:pt idx="0">
                  <c:v>502.38</c:v>
                </c:pt>
                <c:pt idx="1">
                  <c:v>5001.2</c:v>
                </c:pt>
                <c:pt idx="2">
                  <c:v>49911</c:v>
                </c:pt>
              </c:numCache>
            </c:numRef>
          </c:xVal>
          <c:yVal>
            <c:numRef>
              <c:f>'FlexCal-H value and u '!$C$4:$C$6</c:f>
              <c:numCache>
                <c:formatCode>0.00%</c:formatCode>
                <c:ptCount val="3"/>
                <c:pt idx="0">
                  <c:v>-3.8999999999999998E-3</c:v>
                </c:pt>
                <c:pt idx="1">
                  <c:v>-1.1999999999999999E-3</c:v>
                </c:pt>
                <c:pt idx="2">
                  <c:v>4.0000000000000001E-3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8-47BE-815F-0E0DDCF2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031872"/>
        <c:axId val="743032200"/>
      </c:scatterChart>
      <c:valAx>
        <c:axId val="74303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'FlexCal-H value and u '!$B$3</c:f>
              <c:strCache>
                <c:ptCount val="1"/>
                <c:pt idx="0">
                  <c:v>Reference flow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032200"/>
        <c:crosses val="autoZero"/>
        <c:crossBetween val="midCat"/>
      </c:valAx>
      <c:valAx>
        <c:axId val="74303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'FlexCal-H value and u '!$C$3</c:f>
              <c:strCache>
                <c:ptCount val="1"/>
                <c:pt idx="0">
                  <c:v>Bias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03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'FlexCal-H value and u '!$D$3</c:f>
              <c:strCache>
                <c:ptCount val="1"/>
                <c:pt idx="0">
                  <c:v>Standard uncertainty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0.16128521434820647"/>
                  <c:y val="-0.2023906386701662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'FlexCal-H value and u '!$B$4:$B$6</c:f>
              <c:numCache>
                <c:formatCode>General</c:formatCode>
                <c:ptCount val="3"/>
                <c:pt idx="0">
                  <c:v>502.38</c:v>
                </c:pt>
                <c:pt idx="1">
                  <c:v>5001.2</c:v>
                </c:pt>
                <c:pt idx="2">
                  <c:v>49911</c:v>
                </c:pt>
              </c:numCache>
            </c:numRef>
          </c:xVal>
          <c:yVal>
            <c:numRef>
              <c:f>'FlexCal-H value and u '!$D$4:$D$6</c:f>
              <c:numCache>
                <c:formatCode>0.00%</c:formatCode>
                <c:ptCount val="3"/>
                <c:pt idx="0">
                  <c:v>1.8E-3</c:v>
                </c:pt>
                <c:pt idx="1">
                  <c:v>1.8E-3</c:v>
                </c:pt>
                <c:pt idx="2">
                  <c:v>1.9E-3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08-47BE-815F-0E0DDCF23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031872"/>
        <c:axId val="743032200"/>
      </c:scatterChart>
      <c:valAx>
        <c:axId val="7430318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'FlexCal-H value and u '!$B$3</c:f>
              <c:strCache>
                <c:ptCount val="1"/>
                <c:pt idx="0">
                  <c:v>Reference flow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032200"/>
        <c:crosses val="autoZero"/>
        <c:crossBetween val="midCat"/>
      </c:valAx>
      <c:valAx>
        <c:axId val="743032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'FlexCal-H value and u '!$C$3</c:f>
              <c:strCache>
                <c:ptCount val="1"/>
                <c:pt idx="0">
                  <c:v>Bias</c:v>
                </c:pt>
              </c:strCache>
            </c:strRef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3031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none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Uncertainty Budget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none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756955380577429"/>
          <c:y val="0.11334510795677398"/>
          <c:w val="0.83187489063867015"/>
          <c:h val="0.483447831119174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'Aw(Hg_e)'!$G$21</c:f>
              <c:strCache>
                <c:ptCount val="1"/>
                <c:pt idx="0">
                  <c:v>Budget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'Aw(Hg_e)'!$H$19:$U$19</c:f>
              <c:strCache>
                <c:ptCount val="14"/>
                <c:pt idx="0">
                  <c:v>Atomic mass 196Hg</c:v>
                </c:pt>
                <c:pt idx="1">
                  <c:v>Atomic mass 198Hg</c:v>
                </c:pt>
                <c:pt idx="2">
                  <c:v>Atomic mass 199Hg</c:v>
                </c:pt>
                <c:pt idx="3">
                  <c:v>Atomic mass 200Hg</c:v>
                </c:pt>
                <c:pt idx="4">
                  <c:v>Atomic mass 201Hg</c:v>
                </c:pt>
                <c:pt idx="5">
                  <c:v>Atomic mass 202Hg</c:v>
                </c:pt>
                <c:pt idx="6">
                  <c:v>Atomic mass 204Hg</c:v>
                </c:pt>
                <c:pt idx="7">
                  <c:v>enrHg Atom fraction 196Hg</c:v>
                </c:pt>
                <c:pt idx="8">
                  <c:v>enrHg Atom fraction 198Hg</c:v>
                </c:pt>
                <c:pt idx="9">
                  <c:v>enrHg Atom fraction199Hg</c:v>
                </c:pt>
                <c:pt idx="10">
                  <c:v>enrHg Atom fraction 200Hg</c:v>
                </c:pt>
                <c:pt idx="11">
                  <c:v>enrHg Atom fraction 201Hg</c:v>
                </c:pt>
                <c:pt idx="12">
                  <c:v>enrHg Atom fraction 202Hg</c:v>
                </c:pt>
                <c:pt idx="13">
                  <c:v>enrHg Atom fraction 204Hg</c:v>
                </c:pt>
              </c:strCache>
            </c:strRef>
          </c:cat>
          <c:val>
            <c:numRef>
              <c:f>'Aw(Hg_e)'!$H$21:$U$21</c:f>
              <c:numCache>
                <c:formatCode>0%</c:formatCode>
                <c:ptCount val="14"/>
                <c:pt idx="0">
                  <c:v>8.9748078980704797E-16</c:v>
                </c:pt>
                <c:pt idx="1">
                  <c:v>1.3413002775638271E-13</c:v>
                </c:pt>
                <c:pt idx="2">
                  <c:v>7.5880754224628391E-10</c:v>
                </c:pt>
                <c:pt idx="3">
                  <c:v>2.1724927080037731E-12</c:v>
                </c:pt>
                <c:pt idx="4">
                  <c:v>6.1085180834168019E-14</c:v>
                </c:pt>
                <c:pt idx="5">
                  <c:v>7.4729749863399351E-14</c:v>
                </c:pt>
                <c:pt idx="6">
                  <c:v>6.1085812161500049E-16</c:v>
                </c:pt>
                <c:pt idx="7">
                  <c:v>8.6164602069105617E-2</c:v>
                </c:pt>
                <c:pt idx="8">
                  <c:v>8.7933178994809277E-2</c:v>
                </c:pt>
                <c:pt idx="9">
                  <c:v>0.55515709833525961</c:v>
                </c:pt>
                <c:pt idx="10">
                  <c:v>0.20187062544437456</c:v>
                </c:pt>
                <c:pt idx="11">
                  <c:v>2.2655412152605334E-2</c:v>
                </c:pt>
                <c:pt idx="12">
                  <c:v>2.2881510643955709E-2</c:v>
                </c:pt>
                <c:pt idx="13">
                  <c:v>2.3337571598638539E-2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D2-4984-B23C-CE5DCA3C4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6617880"/>
        <c:axId val="926612304"/>
      </c:barChart>
      <c:catAx>
        <c:axId val="9266178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12304"/>
        <c:crosses val="autoZero"/>
        <c:auto val="1"/>
        <c:lblAlgn val="ctr"/>
        <c:lblOffset val="100"/>
        <c:noMultiLvlLbl val="0"/>
      </c:catAx>
      <c:valAx>
        <c:axId val="926612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6617880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8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3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plotArea>
  <cs:plotArea3D>
    <cs:lnRef idx="0"/>
    <cs:fillRef idx="0"/>
    <cs:effectRef idx="0"/>
    <cs:fontRef idx="minor">
      <a:schemeClr val="dk1"/>
    </cs:fontRef>
    <cs:spPr>
      <a:solidFill>
        <a:schemeClr val="lt1"/>
      </a:solidFill>
    </cs:spPr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  <cs:spPr>
      <a:pattFill prst="ltDnDiag">
        <a:fgClr>
          <a:schemeClr val="dk1">
            <a:lumMod val="15000"/>
            <a:lumOff val="85000"/>
          </a:schemeClr>
        </a:fgClr>
        <a:bgClr>
          <a:schemeClr val="lt1"/>
        </a:bgClr>
      </a:pattFill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1348154</xdr:colOff>
      <xdr:row>58</xdr:row>
      <xdr:rowOff>117230</xdr:rowOff>
    </xdr:from>
    <xdr:to>
      <xdr:col>9</xdr:col>
      <xdr:colOff>797126</xdr:colOff>
      <xdr:row>121</xdr:row>
      <xdr:rowOff>74599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28846" y="9656884"/>
          <a:ext cx="8597611" cy="1209075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oneCellAnchor>
    <xdr:from>
      <xdr:col>1</xdr:col>
      <xdr:colOff>9855</xdr:colOff>
      <xdr:row>14</xdr:row>
      <xdr:rowOff>20567</xdr:rowOff>
    </xdr:from>
    <xdr:ext cx="4154599" cy="56227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617074" y="2532786"/>
              <a:ext cx="4154599" cy="562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100" b="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𝑀𝐹</m:t>
                        </m:r>
                      </m:e>
                      <m:sub>
                        <m:r>
                          <a:rPr lang="en-GB" sz="1100" b="0" i="1">
                            <a:latin typeface="Cambria Math" panose="02040503050406030204" pitchFamily="18" charset="0"/>
                          </a:rPr>
                          <m:t>𝐺𝐸𝑁</m:t>
                        </m:r>
                      </m:sub>
                    </m:sSub>
                    <m:r>
                      <a:rPr lang="en-GB" sz="110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𝑀𝐹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𝑡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_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𝑉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𝑓</m:t>
                            </m:r>
                          </m:sub>
                        </m:sSub>
                      </m:den>
                    </m:f>
                    <m:r>
                      <a:rPr lang="en-GB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⋅</m:t>
                    </m:r>
                    <m:f>
                      <m:f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𝐴𝑤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  <m:sSub>
                              <m:sSub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𝑔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_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</m:sub>
                            </m:s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𝐴𝑤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</m:t>
                            </m:r>
                            <m:sSub>
                              <m:sSub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𝑔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_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sub>
                            </m:s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</m:t>
                            </m:r>
                          </m:sub>
                        </m:sSub>
                      </m:den>
                    </m:f>
                    <m:r>
                      <a:rPr lang="en-GB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⋅</m:t>
                    </m:r>
                    <m:f>
                      <m:f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d>
                              <m:d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d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199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𝐻𝑔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)_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</m:e>
                            </m:d>
                          </m:sub>
                        </m:sSub>
                      </m:num>
                      <m:den>
                        <m:sSub>
                          <m:sSub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𝐴</m:t>
                            </m:r>
                          </m:e>
                          <m: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(202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𝐻𝑔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)_</m:t>
                            </m:r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𝑛</m:t>
                            </m:r>
                          </m:sub>
                        </m:sSub>
                      </m:den>
                    </m:f>
                    <m:r>
                      <a:rPr lang="en-GB" sz="110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⋅</m:t>
                    </m:r>
                    <m:d>
                      <m:dPr>
                        <m:ctrlPr>
                          <a:rPr lang="en-GB" sz="110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f>
                          <m:fPr>
                            <m:ctrlPr>
                              <a:rPr lang="en-GB" sz="110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fPr>
                          <m:num>
                            <m:sSub>
                              <m:sSubPr>
                                <m:ctrlP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202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199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den>
                                </m:f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</m:s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sSub>
                              <m:sSubPr>
                                <m:ctrlP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𝑒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202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199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den>
                                </m:f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</m:sSub>
                          </m:num>
                          <m:den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1−</m:t>
                            </m:r>
                            <m:sSub>
                              <m:sSubPr>
                                <m:ctrlP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𝑏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202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199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den>
                                </m:f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</m:sSub>
                            <m:r>
                              <a:rPr lang="en-GB" sz="11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  <a:cs typeface="+mn-cs"/>
                              </a:rPr>
                              <m:t>⋅</m:t>
                            </m:r>
                            <m:sSub>
                              <m:sSubPr>
                                <m:ctrlPr>
                                  <a:rPr lang="en-GB" sz="110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𝑅</m:t>
                                </m:r>
                              </m:e>
                              <m:sub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𝑛</m:t>
                                </m:r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(</m:t>
                                </m:r>
                                <m:f>
                                  <m:fPr>
                                    <m:ctrlP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</m:ctrlPr>
                                  </m:fPr>
                                  <m:num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199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num>
                                  <m:den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202</m:t>
                                    </m:r>
                                    <m:r>
                                      <a:rPr lang="en-GB" sz="1100" b="0" i="1">
                                        <a:solidFill>
                                          <a:schemeClr val="tx1"/>
                                        </a:solidFill>
                                        <a:effectLst/>
                                        <a:latin typeface="Cambria Math" panose="02040503050406030204" pitchFamily="18" charset="0"/>
                                        <a:ea typeface="+mn-ea"/>
                                        <a:cs typeface="+mn-cs"/>
                                      </a:rPr>
                                      <m:t>𝐻𝑔</m:t>
                                    </m:r>
                                  </m:den>
                                </m:f>
                                <m:r>
                                  <a:rPr lang="en-GB" sz="11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)</m:t>
                                </m:r>
                              </m:sub>
                            </m:sSub>
                          </m:den>
                        </m:f>
                      </m:e>
                    </m:d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5" name="TextBox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SpPr txBox="1"/>
          </xdr:nvSpPr>
          <xdr:spPr>
            <a:xfrm>
              <a:off x="617074" y="2532786"/>
              <a:ext cx="4154599" cy="56227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100" b="0" i="0">
                  <a:latin typeface="Cambria Math" panose="02040503050406030204" pitchFamily="18" charset="0"/>
                </a:rPr>
                <a:t>〖𝑀𝐹〗_𝐺𝐸𝑁</a:t>
              </a:r>
              <a:r>
                <a:rPr lang="en-GB" sz="1100" i="0">
                  <a:latin typeface="Cambria Math" panose="02040503050406030204" pitchFamily="18" charset="0"/>
                </a:rPr>
                <a:t>=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〖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𝑀𝐹〗_(𝑡_𝑒)/𝑉_𝑓 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⋅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𝐴𝑤〗_((𝐻〖𝑔_〗_𝑛))/〖𝐴𝑤〗_((𝐻𝑔_(_𝑒))) 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⋅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𝐴_((199𝐻𝑔)_𝑒) )/𝐴_((202𝐻𝑔)_𝑛) </a:t>
              </a:r>
              <a:r>
                <a:rPr lang="en-GB" sz="110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⋅((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𝑅_(𝑏(202𝐻𝑔/199𝐻𝑔))−𝑅_(𝑒(202𝐻𝑔/199𝐻𝑔)))/(1−𝑅_(𝑏(202𝐻𝑔/199𝐻𝑔))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⋅</a:t>
              </a:r>
              <a:r>
                <a:rPr lang="en-GB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𝑅_(𝑛(199𝐻𝑔/202𝐻𝑔)) ))</a:t>
              </a:r>
              <a:endParaRPr lang="en-GB" sz="1100"/>
            </a:p>
          </xdr:txBody>
        </xdr:sp>
      </mc:Fallback>
    </mc:AlternateContent>
    <xdr:clientData/>
  </xdr:oneCellAnchor>
  <xdr:twoCellAnchor>
    <xdr:from>
      <xdr:col>7</xdr:col>
      <xdr:colOff>201031</xdr:colOff>
      <xdr:row>17</xdr:row>
      <xdr:rowOff>183308</xdr:rowOff>
    </xdr:from>
    <xdr:to>
      <xdr:col>10</xdr:col>
      <xdr:colOff>605844</xdr:colOff>
      <xdr:row>38</xdr:row>
      <xdr:rowOff>59071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6</xdr:row>
      <xdr:rowOff>0</xdr:rowOff>
    </xdr:from>
    <xdr:to>
      <xdr:col>16</xdr:col>
      <xdr:colOff>314325</xdr:colOff>
      <xdr:row>19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38100</xdr:colOff>
      <xdr:row>19</xdr:row>
      <xdr:rowOff>133350</xdr:rowOff>
    </xdr:from>
    <xdr:to>
      <xdr:col>16</xdr:col>
      <xdr:colOff>342900</xdr:colOff>
      <xdr:row>34</xdr:row>
      <xdr:rowOff>19050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9525</xdr:colOff>
      <xdr:row>34</xdr:row>
      <xdr:rowOff>76200</xdr:rowOff>
    </xdr:from>
    <xdr:to>
      <xdr:col>16</xdr:col>
      <xdr:colOff>314325</xdr:colOff>
      <xdr:row>48</xdr:row>
      <xdr:rowOff>152400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2</xdr:row>
          <xdr:rowOff>114300</xdr:rowOff>
        </xdr:from>
        <xdr:to>
          <xdr:col>5</xdr:col>
          <xdr:colOff>971550</xdr:colOff>
          <xdr:row>6</xdr:row>
          <xdr:rowOff>38100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  <a:ext uri="{FF2B5EF4-FFF2-40B4-BE49-F238E27FC236}">
                  <a16:creationId xmlns:a16="http://schemas.microsoft.com/office/drawing/2014/main" id="{00000000-0008-0000-0300-00000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10</xdr:col>
      <xdr:colOff>333375</xdr:colOff>
      <xdr:row>0</xdr:row>
      <xdr:rowOff>119062</xdr:rowOff>
    </xdr:from>
    <xdr:to>
      <xdr:col>18</xdr:col>
      <xdr:colOff>28575</xdr:colOff>
      <xdr:row>15</xdr:row>
      <xdr:rowOff>4762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333375</xdr:colOff>
      <xdr:row>15</xdr:row>
      <xdr:rowOff>100012</xdr:rowOff>
    </xdr:from>
    <xdr:to>
      <xdr:col>18</xdr:col>
      <xdr:colOff>28575</xdr:colOff>
      <xdr:row>29</xdr:row>
      <xdr:rowOff>176212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39</xdr:row>
      <xdr:rowOff>80596</xdr:rowOff>
    </xdr:from>
    <xdr:to>
      <xdr:col>6</xdr:col>
      <xdr:colOff>1297188</xdr:colOff>
      <xdr:row>102</xdr:row>
      <xdr:rowOff>169849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30308"/>
          <a:ext cx="8647923" cy="12090753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2</xdr:col>
      <xdr:colOff>1564298</xdr:colOff>
      <xdr:row>21</xdr:row>
      <xdr:rowOff>57151</xdr:rowOff>
    </xdr:from>
    <xdr:to>
      <xdr:col>7</xdr:col>
      <xdr:colOff>714375</xdr:colOff>
      <xdr:row>42</xdr:row>
      <xdr:rowOff>80596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19</xdr:row>
          <xdr:rowOff>76200</xdr:rowOff>
        </xdr:from>
        <xdr:to>
          <xdr:col>7</xdr:col>
          <xdr:colOff>0</xdr:colOff>
          <xdr:row>23</xdr:row>
          <xdr:rowOff>123825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5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38</xdr:row>
          <xdr:rowOff>76200</xdr:rowOff>
        </xdr:from>
        <xdr:to>
          <xdr:col>7</xdr:col>
          <xdr:colOff>0</xdr:colOff>
          <xdr:row>42</xdr:row>
          <xdr:rowOff>123825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5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58</xdr:row>
          <xdr:rowOff>76200</xdr:rowOff>
        </xdr:from>
        <xdr:to>
          <xdr:col>6</xdr:col>
          <xdr:colOff>828675</xdr:colOff>
          <xdr:row>62</xdr:row>
          <xdr:rowOff>123825</xdr:rowOff>
        </xdr:to>
        <xdr:sp macro="" textlink="">
          <xdr:nvSpPr>
            <xdr:cNvPr id="3099" name="Object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5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QT20/Inorganic%20Speciation%20Analysis%20Team/Projects/Current/CBM2125/WP2/IDMS/220901%20PSA%2010.534%20Flow%20IDMS/220901%20Data%20Processin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QT20/Inorganic%20Speciation%20Analysis%20Team/Projects/Current/CBM2125/WP2/Cold%20Vapour%20Efficiency%20JSI%20-%20Dec%202022/JSI%20Results%20Dec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QT20/Inorganic%20Speciation%20Analysis%20Team/Projects/Current/CBM2125/WP2/IDMS/220901%20PSA%2010.534%20Flow%20IDMS/220901%20Flow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QT20/Inorganic%20Speciation%20Analysis%20Team/Projects/Current/CBM2125/WP2/IDMS/199Hg%20Spike%20Conc%20Summary%20-%20Reverse%20ID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 Summary"/>
      <sheetName val="Blanks"/>
      <sheetName val="NIST3133"/>
      <sheetName val="Gen Blank"/>
      <sheetName val="Gen only"/>
      <sheetName val="Gen +199Hg"/>
      <sheetName val="MB corr"/>
    </sheetNames>
    <sheetDataSet>
      <sheetData sheetId="0">
        <row r="93">
          <cell r="O93">
            <v>1.0084229245741467</v>
          </cell>
        </row>
        <row r="94">
          <cell r="O94">
            <v>7.1000715047441175E-3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0.34800000000000003</v>
          </cell>
        </row>
        <row r="8">
          <cell r="G8">
            <v>2.3108440016582587E-2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9am"/>
      <sheetName val="Total 10am"/>
      <sheetName val="Waste 11am"/>
      <sheetName val="Waste 1pm"/>
      <sheetName val="Waste 2pm"/>
      <sheetName val="Waste 3pm"/>
    </sheetNames>
    <sheetDataSet>
      <sheetData sheetId="0"/>
      <sheetData sheetId="1">
        <row r="7">
          <cell r="J7">
            <v>2.2514699999999981</v>
          </cell>
        </row>
        <row r="8">
          <cell r="J8">
            <v>1.9538208995152498E-3</v>
          </cell>
        </row>
      </sheetData>
      <sheetData sheetId="2" refreshError="1"/>
      <sheetData sheetId="3">
        <row r="7">
          <cell r="J7">
            <v>2.0264823529411764</v>
          </cell>
        </row>
        <row r="8">
          <cell r="J8">
            <v>4.5778360207694425E-4</v>
          </cell>
        </row>
      </sheetData>
      <sheetData sheetId="4" refreshError="1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 1"/>
    </sheetNames>
    <sheetDataSet>
      <sheetData sheetId="0">
        <row r="13">
          <cell r="C13">
            <v>738.17190662177291</v>
          </cell>
        </row>
        <row r="14">
          <cell r="C14">
            <v>7.3630583114432833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Sophie Page" id="{2C9CF709-903B-43C6-B2F0-EA771611BC73}" userId="S::Sophie.Page@LGCGroup.com::36129013-0593-438b-a874-3fcb1adcc002" providerId="AD"/>
  <person displayName="Panayot Petrov" id="{3AACD7F2-0D36-426D-A55F-04CC66C528E0}" userId="S::Panayot.Petrov@lgcgroup.com::d494340c-36b5-4152-9cae-5aba6125c5bd" providerId="AD"/>
</personList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ercury" preserveFormatting="0" connectionId="1" xr16:uid="{4AEF1010-0083-439B-84DE-A2F51D241A0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3" dT="2022-12-08T10:09:17.27" personId="{2C9CF709-903B-43C6-B2F0-EA771611BC73}" id="{40E6C858-4051-4A9C-B42B-CA740424D75B}">
    <text>Adding the cold vapour efficiency to the calculation has a negligible effect on the overall MFgen uncertainty, and a minor effect on the spike mass flow uncertainty (increases by 0.01 pg/min). The contribution of the spike mass flow in the uncertainty budget is still 26% and does not change.</text>
  </threadedComment>
  <threadedComment ref="G5" dT="2022-01-20T14:33:33.90" personId="{3AACD7F2-0D36-426D-A55F-04CC66C528E0}" id="{446E808F-1671-49D6-A8D3-06041EEF957D}">
    <text>https://www.ciaaw.org/mercury.htm - assumed k=2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3.vml"/><Relationship Id="rId7" Type="http://schemas.openxmlformats.org/officeDocument/2006/relationships/oleObject" Target="../embeddings/oleObject4.bin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3.emf"/><Relationship Id="rId4" Type="http://schemas.openxmlformats.org/officeDocument/2006/relationships/oleObject" Target="../embeddings/oleObject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2620-18C9-484C-9813-5BBF42FE7EB5}">
  <sheetPr>
    <tabColor rgb="FF00B050"/>
  </sheetPr>
  <dimension ref="A1:B19"/>
  <sheetViews>
    <sheetView tabSelected="1" workbookViewId="0">
      <selection activeCell="B27" sqref="B27"/>
    </sheetView>
  </sheetViews>
  <sheetFormatPr defaultRowHeight="15"/>
  <cols>
    <col min="1" max="1" width="38.7109375" customWidth="1"/>
    <col min="2" max="2" width="10.7109375" bestFit="1" customWidth="1"/>
  </cols>
  <sheetData>
    <row r="1" spans="1:2" ht="21">
      <c r="A1" s="141" t="s">
        <v>166</v>
      </c>
    </row>
    <row r="3" spans="1:2">
      <c r="A3" s="44" t="s">
        <v>167</v>
      </c>
      <c r="B3" s="130">
        <v>44806</v>
      </c>
    </row>
    <row r="4" spans="1:2">
      <c r="A4" s="44" t="s">
        <v>168</v>
      </c>
      <c r="B4" s="130">
        <v>44805</v>
      </c>
    </row>
    <row r="5" spans="1:2">
      <c r="A5" s="44" t="s">
        <v>169</v>
      </c>
      <c r="B5" t="s">
        <v>176</v>
      </c>
    </row>
    <row r="6" spans="1:2">
      <c r="A6" s="44" t="s">
        <v>171</v>
      </c>
      <c r="B6" t="s">
        <v>184</v>
      </c>
    </row>
    <row r="7" spans="1:2">
      <c r="A7" s="44" t="s">
        <v>170</v>
      </c>
      <c r="B7" t="s">
        <v>177</v>
      </c>
    </row>
    <row r="8" spans="1:2">
      <c r="A8" s="44" t="s">
        <v>173</v>
      </c>
      <c r="B8" t="s">
        <v>179</v>
      </c>
    </row>
    <row r="9" spans="1:2">
      <c r="A9" s="44" t="s">
        <v>153</v>
      </c>
      <c r="B9" t="s">
        <v>155</v>
      </c>
    </row>
    <row r="10" spans="1:2">
      <c r="A10" s="44" t="s">
        <v>172</v>
      </c>
      <c r="B10" t="s">
        <v>178</v>
      </c>
    </row>
    <row r="11" spans="1:2">
      <c r="A11" s="44" t="s">
        <v>174</v>
      </c>
      <c r="B11" t="s">
        <v>180</v>
      </c>
    </row>
    <row r="12" spans="1:2">
      <c r="A12" s="44" t="s">
        <v>175</v>
      </c>
      <c r="B12" t="s">
        <v>185</v>
      </c>
    </row>
    <row r="13" spans="1:2">
      <c r="A13" s="44" t="s">
        <v>181</v>
      </c>
      <c r="B13">
        <v>35.200000000000003</v>
      </c>
    </row>
    <row r="14" spans="1:2">
      <c r="A14" s="44" t="s">
        <v>182</v>
      </c>
      <c r="B14">
        <v>1027.0999999999999</v>
      </c>
    </row>
    <row r="15" spans="1:2">
      <c r="A15" s="44" t="s">
        <v>191</v>
      </c>
      <c r="B15">
        <v>19.96</v>
      </c>
    </row>
    <row r="16" spans="1:2">
      <c r="A16" s="44" t="s">
        <v>192</v>
      </c>
      <c r="B16">
        <v>30.38</v>
      </c>
    </row>
    <row r="17" spans="1:2">
      <c r="A17" s="44" t="s">
        <v>190</v>
      </c>
      <c r="B17" s="145">
        <f>'Calculation template'!F13/1000</f>
        <v>34.033651426636006</v>
      </c>
    </row>
    <row r="18" spans="1:2">
      <c r="A18" s="142" t="s">
        <v>183</v>
      </c>
      <c r="B18" s="143">
        <f>B17/B16</f>
        <v>1.1202650239182359</v>
      </c>
    </row>
    <row r="19" spans="1:2">
      <c r="A19" s="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9CC24-6751-40AF-8BEA-905AAB133B34}">
  <sheetPr>
    <tabColor rgb="FF00B050"/>
  </sheetPr>
  <dimension ref="A1:Q81"/>
  <sheetViews>
    <sheetView zoomScale="80" zoomScaleNormal="80" workbookViewId="0">
      <pane ySplit="2" topLeftCell="A3" activePane="bottomLeft" state="frozen"/>
      <selection pane="bottomLeft" activeCell="D40" sqref="D40"/>
    </sheetView>
  </sheetViews>
  <sheetFormatPr defaultRowHeight="15"/>
  <cols>
    <col min="1" max="1" width="33.85546875" customWidth="1"/>
    <col min="2" max="2" width="35.140625" bestFit="1" customWidth="1"/>
    <col min="3" max="3" width="28.140625" bestFit="1" customWidth="1"/>
    <col min="4" max="4" width="28.140625" customWidth="1"/>
    <col min="5" max="6" width="19.42578125" customWidth="1"/>
    <col min="7" max="7" width="27" bestFit="1" customWidth="1"/>
    <col min="8" max="8" width="24.85546875" style="11" bestFit="1" customWidth="1"/>
    <col min="9" max="9" width="19.140625" style="11" bestFit="1" customWidth="1"/>
    <col min="10" max="16" width="18.5703125" style="11" bestFit="1" customWidth="1"/>
    <col min="17" max="17" width="17.5703125" bestFit="1" customWidth="1"/>
    <col min="18" max="18" width="17.28515625" bestFit="1" customWidth="1"/>
    <col min="19" max="19" width="21.5703125" bestFit="1" customWidth="1"/>
    <col min="20" max="20" width="28.140625" bestFit="1" customWidth="1"/>
  </cols>
  <sheetData>
    <row r="1" spans="1:17">
      <c r="B1" s="20" t="s">
        <v>16</v>
      </c>
      <c r="C1" s="147" t="s">
        <v>0</v>
      </c>
      <c r="D1" s="147" t="s">
        <v>85</v>
      </c>
      <c r="E1" s="147" t="s">
        <v>1</v>
      </c>
      <c r="F1" s="147" t="s">
        <v>2</v>
      </c>
      <c r="G1" s="147" t="s">
        <v>3</v>
      </c>
      <c r="H1" s="10"/>
      <c r="I1" s="10"/>
      <c r="J1" s="10"/>
      <c r="K1" s="10"/>
      <c r="L1" s="10"/>
      <c r="M1" s="10"/>
      <c r="N1" s="10"/>
      <c r="O1" s="10"/>
      <c r="P1" s="10"/>
    </row>
    <row r="2" spans="1:17">
      <c r="B2" s="21"/>
      <c r="C2" s="148"/>
      <c r="D2" s="148"/>
      <c r="E2" s="148"/>
      <c r="F2" s="148"/>
      <c r="G2" s="148"/>
      <c r="H2" s="5" t="s">
        <v>18</v>
      </c>
      <c r="I2" s="5" t="s">
        <v>165</v>
      </c>
      <c r="J2" s="5" t="s">
        <v>4</v>
      </c>
      <c r="K2" s="5" t="s">
        <v>6</v>
      </c>
      <c r="L2" s="5" t="s">
        <v>113</v>
      </c>
      <c r="M2" s="5" t="s">
        <v>44</v>
      </c>
      <c r="N2" s="5" t="s">
        <v>9</v>
      </c>
      <c r="O2" s="5" t="s">
        <v>7</v>
      </c>
      <c r="P2" s="5" t="s">
        <v>8</v>
      </c>
    </row>
    <row r="3" spans="1:17">
      <c r="A3" s="137" t="s">
        <v>161</v>
      </c>
      <c r="B3" s="8" t="s">
        <v>17</v>
      </c>
      <c r="C3" s="5" t="s">
        <v>18</v>
      </c>
      <c r="D3" s="5" t="s">
        <v>106</v>
      </c>
      <c r="E3" s="5" t="s">
        <v>100</v>
      </c>
      <c r="F3" s="33">
        <f>F31*F21*F12</f>
        <v>1053.9120662929881</v>
      </c>
      <c r="G3" s="33">
        <f>F3*SQRT((G21/F21)^2+(G31/F31)^2+(G12/F12)^2)</f>
        <v>30.686215712276553</v>
      </c>
      <c r="H3" s="39">
        <f>$F3+$G3</f>
        <v>1084.5982820052648</v>
      </c>
      <c r="I3" s="24">
        <f t="shared" ref="I3:P3" si="0">$F3</f>
        <v>1053.9120662929881</v>
      </c>
      <c r="J3" s="24">
        <f t="shared" si="0"/>
        <v>1053.9120662929881</v>
      </c>
      <c r="K3" s="24">
        <f t="shared" si="0"/>
        <v>1053.9120662929881</v>
      </c>
      <c r="L3" s="24">
        <f t="shared" si="0"/>
        <v>1053.9120662929881</v>
      </c>
      <c r="M3" s="24">
        <f t="shared" si="0"/>
        <v>1053.9120662929881</v>
      </c>
      <c r="N3" s="24">
        <f t="shared" si="0"/>
        <v>1053.9120662929881</v>
      </c>
      <c r="O3" s="24">
        <f t="shared" si="0"/>
        <v>1053.9120662929881</v>
      </c>
      <c r="P3" s="24">
        <f t="shared" si="0"/>
        <v>1053.9120662929881</v>
      </c>
    </row>
    <row r="4" spans="1:17">
      <c r="A4" s="137" t="s">
        <v>161</v>
      </c>
      <c r="B4" s="8" t="s">
        <v>17</v>
      </c>
      <c r="C4" s="5" t="s">
        <v>165</v>
      </c>
      <c r="D4" s="5" t="s">
        <v>103</v>
      </c>
      <c r="E4" s="5" t="s">
        <v>15</v>
      </c>
      <c r="F4" s="33">
        <f>F29-F30</f>
        <v>0.22677743897323666</v>
      </c>
      <c r="G4" s="35">
        <f>SQRT(G29^2+G30^2)</f>
        <v>5.8292456642220309E-3</v>
      </c>
      <c r="H4" s="24">
        <f t="shared" ref="H4:P12" si="1">$F4</f>
        <v>0.22677743897323666</v>
      </c>
      <c r="I4" s="39">
        <f>$F4+$G4</f>
        <v>0.23260668463745868</v>
      </c>
      <c r="J4" s="24">
        <f t="shared" si="1"/>
        <v>0.22677743897323666</v>
      </c>
      <c r="K4" s="24">
        <f t="shared" si="1"/>
        <v>0.22677743897323666</v>
      </c>
      <c r="L4" s="24">
        <f t="shared" si="1"/>
        <v>0.22677743897323666</v>
      </c>
      <c r="M4" s="24">
        <f t="shared" si="1"/>
        <v>0.22677743897323666</v>
      </c>
      <c r="N4" s="24">
        <f t="shared" si="1"/>
        <v>0.22677743897323666</v>
      </c>
      <c r="O4" s="24">
        <f t="shared" si="1"/>
        <v>0.22677743897323666</v>
      </c>
      <c r="P4" s="24">
        <f t="shared" si="1"/>
        <v>0.22677743897323666</v>
      </c>
    </row>
    <row r="5" spans="1:17">
      <c r="A5" s="137" t="s">
        <v>161</v>
      </c>
      <c r="B5" s="8" t="s">
        <v>19</v>
      </c>
      <c r="C5" s="5" t="s">
        <v>4</v>
      </c>
      <c r="D5" s="5" t="s">
        <v>125</v>
      </c>
      <c r="E5" s="5" t="s">
        <v>5</v>
      </c>
      <c r="F5" s="5">
        <v>200.59200000000001</v>
      </c>
      <c r="G5" s="122">
        <f>0.003/2</f>
        <v>1.5E-3</v>
      </c>
      <c r="H5" s="24">
        <f t="shared" si="1"/>
        <v>200.59200000000001</v>
      </c>
      <c r="I5" s="24">
        <f t="shared" si="1"/>
        <v>200.59200000000001</v>
      </c>
      <c r="J5" s="39">
        <f>$F5+$G5</f>
        <v>200.59350000000001</v>
      </c>
      <c r="K5" s="24">
        <f t="shared" si="1"/>
        <v>200.59200000000001</v>
      </c>
      <c r="L5" s="24">
        <f t="shared" si="1"/>
        <v>200.59200000000001</v>
      </c>
      <c r="M5" s="24">
        <f t="shared" si="1"/>
        <v>200.59200000000001</v>
      </c>
      <c r="N5" s="24">
        <f t="shared" si="1"/>
        <v>200.59200000000001</v>
      </c>
      <c r="O5" s="24">
        <f t="shared" si="1"/>
        <v>200.59200000000001</v>
      </c>
      <c r="P5" s="24">
        <f t="shared" si="1"/>
        <v>200.59200000000001</v>
      </c>
    </row>
    <row r="6" spans="1:17">
      <c r="A6" s="137" t="s">
        <v>161</v>
      </c>
      <c r="B6" s="8" t="s">
        <v>17</v>
      </c>
      <c r="C6" s="5" t="s">
        <v>6</v>
      </c>
      <c r="D6" s="5" t="s">
        <v>124</v>
      </c>
      <c r="E6" s="5" t="s">
        <v>5</v>
      </c>
      <c r="F6" s="132">
        <f>'Aw(Hg_e)'!F17</f>
        <v>199.08098811300002</v>
      </c>
      <c r="G6" s="132">
        <f>'Aw(Hg_e)'!G17</f>
        <v>0.1335198708541501</v>
      </c>
      <c r="H6" s="24">
        <f t="shared" si="1"/>
        <v>199.08098811300002</v>
      </c>
      <c r="I6" s="24">
        <f t="shared" si="1"/>
        <v>199.08098811300002</v>
      </c>
      <c r="J6" s="24">
        <f t="shared" si="1"/>
        <v>199.08098811300002</v>
      </c>
      <c r="K6" s="39">
        <f>$F6+$G6</f>
        <v>199.21450798385416</v>
      </c>
      <c r="L6" s="24">
        <f t="shared" si="1"/>
        <v>199.08098811300002</v>
      </c>
      <c r="M6" s="24">
        <f t="shared" si="1"/>
        <v>199.08098811300002</v>
      </c>
      <c r="N6" s="24">
        <f t="shared" si="1"/>
        <v>199.08098811300002</v>
      </c>
      <c r="O6" s="24">
        <f t="shared" si="1"/>
        <v>199.08098811300002</v>
      </c>
      <c r="P6" s="24">
        <f t="shared" si="1"/>
        <v>199.08098811300002</v>
      </c>
    </row>
    <row r="7" spans="1:17">
      <c r="A7" s="137" t="s">
        <v>161</v>
      </c>
      <c r="B7" s="8" t="s">
        <v>11</v>
      </c>
      <c r="C7" s="5" t="s">
        <v>113</v>
      </c>
      <c r="D7" s="5" t="s">
        <v>117</v>
      </c>
      <c r="E7" s="5" t="s">
        <v>67</v>
      </c>
      <c r="F7" s="5">
        <v>91.95</v>
      </c>
      <c r="G7" s="5">
        <v>0.05</v>
      </c>
      <c r="H7" s="24">
        <f t="shared" si="1"/>
        <v>91.95</v>
      </c>
      <c r="I7" s="24">
        <f t="shared" si="1"/>
        <v>91.95</v>
      </c>
      <c r="J7" s="24">
        <f t="shared" si="1"/>
        <v>91.95</v>
      </c>
      <c r="K7" s="24">
        <f t="shared" si="1"/>
        <v>91.95</v>
      </c>
      <c r="L7" s="39">
        <f>$F7+$G7</f>
        <v>92</v>
      </c>
      <c r="M7" s="24">
        <f t="shared" si="1"/>
        <v>91.95</v>
      </c>
      <c r="N7" s="24">
        <f t="shared" si="1"/>
        <v>91.95</v>
      </c>
      <c r="O7" s="24">
        <f t="shared" si="1"/>
        <v>91.95</v>
      </c>
      <c r="P7" s="24">
        <f t="shared" si="1"/>
        <v>91.95</v>
      </c>
    </row>
    <row r="8" spans="1:17">
      <c r="A8" s="137" t="s">
        <v>161</v>
      </c>
      <c r="B8" s="8" t="s">
        <v>19</v>
      </c>
      <c r="C8" s="5" t="s">
        <v>44</v>
      </c>
      <c r="D8" s="5" t="s">
        <v>97</v>
      </c>
      <c r="E8" s="5" t="s">
        <v>67</v>
      </c>
      <c r="F8" s="5">
        <v>29.74</v>
      </c>
      <c r="G8" s="122">
        <v>0.13</v>
      </c>
      <c r="H8" s="24">
        <f t="shared" si="1"/>
        <v>29.74</v>
      </c>
      <c r="I8" s="24">
        <f t="shared" si="1"/>
        <v>29.74</v>
      </c>
      <c r="J8" s="24">
        <f t="shared" si="1"/>
        <v>29.74</v>
      </c>
      <c r="K8" s="24">
        <f t="shared" si="1"/>
        <v>29.74</v>
      </c>
      <c r="L8" s="24">
        <f t="shared" si="1"/>
        <v>29.74</v>
      </c>
      <c r="M8" s="39">
        <f>$F8+$G8</f>
        <v>29.869999999999997</v>
      </c>
      <c r="N8" s="24">
        <f t="shared" si="1"/>
        <v>29.74</v>
      </c>
      <c r="O8" s="24">
        <f t="shared" si="1"/>
        <v>29.74</v>
      </c>
      <c r="P8" s="24">
        <f t="shared" si="1"/>
        <v>29.74</v>
      </c>
    </row>
    <row r="9" spans="1:17">
      <c r="A9" s="139" t="s">
        <v>163</v>
      </c>
      <c r="B9" s="8" t="s">
        <v>10</v>
      </c>
      <c r="C9" s="5" t="s">
        <v>9</v>
      </c>
      <c r="D9" s="5" t="s">
        <v>96</v>
      </c>
      <c r="E9" s="5" t="s">
        <v>162</v>
      </c>
      <c r="F9" s="131">
        <f>'[1]Data Summary'!$O$93</f>
        <v>1.0084229245741467</v>
      </c>
      <c r="G9" s="42">
        <f>'[1]Data Summary'!$O$94</f>
        <v>7.1000715047441175E-3</v>
      </c>
      <c r="H9" s="24">
        <f t="shared" si="1"/>
        <v>1.0084229245741467</v>
      </c>
      <c r="I9" s="24">
        <f t="shared" si="1"/>
        <v>1.0084229245741467</v>
      </c>
      <c r="J9" s="24">
        <f t="shared" si="1"/>
        <v>1.0084229245741467</v>
      </c>
      <c r="K9" s="24">
        <f t="shared" si="1"/>
        <v>1.0084229245741467</v>
      </c>
      <c r="L9" s="24">
        <f t="shared" si="1"/>
        <v>1.0084229245741467</v>
      </c>
      <c r="M9" s="24">
        <f t="shared" si="1"/>
        <v>1.0084229245741467</v>
      </c>
      <c r="N9" s="39">
        <f>$F9+$G9</f>
        <v>1.0155229960788907</v>
      </c>
      <c r="O9" s="24">
        <f t="shared" si="1"/>
        <v>1.0084229245741467</v>
      </c>
      <c r="P9" s="24">
        <f t="shared" si="1"/>
        <v>1.0084229245741467</v>
      </c>
    </row>
    <row r="10" spans="1:17">
      <c r="A10" s="137" t="s">
        <v>161</v>
      </c>
      <c r="B10" s="8" t="s">
        <v>17</v>
      </c>
      <c r="C10" s="5" t="s">
        <v>7</v>
      </c>
      <c r="D10" s="5" t="s">
        <v>128</v>
      </c>
      <c r="E10" s="5" t="s">
        <v>162</v>
      </c>
      <c r="F10" s="34">
        <f>F26/F7</f>
        <v>7.9390973355084275E-3</v>
      </c>
      <c r="G10" s="34">
        <f>F10*SQRT((G7/F7)^2+(G26/F26)^2)</f>
        <v>1.0884040845125457E-4</v>
      </c>
      <c r="H10" s="24">
        <f t="shared" si="1"/>
        <v>7.9390973355084275E-3</v>
      </c>
      <c r="I10" s="24">
        <f t="shared" si="1"/>
        <v>7.9390973355084275E-3</v>
      </c>
      <c r="J10" s="24">
        <f t="shared" si="1"/>
        <v>7.9390973355084275E-3</v>
      </c>
      <c r="K10" s="24">
        <f t="shared" si="1"/>
        <v>7.9390973355084275E-3</v>
      </c>
      <c r="L10" s="24">
        <f t="shared" si="1"/>
        <v>7.9390973355084275E-3</v>
      </c>
      <c r="M10" s="24">
        <f t="shared" si="1"/>
        <v>7.9390973355084275E-3</v>
      </c>
      <c r="N10" s="24">
        <f t="shared" si="1"/>
        <v>7.9390973355084275E-3</v>
      </c>
      <c r="O10" s="39">
        <f>$F10+$G10</f>
        <v>8.0479377439596819E-3</v>
      </c>
      <c r="P10" s="24">
        <f t="shared" si="1"/>
        <v>7.9390973355084275E-3</v>
      </c>
    </row>
    <row r="11" spans="1:17">
      <c r="A11" s="137" t="s">
        <v>161</v>
      </c>
      <c r="B11" s="8" t="s">
        <v>17</v>
      </c>
      <c r="C11" s="5" t="s">
        <v>8</v>
      </c>
      <c r="D11" s="5" t="s">
        <v>98</v>
      </c>
      <c r="E11" s="5" t="s">
        <v>162</v>
      </c>
      <c r="F11" s="124">
        <f>F28/F8</f>
        <v>0.56960322797579022</v>
      </c>
      <c r="G11" s="35">
        <f>F11*SQRT((G8/F8)^2+(G28/F28)^2)</f>
        <v>4.7413479936744465E-3</v>
      </c>
      <c r="H11" s="24">
        <f t="shared" si="1"/>
        <v>0.56960322797579022</v>
      </c>
      <c r="I11" s="24">
        <f t="shared" si="1"/>
        <v>0.56960322797579022</v>
      </c>
      <c r="J11" s="24">
        <f t="shared" si="1"/>
        <v>0.56960322797579022</v>
      </c>
      <c r="K11" s="24">
        <f t="shared" si="1"/>
        <v>0.56960322797579022</v>
      </c>
      <c r="L11" s="24">
        <f t="shared" si="1"/>
        <v>0.56960322797579022</v>
      </c>
      <c r="M11" s="24">
        <f t="shared" si="1"/>
        <v>0.56960322797579022</v>
      </c>
      <c r="N11" s="24">
        <f t="shared" si="1"/>
        <v>0.56960322797579022</v>
      </c>
      <c r="O11" s="24">
        <f t="shared" si="1"/>
        <v>0.56960322797579022</v>
      </c>
      <c r="P11" s="39">
        <f>$F11+$G11</f>
        <v>0.57434457596946464</v>
      </c>
    </row>
    <row r="12" spans="1:17">
      <c r="A12" s="137"/>
      <c r="B12" s="146" t="s">
        <v>193</v>
      </c>
      <c r="C12" s="9" t="s">
        <v>194</v>
      </c>
      <c r="D12" s="5" t="s">
        <v>195</v>
      </c>
      <c r="E12" s="5"/>
      <c r="F12" s="35">
        <f>(100-[2]Sheet1!$G$5)/100</f>
        <v>0.99651999999999996</v>
      </c>
      <c r="G12" s="34">
        <f>[2]Sheet1!$G$8/100</f>
        <v>2.3108440016582588E-4</v>
      </c>
      <c r="H12" s="24">
        <f>$F12</f>
        <v>0.99651999999999996</v>
      </c>
      <c r="I12" s="24">
        <f t="shared" si="1"/>
        <v>0.99651999999999996</v>
      </c>
      <c r="J12" s="24">
        <f t="shared" si="1"/>
        <v>0.99651999999999996</v>
      </c>
      <c r="K12" s="24">
        <f t="shared" si="1"/>
        <v>0.99651999999999996</v>
      </c>
      <c r="L12" s="24">
        <f t="shared" si="1"/>
        <v>0.99651999999999996</v>
      </c>
      <c r="M12" s="24">
        <f t="shared" si="1"/>
        <v>0.99651999999999996</v>
      </c>
      <c r="N12" s="24">
        <f t="shared" si="1"/>
        <v>0.99651999999999996</v>
      </c>
      <c r="O12" s="24">
        <f t="shared" si="1"/>
        <v>0.99651999999999996</v>
      </c>
      <c r="P12" s="24">
        <f t="shared" si="1"/>
        <v>0.99651999999999996</v>
      </c>
      <c r="Q12" s="39">
        <f>$F12+$G12</f>
        <v>0.9967510844001658</v>
      </c>
    </row>
    <row r="13" spans="1:17" ht="15.75" thickBot="1">
      <c r="A13" s="137" t="s">
        <v>161</v>
      </c>
      <c r="B13" s="36" t="s">
        <v>17</v>
      </c>
      <c r="C13" s="37" t="s">
        <v>12</v>
      </c>
      <c r="D13" s="27" t="s">
        <v>116</v>
      </c>
      <c r="E13" s="37" t="s">
        <v>144</v>
      </c>
      <c r="F13" s="47">
        <f>(F3/F4)*(F5/F6)*(F7/F8)*((F9-F10)/(1-F9*F11))</f>
        <v>34033.651426636003</v>
      </c>
      <c r="G13" s="46">
        <f>SQRT(SUM(H46:P46))</f>
        <v>1485.6113554390031</v>
      </c>
      <c r="H13" s="38">
        <f>(H3/H4)*(H5/H6)*(H7/H8)*((H9-H10)/(1-H9*H11))</f>
        <v>35024.591755109148</v>
      </c>
      <c r="I13" s="38">
        <f t="shared" ref="I13:P13" si="2">(I3/I4)*(I5/I6)*(I7/I8)*((I9-I10)/(1-I9*I11))</f>
        <v>33180.750250018602</v>
      </c>
      <c r="J13" s="38">
        <f t="shared" si="2"/>
        <v>34033.905925704465</v>
      </c>
      <c r="K13" s="38">
        <f t="shared" si="2"/>
        <v>34010.840995863829</v>
      </c>
      <c r="L13" s="38">
        <f t="shared" si="2"/>
        <v>34052.158034263324</v>
      </c>
      <c r="M13" s="38">
        <f t="shared" si="2"/>
        <v>33885.530412726977</v>
      </c>
      <c r="N13" s="38">
        <f t="shared" si="2"/>
        <v>34603.997874419831</v>
      </c>
      <c r="O13" s="38">
        <f t="shared" si="2"/>
        <v>34029.94898145747</v>
      </c>
      <c r="P13" s="38">
        <f t="shared" si="2"/>
        <v>34420.337939628727</v>
      </c>
    </row>
    <row r="14" spans="1:17">
      <c r="F14" t="s">
        <v>130</v>
      </c>
      <c r="G14" s="45">
        <f>G13/F13</f>
        <v>4.365124790213689E-2</v>
      </c>
      <c r="H14"/>
      <c r="I14"/>
      <c r="J14"/>
      <c r="K14"/>
      <c r="L14"/>
      <c r="M14"/>
      <c r="N14"/>
      <c r="O14"/>
      <c r="P14"/>
    </row>
    <row r="15" spans="1:17">
      <c r="H15" s="8" t="str">
        <f>H2</f>
        <v>Spike Mass Flow 199Hg</v>
      </c>
      <c r="I15" s="8" t="str">
        <f t="shared" ref="I15:P15" si="3">I2</f>
        <v>Volumetric flow (split-flow)</v>
      </c>
      <c r="J15" s="8" t="str">
        <f t="shared" si="3"/>
        <v>natHg Atomic weight</v>
      </c>
      <c r="K15" s="8" t="str">
        <f t="shared" si="3"/>
        <v>199Hg Atomic weight</v>
      </c>
      <c r="L15" s="8" t="str">
        <f t="shared" si="3"/>
        <v>enrHg Atom fraction199Hg</v>
      </c>
      <c r="M15" s="8" t="str">
        <f t="shared" si="3"/>
        <v>natHg Atom fraction202Hg</v>
      </c>
      <c r="N15" s="8" t="str">
        <f t="shared" si="3"/>
        <v>Blend IR (202/199)</v>
      </c>
      <c r="O15" s="8" t="str">
        <f t="shared" si="3"/>
        <v>199Hg IR (202/199)</v>
      </c>
      <c r="P15" s="8" t="str">
        <f t="shared" si="3"/>
        <v>natHg IR (199/202)</v>
      </c>
    </row>
    <row r="16" spans="1:17">
      <c r="F16" s="45"/>
      <c r="G16" s="8" t="s">
        <v>126</v>
      </c>
      <c r="H16" s="32">
        <f>(H13-$F$13)^2</f>
        <v>981962.73459446488</v>
      </c>
      <c r="I16" s="32">
        <f t="shared" ref="I16:P16" si="4">(I13-$F$13)^2</f>
        <v>727440.41707534669</v>
      </c>
      <c r="J16" s="32">
        <f t="shared" si="4"/>
        <v>6.4769775847965907E-2</v>
      </c>
      <c r="K16" s="32">
        <f t="shared" si="4"/>
        <v>520.31575201210956</v>
      </c>
      <c r="L16" s="32">
        <f t="shared" si="4"/>
        <v>342.49452587163432</v>
      </c>
      <c r="M16" s="32">
        <f t="shared" si="4"/>
        <v>21939.83476143768</v>
      </c>
      <c r="N16" s="32">
        <f t="shared" si="4"/>
        <v>325295.0704996307</v>
      </c>
      <c r="O16" s="32">
        <f t="shared" si="4"/>
        <v>13.708100300040766</v>
      </c>
      <c r="P16" s="32">
        <f t="shared" si="4"/>
        <v>149526.45933047257</v>
      </c>
    </row>
    <row r="17" spans="1:17">
      <c r="G17" s="8" t="s">
        <v>129</v>
      </c>
      <c r="H17" s="26">
        <f>H16/SUM($H$16:$P$16)</f>
        <v>0.44492272248907161</v>
      </c>
      <c r="I17" s="26">
        <f t="shared" ref="I17:P17" si="5">I16/SUM($H$16:$P$16)</f>
        <v>0.32959985080025805</v>
      </c>
      <c r="J17" s="26">
        <f t="shared" si="5"/>
        <v>2.9346882514014241E-8</v>
      </c>
      <c r="K17" s="26">
        <f t="shared" si="5"/>
        <v>2.3575263376443954E-4</v>
      </c>
      <c r="L17" s="26">
        <f t="shared" si="5"/>
        <v>1.5518266785484821E-4</v>
      </c>
      <c r="M17" s="26">
        <f t="shared" si="5"/>
        <v>9.9408365196776861E-3</v>
      </c>
      <c r="N17" s="26">
        <f t="shared" si="5"/>
        <v>0.14738967506617434</v>
      </c>
      <c r="O17" s="26">
        <f t="shared" si="5"/>
        <v>6.2110761343364082E-6</v>
      </c>
      <c r="P17" s="26">
        <f t="shared" si="5"/>
        <v>6.7749739400182224E-2</v>
      </c>
      <c r="Q17" s="29"/>
    </row>
    <row r="18" spans="1:17" ht="15.75" thickBot="1">
      <c r="H18"/>
      <c r="I18"/>
      <c r="J18"/>
      <c r="K18"/>
      <c r="L18"/>
      <c r="M18"/>
      <c r="N18"/>
      <c r="O18"/>
      <c r="P18"/>
    </row>
    <row r="19" spans="1:17">
      <c r="C19" s="147" t="s">
        <v>0</v>
      </c>
      <c r="D19" s="147" t="s">
        <v>85</v>
      </c>
      <c r="E19" s="147" t="s">
        <v>1</v>
      </c>
      <c r="F19" s="147" t="s">
        <v>2</v>
      </c>
      <c r="G19" s="147" t="s">
        <v>3</v>
      </c>
      <c r="H19"/>
      <c r="I19"/>
      <c r="J19"/>
      <c r="K19"/>
      <c r="L19"/>
      <c r="M19"/>
      <c r="N19"/>
      <c r="O19"/>
      <c r="P19"/>
    </row>
    <row r="20" spans="1:17">
      <c r="C20" s="148"/>
      <c r="D20" s="148"/>
      <c r="E20" s="148"/>
      <c r="F20" s="148"/>
      <c r="G20" s="148"/>
      <c r="H20"/>
      <c r="I20"/>
      <c r="J20"/>
      <c r="K20"/>
      <c r="L20"/>
      <c r="M20"/>
      <c r="N20"/>
      <c r="O20"/>
      <c r="P20"/>
    </row>
    <row r="21" spans="1:17">
      <c r="A21" s="137" t="s">
        <v>161</v>
      </c>
      <c r="B21" s="6" t="s">
        <v>84</v>
      </c>
      <c r="C21" s="8" t="s">
        <v>114</v>
      </c>
      <c r="D21" s="9" t="s">
        <v>86</v>
      </c>
      <c r="E21" s="5" t="s">
        <v>107</v>
      </c>
      <c r="F21" s="132">
        <f>'Mass fraction 199Hg'!E55</f>
        <v>4182.1911110082101</v>
      </c>
      <c r="G21" s="42">
        <f>'Mass fraction 199Hg'!F55</f>
        <v>41.792998056875092</v>
      </c>
      <c r="H21"/>
      <c r="I21"/>
      <c r="J21"/>
      <c r="K21"/>
      <c r="L21"/>
      <c r="M21"/>
      <c r="N21"/>
      <c r="O21"/>
      <c r="P21"/>
    </row>
    <row r="22" spans="1:17">
      <c r="A22" s="137" t="s">
        <v>161</v>
      </c>
      <c r="B22" s="6" t="s">
        <v>11</v>
      </c>
      <c r="C22" s="8" t="s">
        <v>115</v>
      </c>
      <c r="D22" s="9" t="s">
        <v>118</v>
      </c>
      <c r="E22" s="5" t="s">
        <v>67</v>
      </c>
      <c r="F22" s="123">
        <v>0.02</v>
      </c>
      <c r="G22" s="122">
        <v>0.02</v>
      </c>
      <c r="H22"/>
      <c r="I22"/>
      <c r="J22"/>
      <c r="K22"/>
      <c r="L22"/>
      <c r="M22"/>
      <c r="N22"/>
      <c r="O22"/>
      <c r="P22"/>
    </row>
    <row r="23" spans="1:17">
      <c r="A23" s="137" t="s">
        <v>161</v>
      </c>
      <c r="B23" s="6" t="s">
        <v>11</v>
      </c>
      <c r="C23" s="8" t="s">
        <v>108</v>
      </c>
      <c r="D23" s="9" t="s">
        <v>119</v>
      </c>
      <c r="E23" s="5" t="s">
        <v>67</v>
      </c>
      <c r="F23" s="123">
        <v>1.63</v>
      </c>
      <c r="G23" s="122">
        <v>0.02</v>
      </c>
      <c r="H23"/>
      <c r="I23"/>
      <c r="J23"/>
      <c r="K23"/>
      <c r="L23"/>
      <c r="M23"/>
      <c r="N23"/>
      <c r="O23"/>
      <c r="P23"/>
    </row>
    <row r="24" spans="1:17">
      <c r="A24" s="137" t="s">
        <v>161</v>
      </c>
      <c r="B24" s="6" t="s">
        <v>11</v>
      </c>
      <c r="C24" s="8" t="s">
        <v>109</v>
      </c>
      <c r="D24" s="9" t="s">
        <v>120</v>
      </c>
      <c r="E24" s="5" t="s">
        <v>67</v>
      </c>
      <c r="F24" s="123">
        <v>4.92</v>
      </c>
      <c r="G24" s="122">
        <v>0.03</v>
      </c>
      <c r="H24"/>
      <c r="I24"/>
      <c r="J24"/>
      <c r="K24"/>
      <c r="L24"/>
      <c r="M24"/>
      <c r="N24"/>
      <c r="O24"/>
      <c r="P24"/>
    </row>
    <row r="25" spans="1:17">
      <c r="A25" s="137" t="s">
        <v>161</v>
      </c>
      <c r="B25" s="6" t="s">
        <v>11</v>
      </c>
      <c r="C25" s="8" t="s">
        <v>110</v>
      </c>
      <c r="D25" s="9" t="s">
        <v>121</v>
      </c>
      <c r="E25" s="5" t="s">
        <v>67</v>
      </c>
      <c r="F25" s="123">
        <v>0.66</v>
      </c>
      <c r="G25" s="122">
        <v>0.01</v>
      </c>
      <c r="H25"/>
      <c r="I25"/>
      <c r="J25"/>
      <c r="K25"/>
      <c r="L25"/>
      <c r="M25"/>
      <c r="N25"/>
      <c r="O25"/>
      <c r="P25"/>
    </row>
    <row r="26" spans="1:17">
      <c r="A26" s="137" t="s">
        <v>161</v>
      </c>
      <c r="B26" s="6" t="s">
        <v>11</v>
      </c>
      <c r="C26" s="8" t="s">
        <v>111</v>
      </c>
      <c r="D26" s="9" t="s">
        <v>122</v>
      </c>
      <c r="E26" s="5" t="s">
        <v>67</v>
      </c>
      <c r="F26" s="123">
        <v>0.73</v>
      </c>
      <c r="G26" s="122">
        <v>0.01</v>
      </c>
      <c r="H26"/>
      <c r="I26"/>
      <c r="J26"/>
      <c r="K26"/>
      <c r="L26"/>
      <c r="M26"/>
      <c r="N26"/>
      <c r="O26"/>
      <c r="P26"/>
    </row>
    <row r="27" spans="1:17">
      <c r="A27" s="137" t="s">
        <v>161</v>
      </c>
      <c r="B27" s="6" t="s">
        <v>11</v>
      </c>
      <c r="C27" s="8" t="s">
        <v>112</v>
      </c>
      <c r="D27" s="9" t="s">
        <v>123</v>
      </c>
      <c r="E27" s="5" t="s">
        <v>67</v>
      </c>
      <c r="F27" s="123">
        <v>0.11</v>
      </c>
      <c r="G27" s="122">
        <v>0.01</v>
      </c>
      <c r="H27"/>
      <c r="I27"/>
      <c r="J27"/>
      <c r="K27"/>
      <c r="L27"/>
      <c r="M27"/>
      <c r="N27"/>
      <c r="O27"/>
      <c r="P27"/>
    </row>
    <row r="28" spans="1:17">
      <c r="A28" s="137" t="s">
        <v>161</v>
      </c>
      <c r="B28" s="6" t="s">
        <v>19</v>
      </c>
      <c r="C28" s="8" t="s">
        <v>45</v>
      </c>
      <c r="D28" s="9" t="s">
        <v>99</v>
      </c>
      <c r="E28" s="5" t="s">
        <v>67</v>
      </c>
      <c r="F28" s="123">
        <v>16.940000000000001</v>
      </c>
      <c r="G28" s="122">
        <v>0.12</v>
      </c>
      <c r="H28"/>
      <c r="I28"/>
      <c r="J28"/>
      <c r="K28"/>
      <c r="L28"/>
      <c r="M28"/>
      <c r="N28"/>
      <c r="O28"/>
      <c r="P28"/>
    </row>
    <row r="29" spans="1:17">
      <c r="A29" s="137" t="s">
        <v>161</v>
      </c>
      <c r="B29" s="7" t="s">
        <v>10</v>
      </c>
      <c r="C29" s="8" t="s">
        <v>13</v>
      </c>
      <c r="D29" s="9" t="s">
        <v>94</v>
      </c>
      <c r="E29" s="5" t="s">
        <v>15</v>
      </c>
      <c r="F29" s="42">
        <f>'FlexCal-H value and u '!C10</f>
        <v>2.2652669167157442</v>
      </c>
      <c r="G29" s="42">
        <f>'FlexCal-H value and u '!H10</f>
        <v>4.5152575747929389E-3</v>
      </c>
      <c r="H29"/>
      <c r="I29"/>
      <c r="J29"/>
      <c r="K29"/>
      <c r="L29"/>
      <c r="M29"/>
      <c r="N29"/>
      <c r="O29"/>
      <c r="P29"/>
    </row>
    <row r="30" spans="1:17">
      <c r="A30" s="137" t="s">
        <v>161</v>
      </c>
      <c r="B30" s="7" t="s">
        <v>10</v>
      </c>
      <c r="C30" s="8" t="s">
        <v>14</v>
      </c>
      <c r="D30" s="9" t="s">
        <v>95</v>
      </c>
      <c r="E30" s="5" t="s">
        <v>15</v>
      </c>
      <c r="F30" s="42">
        <f>'FlexCal-H value and u '!C11</f>
        <v>2.0384894777425075</v>
      </c>
      <c r="G30" s="42">
        <f>'FlexCal-H value and u '!H11</f>
        <v>3.6868081109716483E-3</v>
      </c>
      <c r="H30"/>
      <c r="I30"/>
      <c r="J30"/>
      <c r="K30"/>
      <c r="L30"/>
      <c r="M30"/>
      <c r="N30"/>
      <c r="O30"/>
      <c r="P30"/>
    </row>
    <row r="31" spans="1:17">
      <c r="A31" s="137" t="s">
        <v>161</v>
      </c>
      <c r="B31" s="7" t="s">
        <v>10</v>
      </c>
      <c r="C31" s="8" t="s">
        <v>104</v>
      </c>
      <c r="D31" s="9" t="s">
        <v>101</v>
      </c>
      <c r="E31" s="5" t="s">
        <v>102</v>
      </c>
      <c r="F31" s="42">
        <f>'Peripump MassFlow'!H8</f>
        <v>0.25287999999999999</v>
      </c>
      <c r="G31" s="42">
        <f>'Peripump MassFlow'!H9</f>
        <v>6.9154898597279845E-3</v>
      </c>
      <c r="H31"/>
      <c r="I31"/>
      <c r="J31"/>
      <c r="K31"/>
      <c r="L31"/>
      <c r="M31"/>
      <c r="N31"/>
      <c r="O31"/>
      <c r="P31"/>
    </row>
    <row r="32" spans="1:17">
      <c r="H32"/>
      <c r="I32"/>
      <c r="J32"/>
      <c r="K32"/>
      <c r="L32"/>
      <c r="M32"/>
      <c r="N32"/>
      <c r="O32"/>
      <c r="P32"/>
    </row>
    <row r="33" spans="5:16">
      <c r="H33"/>
      <c r="I33"/>
      <c r="J33"/>
      <c r="K33"/>
      <c r="L33"/>
      <c r="M33"/>
      <c r="N33"/>
      <c r="O33"/>
      <c r="P33"/>
    </row>
    <row r="34" spans="5:16">
      <c r="H34"/>
      <c r="I34"/>
      <c r="J34"/>
      <c r="K34"/>
      <c r="L34"/>
      <c r="M34"/>
      <c r="N34"/>
      <c r="O34"/>
      <c r="P34"/>
    </row>
    <row r="35" spans="5:16">
      <c r="H35"/>
      <c r="I35"/>
      <c r="J35"/>
      <c r="K35"/>
      <c r="L35"/>
      <c r="M35"/>
      <c r="N35"/>
      <c r="O35"/>
      <c r="P35"/>
    </row>
    <row r="36" spans="5:16">
      <c r="H36"/>
      <c r="I36"/>
      <c r="J36"/>
      <c r="K36"/>
      <c r="L36"/>
      <c r="M36"/>
      <c r="N36"/>
      <c r="O36"/>
      <c r="P36"/>
    </row>
    <row r="37" spans="5:16">
      <c r="H37"/>
      <c r="I37"/>
      <c r="J37"/>
      <c r="K37"/>
      <c r="L37"/>
      <c r="M37"/>
      <c r="N37"/>
      <c r="O37"/>
      <c r="P37"/>
    </row>
    <row r="38" spans="5:16">
      <c r="H38"/>
      <c r="I38"/>
      <c r="J38"/>
      <c r="K38"/>
      <c r="L38"/>
      <c r="M38"/>
      <c r="N38"/>
      <c r="O38"/>
      <c r="P38"/>
    </row>
    <row r="39" spans="5:16" ht="15.75" thickBot="1">
      <c r="H39"/>
      <c r="I39"/>
      <c r="J39"/>
      <c r="K39"/>
      <c r="L39"/>
      <c r="M39"/>
      <c r="N39"/>
      <c r="O39"/>
      <c r="P39"/>
    </row>
    <row r="40" spans="5:16" ht="17.25" customHeight="1">
      <c r="E40" s="137" t="s">
        <v>161</v>
      </c>
      <c r="F40" s="149" t="s">
        <v>47</v>
      </c>
      <c r="G40" s="23"/>
      <c r="H40" s="23" t="str">
        <f t="shared" ref="H40:P40" si="6">H2</f>
        <v>Spike Mass Flow 199Hg</v>
      </c>
      <c r="I40" s="23" t="str">
        <f t="shared" si="6"/>
        <v>Volumetric flow (split-flow)</v>
      </c>
      <c r="J40" s="23" t="str">
        <f t="shared" si="6"/>
        <v>natHg Atomic weight</v>
      </c>
      <c r="K40" s="23" t="str">
        <f t="shared" si="6"/>
        <v>199Hg Atomic weight</v>
      </c>
      <c r="L40" s="23" t="str">
        <f t="shared" si="6"/>
        <v>enrHg Atom fraction199Hg</v>
      </c>
      <c r="M40" s="23" t="str">
        <f t="shared" si="6"/>
        <v>natHg Atom fraction202Hg</v>
      </c>
      <c r="N40" s="23" t="str">
        <f t="shared" si="6"/>
        <v>Blend IR (202/199)</v>
      </c>
      <c r="O40" s="23" t="str">
        <f t="shared" si="6"/>
        <v>199Hg IR (202/199)</v>
      </c>
      <c r="P40" s="23" t="str">
        <f t="shared" si="6"/>
        <v>natHg IR (199/202)</v>
      </c>
    </row>
    <row r="41" spans="5:16" ht="15" customHeight="1">
      <c r="E41" s="137" t="s">
        <v>161</v>
      </c>
      <c r="F41" s="150"/>
      <c r="G41" s="14" t="s">
        <v>6</v>
      </c>
      <c r="H41" s="24">
        <f>(H6-$F6)^2</f>
        <v>0</v>
      </c>
      <c r="I41" s="24">
        <f t="shared" ref="I41:P41" si="7">(I6-$F6)^2</f>
        <v>0</v>
      </c>
      <c r="J41" s="24">
        <f t="shared" si="7"/>
        <v>0</v>
      </c>
      <c r="K41" s="24">
        <f t="shared" si="7"/>
        <v>1.7827555912907311E-2</v>
      </c>
      <c r="L41" s="24">
        <f t="shared" si="7"/>
        <v>0</v>
      </c>
      <c r="M41" s="24">
        <f t="shared" si="7"/>
        <v>0</v>
      </c>
      <c r="N41" s="24">
        <f t="shared" si="7"/>
        <v>0</v>
      </c>
      <c r="O41" s="24">
        <f t="shared" si="7"/>
        <v>0</v>
      </c>
      <c r="P41" s="24">
        <f t="shared" si="7"/>
        <v>0</v>
      </c>
    </row>
    <row r="42" spans="5:16">
      <c r="E42" s="137" t="s">
        <v>161</v>
      </c>
      <c r="F42" s="150"/>
      <c r="G42" s="5" t="s">
        <v>8</v>
      </c>
      <c r="H42" s="24">
        <f t="shared" ref="H42:P42" si="8">(H11-$F11)^2</f>
        <v>0</v>
      </c>
      <c r="I42" s="24">
        <f t="shared" si="8"/>
        <v>0</v>
      </c>
      <c r="J42" s="24">
        <f t="shared" si="8"/>
        <v>0</v>
      </c>
      <c r="K42" s="24">
        <f t="shared" si="8"/>
        <v>0</v>
      </c>
      <c r="L42" s="24">
        <f t="shared" si="8"/>
        <v>0</v>
      </c>
      <c r="M42" s="24">
        <f t="shared" si="8"/>
        <v>0</v>
      </c>
      <c r="N42" s="24">
        <f t="shared" si="8"/>
        <v>0</v>
      </c>
      <c r="O42" s="24">
        <f t="shared" si="8"/>
        <v>0</v>
      </c>
      <c r="P42" s="24">
        <f t="shared" si="8"/>
        <v>2.2480380797120519E-5</v>
      </c>
    </row>
    <row r="43" spans="5:16">
      <c r="E43" s="137" t="s">
        <v>161</v>
      </c>
      <c r="F43" s="150"/>
      <c r="G43" s="5" t="s">
        <v>7</v>
      </c>
      <c r="H43" s="24">
        <f t="shared" ref="H43:P43" si="9">(H10-$F10)^2</f>
        <v>0</v>
      </c>
      <c r="I43" s="24">
        <f t="shared" si="9"/>
        <v>0</v>
      </c>
      <c r="J43" s="24">
        <f t="shared" si="9"/>
        <v>0</v>
      </c>
      <c r="K43" s="24">
        <f t="shared" si="9"/>
        <v>0</v>
      </c>
      <c r="L43" s="24">
        <f t="shared" si="9"/>
        <v>0</v>
      </c>
      <c r="M43" s="24">
        <f t="shared" si="9"/>
        <v>0</v>
      </c>
      <c r="N43" s="24">
        <f t="shared" si="9"/>
        <v>0</v>
      </c>
      <c r="O43" s="24">
        <f t="shared" si="9"/>
        <v>1.1846234511835888E-8</v>
      </c>
      <c r="P43" s="24">
        <f t="shared" si="9"/>
        <v>0</v>
      </c>
    </row>
    <row r="44" spans="5:16">
      <c r="E44" s="137" t="s">
        <v>161</v>
      </c>
      <c r="F44" s="150"/>
      <c r="G44" s="5" t="s">
        <v>18</v>
      </c>
      <c r="H44" s="24">
        <f t="shared" ref="H44:P44" si="10">(H3-$F3)^2</f>
        <v>941.64383474037345</v>
      </c>
      <c r="I44" s="24">
        <f t="shared" si="10"/>
        <v>0</v>
      </c>
      <c r="J44" s="24">
        <f t="shared" si="10"/>
        <v>0</v>
      </c>
      <c r="K44" s="24">
        <f t="shared" si="10"/>
        <v>0</v>
      </c>
      <c r="L44" s="24">
        <f t="shared" si="10"/>
        <v>0</v>
      </c>
      <c r="M44" s="24">
        <f t="shared" si="10"/>
        <v>0</v>
      </c>
      <c r="N44" s="24">
        <f t="shared" si="10"/>
        <v>0</v>
      </c>
      <c r="O44" s="24">
        <f t="shared" si="10"/>
        <v>0</v>
      </c>
      <c r="P44" s="24">
        <f t="shared" si="10"/>
        <v>0</v>
      </c>
    </row>
    <row r="45" spans="5:16">
      <c r="E45" s="137" t="s">
        <v>161</v>
      </c>
      <c r="F45" s="150"/>
      <c r="G45" s="5" t="s">
        <v>105</v>
      </c>
      <c r="H45" s="24">
        <f t="shared" ref="H45:P45" si="11">(H4-$F4)^2</f>
        <v>0</v>
      </c>
      <c r="I45" s="24">
        <f t="shared" si="11"/>
        <v>3.3980105013851236E-5</v>
      </c>
      <c r="J45" s="24">
        <f t="shared" si="11"/>
        <v>0</v>
      </c>
      <c r="K45" s="24">
        <f t="shared" si="11"/>
        <v>0</v>
      </c>
      <c r="L45" s="24">
        <f t="shared" si="11"/>
        <v>0</v>
      </c>
      <c r="M45" s="24">
        <f t="shared" si="11"/>
        <v>0</v>
      </c>
      <c r="N45" s="24">
        <f t="shared" si="11"/>
        <v>0</v>
      </c>
      <c r="O45" s="24">
        <f t="shared" si="11"/>
        <v>0</v>
      </c>
      <c r="P45" s="24">
        <f t="shared" si="11"/>
        <v>0</v>
      </c>
    </row>
    <row r="46" spans="5:16" ht="15.75" thickBot="1">
      <c r="E46" s="137" t="s">
        <v>161</v>
      </c>
      <c r="F46" s="151"/>
      <c r="G46" s="22" t="s">
        <v>12</v>
      </c>
      <c r="H46" s="25">
        <f>(H13-$F13)^2</f>
        <v>981962.73459446488</v>
      </c>
      <c r="I46" s="25">
        <f t="shared" ref="I46:P46" si="12">(I13-$F13)^2</f>
        <v>727440.41707534669</v>
      </c>
      <c r="J46" s="25">
        <f t="shared" si="12"/>
        <v>6.4769775847965907E-2</v>
      </c>
      <c r="K46" s="25">
        <f t="shared" si="12"/>
        <v>520.31575201210956</v>
      </c>
      <c r="L46" s="25">
        <f t="shared" si="12"/>
        <v>342.49452587163432</v>
      </c>
      <c r="M46" s="25">
        <f t="shared" si="12"/>
        <v>21939.83476143768</v>
      </c>
      <c r="N46" s="25">
        <f t="shared" si="12"/>
        <v>325295.0704996307</v>
      </c>
      <c r="O46" s="25">
        <f t="shared" si="12"/>
        <v>13.708100300040766</v>
      </c>
      <c r="P46" s="25">
        <f t="shared" si="12"/>
        <v>149526.45933047257</v>
      </c>
    </row>
    <row r="47" spans="5:16">
      <c r="E47" s="137" t="s">
        <v>161</v>
      </c>
      <c r="F47" s="149" t="s">
        <v>46</v>
      </c>
      <c r="G47" s="23"/>
      <c r="H47" s="23" t="str">
        <f>H40</f>
        <v>Spike Mass Flow 199Hg</v>
      </c>
      <c r="I47" s="23" t="str">
        <f t="shared" ref="I47:P47" si="13">I40</f>
        <v>Volumetric flow (split-flow)</v>
      </c>
      <c r="J47" s="23" t="str">
        <f t="shared" si="13"/>
        <v>natHg Atomic weight</v>
      </c>
      <c r="K47" s="23" t="str">
        <f t="shared" si="13"/>
        <v>199Hg Atomic weight</v>
      </c>
      <c r="L47" s="23" t="str">
        <f t="shared" si="13"/>
        <v>enrHg Atom fraction199Hg</v>
      </c>
      <c r="M47" s="23" t="str">
        <f t="shared" si="13"/>
        <v>natHg Atom fraction202Hg</v>
      </c>
      <c r="N47" s="23" t="str">
        <f t="shared" si="13"/>
        <v>Blend IR (202/199)</v>
      </c>
      <c r="O47" s="23" t="str">
        <f t="shared" si="13"/>
        <v>199Hg IR (202/199)</v>
      </c>
      <c r="P47" s="23" t="str">
        <f t="shared" si="13"/>
        <v>natHg IR (199/202)</v>
      </c>
    </row>
    <row r="48" spans="5:16">
      <c r="E48" s="137" t="s">
        <v>161</v>
      </c>
      <c r="F48" s="150"/>
      <c r="G48" s="5" t="str">
        <f>G41</f>
        <v>199Hg Atomic weight</v>
      </c>
      <c r="H48" s="26">
        <f t="shared" ref="H48:P48" si="14">H41/SUM($H41:$P41)</f>
        <v>0</v>
      </c>
      <c r="I48" s="26">
        <f t="shared" si="14"/>
        <v>0</v>
      </c>
      <c r="J48" s="26">
        <f t="shared" si="14"/>
        <v>0</v>
      </c>
      <c r="K48" s="26">
        <f t="shared" si="14"/>
        <v>1</v>
      </c>
      <c r="L48" s="26">
        <f t="shared" si="14"/>
        <v>0</v>
      </c>
      <c r="M48" s="26">
        <f t="shared" si="14"/>
        <v>0</v>
      </c>
      <c r="N48" s="26">
        <f t="shared" si="14"/>
        <v>0</v>
      </c>
      <c r="O48" s="26">
        <f t="shared" si="14"/>
        <v>0</v>
      </c>
      <c r="P48" s="26">
        <f t="shared" si="14"/>
        <v>0</v>
      </c>
    </row>
    <row r="49" spans="1:16">
      <c r="E49" s="137" t="s">
        <v>161</v>
      </c>
      <c r="F49" s="150"/>
      <c r="G49" s="5" t="str">
        <f t="shared" ref="G49:G53" si="15">G42</f>
        <v>natHg IR (199/202)</v>
      </c>
      <c r="H49" s="26">
        <f t="shared" ref="H49:P49" si="16">H42/SUM($H42:$P42)</f>
        <v>0</v>
      </c>
      <c r="I49" s="26">
        <f t="shared" si="16"/>
        <v>0</v>
      </c>
      <c r="J49" s="26">
        <f t="shared" si="16"/>
        <v>0</v>
      </c>
      <c r="K49" s="26">
        <f t="shared" si="16"/>
        <v>0</v>
      </c>
      <c r="L49" s="26">
        <f t="shared" si="16"/>
        <v>0</v>
      </c>
      <c r="M49" s="26">
        <f t="shared" si="16"/>
        <v>0</v>
      </c>
      <c r="N49" s="26">
        <f t="shared" si="16"/>
        <v>0</v>
      </c>
      <c r="O49" s="26">
        <f t="shared" si="16"/>
        <v>0</v>
      </c>
      <c r="P49" s="26">
        <f t="shared" si="16"/>
        <v>1</v>
      </c>
    </row>
    <row r="50" spans="1:16">
      <c r="E50" s="137" t="s">
        <v>161</v>
      </c>
      <c r="F50" s="150"/>
      <c r="G50" s="5" t="str">
        <f t="shared" si="15"/>
        <v>199Hg IR (202/199)</v>
      </c>
      <c r="H50" s="26">
        <f t="shared" ref="H50:P50" si="17">H43/SUM($H43:$P43)</f>
        <v>0</v>
      </c>
      <c r="I50" s="26">
        <f t="shared" si="17"/>
        <v>0</v>
      </c>
      <c r="J50" s="26">
        <f t="shared" si="17"/>
        <v>0</v>
      </c>
      <c r="K50" s="26">
        <f t="shared" si="17"/>
        <v>0</v>
      </c>
      <c r="L50" s="26">
        <f t="shared" si="17"/>
        <v>0</v>
      </c>
      <c r="M50" s="26">
        <f t="shared" si="17"/>
        <v>0</v>
      </c>
      <c r="N50" s="26">
        <f t="shared" si="17"/>
        <v>0</v>
      </c>
      <c r="O50" s="26">
        <f t="shared" si="17"/>
        <v>1</v>
      </c>
      <c r="P50" s="26">
        <f t="shared" si="17"/>
        <v>0</v>
      </c>
    </row>
    <row r="51" spans="1:16">
      <c r="E51" s="137" t="s">
        <v>161</v>
      </c>
      <c r="F51" s="150"/>
      <c r="G51" s="5" t="str">
        <f t="shared" si="15"/>
        <v>Spike Mass Flow 199Hg</v>
      </c>
      <c r="H51" s="26">
        <f t="shared" ref="H51:P51" si="18">H44/SUM($H44:$P44)</f>
        <v>1</v>
      </c>
      <c r="I51" s="26">
        <f t="shared" si="18"/>
        <v>0</v>
      </c>
      <c r="J51" s="26">
        <f t="shared" si="18"/>
        <v>0</v>
      </c>
      <c r="K51" s="26">
        <f t="shared" si="18"/>
        <v>0</v>
      </c>
      <c r="L51" s="26">
        <f t="shared" si="18"/>
        <v>0</v>
      </c>
      <c r="M51" s="26">
        <f t="shared" si="18"/>
        <v>0</v>
      </c>
      <c r="N51" s="26">
        <f t="shared" si="18"/>
        <v>0</v>
      </c>
      <c r="O51" s="26">
        <f t="shared" si="18"/>
        <v>0</v>
      </c>
      <c r="P51" s="26">
        <f t="shared" si="18"/>
        <v>0</v>
      </c>
    </row>
    <row r="52" spans="1:16">
      <c r="E52" s="137" t="s">
        <v>161</v>
      </c>
      <c r="F52" s="150"/>
      <c r="G52" s="5" t="str">
        <f t="shared" si="15"/>
        <v>Valumetric flow (split-flow)</v>
      </c>
      <c r="H52" s="26">
        <f t="shared" ref="H52:P52" si="19">H45/SUM($H45:$P45)</f>
        <v>0</v>
      </c>
      <c r="I52" s="26">
        <f t="shared" si="19"/>
        <v>1</v>
      </c>
      <c r="J52" s="26">
        <f t="shared" si="19"/>
        <v>0</v>
      </c>
      <c r="K52" s="26">
        <f t="shared" si="19"/>
        <v>0</v>
      </c>
      <c r="L52" s="26">
        <f t="shared" si="19"/>
        <v>0</v>
      </c>
      <c r="M52" s="26">
        <f t="shared" si="19"/>
        <v>0</v>
      </c>
      <c r="N52" s="26">
        <f t="shared" si="19"/>
        <v>0</v>
      </c>
      <c r="O52" s="26">
        <f t="shared" si="19"/>
        <v>0</v>
      </c>
      <c r="P52" s="26">
        <f t="shared" si="19"/>
        <v>0</v>
      </c>
    </row>
    <row r="53" spans="1:16" ht="15.75" thickBot="1">
      <c r="E53" s="137" t="s">
        <v>161</v>
      </c>
      <c r="F53" s="152"/>
      <c r="G53" s="27" t="str">
        <f t="shared" si="15"/>
        <v>Generator mass flow (natHg)</v>
      </c>
      <c r="H53" s="28">
        <f t="shared" ref="H53:P53" si="20">H46/SUM($H46:$P46)</f>
        <v>0.44492272248907161</v>
      </c>
      <c r="I53" s="138">
        <f t="shared" si="20"/>
        <v>0.32959985080025805</v>
      </c>
      <c r="J53" s="28">
        <f t="shared" si="20"/>
        <v>2.9346882514014241E-8</v>
      </c>
      <c r="K53" s="28">
        <f t="shared" si="20"/>
        <v>2.3575263376443954E-4</v>
      </c>
      <c r="L53" s="28">
        <f t="shared" si="20"/>
        <v>1.5518266785484821E-4</v>
      </c>
      <c r="M53" s="28">
        <f t="shared" si="20"/>
        <v>9.9408365196776861E-3</v>
      </c>
      <c r="N53" s="28">
        <f t="shared" si="20"/>
        <v>0.14738967506617434</v>
      </c>
      <c r="O53" s="28">
        <f t="shared" si="20"/>
        <v>6.2110761343364082E-6</v>
      </c>
      <c r="P53" s="28">
        <f t="shared" si="20"/>
        <v>6.7749739400182224E-2</v>
      </c>
    </row>
    <row r="60" spans="1:16">
      <c r="B60" t="s">
        <v>48</v>
      </c>
    </row>
    <row r="61" spans="1:16" ht="25.5">
      <c r="B61" s="2" t="s">
        <v>20</v>
      </c>
      <c r="C61" s="2" t="s">
        <v>21</v>
      </c>
    </row>
    <row r="62" spans="1:16">
      <c r="A62" s="137" t="s">
        <v>161</v>
      </c>
      <c r="B62" s="3" t="s">
        <v>22</v>
      </c>
      <c r="C62" s="3" t="s">
        <v>23</v>
      </c>
    </row>
    <row r="63" spans="1:16">
      <c r="A63" s="137" t="s">
        <v>161</v>
      </c>
      <c r="B63" s="3" t="s">
        <v>24</v>
      </c>
      <c r="C63" s="3" t="s">
        <v>25</v>
      </c>
      <c r="E63" s="1"/>
    </row>
    <row r="64" spans="1:16">
      <c r="A64" s="137" t="s">
        <v>161</v>
      </c>
      <c r="B64" s="3" t="s">
        <v>26</v>
      </c>
      <c r="C64" s="3" t="s">
        <v>27</v>
      </c>
    </row>
    <row r="65" spans="1:4">
      <c r="A65" s="137" t="s">
        <v>161</v>
      </c>
      <c r="B65" s="3" t="s">
        <v>28</v>
      </c>
      <c r="C65" s="3" t="s">
        <v>29</v>
      </c>
    </row>
    <row r="66" spans="1:4">
      <c r="A66" s="137" t="s">
        <v>161</v>
      </c>
      <c r="B66" s="3" t="s">
        <v>30</v>
      </c>
      <c r="C66" s="3" t="s">
        <v>31</v>
      </c>
    </row>
    <row r="67" spans="1:4">
      <c r="A67" s="137" t="s">
        <v>161</v>
      </c>
      <c r="B67" s="3" t="s">
        <v>32</v>
      </c>
      <c r="C67" s="3" t="s">
        <v>33</v>
      </c>
    </row>
    <row r="68" spans="1:4">
      <c r="A68" s="137" t="s">
        <v>161</v>
      </c>
      <c r="B68" s="3" t="s">
        <v>34</v>
      </c>
      <c r="C68" s="3" t="s">
        <v>35</v>
      </c>
    </row>
    <row r="73" spans="1:4">
      <c r="D73" s="137" t="s">
        <v>161</v>
      </c>
    </row>
    <row r="74" spans="1:4">
      <c r="D74" s="137" t="s">
        <v>161</v>
      </c>
    </row>
    <row r="75" spans="1:4">
      <c r="D75" s="137" t="s">
        <v>161</v>
      </c>
    </row>
    <row r="76" spans="1:4">
      <c r="D76" s="137" t="s">
        <v>161</v>
      </c>
    </row>
    <row r="77" spans="1:4">
      <c r="D77" s="137" t="s">
        <v>161</v>
      </c>
    </row>
    <row r="78" spans="1:4">
      <c r="D78" s="137" t="s">
        <v>161</v>
      </c>
    </row>
    <row r="79" spans="1:4">
      <c r="D79" s="137" t="s">
        <v>161</v>
      </c>
    </row>
    <row r="80" spans="1:4">
      <c r="D80" s="137" t="s">
        <v>161</v>
      </c>
    </row>
    <row r="81" spans="4:4">
      <c r="D81" s="137" t="s">
        <v>161</v>
      </c>
    </row>
  </sheetData>
  <mergeCells count="12">
    <mergeCell ref="G19:G20"/>
    <mergeCell ref="G1:G2"/>
    <mergeCell ref="F40:F46"/>
    <mergeCell ref="F47:F53"/>
    <mergeCell ref="C1:C2"/>
    <mergeCell ref="E1:E2"/>
    <mergeCell ref="F1:F2"/>
    <mergeCell ref="D1:D2"/>
    <mergeCell ref="C19:C20"/>
    <mergeCell ref="D19:D20"/>
    <mergeCell ref="E19:E20"/>
    <mergeCell ref="F19:F20"/>
  </mergeCells>
  <phoneticPr fontId="26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81D56-EE42-4639-B4B9-A7CEE678B996}">
  <sheetPr>
    <tabColor rgb="FF00B050"/>
  </sheetPr>
  <dimension ref="A1:H68"/>
  <sheetViews>
    <sheetView workbookViewId="0">
      <selection activeCell="H17" sqref="H17"/>
    </sheetView>
  </sheetViews>
  <sheetFormatPr defaultRowHeight="15"/>
  <cols>
    <col min="1" max="1" width="10" customWidth="1"/>
    <col min="2" max="2" width="11.5703125" customWidth="1"/>
    <col min="3" max="3" width="14" bestFit="1" customWidth="1"/>
    <col min="4" max="4" width="28.42578125" bestFit="1" customWidth="1"/>
    <col min="5" max="5" width="17.28515625" bestFit="1" customWidth="1"/>
    <col min="8" max="8" width="24.28515625" bestFit="1" customWidth="1"/>
    <col min="15" max="15" width="12" bestFit="1" customWidth="1"/>
  </cols>
  <sheetData>
    <row r="1" spans="1:8" ht="18.75">
      <c r="A1" s="43" t="s">
        <v>152</v>
      </c>
    </row>
    <row r="2" spans="1:8">
      <c r="A2" s="44" t="s">
        <v>53</v>
      </c>
      <c r="B2" s="130">
        <v>44806</v>
      </c>
    </row>
    <row r="3" spans="1:8">
      <c r="A3" s="44" t="s">
        <v>153</v>
      </c>
      <c r="B3" t="s">
        <v>155</v>
      </c>
    </row>
    <row r="4" spans="1:8">
      <c r="A4" s="44" t="s">
        <v>154</v>
      </c>
      <c r="B4" t="s">
        <v>156</v>
      </c>
    </row>
    <row r="5" spans="1:8">
      <c r="A5" s="44" t="s">
        <v>157</v>
      </c>
      <c r="B5" t="s">
        <v>164</v>
      </c>
    </row>
    <row r="7" spans="1:8">
      <c r="A7" s="125" t="s">
        <v>151</v>
      </c>
      <c r="B7" s="125" t="s">
        <v>145</v>
      </c>
      <c r="C7" s="125" t="s">
        <v>146</v>
      </c>
      <c r="D7" s="125" t="s">
        <v>147</v>
      </c>
      <c r="E7" s="125" t="s">
        <v>148</v>
      </c>
      <c r="H7" s="44" t="s">
        <v>149</v>
      </c>
    </row>
    <row r="8" spans="1:8">
      <c r="A8" s="5">
        <v>0</v>
      </c>
      <c r="B8" s="24">
        <f>A8/60</f>
        <v>0</v>
      </c>
      <c r="C8" s="122">
        <v>-3.6999999999999998E-2</v>
      </c>
      <c r="D8" s="122"/>
      <c r="E8" s="122"/>
      <c r="G8" s="126" t="s">
        <v>150</v>
      </c>
      <c r="H8" s="127">
        <f>AVERAGE(E14,E20,E26,E32,E38,E44,E50,E56,E62,E68)</f>
        <v>0.25287999999999999</v>
      </c>
    </row>
    <row r="9" spans="1:8">
      <c r="A9" s="5">
        <v>10</v>
      </c>
      <c r="B9" s="24">
        <f t="shared" ref="B9:B68" si="0">A9/60</f>
        <v>0.16666666666666666</v>
      </c>
      <c r="C9" s="122">
        <v>-7.9600000000000004E-2</v>
      </c>
      <c r="D9" s="124">
        <f>(-C9+C8)/(A9-A8)*60</f>
        <v>0.25560000000000005</v>
      </c>
      <c r="E9" s="122"/>
      <c r="G9" s="126" t="s">
        <v>131</v>
      </c>
      <c r="H9" s="127">
        <f>_xlfn.STDEV.S(E14,E20,E26,E32,E38,E44,E50,E56,E62,E68)</f>
        <v>6.9154898597279845E-3</v>
      </c>
    </row>
    <row r="10" spans="1:8">
      <c r="A10" s="5">
        <v>20</v>
      </c>
      <c r="B10" s="24">
        <f t="shared" si="0"/>
        <v>0.33333333333333331</v>
      </c>
      <c r="C10" s="122">
        <v>-0.124</v>
      </c>
      <c r="D10" s="124">
        <f>(-C10+C9)/(A10-A9)*60</f>
        <v>0.26639999999999997</v>
      </c>
      <c r="E10" s="122"/>
      <c r="G10" s="128" t="s">
        <v>132</v>
      </c>
      <c r="H10" s="129">
        <f>H9/H8</f>
        <v>2.734692288725081E-2</v>
      </c>
    </row>
    <row r="11" spans="1:8">
      <c r="A11" s="5">
        <v>30</v>
      </c>
      <c r="B11" s="24">
        <f t="shared" si="0"/>
        <v>0.5</v>
      </c>
      <c r="C11" s="122">
        <v>-0.15</v>
      </c>
      <c r="D11" s="124">
        <f t="shared" ref="D11:D68" si="1">(-C11+C10)/(A11-A10)*60</f>
        <v>0.15599999999999997</v>
      </c>
      <c r="E11" s="122"/>
    </row>
    <row r="12" spans="1:8">
      <c r="A12" s="5">
        <v>40</v>
      </c>
      <c r="B12" s="24">
        <f t="shared" si="0"/>
        <v>0.66666666666666663</v>
      </c>
      <c r="C12" s="122">
        <v>-0.20660000000000001</v>
      </c>
      <c r="D12" s="124">
        <f t="shared" si="1"/>
        <v>0.33960000000000007</v>
      </c>
      <c r="E12" s="122"/>
    </row>
    <row r="13" spans="1:8">
      <c r="A13" s="5">
        <v>50</v>
      </c>
      <c r="B13" s="24">
        <f t="shared" si="0"/>
        <v>0.83333333333333337</v>
      </c>
      <c r="C13" s="122">
        <v>-0.25319999999999998</v>
      </c>
      <c r="D13" s="124">
        <f t="shared" si="1"/>
        <v>0.27959999999999985</v>
      </c>
      <c r="E13" s="122"/>
    </row>
    <row r="14" spans="1:8">
      <c r="A14" s="5">
        <v>60</v>
      </c>
      <c r="B14" s="24">
        <f t="shared" si="0"/>
        <v>1</v>
      </c>
      <c r="C14" s="122">
        <v>-0.29659999999999997</v>
      </c>
      <c r="D14" s="124">
        <f t="shared" si="1"/>
        <v>0.26039999999999996</v>
      </c>
      <c r="E14" s="122">
        <f>C8-C14</f>
        <v>0.2596</v>
      </c>
    </row>
    <row r="15" spans="1:8">
      <c r="A15" s="5">
        <v>70</v>
      </c>
      <c r="B15" s="24">
        <f t="shared" si="0"/>
        <v>1.1666666666666667</v>
      </c>
      <c r="C15" s="122">
        <v>-0.34110000000000001</v>
      </c>
      <c r="D15" s="124">
        <f t="shared" si="1"/>
        <v>0.26700000000000024</v>
      </c>
      <c r="E15" s="122"/>
      <c r="G15" s="144"/>
    </row>
    <row r="16" spans="1:8">
      <c r="A16" s="5">
        <v>80</v>
      </c>
      <c r="B16" s="24">
        <f t="shared" si="0"/>
        <v>1.3333333333333333</v>
      </c>
      <c r="C16" s="122">
        <v>-0.371</v>
      </c>
      <c r="D16" s="124">
        <f>(-C16+C15)/(A16-A15)*60</f>
        <v>0.17939999999999989</v>
      </c>
      <c r="E16" s="122"/>
      <c r="G16" s="144"/>
    </row>
    <row r="17" spans="1:5">
      <c r="A17" s="5">
        <v>90</v>
      </c>
      <c r="B17" s="24">
        <f t="shared" si="0"/>
        <v>1.5</v>
      </c>
      <c r="C17" s="122">
        <v>-0.41289999999999999</v>
      </c>
      <c r="D17" s="124">
        <f t="shared" si="1"/>
        <v>0.25139999999999996</v>
      </c>
      <c r="E17" s="122"/>
    </row>
    <row r="18" spans="1:5">
      <c r="A18" s="5">
        <v>100</v>
      </c>
      <c r="B18" s="24">
        <f t="shared" si="0"/>
        <v>1.6666666666666667</v>
      </c>
      <c r="C18" s="122">
        <v>-0.45479999999999998</v>
      </c>
      <c r="D18" s="124">
        <f>(-C18+C17)/(A18-A17)*60</f>
        <v>0.25139999999999996</v>
      </c>
      <c r="E18" s="122"/>
    </row>
    <row r="19" spans="1:5">
      <c r="A19" s="5">
        <v>110</v>
      </c>
      <c r="B19" s="24">
        <f t="shared" si="0"/>
        <v>1.8333333333333333</v>
      </c>
      <c r="C19" s="122">
        <v>-0.50239999999999996</v>
      </c>
      <c r="D19" s="124">
        <f t="shared" si="1"/>
        <v>0.28559999999999985</v>
      </c>
      <c r="E19" s="122"/>
    </row>
    <row r="20" spans="1:5">
      <c r="A20" s="5">
        <v>120</v>
      </c>
      <c r="B20" s="24">
        <f t="shared" si="0"/>
        <v>2</v>
      </c>
      <c r="C20" s="122">
        <v>-0.54830000000000001</v>
      </c>
      <c r="D20" s="124">
        <f t="shared" si="1"/>
        <v>0.27540000000000031</v>
      </c>
      <c r="E20" s="122">
        <f>C14-C20</f>
        <v>0.25170000000000003</v>
      </c>
    </row>
    <row r="21" spans="1:5">
      <c r="A21" s="5">
        <v>130</v>
      </c>
      <c r="B21" s="24">
        <f t="shared" si="0"/>
        <v>2.1666666666666665</v>
      </c>
      <c r="C21" s="5">
        <v>-0.58560000000000001</v>
      </c>
      <c r="D21" s="35">
        <f t="shared" si="1"/>
        <v>0.2238</v>
      </c>
      <c r="E21" s="5"/>
    </row>
    <row r="22" spans="1:5">
      <c r="A22" s="5">
        <v>140</v>
      </c>
      <c r="B22" s="24">
        <f t="shared" si="0"/>
        <v>2.3333333333333335</v>
      </c>
      <c r="C22" s="5">
        <v>-0.62260000000000004</v>
      </c>
      <c r="D22" s="35">
        <f t="shared" si="1"/>
        <v>0.2220000000000002</v>
      </c>
      <c r="E22" s="5"/>
    </row>
    <row r="23" spans="1:5">
      <c r="A23" s="5">
        <v>150</v>
      </c>
      <c r="B23" s="24">
        <f t="shared" si="0"/>
        <v>2.5</v>
      </c>
      <c r="C23" s="5">
        <v>-0.66249999999999998</v>
      </c>
      <c r="D23" s="35">
        <f t="shared" si="1"/>
        <v>0.23939999999999961</v>
      </c>
      <c r="E23" s="5"/>
    </row>
    <row r="24" spans="1:5">
      <c r="A24" s="5">
        <v>160</v>
      </c>
      <c r="B24" s="24">
        <f t="shared" si="0"/>
        <v>2.6666666666666665</v>
      </c>
      <c r="C24" s="5">
        <v>-0.71319999999999995</v>
      </c>
      <c r="D24" s="35">
        <f t="shared" si="1"/>
        <v>0.3041999999999998</v>
      </c>
      <c r="E24" s="5"/>
    </row>
    <row r="25" spans="1:5">
      <c r="A25" s="5">
        <v>170</v>
      </c>
      <c r="B25" s="24">
        <f t="shared" si="0"/>
        <v>2.8333333333333335</v>
      </c>
      <c r="C25" s="5">
        <v>-0.751</v>
      </c>
      <c r="D25" s="35">
        <f t="shared" si="1"/>
        <v>0.22680000000000033</v>
      </c>
      <c r="E25" s="5"/>
    </row>
    <row r="26" spans="1:5">
      <c r="A26" s="5">
        <v>180</v>
      </c>
      <c r="B26" s="24">
        <f t="shared" si="0"/>
        <v>3</v>
      </c>
      <c r="C26" s="5">
        <v>-0.80169999999999997</v>
      </c>
      <c r="D26" s="35">
        <f t="shared" si="1"/>
        <v>0.3041999999999998</v>
      </c>
      <c r="E26" s="5">
        <f>C20-C26</f>
        <v>0.25339999999999996</v>
      </c>
    </row>
    <row r="27" spans="1:5">
      <c r="A27" s="5">
        <v>190</v>
      </c>
      <c r="B27" s="24">
        <f t="shared" si="0"/>
        <v>3.1666666666666665</v>
      </c>
      <c r="C27" s="5">
        <v>-0.8458</v>
      </c>
      <c r="D27" s="35">
        <f t="shared" si="1"/>
        <v>0.26460000000000017</v>
      </c>
      <c r="E27" s="5"/>
    </row>
    <row r="28" spans="1:5">
      <c r="A28" s="5">
        <v>200</v>
      </c>
      <c r="B28" s="24">
        <f t="shared" si="0"/>
        <v>3.3333333333333335</v>
      </c>
      <c r="C28" s="5">
        <v>-0.88519999999999999</v>
      </c>
      <c r="D28" s="35">
        <f t="shared" si="1"/>
        <v>0.23639999999999994</v>
      </c>
      <c r="E28" s="5"/>
    </row>
    <row r="29" spans="1:5">
      <c r="A29" s="5">
        <v>210</v>
      </c>
      <c r="B29" s="24">
        <f t="shared" si="0"/>
        <v>3.5</v>
      </c>
      <c r="C29" s="5">
        <v>-0.94269999999999998</v>
      </c>
      <c r="D29" s="35">
        <f t="shared" si="1"/>
        <v>0.34499999999999997</v>
      </c>
      <c r="E29" s="5"/>
    </row>
    <row r="30" spans="1:5">
      <c r="A30" s="5">
        <v>220</v>
      </c>
      <c r="B30" s="24">
        <f t="shared" si="0"/>
        <v>3.6666666666666665</v>
      </c>
      <c r="C30" s="5">
        <v>-0.98350000000000004</v>
      </c>
      <c r="D30" s="35">
        <f t="shared" si="1"/>
        <v>0.24480000000000032</v>
      </c>
      <c r="E30" s="5"/>
    </row>
    <row r="31" spans="1:5">
      <c r="A31" s="5">
        <v>230</v>
      </c>
      <c r="B31" s="24">
        <f t="shared" si="0"/>
        <v>3.8333333333333335</v>
      </c>
      <c r="C31" s="5">
        <v>-1.0181</v>
      </c>
      <c r="D31" s="35">
        <f t="shared" si="1"/>
        <v>0.20759999999999978</v>
      </c>
      <c r="E31" s="5"/>
    </row>
    <row r="32" spans="1:5">
      <c r="A32" s="5">
        <v>240</v>
      </c>
      <c r="B32" s="24">
        <f t="shared" si="0"/>
        <v>4</v>
      </c>
      <c r="C32" s="5">
        <v>-1.0570999999999999</v>
      </c>
      <c r="D32" s="35">
        <f t="shared" si="1"/>
        <v>0.23399999999999954</v>
      </c>
      <c r="E32" s="5">
        <f>C26-C32</f>
        <v>0.25539999999999996</v>
      </c>
    </row>
    <row r="33" spans="1:5">
      <c r="A33" s="5">
        <v>250</v>
      </c>
      <c r="B33" s="24">
        <f t="shared" si="0"/>
        <v>4.166666666666667</v>
      </c>
      <c r="C33" s="5">
        <v>-1.0881000000000001</v>
      </c>
      <c r="D33" s="35">
        <f t="shared" si="1"/>
        <v>0.18600000000000083</v>
      </c>
      <c r="E33" s="5"/>
    </row>
    <row r="34" spans="1:5">
      <c r="A34" s="5">
        <v>260</v>
      </c>
      <c r="B34" s="24">
        <f t="shared" si="0"/>
        <v>4.333333333333333</v>
      </c>
      <c r="C34" s="5">
        <v>-1.1393</v>
      </c>
      <c r="D34" s="35">
        <f t="shared" si="1"/>
        <v>0.30719999999999947</v>
      </c>
      <c r="E34" s="5"/>
    </row>
    <row r="35" spans="1:5">
      <c r="A35" s="5">
        <v>270</v>
      </c>
      <c r="B35" s="24">
        <f t="shared" si="0"/>
        <v>4.5</v>
      </c>
      <c r="C35" s="5">
        <v>-1.1792</v>
      </c>
      <c r="D35" s="35">
        <f t="shared" si="1"/>
        <v>0.23940000000000028</v>
      </c>
      <c r="E35" s="5"/>
    </row>
    <row r="36" spans="1:5">
      <c r="A36" s="5">
        <v>280</v>
      </c>
      <c r="B36" s="24">
        <f t="shared" si="0"/>
        <v>4.666666666666667</v>
      </c>
      <c r="C36" s="5">
        <v>-1.2210000000000001</v>
      </c>
      <c r="D36" s="35">
        <f t="shared" si="1"/>
        <v>0.25080000000000036</v>
      </c>
      <c r="E36" s="5"/>
    </row>
    <row r="37" spans="1:5">
      <c r="A37" s="5">
        <v>290</v>
      </c>
      <c r="B37" s="24">
        <f t="shared" si="0"/>
        <v>4.833333333333333</v>
      </c>
      <c r="C37" s="5">
        <v>-1.2646999999999999</v>
      </c>
      <c r="D37" s="35">
        <f t="shared" si="1"/>
        <v>0.2621999999999991</v>
      </c>
      <c r="E37" s="5"/>
    </row>
    <row r="38" spans="1:5">
      <c r="A38" s="5">
        <v>300</v>
      </c>
      <c r="B38" s="24">
        <f t="shared" si="0"/>
        <v>5</v>
      </c>
      <c r="C38" s="5">
        <v>-1.3027</v>
      </c>
      <c r="D38" s="35">
        <f t="shared" si="1"/>
        <v>0.2280000000000002</v>
      </c>
      <c r="E38" s="5">
        <f>C32-C38</f>
        <v>0.24560000000000004</v>
      </c>
    </row>
    <row r="39" spans="1:5">
      <c r="A39" s="5">
        <v>310</v>
      </c>
      <c r="B39" s="24">
        <f t="shared" si="0"/>
        <v>5.166666666666667</v>
      </c>
      <c r="C39" s="5">
        <v>-1.3693</v>
      </c>
      <c r="D39" s="35">
        <f t="shared" si="1"/>
        <v>0.39959999999999996</v>
      </c>
      <c r="E39" s="5"/>
    </row>
    <row r="40" spans="1:5">
      <c r="A40" s="5">
        <v>320</v>
      </c>
      <c r="B40" s="24">
        <f t="shared" si="0"/>
        <v>5.333333333333333</v>
      </c>
      <c r="C40" s="5">
        <v>-1.4004000000000001</v>
      </c>
      <c r="D40" s="35">
        <f t="shared" si="1"/>
        <v>0.18660000000000077</v>
      </c>
      <c r="E40" s="5"/>
    </row>
    <row r="41" spans="1:5">
      <c r="A41" s="5">
        <v>330</v>
      </c>
      <c r="B41" s="24">
        <f t="shared" si="0"/>
        <v>5.5</v>
      </c>
      <c r="C41" s="5">
        <v>-1.4261999999999999</v>
      </c>
      <c r="D41" s="35">
        <f t="shared" si="1"/>
        <v>0.15479999999999894</v>
      </c>
      <c r="E41" s="5"/>
    </row>
    <row r="42" spans="1:5">
      <c r="A42" s="5">
        <v>340</v>
      </c>
      <c r="B42" s="24">
        <f t="shared" si="0"/>
        <v>5.666666666666667</v>
      </c>
      <c r="C42" s="5">
        <v>-1.4943</v>
      </c>
      <c r="D42" s="35">
        <f t="shared" si="1"/>
        <v>0.4086000000000003</v>
      </c>
      <c r="E42" s="5"/>
    </row>
    <row r="43" spans="1:5">
      <c r="A43" s="5">
        <v>350</v>
      </c>
      <c r="B43" s="24">
        <f t="shared" si="0"/>
        <v>5.833333333333333</v>
      </c>
      <c r="C43" s="5">
        <v>-1.5216000000000001</v>
      </c>
      <c r="D43" s="35">
        <f t="shared" si="1"/>
        <v>0.16380000000000061</v>
      </c>
      <c r="E43" s="5"/>
    </row>
    <row r="44" spans="1:5">
      <c r="A44" s="5">
        <v>360</v>
      </c>
      <c r="B44" s="24">
        <f t="shared" si="0"/>
        <v>6</v>
      </c>
      <c r="C44" s="5">
        <v>-1.5580000000000001</v>
      </c>
      <c r="D44" s="35">
        <f t="shared" si="1"/>
        <v>0.21839999999999993</v>
      </c>
      <c r="E44" s="5">
        <f>C38-C44</f>
        <v>0.25530000000000008</v>
      </c>
    </row>
    <row r="45" spans="1:5">
      <c r="A45" s="5">
        <v>370</v>
      </c>
      <c r="B45" s="24">
        <f t="shared" si="0"/>
        <v>6.166666666666667</v>
      </c>
      <c r="C45" s="5">
        <v>-1.6484000000000001</v>
      </c>
      <c r="D45" s="35">
        <f t="shared" si="1"/>
        <v>0.54240000000000022</v>
      </c>
      <c r="E45" s="5"/>
    </row>
    <row r="46" spans="1:5">
      <c r="A46" s="5">
        <v>380</v>
      </c>
      <c r="B46" s="24">
        <f t="shared" si="0"/>
        <v>6.333333333333333</v>
      </c>
      <c r="C46" s="5">
        <v>-1.6556</v>
      </c>
      <c r="D46" s="140">
        <f t="shared" si="1"/>
        <v>4.3199999999999239E-2</v>
      </c>
      <c r="E46" s="5"/>
    </row>
    <row r="47" spans="1:5">
      <c r="A47" s="5">
        <v>390</v>
      </c>
      <c r="B47" s="24">
        <f t="shared" si="0"/>
        <v>6.5</v>
      </c>
      <c r="C47" s="5">
        <v>-1.7177</v>
      </c>
      <c r="D47" s="35">
        <f t="shared" si="1"/>
        <v>0.37260000000000026</v>
      </c>
      <c r="E47" s="5"/>
    </row>
    <row r="48" spans="1:5">
      <c r="A48" s="5">
        <v>400</v>
      </c>
      <c r="B48" s="24">
        <f t="shared" si="0"/>
        <v>6.666666666666667</v>
      </c>
      <c r="C48" s="5">
        <v>-1.7332000000000001</v>
      </c>
      <c r="D48" s="35">
        <f t="shared" si="1"/>
        <v>9.3000000000000416E-2</v>
      </c>
      <c r="E48" s="5"/>
    </row>
    <row r="49" spans="1:5">
      <c r="A49" s="5">
        <v>410</v>
      </c>
      <c r="B49" s="24">
        <f t="shared" si="0"/>
        <v>6.833333333333333</v>
      </c>
      <c r="C49" s="5">
        <v>-1.7624</v>
      </c>
      <c r="D49" s="35">
        <f t="shared" si="1"/>
        <v>0.17519999999999936</v>
      </c>
      <c r="E49" s="5"/>
    </row>
    <row r="50" spans="1:5">
      <c r="A50" s="5">
        <v>420</v>
      </c>
      <c r="B50" s="24">
        <f t="shared" si="0"/>
        <v>7</v>
      </c>
      <c r="C50" s="5">
        <v>-1.8002</v>
      </c>
      <c r="D50" s="35">
        <f t="shared" si="1"/>
        <v>0.22680000000000033</v>
      </c>
      <c r="E50" s="5">
        <f>C44-C50</f>
        <v>0.24219999999999997</v>
      </c>
    </row>
    <row r="51" spans="1:5">
      <c r="A51" s="5">
        <v>430</v>
      </c>
      <c r="B51" s="24">
        <f t="shared" si="0"/>
        <v>7.166666666666667</v>
      </c>
      <c r="C51" s="5">
        <v>-1.8445</v>
      </c>
      <c r="D51" s="35">
        <f t="shared" si="1"/>
        <v>0.26580000000000004</v>
      </c>
      <c r="E51" s="5"/>
    </row>
    <row r="52" spans="1:5">
      <c r="A52" s="5">
        <v>440</v>
      </c>
      <c r="B52" s="24">
        <f t="shared" si="0"/>
        <v>7.333333333333333</v>
      </c>
      <c r="C52" s="5">
        <v>-1.8888</v>
      </c>
      <c r="D52" s="35">
        <f t="shared" si="1"/>
        <v>0.26580000000000004</v>
      </c>
      <c r="E52" s="5"/>
    </row>
    <row r="53" spans="1:5">
      <c r="A53" s="5">
        <v>450</v>
      </c>
      <c r="B53" s="24">
        <f t="shared" si="0"/>
        <v>7.5</v>
      </c>
      <c r="C53" s="5">
        <v>-1.9352</v>
      </c>
      <c r="D53" s="35">
        <f t="shared" si="1"/>
        <v>0.27839999999999998</v>
      </c>
      <c r="E53" s="5"/>
    </row>
    <row r="54" spans="1:5">
      <c r="A54" s="5">
        <v>460</v>
      </c>
      <c r="B54" s="24">
        <f t="shared" si="0"/>
        <v>7.666666666666667</v>
      </c>
      <c r="C54" s="5">
        <v>-1.9795</v>
      </c>
      <c r="D54" s="35">
        <f t="shared" si="1"/>
        <v>0.26580000000000004</v>
      </c>
      <c r="E54" s="5"/>
    </row>
    <row r="55" spans="1:5">
      <c r="A55" s="5">
        <v>470</v>
      </c>
      <c r="B55" s="24">
        <f t="shared" si="0"/>
        <v>7.833333333333333</v>
      </c>
      <c r="C55" s="5">
        <v>-2.0165999999999999</v>
      </c>
      <c r="D55" s="35">
        <f t="shared" si="1"/>
        <v>0.22259999999999946</v>
      </c>
      <c r="E55" s="5"/>
    </row>
    <row r="56" spans="1:5">
      <c r="A56" s="5">
        <v>480</v>
      </c>
      <c r="B56" s="24">
        <f t="shared" si="0"/>
        <v>8</v>
      </c>
      <c r="C56" s="5">
        <v>-2.0651000000000002</v>
      </c>
      <c r="D56" s="35">
        <f t="shared" si="1"/>
        <v>0.29100000000000126</v>
      </c>
      <c r="E56" s="5">
        <f>C50-C56</f>
        <v>0.26490000000000014</v>
      </c>
    </row>
    <row r="57" spans="1:5">
      <c r="A57" s="5">
        <v>490</v>
      </c>
      <c r="B57" s="24">
        <f t="shared" si="0"/>
        <v>8.1666666666666661</v>
      </c>
      <c r="C57" s="5">
        <v>-2.0987</v>
      </c>
      <c r="D57" s="35">
        <f t="shared" si="1"/>
        <v>0.20159999999999911</v>
      </c>
      <c r="E57" s="5"/>
    </row>
    <row r="58" spans="1:5">
      <c r="A58" s="5">
        <v>500</v>
      </c>
      <c r="B58" s="24">
        <f t="shared" si="0"/>
        <v>8.3333333333333339</v>
      </c>
      <c r="C58" s="5">
        <v>-2.1472000000000002</v>
      </c>
      <c r="D58" s="35">
        <f t="shared" si="1"/>
        <v>0.29100000000000126</v>
      </c>
      <c r="E58" s="5"/>
    </row>
    <row r="59" spans="1:5">
      <c r="A59" s="5">
        <v>510</v>
      </c>
      <c r="B59" s="24">
        <f t="shared" si="0"/>
        <v>8.5</v>
      </c>
      <c r="C59" s="5">
        <v>-2.1886000000000001</v>
      </c>
      <c r="D59" s="35">
        <f t="shared" si="1"/>
        <v>0.24839999999999929</v>
      </c>
      <c r="E59" s="5"/>
    </row>
    <row r="60" spans="1:5">
      <c r="A60" s="5">
        <v>520</v>
      </c>
      <c r="B60" s="24">
        <f t="shared" si="0"/>
        <v>8.6666666666666661</v>
      </c>
      <c r="C60" s="5">
        <v>-2.2305000000000001</v>
      </c>
      <c r="D60" s="35">
        <f t="shared" si="1"/>
        <v>0.25140000000000029</v>
      </c>
      <c r="E60" s="5"/>
    </row>
    <row r="61" spans="1:5">
      <c r="A61" s="5">
        <v>530</v>
      </c>
      <c r="B61" s="24">
        <f t="shared" si="0"/>
        <v>8.8333333333333339</v>
      </c>
      <c r="C61" s="5">
        <v>-2.2688999999999999</v>
      </c>
      <c r="D61" s="35">
        <f t="shared" si="1"/>
        <v>0.23039999999999861</v>
      </c>
      <c r="E61" s="5"/>
    </row>
    <row r="62" spans="1:5">
      <c r="A62" s="5">
        <v>540</v>
      </c>
      <c r="B62" s="24">
        <f t="shared" si="0"/>
        <v>9</v>
      </c>
      <c r="C62" s="5">
        <v>-2.3106</v>
      </c>
      <c r="D62" s="35">
        <f t="shared" si="1"/>
        <v>0.25020000000000042</v>
      </c>
      <c r="E62" s="5">
        <f>C56-C62</f>
        <v>0.24549999999999983</v>
      </c>
    </row>
    <row r="63" spans="1:5">
      <c r="A63" s="5">
        <v>550</v>
      </c>
      <c r="B63" s="24">
        <f t="shared" si="0"/>
        <v>9.1666666666666661</v>
      </c>
      <c r="C63" s="5">
        <v>-2.3574999999999999</v>
      </c>
      <c r="D63" s="35">
        <f t="shared" si="1"/>
        <v>0.28139999999999965</v>
      </c>
      <c r="E63" s="5"/>
    </row>
    <row r="64" spans="1:5">
      <c r="A64" s="5">
        <v>560</v>
      </c>
      <c r="B64" s="24">
        <f t="shared" si="0"/>
        <v>9.3333333333333339</v>
      </c>
      <c r="C64" s="5">
        <v>-2.4034</v>
      </c>
      <c r="D64" s="35">
        <f t="shared" si="1"/>
        <v>0.27540000000000031</v>
      </c>
      <c r="E64" s="5"/>
    </row>
    <row r="65" spans="1:5">
      <c r="A65" s="5">
        <v>570</v>
      </c>
      <c r="B65" s="24">
        <f t="shared" si="0"/>
        <v>9.5</v>
      </c>
      <c r="C65" s="5">
        <v>-2.4417</v>
      </c>
      <c r="D65" s="35">
        <f t="shared" si="1"/>
        <v>0.2298</v>
      </c>
      <c r="E65" s="5"/>
    </row>
    <row r="66" spans="1:5">
      <c r="A66" s="5">
        <v>580</v>
      </c>
      <c r="B66" s="24">
        <f t="shared" si="0"/>
        <v>9.6666666666666661</v>
      </c>
      <c r="C66" s="5">
        <v>-2.4857999999999998</v>
      </c>
      <c r="D66" s="35">
        <f t="shared" si="1"/>
        <v>0.26459999999999884</v>
      </c>
      <c r="E66" s="5"/>
    </row>
    <row r="67" spans="1:5">
      <c r="A67" s="5">
        <v>590</v>
      </c>
      <c r="B67" s="24">
        <f t="shared" si="0"/>
        <v>9.8333333333333339</v>
      </c>
      <c r="C67" s="5">
        <v>-2.5184000000000002</v>
      </c>
      <c r="D67" s="35">
        <f t="shared" si="1"/>
        <v>0.19560000000000244</v>
      </c>
      <c r="E67" s="5"/>
    </row>
    <row r="68" spans="1:5">
      <c r="A68" s="5">
        <v>600</v>
      </c>
      <c r="B68" s="24">
        <f t="shared" si="0"/>
        <v>10</v>
      </c>
      <c r="C68" s="5">
        <v>-2.5657999999999999</v>
      </c>
      <c r="D68" s="35">
        <f t="shared" si="1"/>
        <v>0.28439999999999799</v>
      </c>
      <c r="E68" s="5">
        <f>C62-C68</f>
        <v>0.25519999999999987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D4637-56C8-41A0-AC42-D72DF3374808}">
  <sheetPr>
    <tabColor rgb="FF00B050"/>
  </sheetPr>
  <dimension ref="B3:H14"/>
  <sheetViews>
    <sheetView workbookViewId="0">
      <selection activeCell="F24" sqref="F24"/>
    </sheetView>
  </sheetViews>
  <sheetFormatPr defaultRowHeight="15"/>
  <cols>
    <col min="2" max="2" width="24.42578125" bestFit="1" customWidth="1"/>
    <col min="3" max="3" width="14.28515625" bestFit="1" customWidth="1"/>
    <col min="4" max="4" width="21.5703125" bestFit="1" customWidth="1"/>
    <col min="5" max="5" width="12.85546875" bestFit="1" customWidth="1"/>
    <col min="6" max="6" width="26.85546875" bestFit="1" customWidth="1"/>
  </cols>
  <sheetData>
    <row r="3" spans="2:8">
      <c r="B3" s="5" t="s">
        <v>134</v>
      </c>
      <c r="C3" s="5" t="s">
        <v>133</v>
      </c>
      <c r="D3" s="5" t="s">
        <v>135</v>
      </c>
    </row>
    <row r="4" spans="2:8">
      <c r="B4" s="5">
        <v>502.38</v>
      </c>
      <c r="C4" s="41">
        <v>-3.8999999999999998E-3</v>
      </c>
      <c r="D4" s="41">
        <v>1.8E-3</v>
      </c>
    </row>
    <row r="5" spans="2:8">
      <c r="B5" s="5">
        <v>5001.2</v>
      </c>
      <c r="C5" s="41">
        <v>-1.1999999999999999E-3</v>
      </c>
      <c r="D5" s="41">
        <v>1.8E-3</v>
      </c>
    </row>
    <row r="6" spans="2:8">
      <c r="B6" s="5">
        <v>49911</v>
      </c>
      <c r="C6" s="41">
        <v>4.0000000000000001E-3</v>
      </c>
      <c r="D6" s="41">
        <v>1.9E-3</v>
      </c>
    </row>
    <row r="9" spans="2:8">
      <c r="B9" t="s">
        <v>137</v>
      </c>
      <c r="C9" t="s">
        <v>136</v>
      </c>
      <c r="D9" t="s">
        <v>158</v>
      </c>
      <c r="E9" t="s">
        <v>159</v>
      </c>
      <c r="F9" t="s">
        <v>158</v>
      </c>
      <c r="G9" t="s">
        <v>159</v>
      </c>
      <c r="H9" t="s">
        <v>160</v>
      </c>
    </row>
    <row r="10" spans="2:8">
      <c r="B10">
        <f>'[3]Total 10am'!$J$7</f>
        <v>2.2514699999999981</v>
      </c>
      <c r="C10" s="134">
        <f>B10+0.017*LN(B10)</f>
        <v>2.2652669167157442</v>
      </c>
      <c r="D10" s="40">
        <f>B10*SLOPE(D4:D6,B4:B6)+INTERCEPT(D4:D6,B4:B6)</f>
        <v>1.7944351619183002E-3</v>
      </c>
      <c r="E10" s="133">
        <f>'[3]Total 10am'!$J$8/'[3]Total 10am'!$J$7</f>
        <v>8.6779788294547629E-4</v>
      </c>
      <c r="F10">
        <f>$C$10*D10</f>
        <v>4.0648746064849851E-3</v>
      </c>
      <c r="G10">
        <f>$C$10*E10</f>
        <v>1.9657938346323493E-3</v>
      </c>
      <c r="H10" s="44">
        <f>SQRT(F10^2+G10^2)</f>
        <v>4.5152575747929389E-3</v>
      </c>
    </row>
    <row r="11" spans="2:8">
      <c r="B11">
        <f>'[3]Waste 1pm'!$J$7</f>
        <v>2.0264823529411764</v>
      </c>
      <c r="C11" s="134">
        <f>B11+0.017*LN(B11)</f>
        <v>2.0384894777425075</v>
      </c>
      <c r="D11" s="40">
        <f>B11*SLOPE(D4:D6,B4:B6)+INTERCEPT(D4:D6,B4:B6)</f>
        <v>1.79443468807144E-3</v>
      </c>
      <c r="E11" s="133">
        <f>'[3]Waste 1pm'!$J$8/'[3]Waste 1pm'!$J$7</f>
        <v>2.2590061118101063E-4</v>
      </c>
      <c r="F11">
        <f>C11*D11</f>
        <v>3.657936230129789E-3</v>
      </c>
      <c r="G11">
        <f>$C$11*E11</f>
        <v>4.6049601890809164E-4</v>
      </c>
      <c r="H11" s="44">
        <f>SQRT(F11^2+G11^2)</f>
        <v>3.6868081109716483E-3</v>
      </c>
    </row>
    <row r="13" spans="2:8">
      <c r="H13" s="133">
        <f>H10/C10</f>
        <v>1.9932563096534787E-3</v>
      </c>
    </row>
    <row r="14" spans="2:8">
      <c r="H14" s="133">
        <f>H11/C11</f>
        <v>1.808598058133979E-3</v>
      </c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Exch.Document.DC" dvAspect="DVASPECT_ICON" shapeId="8195" r:id="rId4">
          <objectPr defaultSize="0" r:id="rId5">
            <anchor moveWithCells="1">
              <from>
                <xdr:col>5</xdr:col>
                <xdr:colOff>57150</xdr:colOff>
                <xdr:row>2</xdr:row>
                <xdr:rowOff>114300</xdr:rowOff>
              </from>
              <to>
                <xdr:col>5</xdr:col>
                <xdr:colOff>971550</xdr:colOff>
                <xdr:row>6</xdr:row>
                <xdr:rowOff>38100</xdr:rowOff>
              </to>
            </anchor>
          </objectPr>
        </oleObject>
      </mc:Choice>
      <mc:Fallback>
        <oleObject progId="AcroExch.Document.DC" dvAspect="DVASPECT_ICON" shapeId="819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ECB32-3FE9-4C58-B6C7-FF36EC4A697F}">
  <sheetPr>
    <tabColor rgb="FF00B050"/>
  </sheetPr>
  <dimension ref="B1:V34"/>
  <sheetViews>
    <sheetView zoomScale="80" zoomScaleNormal="80" workbookViewId="0">
      <selection activeCell="I32" sqref="I32"/>
    </sheetView>
  </sheetViews>
  <sheetFormatPr defaultRowHeight="15"/>
  <cols>
    <col min="2" max="2" width="35.140625" bestFit="1" customWidth="1"/>
    <col min="3" max="3" width="33.7109375" bestFit="1" customWidth="1"/>
    <col min="4" max="4" width="12" bestFit="1" customWidth="1"/>
    <col min="5" max="5" width="7.5703125" bestFit="1" customWidth="1"/>
    <col min="6" max="6" width="12.5703125" bestFit="1" customWidth="1"/>
    <col min="7" max="7" width="25" bestFit="1" customWidth="1"/>
    <col min="8" max="8" width="22.7109375" bestFit="1" customWidth="1"/>
    <col min="9" max="14" width="18.140625" bestFit="1" customWidth="1"/>
    <col min="15" max="16" width="25" bestFit="1" customWidth="1"/>
    <col min="17" max="17" width="24.5703125" bestFit="1" customWidth="1"/>
    <col min="18" max="21" width="25" bestFit="1" customWidth="1"/>
  </cols>
  <sheetData>
    <row r="1" spans="2:21">
      <c r="B1" s="18" t="s">
        <v>16</v>
      </c>
      <c r="C1" s="153" t="s">
        <v>0</v>
      </c>
      <c r="D1" s="155" t="s">
        <v>85</v>
      </c>
      <c r="E1" s="147" t="s">
        <v>1</v>
      </c>
      <c r="F1" s="147" t="s">
        <v>2</v>
      </c>
      <c r="G1" s="147" t="s">
        <v>3</v>
      </c>
    </row>
    <row r="2" spans="2:21">
      <c r="B2" s="19"/>
      <c r="C2" s="154"/>
      <c r="D2" s="156"/>
      <c r="E2" s="148"/>
      <c r="F2" s="148"/>
      <c r="G2" s="148"/>
      <c r="H2" s="8" t="s">
        <v>36</v>
      </c>
      <c r="I2" s="8" t="s">
        <v>37</v>
      </c>
      <c r="J2" s="8" t="s">
        <v>38</v>
      </c>
      <c r="K2" s="8" t="s">
        <v>39</v>
      </c>
      <c r="L2" s="8" t="s">
        <v>40</v>
      </c>
      <c r="M2" s="8" t="s">
        <v>41</v>
      </c>
      <c r="N2" s="8" t="s">
        <v>42</v>
      </c>
      <c r="O2" s="8" t="s">
        <v>115</v>
      </c>
      <c r="P2" s="8" t="s">
        <v>108</v>
      </c>
      <c r="Q2" s="8" t="s">
        <v>113</v>
      </c>
      <c r="R2" s="8" t="s">
        <v>109</v>
      </c>
      <c r="S2" s="8" t="s">
        <v>110</v>
      </c>
      <c r="T2" s="8" t="s">
        <v>111</v>
      </c>
      <c r="U2" s="8" t="s">
        <v>112</v>
      </c>
    </row>
    <row r="3" spans="2:21">
      <c r="B3" s="6" t="s">
        <v>19</v>
      </c>
      <c r="C3" s="8" t="s">
        <v>36</v>
      </c>
      <c r="D3" s="9" t="s">
        <v>87</v>
      </c>
      <c r="E3" s="5" t="s">
        <v>43</v>
      </c>
      <c r="F3" s="17">
        <v>195.96583000000001</v>
      </c>
      <c r="G3" s="5">
        <v>2.0000000000000002E-5</v>
      </c>
      <c r="H3" s="30">
        <f>$F3+$G3</f>
        <v>195.96585000000002</v>
      </c>
      <c r="I3">
        <f t="shared" ref="H3:U16" si="0">$F3</f>
        <v>195.96583000000001</v>
      </c>
      <c r="J3">
        <f t="shared" si="0"/>
        <v>195.96583000000001</v>
      </c>
      <c r="K3">
        <f t="shared" si="0"/>
        <v>195.96583000000001</v>
      </c>
      <c r="L3">
        <f t="shared" si="0"/>
        <v>195.96583000000001</v>
      </c>
      <c r="M3">
        <f t="shared" si="0"/>
        <v>195.96583000000001</v>
      </c>
      <c r="N3">
        <f t="shared" si="0"/>
        <v>195.96583000000001</v>
      </c>
      <c r="O3">
        <f t="shared" si="0"/>
        <v>195.96583000000001</v>
      </c>
      <c r="P3">
        <f t="shared" si="0"/>
        <v>195.96583000000001</v>
      </c>
      <c r="Q3">
        <f t="shared" si="0"/>
        <v>195.96583000000001</v>
      </c>
      <c r="R3">
        <f t="shared" si="0"/>
        <v>195.96583000000001</v>
      </c>
      <c r="S3">
        <f t="shared" si="0"/>
        <v>195.96583000000001</v>
      </c>
      <c r="T3">
        <f t="shared" si="0"/>
        <v>195.96583000000001</v>
      </c>
      <c r="U3">
        <f t="shared" si="0"/>
        <v>195.96583000000001</v>
      </c>
    </row>
    <row r="4" spans="2:21">
      <c r="B4" s="6" t="s">
        <v>19</v>
      </c>
      <c r="C4" s="8" t="s">
        <v>37</v>
      </c>
      <c r="D4" s="9" t="s">
        <v>88</v>
      </c>
      <c r="E4" s="5" t="s">
        <v>43</v>
      </c>
      <c r="F4" s="17">
        <v>197.966769</v>
      </c>
      <c r="G4" s="5">
        <v>3.0000000000000001E-6</v>
      </c>
      <c r="H4">
        <f t="shared" si="0"/>
        <v>197.966769</v>
      </c>
      <c r="I4" s="30">
        <f>$F4+$G4</f>
        <v>197.96677199999999</v>
      </c>
      <c r="J4">
        <f t="shared" si="0"/>
        <v>197.966769</v>
      </c>
      <c r="K4">
        <f t="shared" si="0"/>
        <v>197.966769</v>
      </c>
      <c r="L4">
        <f t="shared" si="0"/>
        <v>197.966769</v>
      </c>
      <c r="M4">
        <f t="shared" si="0"/>
        <v>197.966769</v>
      </c>
      <c r="N4">
        <f t="shared" si="0"/>
        <v>197.966769</v>
      </c>
      <c r="O4">
        <f t="shared" si="0"/>
        <v>197.966769</v>
      </c>
      <c r="P4">
        <f t="shared" si="0"/>
        <v>197.966769</v>
      </c>
      <c r="Q4">
        <f t="shared" si="0"/>
        <v>197.966769</v>
      </c>
      <c r="R4">
        <f t="shared" si="0"/>
        <v>197.966769</v>
      </c>
      <c r="S4">
        <f t="shared" si="0"/>
        <v>197.966769</v>
      </c>
      <c r="T4">
        <f t="shared" si="0"/>
        <v>197.966769</v>
      </c>
      <c r="U4">
        <f t="shared" si="0"/>
        <v>197.966769</v>
      </c>
    </row>
    <row r="5" spans="2:21">
      <c r="B5" s="6" t="s">
        <v>19</v>
      </c>
      <c r="C5" s="8" t="s">
        <v>38</v>
      </c>
      <c r="D5" s="9" t="s">
        <v>89</v>
      </c>
      <c r="E5" s="5" t="s">
        <v>43</v>
      </c>
      <c r="F5" s="17">
        <v>198.96828099999999</v>
      </c>
      <c r="G5" s="5">
        <v>3.9999999999999998E-6</v>
      </c>
      <c r="H5">
        <f t="shared" si="0"/>
        <v>198.96828099999999</v>
      </c>
      <c r="I5">
        <f t="shared" si="0"/>
        <v>198.96828099999999</v>
      </c>
      <c r="J5" s="30">
        <f>$F5+$G5</f>
        <v>198.96828499999998</v>
      </c>
      <c r="K5">
        <f t="shared" si="0"/>
        <v>198.96828099999999</v>
      </c>
      <c r="L5">
        <f t="shared" si="0"/>
        <v>198.96828099999999</v>
      </c>
      <c r="M5">
        <f t="shared" si="0"/>
        <v>198.96828099999999</v>
      </c>
      <c r="N5">
        <f t="shared" si="0"/>
        <v>198.96828099999999</v>
      </c>
      <c r="O5">
        <f t="shared" si="0"/>
        <v>198.96828099999999</v>
      </c>
      <c r="P5">
        <f t="shared" si="0"/>
        <v>198.96828099999999</v>
      </c>
      <c r="Q5">
        <f t="shared" si="0"/>
        <v>198.96828099999999</v>
      </c>
      <c r="R5">
        <f t="shared" si="0"/>
        <v>198.96828099999999</v>
      </c>
      <c r="S5">
        <f t="shared" si="0"/>
        <v>198.96828099999999</v>
      </c>
      <c r="T5">
        <f t="shared" si="0"/>
        <v>198.96828099999999</v>
      </c>
      <c r="U5">
        <f t="shared" si="0"/>
        <v>198.96828099999999</v>
      </c>
    </row>
    <row r="6" spans="2:21">
      <c r="B6" s="6" t="s">
        <v>19</v>
      </c>
      <c r="C6" s="8" t="s">
        <v>39</v>
      </c>
      <c r="D6" s="9" t="s">
        <v>90</v>
      </c>
      <c r="E6" s="5" t="s">
        <v>43</v>
      </c>
      <c r="F6" s="17">
        <v>199.96832699999999</v>
      </c>
      <c r="G6" s="5">
        <v>3.9999999999999998E-6</v>
      </c>
      <c r="H6">
        <f t="shared" si="0"/>
        <v>199.96832699999999</v>
      </c>
      <c r="I6">
        <f t="shared" si="0"/>
        <v>199.96832699999999</v>
      </c>
      <c r="J6">
        <f t="shared" si="0"/>
        <v>199.96832699999999</v>
      </c>
      <c r="K6" s="30">
        <f>$F6+$G6</f>
        <v>199.96833099999998</v>
      </c>
      <c r="L6">
        <f t="shared" si="0"/>
        <v>199.96832699999999</v>
      </c>
      <c r="M6">
        <f t="shared" si="0"/>
        <v>199.96832699999999</v>
      </c>
      <c r="N6">
        <f t="shared" si="0"/>
        <v>199.96832699999999</v>
      </c>
      <c r="O6">
        <f t="shared" si="0"/>
        <v>199.96832699999999</v>
      </c>
      <c r="P6">
        <f t="shared" si="0"/>
        <v>199.96832699999999</v>
      </c>
      <c r="Q6">
        <f t="shared" si="0"/>
        <v>199.96832699999999</v>
      </c>
      <c r="R6">
        <f t="shared" si="0"/>
        <v>199.96832699999999</v>
      </c>
      <c r="S6">
        <f t="shared" si="0"/>
        <v>199.96832699999999</v>
      </c>
      <c r="T6">
        <f t="shared" si="0"/>
        <v>199.96832699999999</v>
      </c>
      <c r="U6">
        <f t="shared" si="0"/>
        <v>199.96832699999999</v>
      </c>
    </row>
    <row r="7" spans="2:21">
      <c r="B7" s="6" t="s">
        <v>19</v>
      </c>
      <c r="C7" s="8" t="s">
        <v>40</v>
      </c>
      <c r="D7" s="9" t="s">
        <v>91</v>
      </c>
      <c r="E7" s="5" t="s">
        <v>43</v>
      </c>
      <c r="F7" s="17">
        <v>200.970303</v>
      </c>
      <c r="G7" s="5">
        <v>5.0000000000000004E-6</v>
      </c>
      <c r="H7">
        <f t="shared" si="0"/>
        <v>200.970303</v>
      </c>
      <c r="I7">
        <f t="shared" si="0"/>
        <v>200.970303</v>
      </c>
      <c r="J7">
        <f t="shared" si="0"/>
        <v>200.970303</v>
      </c>
      <c r="K7">
        <f t="shared" si="0"/>
        <v>200.970303</v>
      </c>
      <c r="L7" s="30">
        <f>$F7+$G7</f>
        <v>200.97030799999999</v>
      </c>
      <c r="M7">
        <f t="shared" si="0"/>
        <v>200.970303</v>
      </c>
      <c r="N7">
        <f t="shared" si="0"/>
        <v>200.970303</v>
      </c>
      <c r="O7">
        <f t="shared" si="0"/>
        <v>200.970303</v>
      </c>
      <c r="P7">
        <f t="shared" si="0"/>
        <v>200.970303</v>
      </c>
      <c r="Q7">
        <f t="shared" si="0"/>
        <v>200.970303</v>
      </c>
      <c r="R7">
        <f t="shared" si="0"/>
        <v>200.970303</v>
      </c>
      <c r="S7">
        <f t="shared" si="0"/>
        <v>200.970303</v>
      </c>
      <c r="T7">
        <f t="shared" si="0"/>
        <v>200.970303</v>
      </c>
      <c r="U7">
        <f t="shared" si="0"/>
        <v>200.970303</v>
      </c>
    </row>
    <row r="8" spans="2:21">
      <c r="B8" s="6" t="s">
        <v>19</v>
      </c>
      <c r="C8" s="8" t="s">
        <v>41</v>
      </c>
      <c r="D8" s="9" t="s">
        <v>92</v>
      </c>
      <c r="E8" s="5" t="s">
        <v>43</v>
      </c>
      <c r="F8" s="17">
        <v>201.97064399999999</v>
      </c>
      <c r="G8" s="5">
        <v>5.0000000000000004E-6</v>
      </c>
      <c r="H8">
        <f t="shared" si="0"/>
        <v>201.97064399999999</v>
      </c>
      <c r="I8">
        <f t="shared" si="0"/>
        <v>201.97064399999999</v>
      </c>
      <c r="J8">
        <f t="shared" si="0"/>
        <v>201.97064399999999</v>
      </c>
      <c r="K8">
        <f t="shared" si="0"/>
        <v>201.97064399999999</v>
      </c>
      <c r="L8">
        <f t="shared" si="0"/>
        <v>201.97064399999999</v>
      </c>
      <c r="M8" s="30">
        <f>$F8+$G8</f>
        <v>201.97064899999998</v>
      </c>
      <c r="N8">
        <f t="shared" si="0"/>
        <v>201.97064399999999</v>
      </c>
      <c r="O8">
        <f t="shared" si="0"/>
        <v>201.97064399999999</v>
      </c>
      <c r="P8">
        <f t="shared" si="0"/>
        <v>201.97064399999999</v>
      </c>
      <c r="Q8">
        <f t="shared" si="0"/>
        <v>201.97064399999999</v>
      </c>
      <c r="R8">
        <f t="shared" si="0"/>
        <v>201.97064399999999</v>
      </c>
      <c r="S8">
        <f t="shared" si="0"/>
        <v>201.97064399999999</v>
      </c>
      <c r="T8">
        <f t="shared" si="0"/>
        <v>201.97064399999999</v>
      </c>
      <c r="U8">
        <f t="shared" si="0"/>
        <v>201.97064399999999</v>
      </c>
    </row>
    <row r="9" spans="2:21">
      <c r="B9" s="6" t="s">
        <v>19</v>
      </c>
      <c r="C9" s="8" t="s">
        <v>42</v>
      </c>
      <c r="D9" s="9" t="s">
        <v>93</v>
      </c>
      <c r="E9" s="5" t="s">
        <v>43</v>
      </c>
      <c r="F9" s="17">
        <v>203.97349399999999</v>
      </c>
      <c r="G9" s="5">
        <v>3.0000000000000001E-6</v>
      </c>
      <c r="H9">
        <f t="shared" si="0"/>
        <v>203.97349399999999</v>
      </c>
      <c r="I9">
        <f t="shared" si="0"/>
        <v>203.97349399999999</v>
      </c>
      <c r="J9">
        <f t="shared" si="0"/>
        <v>203.97349399999999</v>
      </c>
      <c r="K9">
        <f t="shared" si="0"/>
        <v>203.97349399999999</v>
      </c>
      <c r="L9">
        <f t="shared" si="0"/>
        <v>203.97349399999999</v>
      </c>
      <c r="M9">
        <f t="shared" si="0"/>
        <v>203.97349399999999</v>
      </c>
      <c r="N9" s="30">
        <f>$F9+$G9</f>
        <v>203.97349699999998</v>
      </c>
      <c r="O9">
        <f t="shared" si="0"/>
        <v>203.97349399999999</v>
      </c>
      <c r="P9">
        <f t="shared" si="0"/>
        <v>203.97349399999999</v>
      </c>
      <c r="Q9">
        <f t="shared" si="0"/>
        <v>203.97349399999999</v>
      </c>
      <c r="R9">
        <f t="shared" si="0"/>
        <v>203.97349399999999</v>
      </c>
      <c r="S9">
        <f t="shared" si="0"/>
        <v>203.97349399999999</v>
      </c>
      <c r="T9">
        <f t="shared" si="0"/>
        <v>203.97349399999999</v>
      </c>
      <c r="U9">
        <f t="shared" si="0"/>
        <v>203.97349399999999</v>
      </c>
    </row>
    <row r="10" spans="2:21">
      <c r="B10" s="6" t="s">
        <v>11</v>
      </c>
      <c r="C10" s="8" t="s">
        <v>115</v>
      </c>
      <c r="D10" s="9" t="s">
        <v>118</v>
      </c>
      <c r="E10" s="5" t="s">
        <v>67</v>
      </c>
      <c r="F10" s="5">
        <v>0.02</v>
      </c>
      <c r="G10" s="5">
        <v>0.02</v>
      </c>
      <c r="H10">
        <f t="shared" si="0"/>
        <v>0.02</v>
      </c>
      <c r="I10">
        <f t="shared" si="0"/>
        <v>0.02</v>
      </c>
      <c r="J10">
        <f t="shared" si="0"/>
        <v>0.02</v>
      </c>
      <c r="K10">
        <f t="shared" si="0"/>
        <v>0.02</v>
      </c>
      <c r="L10">
        <f t="shared" si="0"/>
        <v>0.02</v>
      </c>
      <c r="M10">
        <f t="shared" si="0"/>
        <v>0.02</v>
      </c>
      <c r="N10">
        <f t="shared" si="0"/>
        <v>0.02</v>
      </c>
      <c r="O10" s="30">
        <f>$F10+$G10</f>
        <v>0.04</v>
      </c>
      <c r="P10">
        <f t="shared" si="0"/>
        <v>0.02</v>
      </c>
      <c r="Q10">
        <f t="shared" si="0"/>
        <v>0.02</v>
      </c>
      <c r="R10">
        <f t="shared" si="0"/>
        <v>0.02</v>
      </c>
      <c r="S10">
        <f t="shared" si="0"/>
        <v>0.02</v>
      </c>
      <c r="T10">
        <f t="shared" si="0"/>
        <v>0.02</v>
      </c>
      <c r="U10">
        <f t="shared" si="0"/>
        <v>0.02</v>
      </c>
    </row>
    <row r="11" spans="2:21">
      <c r="B11" s="6" t="s">
        <v>11</v>
      </c>
      <c r="C11" s="8" t="s">
        <v>108</v>
      </c>
      <c r="D11" s="9" t="s">
        <v>119</v>
      </c>
      <c r="E11" s="5" t="s">
        <v>67</v>
      </c>
      <c r="F11" s="5">
        <v>1.63</v>
      </c>
      <c r="G11" s="5">
        <v>0.02</v>
      </c>
      <c r="H11">
        <f t="shared" si="0"/>
        <v>1.63</v>
      </c>
      <c r="I11">
        <f t="shared" si="0"/>
        <v>1.63</v>
      </c>
      <c r="J11">
        <f t="shared" si="0"/>
        <v>1.63</v>
      </c>
      <c r="K11">
        <f t="shared" si="0"/>
        <v>1.63</v>
      </c>
      <c r="L11">
        <f t="shared" si="0"/>
        <v>1.63</v>
      </c>
      <c r="M11">
        <f t="shared" si="0"/>
        <v>1.63</v>
      </c>
      <c r="N11">
        <f t="shared" si="0"/>
        <v>1.63</v>
      </c>
      <c r="O11">
        <f t="shared" si="0"/>
        <v>1.63</v>
      </c>
      <c r="P11" s="30">
        <f>$F11+$G11</f>
        <v>1.65</v>
      </c>
      <c r="Q11">
        <f t="shared" si="0"/>
        <v>1.63</v>
      </c>
      <c r="R11">
        <f t="shared" si="0"/>
        <v>1.63</v>
      </c>
      <c r="S11">
        <f t="shared" si="0"/>
        <v>1.63</v>
      </c>
      <c r="T11">
        <f t="shared" si="0"/>
        <v>1.63</v>
      </c>
      <c r="U11">
        <f t="shared" si="0"/>
        <v>1.63</v>
      </c>
    </row>
    <row r="12" spans="2:21">
      <c r="B12" s="6" t="s">
        <v>11</v>
      </c>
      <c r="C12" s="8" t="s">
        <v>113</v>
      </c>
      <c r="D12" s="9" t="s">
        <v>117</v>
      </c>
      <c r="E12" s="5" t="s">
        <v>67</v>
      </c>
      <c r="F12" s="5">
        <v>91.95</v>
      </c>
      <c r="G12" s="5">
        <v>0.05</v>
      </c>
      <c r="H12">
        <f t="shared" si="0"/>
        <v>91.95</v>
      </c>
      <c r="I12">
        <f t="shared" si="0"/>
        <v>91.95</v>
      </c>
      <c r="J12">
        <f t="shared" si="0"/>
        <v>91.95</v>
      </c>
      <c r="K12">
        <f t="shared" si="0"/>
        <v>91.95</v>
      </c>
      <c r="L12">
        <f t="shared" si="0"/>
        <v>91.95</v>
      </c>
      <c r="M12">
        <f t="shared" si="0"/>
        <v>91.95</v>
      </c>
      <c r="N12">
        <f t="shared" si="0"/>
        <v>91.95</v>
      </c>
      <c r="O12">
        <f t="shared" si="0"/>
        <v>91.95</v>
      </c>
      <c r="P12">
        <f t="shared" si="0"/>
        <v>91.95</v>
      </c>
      <c r="Q12" s="30">
        <f>$F12+$G12</f>
        <v>92</v>
      </c>
      <c r="R12">
        <f t="shared" si="0"/>
        <v>91.95</v>
      </c>
      <c r="S12">
        <f t="shared" si="0"/>
        <v>91.95</v>
      </c>
      <c r="T12">
        <f t="shared" si="0"/>
        <v>91.95</v>
      </c>
      <c r="U12">
        <f t="shared" si="0"/>
        <v>91.95</v>
      </c>
    </row>
    <row r="13" spans="2:21">
      <c r="B13" s="6" t="s">
        <v>11</v>
      </c>
      <c r="C13" s="8" t="s">
        <v>109</v>
      </c>
      <c r="D13" s="9" t="s">
        <v>120</v>
      </c>
      <c r="E13" s="5" t="s">
        <v>67</v>
      </c>
      <c r="F13" s="5">
        <v>4.92</v>
      </c>
      <c r="G13" s="5">
        <v>0.03</v>
      </c>
      <c r="H13">
        <f t="shared" si="0"/>
        <v>4.92</v>
      </c>
      <c r="I13">
        <f t="shared" si="0"/>
        <v>4.92</v>
      </c>
      <c r="J13">
        <f t="shared" si="0"/>
        <v>4.92</v>
      </c>
      <c r="K13">
        <f t="shared" si="0"/>
        <v>4.92</v>
      </c>
      <c r="L13">
        <f t="shared" si="0"/>
        <v>4.92</v>
      </c>
      <c r="M13">
        <f t="shared" si="0"/>
        <v>4.92</v>
      </c>
      <c r="N13">
        <f t="shared" si="0"/>
        <v>4.92</v>
      </c>
      <c r="O13">
        <f t="shared" si="0"/>
        <v>4.92</v>
      </c>
      <c r="P13">
        <f t="shared" si="0"/>
        <v>4.92</v>
      </c>
      <c r="Q13">
        <f t="shared" si="0"/>
        <v>4.92</v>
      </c>
      <c r="R13" s="30">
        <f>$F13+$G13</f>
        <v>4.95</v>
      </c>
      <c r="S13">
        <f t="shared" si="0"/>
        <v>4.92</v>
      </c>
      <c r="T13">
        <f t="shared" si="0"/>
        <v>4.92</v>
      </c>
      <c r="U13">
        <f t="shared" si="0"/>
        <v>4.92</v>
      </c>
    </row>
    <row r="14" spans="2:21">
      <c r="B14" s="6" t="s">
        <v>11</v>
      </c>
      <c r="C14" s="8" t="s">
        <v>110</v>
      </c>
      <c r="D14" s="9" t="s">
        <v>121</v>
      </c>
      <c r="E14" s="5" t="s">
        <v>67</v>
      </c>
      <c r="F14" s="5">
        <v>0.66</v>
      </c>
      <c r="G14" s="5">
        <v>0.01</v>
      </c>
      <c r="H14">
        <f t="shared" si="0"/>
        <v>0.66</v>
      </c>
      <c r="I14">
        <f t="shared" si="0"/>
        <v>0.66</v>
      </c>
      <c r="J14">
        <f t="shared" si="0"/>
        <v>0.66</v>
      </c>
      <c r="K14">
        <f t="shared" si="0"/>
        <v>0.66</v>
      </c>
      <c r="L14">
        <f t="shared" si="0"/>
        <v>0.66</v>
      </c>
      <c r="M14">
        <f t="shared" si="0"/>
        <v>0.66</v>
      </c>
      <c r="N14">
        <f t="shared" si="0"/>
        <v>0.66</v>
      </c>
      <c r="O14">
        <f t="shared" si="0"/>
        <v>0.66</v>
      </c>
      <c r="P14">
        <f t="shared" si="0"/>
        <v>0.66</v>
      </c>
      <c r="Q14">
        <f t="shared" si="0"/>
        <v>0.66</v>
      </c>
      <c r="R14">
        <f t="shared" si="0"/>
        <v>0.66</v>
      </c>
      <c r="S14" s="30">
        <f>$F14+$G14</f>
        <v>0.67</v>
      </c>
      <c r="T14">
        <f t="shared" si="0"/>
        <v>0.66</v>
      </c>
      <c r="U14">
        <f t="shared" si="0"/>
        <v>0.66</v>
      </c>
    </row>
    <row r="15" spans="2:21">
      <c r="B15" s="6" t="s">
        <v>11</v>
      </c>
      <c r="C15" s="8" t="s">
        <v>111</v>
      </c>
      <c r="D15" s="9" t="s">
        <v>122</v>
      </c>
      <c r="E15" s="5" t="s">
        <v>67</v>
      </c>
      <c r="F15" s="5">
        <v>0.73</v>
      </c>
      <c r="G15" s="5">
        <v>0.01</v>
      </c>
      <c r="H15">
        <f t="shared" si="0"/>
        <v>0.73</v>
      </c>
      <c r="I15">
        <f t="shared" si="0"/>
        <v>0.73</v>
      </c>
      <c r="J15">
        <f t="shared" si="0"/>
        <v>0.73</v>
      </c>
      <c r="K15">
        <f t="shared" si="0"/>
        <v>0.73</v>
      </c>
      <c r="L15">
        <f t="shared" si="0"/>
        <v>0.73</v>
      </c>
      <c r="M15">
        <f t="shared" si="0"/>
        <v>0.73</v>
      </c>
      <c r="N15">
        <f t="shared" si="0"/>
        <v>0.73</v>
      </c>
      <c r="O15">
        <f t="shared" si="0"/>
        <v>0.73</v>
      </c>
      <c r="P15">
        <f t="shared" si="0"/>
        <v>0.73</v>
      </c>
      <c r="Q15">
        <f t="shared" si="0"/>
        <v>0.73</v>
      </c>
      <c r="R15">
        <f t="shared" si="0"/>
        <v>0.73</v>
      </c>
      <c r="S15">
        <f t="shared" si="0"/>
        <v>0.73</v>
      </c>
      <c r="T15" s="30">
        <f>$F15+$G15</f>
        <v>0.74</v>
      </c>
      <c r="U15">
        <f t="shared" si="0"/>
        <v>0.73</v>
      </c>
    </row>
    <row r="16" spans="2:21">
      <c r="B16" s="6" t="s">
        <v>11</v>
      </c>
      <c r="C16" s="8" t="s">
        <v>112</v>
      </c>
      <c r="D16" s="9" t="s">
        <v>123</v>
      </c>
      <c r="E16" s="5" t="s">
        <v>67</v>
      </c>
      <c r="F16" s="5">
        <v>0.11</v>
      </c>
      <c r="G16" s="5">
        <v>0.01</v>
      </c>
      <c r="H16">
        <f t="shared" si="0"/>
        <v>0.11</v>
      </c>
      <c r="I16">
        <f t="shared" si="0"/>
        <v>0.11</v>
      </c>
      <c r="J16">
        <f t="shared" si="0"/>
        <v>0.11</v>
      </c>
      <c r="K16">
        <f t="shared" si="0"/>
        <v>0.11</v>
      </c>
      <c r="L16">
        <f t="shared" si="0"/>
        <v>0.11</v>
      </c>
      <c r="M16">
        <f t="shared" si="0"/>
        <v>0.11</v>
      </c>
      <c r="N16">
        <f t="shared" si="0"/>
        <v>0.11</v>
      </c>
      <c r="O16">
        <f t="shared" si="0"/>
        <v>0.11</v>
      </c>
      <c r="P16">
        <f t="shared" si="0"/>
        <v>0.11</v>
      </c>
      <c r="Q16">
        <f t="shared" si="0"/>
        <v>0.11</v>
      </c>
      <c r="R16">
        <f t="shared" si="0"/>
        <v>0.11</v>
      </c>
      <c r="S16">
        <f t="shared" si="0"/>
        <v>0.11</v>
      </c>
      <c r="T16">
        <f t="shared" si="0"/>
        <v>0.11</v>
      </c>
      <c r="U16" s="30">
        <f>$F16+$G16</f>
        <v>0.12</v>
      </c>
    </row>
    <row r="17" spans="2:22" s="16" customFormat="1">
      <c r="B17" s="14" t="s">
        <v>17</v>
      </c>
      <c r="C17" s="12" t="s">
        <v>6</v>
      </c>
      <c r="D17" s="13" t="s">
        <v>124</v>
      </c>
      <c r="E17" s="14" t="s">
        <v>5</v>
      </c>
      <c r="F17" s="15">
        <f>(F3*F10+F4*F11+F5*F12+F6*F13+F7*F14+F8*F15+F9*F16)/100</f>
        <v>199.08098811300002</v>
      </c>
      <c r="G17" s="15">
        <f>SQRT(SUM(H20:U20))</f>
        <v>0.1335198708541501</v>
      </c>
      <c r="H17" s="15">
        <f t="shared" ref="H17:U17" si="1">(H3*H10+H4*H11+H5*H12+H6*H13+H7*H14+H8*H15+H9*H16)/100</f>
        <v>199.080988117</v>
      </c>
      <c r="I17" s="15">
        <f t="shared" si="1"/>
        <v>199.08098816190002</v>
      </c>
      <c r="J17" s="15">
        <f t="shared" si="1"/>
        <v>199.080991791</v>
      </c>
      <c r="K17" s="15">
        <f t="shared" si="1"/>
        <v>199.08098830980001</v>
      </c>
      <c r="L17" s="15">
        <f t="shared" si="1"/>
        <v>199.08098814600001</v>
      </c>
      <c r="M17" s="15">
        <f t="shared" si="1"/>
        <v>199.0809881495</v>
      </c>
      <c r="N17" s="15">
        <f t="shared" si="1"/>
        <v>199.08098811630003</v>
      </c>
      <c r="O17" s="15">
        <f t="shared" si="1"/>
        <v>199.12018127899998</v>
      </c>
      <c r="P17" s="15">
        <f t="shared" si="1"/>
        <v>199.12058146679999</v>
      </c>
      <c r="Q17" s="15">
        <f t="shared" si="1"/>
        <v>199.1804722535</v>
      </c>
      <c r="R17" s="15">
        <f t="shared" si="1"/>
        <v>199.1409786111</v>
      </c>
      <c r="S17" s="15">
        <f t="shared" si="1"/>
        <v>199.10108514330005</v>
      </c>
      <c r="T17" s="15">
        <f t="shared" si="1"/>
        <v>199.1011851774</v>
      </c>
      <c r="U17" s="15">
        <f t="shared" si="1"/>
        <v>199.10138546240003</v>
      </c>
    </row>
    <row r="19" spans="2:22">
      <c r="H19" s="8" t="s">
        <v>36</v>
      </c>
      <c r="I19" s="8" t="s">
        <v>37</v>
      </c>
      <c r="J19" s="8" t="s">
        <v>38</v>
      </c>
      <c r="K19" s="8" t="s">
        <v>39</v>
      </c>
      <c r="L19" s="8" t="s">
        <v>40</v>
      </c>
      <c r="M19" s="8" t="s">
        <v>41</v>
      </c>
      <c r="N19" s="8" t="s">
        <v>42</v>
      </c>
      <c r="O19" s="8" t="s">
        <v>115</v>
      </c>
      <c r="P19" s="8" t="s">
        <v>108</v>
      </c>
      <c r="Q19" s="8" t="s">
        <v>113</v>
      </c>
      <c r="R19" s="8" t="s">
        <v>109</v>
      </c>
      <c r="S19" s="8" t="s">
        <v>110</v>
      </c>
      <c r="T19" s="8" t="s">
        <v>111</v>
      </c>
      <c r="U19" s="8" t="s">
        <v>112</v>
      </c>
    </row>
    <row r="20" spans="2:22">
      <c r="G20" s="8" t="s">
        <v>126</v>
      </c>
      <c r="H20" s="32">
        <f>(H17-$F$17)^2</f>
        <v>1.5999888961046802E-17</v>
      </c>
      <c r="I20" s="32">
        <f t="shared" ref="I20:U20" si="2">(I17-$F$17)^2</f>
        <v>2.3912105694269379E-15</v>
      </c>
      <c r="J20" s="32">
        <f t="shared" si="2"/>
        <v>1.3527683886532622E-11</v>
      </c>
      <c r="K20" s="32">
        <f t="shared" si="2"/>
        <v>3.8730235222324169E-14</v>
      </c>
      <c r="L20" s="32">
        <f t="shared" si="2"/>
        <v>1.0889994767712825E-15</v>
      </c>
      <c r="M20" s="32">
        <f t="shared" si="2"/>
        <v>1.3322487940474494E-15</v>
      </c>
      <c r="N20" s="32">
        <f t="shared" si="2"/>
        <v>1.0890107317945937E-17</v>
      </c>
      <c r="O20" s="32">
        <f t="shared" si="2"/>
        <v>1.5361042611005276E-3</v>
      </c>
      <c r="P20" s="32">
        <f t="shared" si="2"/>
        <v>1.5676336651297904E-3</v>
      </c>
      <c r="Q20" s="32">
        <f t="shared" si="2"/>
        <v>9.897094211020115E-3</v>
      </c>
      <c r="R20" s="32">
        <f t="shared" si="2"/>
        <v>3.598859862283481E-3</v>
      </c>
      <c r="S20" s="32">
        <f t="shared" si="2"/>
        <v>4.0389062688056776E-4</v>
      </c>
      <c r="T20" s="32">
        <f t="shared" si="2"/>
        <v>4.0792141037694092E-4</v>
      </c>
      <c r="U20" s="32">
        <f t="shared" si="2"/>
        <v>4.160518625462437E-4</v>
      </c>
    </row>
    <row r="21" spans="2:22">
      <c r="G21" s="8" t="s">
        <v>127</v>
      </c>
      <c r="H21" s="26">
        <f>H20/SUM($H$20:$U$20)</f>
        <v>8.9748078980704797E-16</v>
      </c>
      <c r="I21" s="26">
        <f t="shared" ref="I21:U21" si="3">I20/SUM($H$20:$U$20)</f>
        <v>1.3413002775638271E-13</v>
      </c>
      <c r="J21" s="26">
        <f t="shared" si="3"/>
        <v>7.5880754224628391E-10</v>
      </c>
      <c r="K21" s="26">
        <f t="shared" si="3"/>
        <v>2.1724927080037731E-12</v>
      </c>
      <c r="L21" s="26">
        <f t="shared" si="3"/>
        <v>6.1085180834168019E-14</v>
      </c>
      <c r="M21" s="26">
        <f t="shared" si="3"/>
        <v>7.4729749863399351E-14</v>
      </c>
      <c r="N21" s="26">
        <f t="shared" si="3"/>
        <v>6.1085812161500049E-16</v>
      </c>
      <c r="O21" s="26">
        <f t="shared" si="3"/>
        <v>8.6164602069105617E-2</v>
      </c>
      <c r="P21" s="26">
        <f t="shared" si="3"/>
        <v>8.7933178994809277E-2</v>
      </c>
      <c r="Q21" s="26">
        <f t="shared" si="3"/>
        <v>0.55515709833525961</v>
      </c>
      <c r="R21" s="26">
        <f t="shared" si="3"/>
        <v>0.20187062544437456</v>
      </c>
      <c r="S21" s="26">
        <f t="shared" si="3"/>
        <v>2.2655412152605334E-2</v>
      </c>
      <c r="T21" s="26">
        <f t="shared" si="3"/>
        <v>2.2881510643955709E-2</v>
      </c>
      <c r="U21" s="26">
        <f t="shared" si="3"/>
        <v>2.3337571598638539E-2</v>
      </c>
      <c r="V21" s="31"/>
    </row>
    <row r="26" spans="2:22">
      <c r="B26" t="s">
        <v>48</v>
      </c>
    </row>
    <row r="27" spans="2:22">
      <c r="B27" s="2" t="s">
        <v>20</v>
      </c>
      <c r="C27" s="2" t="s">
        <v>21</v>
      </c>
    </row>
    <row r="28" spans="2:22">
      <c r="B28" s="3" t="s">
        <v>22</v>
      </c>
      <c r="C28" s="3" t="s">
        <v>23</v>
      </c>
    </row>
    <row r="29" spans="2:22">
      <c r="B29" s="3" t="s">
        <v>24</v>
      </c>
      <c r="C29" s="3" t="s">
        <v>25</v>
      </c>
      <c r="E29" s="1"/>
    </row>
    <row r="30" spans="2:22">
      <c r="B30" s="3" t="s">
        <v>26</v>
      </c>
      <c r="C30" s="3" t="s">
        <v>27</v>
      </c>
    </row>
    <row r="31" spans="2:22">
      <c r="B31" s="3" t="s">
        <v>28</v>
      </c>
      <c r="C31" s="3" t="s">
        <v>29</v>
      </c>
    </row>
    <row r="32" spans="2:22">
      <c r="B32" s="3" t="s">
        <v>30</v>
      </c>
      <c r="C32" s="3" t="s">
        <v>31</v>
      </c>
    </row>
    <row r="33" spans="2:3">
      <c r="B33" s="3" t="s">
        <v>32</v>
      </c>
      <c r="C33" s="3" t="s">
        <v>33</v>
      </c>
    </row>
    <row r="34" spans="2:3">
      <c r="B34" s="3" t="s">
        <v>34</v>
      </c>
      <c r="C34" s="3" t="s">
        <v>35</v>
      </c>
    </row>
  </sheetData>
  <mergeCells count="5">
    <mergeCell ref="C1:C2"/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26E13-4CB8-4FBD-BCD0-08D83CCDD196}">
  <sheetPr>
    <tabColor rgb="FFFFFF00"/>
  </sheetPr>
  <dimension ref="A1:X63"/>
  <sheetViews>
    <sheetView zoomScale="90" zoomScaleNormal="90" workbookViewId="0">
      <selection activeCell="E12" sqref="E12"/>
    </sheetView>
  </sheetViews>
  <sheetFormatPr defaultColWidth="8.42578125" defaultRowHeight="15"/>
  <cols>
    <col min="1" max="1" width="25.140625" style="50" customWidth="1"/>
    <col min="2" max="2" width="12.5703125" style="50" customWidth="1"/>
    <col min="3" max="3" width="6.42578125" style="50" customWidth="1"/>
    <col min="4" max="4" width="10.28515625" style="50" customWidth="1"/>
    <col min="5" max="8" width="12.5703125" style="50" customWidth="1"/>
    <col min="9" max="9" width="7" style="50" customWidth="1"/>
    <col min="10" max="10" width="6.140625" style="50" customWidth="1"/>
    <col min="11" max="11" width="10.85546875" style="50" customWidth="1"/>
    <col min="12" max="12" width="9.85546875" style="50" customWidth="1"/>
    <col min="13" max="13" width="8.42578125" style="50"/>
    <col min="14" max="14" width="4.140625" style="50" customWidth="1"/>
    <col min="15" max="15" width="9.85546875" style="50" customWidth="1"/>
    <col min="16" max="24" width="8.42578125" style="50"/>
    <col min="25" max="16384" width="8.42578125" style="4"/>
  </cols>
  <sheetData>
    <row r="1" spans="1:14">
      <c r="A1" s="48" t="s">
        <v>49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>
      <c r="A3" s="49" t="s">
        <v>50</v>
      </c>
      <c r="B3" s="51" t="s">
        <v>138</v>
      </c>
      <c r="C3" s="52"/>
      <c r="D3" s="52"/>
      <c r="E3" s="49" t="s">
        <v>51</v>
      </c>
      <c r="G3" s="51" t="s">
        <v>186</v>
      </c>
      <c r="H3" s="52"/>
      <c r="I3" s="52"/>
      <c r="K3" s="49"/>
      <c r="L3" s="49"/>
      <c r="M3" s="49"/>
      <c r="N3" s="49"/>
    </row>
    <row r="4" spans="1:14">
      <c r="A4" s="49" t="s">
        <v>52</v>
      </c>
      <c r="B4" s="51" t="s">
        <v>139</v>
      </c>
      <c r="C4" s="52"/>
      <c r="D4" s="52"/>
      <c r="E4" s="49" t="s">
        <v>53</v>
      </c>
      <c r="G4" s="136">
        <v>44804</v>
      </c>
      <c r="H4" s="51"/>
      <c r="I4" s="52"/>
      <c r="K4" s="49"/>
      <c r="L4" s="49"/>
      <c r="M4" s="49"/>
      <c r="N4" s="49"/>
    </row>
    <row r="5" spans="1:14">
      <c r="A5" s="49" t="s">
        <v>54</v>
      </c>
      <c r="B5" s="51" t="s">
        <v>140</v>
      </c>
      <c r="C5" s="51"/>
      <c r="D5" s="53"/>
      <c r="E5" s="50" t="s">
        <v>55</v>
      </c>
      <c r="F5" s="54"/>
      <c r="G5" s="135" t="s">
        <v>141</v>
      </c>
      <c r="H5" s="52"/>
      <c r="I5" s="52"/>
      <c r="K5" s="49"/>
      <c r="L5" s="49"/>
      <c r="M5" s="49"/>
      <c r="N5" s="49"/>
    </row>
    <row r="6" spans="1:14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>
      <c r="A7" s="55" t="s">
        <v>187</v>
      </c>
      <c r="B7" s="56"/>
      <c r="C7" s="57"/>
      <c r="D7" s="58"/>
      <c r="E7" s="56"/>
      <c r="F7" s="56"/>
      <c r="G7" s="56"/>
      <c r="H7" s="56"/>
      <c r="I7" s="56"/>
      <c r="J7" s="59"/>
      <c r="K7" s="60"/>
      <c r="L7" s="60"/>
      <c r="M7" s="60"/>
      <c r="N7" s="49"/>
    </row>
    <row r="8" spans="1:14">
      <c r="A8" s="61" t="s">
        <v>56</v>
      </c>
      <c r="B8" s="62">
        <v>12.657999999999999</v>
      </c>
      <c r="C8" s="49"/>
      <c r="D8" s="63" t="s">
        <v>57</v>
      </c>
      <c r="E8" s="60" t="s">
        <v>58</v>
      </c>
      <c r="F8" s="60" t="s">
        <v>59</v>
      </c>
      <c r="G8" s="60" t="s">
        <v>60</v>
      </c>
      <c r="H8" s="60" t="s">
        <v>61</v>
      </c>
      <c r="I8" s="49"/>
      <c r="J8" s="64" t="s">
        <v>62</v>
      </c>
      <c r="K8" s="49" t="s">
        <v>63</v>
      </c>
      <c r="L8" s="49" t="s">
        <v>64</v>
      </c>
      <c r="M8" s="49"/>
      <c r="N8" s="49"/>
    </row>
    <row r="9" spans="1:14" ht="18">
      <c r="A9" s="61"/>
      <c r="B9" s="62">
        <v>12.6584</v>
      </c>
      <c r="C9" s="60"/>
      <c r="D9" s="49" t="s">
        <v>65</v>
      </c>
      <c r="E9" s="65">
        <f>AVERAGE(B8:B12)</f>
        <v>12.658233333333333</v>
      </c>
      <c r="F9" s="66">
        <f>STDEV(B8:B12)/SQRT(J9)</f>
        <v>1.2018504251576099E-4</v>
      </c>
      <c r="G9" s="67">
        <f>0.000016/SQRT(3)</f>
        <v>9.2376043070340125E-6</v>
      </c>
      <c r="H9" s="68">
        <f>SQRT(F9^2+G9^2)</f>
        <v>1.2053952786471585E-4</v>
      </c>
      <c r="I9" s="60" t="s">
        <v>66</v>
      </c>
      <c r="J9" s="69">
        <f>COUNT(B8:B12)</f>
        <v>3</v>
      </c>
      <c r="K9" s="70">
        <f>E12*(E10-E11)/(E11-E9)^2</f>
        <v>-14.628272792674753</v>
      </c>
      <c r="L9" s="70">
        <f>(K9*H9)^2</f>
        <v>3.1091743294417037E-6</v>
      </c>
      <c r="M9" s="71">
        <f>L9*100/L13</f>
        <v>0.33258600849586012</v>
      </c>
      <c r="N9" s="72" t="s">
        <v>67</v>
      </c>
    </row>
    <row r="10" spans="1:14" ht="18">
      <c r="A10" s="61"/>
      <c r="B10" s="62">
        <v>12.658300000000001</v>
      </c>
      <c r="C10" s="60"/>
      <c r="D10" s="49" t="s">
        <v>68</v>
      </c>
      <c r="E10" s="73">
        <f>AVERAGE(B13:B17)</f>
        <v>12.866533333333335</v>
      </c>
      <c r="F10" s="66">
        <f>STDEV(B13:B17)/SQRT(J10)</f>
        <v>3.3333333333255652E-5</v>
      </c>
      <c r="G10" s="67">
        <f>0.000016/SQRT(3)</f>
        <v>9.2376043070340125E-6</v>
      </c>
      <c r="H10" s="68">
        <f>SQRT(F10^2+G10^2)</f>
        <v>3.4589658056119399E-5</v>
      </c>
      <c r="I10" s="60" t="s">
        <v>66</v>
      </c>
      <c r="J10" s="69">
        <f>COUNT(B13:B17)</f>
        <v>3</v>
      </c>
      <c r="K10" s="70">
        <f>E12/(E11-E9)</f>
        <v>14.689159946970278</v>
      </c>
      <c r="L10" s="70">
        <f>(K10*H10)^2</f>
        <v>2.5815851666516851E-7</v>
      </c>
      <c r="M10" s="71">
        <f>L10*100/L13</f>
        <v>2.7615019783177527E-2</v>
      </c>
      <c r="N10" s="72" t="s">
        <v>67</v>
      </c>
    </row>
    <row r="11" spans="1:14" ht="18">
      <c r="A11" s="61"/>
      <c r="B11" s="62"/>
      <c r="C11" s="60"/>
      <c r="D11" s="49" t="s">
        <v>69</v>
      </c>
      <c r="E11" s="73">
        <f>AVERAGE(B18:B22)</f>
        <v>62.91106666666667</v>
      </c>
      <c r="F11" s="66">
        <f>STDEV(B18:B22)/SQRT(J11)</f>
        <v>3.3333333332071412E-5</v>
      </c>
      <c r="G11" s="67">
        <f>0.00021/SQRT(3)</f>
        <v>1.2124355652982142E-4</v>
      </c>
      <c r="H11" s="68">
        <f>SQRT(F11^2+G11^2)</f>
        <v>1.2574224075873224E-4</v>
      </c>
      <c r="I11" s="60" t="s">
        <v>66</v>
      </c>
      <c r="J11" s="69">
        <f>COUNT(B18:B22)</f>
        <v>3</v>
      </c>
      <c r="K11" s="70">
        <f>E12*(E9-E10)/(E11-E9)^2</f>
        <v>-6.0887154295524173E-2</v>
      </c>
      <c r="L11" s="70">
        <f>(K11*H11)^2</f>
        <v>5.8615671436671633E-11</v>
      </c>
      <c r="M11" s="71">
        <f>L11*100/L13</f>
        <v>6.2700737021484332E-6</v>
      </c>
      <c r="N11" s="72" t="s">
        <v>67</v>
      </c>
    </row>
    <row r="12" spans="1:14" ht="18">
      <c r="A12" s="61"/>
      <c r="B12" s="62"/>
      <c r="C12" s="60"/>
      <c r="D12" s="49" t="s">
        <v>70</v>
      </c>
      <c r="E12" s="74">
        <f>'[4]Sheet 1'!$C$13</f>
        <v>738.17190662177291</v>
      </c>
      <c r="F12" s="75"/>
      <c r="G12" s="76"/>
      <c r="H12" s="121">
        <f>'[4]Sheet 1'!$C$14</f>
        <v>7.3630583114432833</v>
      </c>
      <c r="I12" s="51" t="s">
        <v>80</v>
      </c>
      <c r="J12" s="77"/>
      <c r="K12" s="70">
        <f>(E10-E9)/(E11-E9)</f>
        <v>4.1450399148306978E-3</v>
      </c>
      <c r="L12" s="70">
        <f>(K12*H12)^2</f>
        <v>9.3148081321860752E-4</v>
      </c>
      <c r="M12" s="71">
        <f>L12*100/L13</f>
        <v>99.639792701647252</v>
      </c>
      <c r="N12" s="72" t="s">
        <v>67</v>
      </c>
    </row>
    <row r="13" spans="1:14" ht="15.75" thickBot="1">
      <c r="A13" s="61" t="s">
        <v>71</v>
      </c>
      <c r="B13" s="62">
        <v>12.8665</v>
      </c>
      <c r="C13" s="49"/>
      <c r="D13" s="49"/>
      <c r="E13" s="78"/>
      <c r="F13" s="60"/>
      <c r="G13" s="75"/>
      <c r="H13" s="79"/>
      <c r="I13" s="79"/>
      <c r="J13" s="80"/>
      <c r="K13" s="72" t="s">
        <v>72</v>
      </c>
      <c r="L13" s="70">
        <f>SUM(L9:L12)</f>
        <v>9.3484820468038587E-4</v>
      </c>
      <c r="M13" s="71"/>
      <c r="N13" s="72"/>
    </row>
    <row r="14" spans="1:14">
      <c r="A14" s="61"/>
      <c r="B14" s="62">
        <v>12.8665</v>
      </c>
      <c r="C14" s="60"/>
      <c r="D14" s="81" t="s">
        <v>73</v>
      </c>
      <c r="E14" s="82" t="s">
        <v>74</v>
      </c>
      <c r="F14" s="82" t="s">
        <v>75</v>
      </c>
      <c r="G14" s="82" t="s">
        <v>76</v>
      </c>
      <c r="H14" s="82" t="s">
        <v>77</v>
      </c>
      <c r="I14" s="83"/>
      <c r="J14" s="80"/>
      <c r="K14" s="49"/>
      <c r="L14" s="49"/>
      <c r="M14" s="49"/>
      <c r="N14" s="49"/>
    </row>
    <row r="15" spans="1:14" ht="18">
      <c r="A15" s="61"/>
      <c r="B15" s="62">
        <v>12.8666</v>
      </c>
      <c r="C15" s="60"/>
      <c r="D15" s="84" t="s">
        <v>78</v>
      </c>
      <c r="E15" s="85">
        <f>E12*(E10-E9)/(E11-E9)</f>
        <v>3.0597520169539272</v>
      </c>
      <c r="F15" s="85">
        <f>SQRT(L13)</f>
        <v>3.0575287483200968E-2</v>
      </c>
      <c r="G15" s="86" t="str">
        <f>I12</f>
        <v>µg/g</v>
      </c>
      <c r="H15" s="87">
        <f>F15*100/E15</f>
        <v>0.99927338273771493</v>
      </c>
      <c r="I15" s="88" t="s">
        <v>67</v>
      </c>
      <c r="J15" s="80"/>
      <c r="K15" s="49"/>
      <c r="L15" s="49"/>
      <c r="M15" s="49"/>
      <c r="N15" s="49"/>
    </row>
    <row r="16" spans="1:14" ht="18">
      <c r="A16" s="61"/>
      <c r="B16" s="62"/>
      <c r="C16" s="60"/>
      <c r="D16" s="89" t="s">
        <v>79</v>
      </c>
      <c r="E16" s="90">
        <f>E15*1000</f>
        <v>3059.7520169539271</v>
      </c>
      <c r="F16" s="90">
        <f>F15*1000</f>
        <v>30.575287483200967</v>
      </c>
      <c r="G16" s="91" t="s">
        <v>142</v>
      </c>
      <c r="H16" s="92">
        <f>F16*100/E16</f>
        <v>0.99927338273771493</v>
      </c>
      <c r="I16" s="93" t="s">
        <v>67</v>
      </c>
      <c r="J16" s="80"/>
      <c r="K16" s="49"/>
      <c r="L16" s="49"/>
      <c r="M16" s="49"/>
      <c r="N16" s="49"/>
    </row>
    <row r="17" spans="1:14">
      <c r="A17" s="61"/>
      <c r="B17" s="62"/>
      <c r="C17" s="60"/>
      <c r="D17" s="94"/>
      <c r="E17" s="60"/>
      <c r="F17" s="60"/>
      <c r="G17" s="60"/>
      <c r="H17" s="95"/>
      <c r="I17" s="96"/>
      <c r="J17" s="80"/>
      <c r="K17" s="49"/>
      <c r="L17" s="49"/>
      <c r="M17" s="49"/>
      <c r="N17" s="49"/>
    </row>
    <row r="18" spans="1:14">
      <c r="A18" s="61" t="s">
        <v>81</v>
      </c>
      <c r="B18" s="62">
        <v>62.911099999999998</v>
      </c>
      <c r="C18" s="49"/>
      <c r="D18" s="84" t="s">
        <v>82</v>
      </c>
      <c r="E18" s="97">
        <f>E10-E9</f>
        <v>0.20830000000000126</v>
      </c>
      <c r="F18" s="98">
        <f>SQRT(H10^2+H9^2)</f>
        <v>1.2540423526455506E-4</v>
      </c>
      <c r="G18" s="99" t="s">
        <v>66</v>
      </c>
      <c r="H18" s="100">
        <f>F18*100/E18</f>
        <v>6.0203665513468223E-2</v>
      </c>
      <c r="I18" s="88" t="s">
        <v>67</v>
      </c>
      <c r="J18" s="101"/>
      <c r="K18" s="63"/>
      <c r="L18" s="49"/>
      <c r="M18" s="49"/>
      <c r="N18" s="49"/>
    </row>
    <row r="19" spans="1:14" ht="15.75" thickBot="1">
      <c r="A19" s="61"/>
      <c r="B19" s="62">
        <v>62.911099999999998</v>
      </c>
      <c r="C19" s="60"/>
      <c r="D19" s="102" t="s">
        <v>83</v>
      </c>
      <c r="E19" s="103">
        <f>E11-E9</f>
        <v>50.252833333333335</v>
      </c>
      <c r="F19" s="104">
        <f>SQRT(H11^2+H9^2)</f>
        <v>1.7418636252266017E-4</v>
      </c>
      <c r="G19" s="105" t="s">
        <v>66</v>
      </c>
      <c r="H19" s="103">
        <f>F19*100/E19</f>
        <v>3.4661998332961695E-4</v>
      </c>
      <c r="I19" s="106" t="s">
        <v>67</v>
      </c>
      <c r="J19" s="80"/>
      <c r="K19" s="49"/>
      <c r="L19" s="49"/>
      <c r="M19" s="49"/>
      <c r="N19" s="49"/>
    </row>
    <row r="20" spans="1:14">
      <c r="A20" s="61"/>
      <c r="B20" s="62">
        <v>62.911000000000001</v>
      </c>
      <c r="C20" s="60"/>
      <c r="D20" s="49"/>
      <c r="E20" s="95"/>
      <c r="F20" s="60"/>
      <c r="G20" s="49"/>
      <c r="H20" s="49"/>
      <c r="I20" s="49"/>
      <c r="J20" s="80"/>
      <c r="K20" s="49"/>
      <c r="L20" s="49"/>
      <c r="M20" s="49"/>
      <c r="N20" s="49"/>
    </row>
    <row r="21" spans="1:14">
      <c r="A21" s="61"/>
      <c r="B21" s="107"/>
      <c r="C21" s="60"/>
      <c r="D21" s="108"/>
      <c r="E21" s="109"/>
      <c r="F21" s="60"/>
      <c r="G21" s="60"/>
      <c r="H21" s="49"/>
      <c r="I21" s="49"/>
      <c r="J21" s="80"/>
      <c r="K21" s="110"/>
      <c r="L21" s="49"/>
      <c r="M21" s="49"/>
      <c r="N21" s="49"/>
    </row>
    <row r="22" spans="1:14">
      <c r="A22" s="61"/>
      <c r="B22" s="107"/>
      <c r="C22" s="49"/>
      <c r="D22" s="108"/>
      <c r="E22" s="111"/>
      <c r="F22" s="60"/>
      <c r="G22" s="60"/>
      <c r="H22" s="49"/>
      <c r="I22" s="49"/>
      <c r="J22" s="80"/>
      <c r="K22" s="49"/>
      <c r="L22" s="49"/>
      <c r="M22" s="49"/>
      <c r="N22" s="49"/>
    </row>
    <row r="23" spans="1:14">
      <c r="A23" s="61"/>
      <c r="B23" s="54"/>
      <c r="C23" s="49"/>
      <c r="D23" s="49"/>
      <c r="E23" s="49"/>
      <c r="F23" s="49"/>
      <c r="G23" s="49"/>
      <c r="H23" s="49"/>
      <c r="I23" s="49"/>
      <c r="J23" s="80"/>
      <c r="K23" s="49"/>
      <c r="L23" s="49"/>
      <c r="M23" s="49"/>
      <c r="N23" s="49"/>
    </row>
    <row r="24" spans="1:14">
      <c r="A24" s="112"/>
      <c r="B24" s="113"/>
      <c r="C24" s="114"/>
      <c r="D24" s="115"/>
      <c r="E24" s="116"/>
      <c r="F24" s="114"/>
      <c r="G24" s="114"/>
      <c r="H24" s="117"/>
      <c r="I24" s="114"/>
      <c r="J24" s="118"/>
      <c r="K24" s="49"/>
      <c r="L24" s="49"/>
      <c r="M24" s="49"/>
      <c r="N24" s="49"/>
    </row>
    <row r="25" spans="1:14">
      <c r="A25" s="49"/>
      <c r="B25" s="54"/>
      <c r="C25" s="49"/>
      <c r="D25" s="119"/>
      <c r="E25" s="110"/>
      <c r="F25" s="49"/>
      <c r="G25" s="49"/>
      <c r="H25" s="111"/>
      <c r="I25" s="49"/>
      <c r="J25" s="49"/>
      <c r="K25" s="49"/>
      <c r="L25" s="49"/>
      <c r="M25" s="49"/>
      <c r="N25" s="49"/>
    </row>
    <row r="26" spans="1:14">
      <c r="A26" s="63" t="s">
        <v>188</v>
      </c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</row>
    <row r="27" spans="1:14">
      <c r="A27" s="61" t="s">
        <v>56</v>
      </c>
      <c r="B27" s="120">
        <v>12.675800000000001</v>
      </c>
      <c r="C27" s="49"/>
      <c r="D27" s="63" t="s">
        <v>57</v>
      </c>
      <c r="E27" s="60" t="s">
        <v>58</v>
      </c>
      <c r="F27" s="60" t="s">
        <v>59</v>
      </c>
      <c r="G27" s="60" t="s">
        <v>60</v>
      </c>
      <c r="H27" s="60" t="s">
        <v>61</v>
      </c>
      <c r="I27" s="49"/>
      <c r="J27" s="64" t="s">
        <v>62</v>
      </c>
      <c r="K27" s="49" t="s">
        <v>63</v>
      </c>
      <c r="L27" s="49" t="s">
        <v>64</v>
      </c>
      <c r="M27" s="49"/>
      <c r="N27" s="49"/>
    </row>
    <row r="28" spans="1:14" ht="18">
      <c r="A28" s="61"/>
      <c r="B28" s="120">
        <v>12.675599999999999</v>
      </c>
      <c r="C28" s="60"/>
      <c r="D28" s="49" t="s">
        <v>65</v>
      </c>
      <c r="E28" s="65">
        <f>AVERAGE(B27:B31)</f>
        <v>12.675699999999999</v>
      </c>
      <c r="F28" s="66">
        <f>STDEV(B27:B31)/SQRT(J28)</f>
        <v>5.7735026919340816E-5</v>
      </c>
      <c r="G28" s="67">
        <f>0.000016/SQRT(3)</f>
        <v>9.2376043070340125E-6</v>
      </c>
      <c r="H28" s="68">
        <f>SQRT(F28^2+G28^2)</f>
        <v>5.8469365198455351E-5</v>
      </c>
      <c r="I28" s="60" t="s">
        <v>66</v>
      </c>
      <c r="J28" s="69">
        <f>COUNT(B27:B31)</f>
        <v>3</v>
      </c>
      <c r="K28" s="70">
        <f>E31*(E29-E30)/(E30-E28)^2</f>
        <v>-59.792153534232902</v>
      </c>
      <c r="L28" s="70">
        <f>(K28*H28)^2</f>
        <v>1.2222080752964039E-5</v>
      </c>
      <c r="M28" s="71">
        <f>L28*100/L32</f>
        <v>3.2628896148175902E-3</v>
      </c>
      <c r="N28" s="72" t="s">
        <v>67</v>
      </c>
    </row>
    <row r="29" spans="1:14" ht="18">
      <c r="A29" s="61"/>
      <c r="B29" s="120">
        <v>12.675700000000001</v>
      </c>
      <c r="C29" s="60"/>
      <c r="D29" s="49" t="s">
        <v>68</v>
      </c>
      <c r="E29" s="73">
        <f>AVERAGE(B32:B36)</f>
        <v>13.679499999999999</v>
      </c>
      <c r="F29" s="66">
        <f>STDEV(B32:B36)/SQRT(J29)</f>
        <v>5.7735026919340816E-5</v>
      </c>
      <c r="G29" s="67">
        <f>0.000016/SQRT(3)</f>
        <v>9.2376043070340125E-6</v>
      </c>
      <c r="H29" s="68">
        <f>SQRT(F29^2+G29^2)</f>
        <v>5.8469365198455351E-5</v>
      </c>
      <c r="I29" s="60" t="s">
        <v>66</v>
      </c>
      <c r="J29" s="69">
        <f>COUNT(B32:B36)</f>
        <v>3</v>
      </c>
      <c r="K29" s="70">
        <f>E31/(E30-E28)</f>
        <v>61.013423714488411</v>
      </c>
      <c r="L29" s="70">
        <f>(K29*H29)^2</f>
        <v>1.2726458009901945E-5</v>
      </c>
      <c r="M29" s="71">
        <f>L29*100/L32</f>
        <v>3.3975415899498737E-3</v>
      </c>
      <c r="N29" s="72" t="s">
        <v>67</v>
      </c>
    </row>
    <row r="30" spans="1:14" ht="18">
      <c r="A30" s="61"/>
      <c r="B30" s="120"/>
      <c r="C30" s="60"/>
      <c r="D30" s="49" t="s">
        <v>69</v>
      </c>
      <c r="E30" s="73">
        <f>AVERAGE(B37:B41)</f>
        <v>62.824533333333335</v>
      </c>
      <c r="F30" s="66">
        <f>STDEV(B37:B41)/SQRT(J30)</f>
        <v>3.3333333332071412E-5</v>
      </c>
      <c r="G30" s="67">
        <f>0.00021/SQRT(3)</f>
        <v>1.2124355652982142E-4</v>
      </c>
      <c r="H30" s="68">
        <f>SQRT(F30^2+G30^2)</f>
        <v>1.2574224075873224E-4</v>
      </c>
      <c r="I30" s="60" t="s">
        <v>66</v>
      </c>
      <c r="J30" s="69">
        <f>COUNT(B37:B41)</f>
        <v>3</v>
      </c>
      <c r="K30" s="70">
        <f>E31*(E28-E29)/(E30-E28)^2</f>
        <v>-1.2212701802555088</v>
      </c>
      <c r="L30" s="70">
        <f>(K30*H30)^2</f>
        <v>2.3582285711841437E-8</v>
      </c>
      <c r="M30" s="71">
        <f>L30*100/L32</f>
        <v>6.295687019100083E-6</v>
      </c>
      <c r="N30" s="72" t="s">
        <v>67</v>
      </c>
    </row>
    <row r="31" spans="1:14" ht="18">
      <c r="A31" s="61"/>
      <c r="B31" s="120"/>
      <c r="C31" s="60"/>
      <c r="D31" s="49" t="s">
        <v>70</v>
      </c>
      <c r="E31" s="74">
        <f>E16</f>
        <v>3059.7520169539271</v>
      </c>
      <c r="F31" s="75"/>
      <c r="G31" s="76"/>
      <c r="H31" s="74">
        <f>F16</f>
        <v>30.575287483200967</v>
      </c>
      <c r="I31" s="51" t="s">
        <v>142</v>
      </c>
      <c r="J31" s="77"/>
      <c r="K31" s="70">
        <f>(E29-E28)/(E30-E28)</f>
        <v>2.0016417796359504E-2</v>
      </c>
      <c r="L31" s="70">
        <f>(K31*H31)^2</f>
        <v>0.37455345975297322</v>
      </c>
      <c r="M31" s="71">
        <f>L31*100/L32</f>
        <v>99.993333273108206</v>
      </c>
      <c r="N31" s="72" t="s">
        <v>67</v>
      </c>
    </row>
    <row r="32" spans="1:14" ht="15.75" thickBot="1">
      <c r="A32" s="61" t="s">
        <v>71</v>
      </c>
      <c r="B32" s="120">
        <v>13.679399999999999</v>
      </c>
      <c r="C32" s="49"/>
      <c r="D32" s="49"/>
      <c r="E32" s="78"/>
      <c r="F32" s="60"/>
      <c r="G32" s="75"/>
      <c r="H32" s="79"/>
      <c r="I32" s="79"/>
      <c r="J32" s="80"/>
      <c r="K32" s="72" t="s">
        <v>72</v>
      </c>
      <c r="L32" s="70">
        <f>SUM(L28:L31)</f>
        <v>0.37457843187402179</v>
      </c>
      <c r="M32" s="71"/>
      <c r="N32" s="72"/>
    </row>
    <row r="33" spans="1:14">
      <c r="A33" s="61"/>
      <c r="B33" s="120">
        <v>13.679500000000001</v>
      </c>
      <c r="C33" s="60"/>
      <c r="D33" s="81" t="s">
        <v>73</v>
      </c>
      <c r="E33" s="82" t="s">
        <v>74</v>
      </c>
      <c r="F33" s="82" t="s">
        <v>75</v>
      </c>
      <c r="G33" s="82" t="s">
        <v>76</v>
      </c>
      <c r="H33" s="82" t="s">
        <v>77</v>
      </c>
      <c r="I33" s="83"/>
      <c r="J33" s="80"/>
      <c r="K33" s="49"/>
      <c r="L33" s="49"/>
      <c r="M33" s="49"/>
      <c r="N33" s="49"/>
    </row>
    <row r="34" spans="1:14" ht="18">
      <c r="A34" s="61"/>
      <c r="B34" s="120">
        <v>13.679600000000001</v>
      </c>
      <c r="C34" s="60"/>
      <c r="D34" s="84" t="s">
        <v>78</v>
      </c>
      <c r="E34" s="85">
        <f>E31*(E29-E28)/(E30-E28)</f>
        <v>61.245274724603469</v>
      </c>
      <c r="F34" s="85">
        <f>SQRT(L32)</f>
        <v>0.61202812996954792</v>
      </c>
      <c r="G34" s="86" t="str">
        <f>I31</f>
        <v>ng/g</v>
      </c>
      <c r="H34" s="87">
        <f>F34*100/E34</f>
        <v>0.99930669381695791</v>
      </c>
      <c r="I34" s="88" t="s">
        <v>67</v>
      </c>
      <c r="J34" s="80"/>
      <c r="K34" s="49"/>
      <c r="L34" s="49"/>
      <c r="M34" s="49"/>
      <c r="N34" s="49"/>
    </row>
    <row r="35" spans="1:14" ht="18">
      <c r="A35" s="61"/>
      <c r="B35" s="120"/>
      <c r="C35" s="60"/>
      <c r="D35" s="89" t="s">
        <v>79</v>
      </c>
      <c r="E35" s="90">
        <f>E34*1000</f>
        <v>61245.274724603471</v>
      </c>
      <c r="F35" s="90">
        <f>F34*1000</f>
        <v>612.02812996954788</v>
      </c>
      <c r="G35" s="91" t="s">
        <v>143</v>
      </c>
      <c r="H35" s="92">
        <f>F35*100/E35</f>
        <v>0.9993066938169578</v>
      </c>
      <c r="I35" s="93" t="s">
        <v>67</v>
      </c>
      <c r="J35" s="80"/>
      <c r="K35" s="49"/>
      <c r="L35" s="49"/>
      <c r="M35" s="49"/>
      <c r="N35" s="49"/>
    </row>
    <row r="36" spans="1:14">
      <c r="A36" s="61"/>
      <c r="B36" s="120"/>
      <c r="C36" s="60"/>
      <c r="D36" s="94"/>
      <c r="E36" s="60"/>
      <c r="F36" s="60"/>
      <c r="G36" s="60"/>
      <c r="H36" s="95"/>
      <c r="I36" s="96"/>
      <c r="J36" s="80"/>
      <c r="K36" s="49"/>
      <c r="L36" s="49"/>
      <c r="M36" s="49"/>
      <c r="N36" s="49"/>
    </row>
    <row r="37" spans="1:14">
      <c r="A37" s="61" t="s">
        <v>81</v>
      </c>
      <c r="B37" s="120">
        <v>62.8245</v>
      </c>
      <c r="C37" s="49"/>
      <c r="D37" s="84" t="s">
        <v>82</v>
      </c>
      <c r="E37" s="97">
        <f>E29-E28</f>
        <v>1.0038</v>
      </c>
      <c r="F37" s="98">
        <f>SQRT(H29^2+H28^2)</f>
        <v>8.2688169247001008E-5</v>
      </c>
      <c r="G37" s="99" t="s">
        <v>66</v>
      </c>
      <c r="H37" s="100">
        <f>F37*100/E37</f>
        <v>8.2375143700937452E-3</v>
      </c>
      <c r="I37" s="88" t="s">
        <v>67</v>
      </c>
      <c r="J37" s="101"/>
      <c r="K37" s="63"/>
      <c r="L37" s="49"/>
      <c r="M37" s="49"/>
      <c r="N37" s="49"/>
    </row>
    <row r="38" spans="1:14" ht="15.75" thickBot="1">
      <c r="A38" s="61"/>
      <c r="B38" s="120">
        <v>62.8245</v>
      </c>
      <c r="C38" s="60"/>
      <c r="D38" s="102" t="s">
        <v>83</v>
      </c>
      <c r="E38" s="103">
        <f>E30-E28</f>
        <v>50.148833333333336</v>
      </c>
      <c r="F38" s="104">
        <f>SQRT(H30^2+H28^2)</f>
        <v>1.3867147427548798E-4</v>
      </c>
      <c r="G38" s="105" t="s">
        <v>66</v>
      </c>
      <c r="H38" s="103">
        <f>F38*100/E38</f>
        <v>2.7651984115713155E-4</v>
      </c>
      <c r="I38" s="106" t="s">
        <v>67</v>
      </c>
      <c r="J38" s="80"/>
      <c r="K38" s="49"/>
      <c r="L38" s="49"/>
      <c r="M38" s="49"/>
      <c r="N38" s="49"/>
    </row>
    <row r="39" spans="1:14">
      <c r="A39" s="61"/>
      <c r="B39" s="120">
        <v>62.824599999999997</v>
      </c>
      <c r="C39" s="60"/>
      <c r="D39" s="49"/>
      <c r="E39" s="95"/>
      <c r="F39" s="60"/>
      <c r="G39" s="49"/>
      <c r="H39" s="49"/>
      <c r="I39" s="49"/>
      <c r="J39" s="80"/>
      <c r="K39" s="49"/>
      <c r="L39" s="49"/>
      <c r="M39" s="49"/>
      <c r="N39" s="49"/>
    </row>
    <row r="40" spans="1:14">
      <c r="A40" s="61"/>
      <c r="B40" s="107"/>
      <c r="C40" s="60"/>
      <c r="D40" s="108"/>
      <c r="E40" s="109"/>
      <c r="F40" s="60"/>
      <c r="G40" s="60"/>
      <c r="H40" s="49"/>
      <c r="I40" s="49"/>
      <c r="J40" s="80"/>
      <c r="K40" s="110"/>
      <c r="L40" s="49"/>
      <c r="M40" s="49"/>
      <c r="N40" s="49"/>
    </row>
    <row r="41" spans="1:14">
      <c r="A41" s="61"/>
      <c r="B41" s="107"/>
      <c r="C41" s="49"/>
      <c r="D41" s="108"/>
      <c r="E41" s="111"/>
      <c r="F41" s="60"/>
      <c r="G41" s="60"/>
      <c r="H41" s="49"/>
      <c r="I41" s="49"/>
      <c r="J41" s="80"/>
      <c r="K41" s="49"/>
      <c r="L41" s="49"/>
      <c r="M41" s="49"/>
      <c r="N41" s="49"/>
    </row>
    <row r="42" spans="1:14">
      <c r="A42" s="61"/>
      <c r="B42" s="54"/>
      <c r="C42" s="49"/>
      <c r="D42" s="49"/>
      <c r="E42" s="49"/>
      <c r="F42" s="49"/>
      <c r="G42" s="49"/>
      <c r="H42" s="49"/>
      <c r="I42" s="49"/>
      <c r="J42" s="80"/>
      <c r="K42" s="49"/>
      <c r="L42" s="49"/>
      <c r="M42" s="49"/>
      <c r="N42" s="49"/>
    </row>
    <row r="43" spans="1:14">
      <c r="A43" s="112"/>
      <c r="B43" s="113"/>
      <c r="C43" s="114"/>
      <c r="D43" s="115"/>
      <c r="E43" s="116"/>
      <c r="F43" s="114"/>
      <c r="G43" s="114"/>
      <c r="H43" s="117"/>
      <c r="I43" s="114"/>
      <c r="J43" s="118"/>
      <c r="K43" s="49"/>
      <c r="L43" s="49"/>
      <c r="M43" s="49"/>
      <c r="N43" s="49"/>
    </row>
    <row r="46" spans="1:14">
      <c r="A46" s="63" t="s">
        <v>189</v>
      </c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49"/>
      <c r="M46" s="49"/>
      <c r="N46" s="49"/>
    </row>
    <row r="47" spans="1:14">
      <c r="A47" s="61" t="s">
        <v>56</v>
      </c>
      <c r="B47" s="120">
        <v>12.895799999999999</v>
      </c>
      <c r="C47" s="49"/>
      <c r="D47" s="63" t="s">
        <v>57</v>
      </c>
      <c r="E47" s="60" t="s">
        <v>58</v>
      </c>
      <c r="F47" s="60" t="s">
        <v>59</v>
      </c>
      <c r="G47" s="60" t="s">
        <v>60</v>
      </c>
      <c r="H47" s="60" t="s">
        <v>61</v>
      </c>
      <c r="I47" s="49"/>
      <c r="J47" s="64" t="s">
        <v>62</v>
      </c>
      <c r="K47" s="49" t="s">
        <v>63</v>
      </c>
      <c r="L47" s="49" t="s">
        <v>64</v>
      </c>
      <c r="M47" s="49"/>
      <c r="N47" s="49"/>
    </row>
    <row r="48" spans="1:14" ht="18">
      <c r="A48" s="61"/>
      <c r="B48" s="120">
        <v>12.895799999999999</v>
      </c>
      <c r="C48" s="60"/>
      <c r="D48" s="49" t="s">
        <v>65</v>
      </c>
      <c r="E48" s="65">
        <f>AVERAGE(B47:B51)</f>
        <v>12.895766666666667</v>
      </c>
      <c r="F48" s="66">
        <f>STDEV(B47:B51)/SQRT(J48)</f>
        <v>3.3333333333255652E-5</v>
      </c>
      <c r="G48" s="67">
        <f>0.000016/SQRT(3)</f>
        <v>9.2376043070340125E-6</v>
      </c>
      <c r="H48" s="68">
        <f>SQRT(F48^2+G48^2)</f>
        <v>3.4589658056119399E-5</v>
      </c>
      <c r="I48" s="60" t="s">
        <v>66</v>
      </c>
      <c r="J48" s="69">
        <f>COUNT(B47:B51)</f>
        <v>3</v>
      </c>
      <c r="K48" s="70">
        <f>E51*(E49-E50)/(E50-E48)^2</f>
        <v>-1.1482784189305166</v>
      </c>
      <c r="L48" s="70">
        <f>(K48*H48)^2</f>
        <v>1.5775638387981397E-9</v>
      </c>
      <c r="M48" s="71">
        <f>L48*100/L52</f>
        <v>9.0319159872709567E-5</v>
      </c>
      <c r="N48" s="72" t="s">
        <v>67</v>
      </c>
    </row>
    <row r="49" spans="1:14" ht="18">
      <c r="A49" s="61"/>
      <c r="B49" s="120">
        <v>12.8957</v>
      </c>
      <c r="C49" s="60"/>
      <c r="D49" s="49" t="s">
        <v>68</v>
      </c>
      <c r="E49" s="73">
        <f>AVERAGE(B52:B56)</f>
        <v>16.289200000000005</v>
      </c>
      <c r="F49" s="66">
        <f>STDEV(B52:B56)/SQRT(J49)</f>
        <v>5.7735026918828022E-5</v>
      </c>
      <c r="G49" s="67">
        <f>0.000016/SQRT(3)</f>
        <v>9.2376043070340125E-6</v>
      </c>
      <c r="H49" s="68">
        <f>SQRT(F49^2+G49^2)</f>
        <v>5.8469365197949002E-5</v>
      </c>
      <c r="I49" s="60" t="s">
        <v>66</v>
      </c>
      <c r="J49" s="69">
        <f>COUNT(B52:B56)</f>
        <v>3</v>
      </c>
      <c r="K49" s="70">
        <f>E51/(E50-E48)</f>
        <v>1.2324365031506552</v>
      </c>
      <c r="L49" s="70">
        <f>(K49*H49)^2</f>
        <v>5.1926118916305652E-9</v>
      </c>
      <c r="M49" s="71">
        <f>L49*100/L52</f>
        <v>2.9728897941424273E-4</v>
      </c>
      <c r="N49" s="72" t="s">
        <v>67</v>
      </c>
    </row>
    <row r="50" spans="1:14" ht="18">
      <c r="A50" s="61"/>
      <c r="B50" s="120"/>
      <c r="C50" s="60"/>
      <c r="D50" s="49" t="s">
        <v>69</v>
      </c>
      <c r="E50" s="73">
        <f>AVERAGE(B57:B61)</f>
        <v>62.590233333333337</v>
      </c>
      <c r="F50" s="66">
        <f>STDEV(B57:B61)/SQRT(J50)</f>
        <v>3.3333333332071412E-5</v>
      </c>
      <c r="G50" s="67">
        <f>0.00021/SQRT(3)</f>
        <v>1.2124355652982142E-4</v>
      </c>
      <c r="H50" s="68">
        <f>SQRT(F50^2+G50^2)</f>
        <v>1.2574224075873224E-4</v>
      </c>
      <c r="I50" s="60" t="s">
        <v>66</v>
      </c>
      <c r="J50" s="69">
        <f>COUNT(B57:B61)</f>
        <v>3</v>
      </c>
      <c r="K50" s="70">
        <f>E51*(E48-E49)/(E50-E48)^2</f>
        <v>-8.4158084220138735E-2</v>
      </c>
      <c r="L50" s="70">
        <f>(K50*H50)^2</f>
        <v>1.119835089733646E-10</v>
      </c>
      <c r="M50" s="71">
        <f>L50*100/L52</f>
        <v>6.4113135718031085E-6</v>
      </c>
      <c r="N50" s="72" t="s">
        <v>67</v>
      </c>
    </row>
    <row r="51" spans="1:14" ht="18">
      <c r="A51" s="61"/>
      <c r="B51" s="120"/>
      <c r="C51" s="60"/>
      <c r="D51" s="49" t="s">
        <v>70</v>
      </c>
      <c r="E51" s="74">
        <f>E34</f>
        <v>61.245274724603469</v>
      </c>
      <c r="F51" s="75"/>
      <c r="G51" s="76"/>
      <c r="H51" s="74">
        <f>F34</f>
        <v>0.61202812996954792</v>
      </c>
      <c r="I51" s="51" t="s">
        <v>142</v>
      </c>
      <c r="J51" s="77"/>
      <c r="K51" s="70">
        <f>(E49-E48)/(E50-E48)</f>
        <v>6.8285939279624772E-2</v>
      </c>
      <c r="L51" s="70">
        <f>(K51*H51)^2</f>
        <v>1.746647804422726E-3</v>
      </c>
      <c r="M51" s="71">
        <f>L51*100/L52</f>
        <v>99.999605980547145</v>
      </c>
      <c r="N51" s="72" t="s">
        <v>67</v>
      </c>
    </row>
    <row r="52" spans="1:14" ht="15.75" thickBot="1">
      <c r="A52" s="61" t="s">
        <v>71</v>
      </c>
      <c r="B52" s="62">
        <v>16.289200000000001</v>
      </c>
      <c r="C52" s="49"/>
      <c r="D52" s="49"/>
      <c r="E52" s="78"/>
      <c r="F52" s="60"/>
      <c r="G52" s="75"/>
      <c r="H52" s="79"/>
      <c r="I52" s="79"/>
      <c r="J52" s="80"/>
      <c r="K52" s="72" t="s">
        <v>72</v>
      </c>
      <c r="L52" s="70">
        <f>SUM(L48:L51)</f>
        <v>1.7466546865819654E-3</v>
      </c>
      <c r="M52" s="71"/>
      <c r="N52" s="72"/>
    </row>
    <row r="53" spans="1:14">
      <c r="A53" s="61"/>
      <c r="B53" s="62">
        <v>16.289300000000001</v>
      </c>
      <c r="C53" s="60"/>
      <c r="D53" s="81" t="s">
        <v>73</v>
      </c>
      <c r="E53" s="82" t="s">
        <v>74</v>
      </c>
      <c r="F53" s="82" t="s">
        <v>75</v>
      </c>
      <c r="G53" s="82" t="s">
        <v>76</v>
      </c>
      <c r="H53" s="82" t="s">
        <v>77</v>
      </c>
      <c r="I53" s="83"/>
      <c r="J53" s="80"/>
      <c r="K53" s="49"/>
      <c r="L53" s="49"/>
      <c r="M53" s="49"/>
      <c r="N53" s="49"/>
    </row>
    <row r="54" spans="1:14" ht="18">
      <c r="A54" s="61"/>
      <c r="B54" s="62">
        <v>16.289100000000001</v>
      </c>
      <c r="C54" s="60"/>
      <c r="D54" s="84" t="s">
        <v>78</v>
      </c>
      <c r="E54" s="85">
        <f>E51*(E49-E48)/(E50-E48)</f>
        <v>4.1821911110082102</v>
      </c>
      <c r="F54" s="85">
        <f>SQRT(L52)</f>
        <v>4.1792998056875093E-2</v>
      </c>
      <c r="G54" s="86" t="str">
        <f>I51</f>
        <v>ng/g</v>
      </c>
      <c r="H54" s="87">
        <f>F54*100/E54</f>
        <v>0.99930866255415951</v>
      </c>
      <c r="I54" s="88" t="s">
        <v>67</v>
      </c>
      <c r="J54" s="80"/>
      <c r="K54" s="49"/>
      <c r="L54" s="49"/>
      <c r="M54" s="49"/>
      <c r="N54" s="49"/>
    </row>
    <row r="55" spans="1:14" ht="18">
      <c r="A55" s="61"/>
      <c r="B55" s="62"/>
      <c r="C55" s="60"/>
      <c r="D55" s="89" t="s">
        <v>79</v>
      </c>
      <c r="E55" s="90">
        <f>E54*1000</f>
        <v>4182.1911110082101</v>
      </c>
      <c r="F55" s="90">
        <f>F54*1000</f>
        <v>41.792998056875092</v>
      </c>
      <c r="G55" s="91" t="s">
        <v>143</v>
      </c>
      <c r="H55" s="92">
        <f>F55*100/E55</f>
        <v>0.99930866255415962</v>
      </c>
      <c r="I55" s="93" t="s">
        <v>67</v>
      </c>
      <c r="J55" s="80"/>
      <c r="K55" s="49"/>
      <c r="L55" s="49"/>
      <c r="M55" s="49"/>
      <c r="N55" s="49"/>
    </row>
    <row r="56" spans="1:14">
      <c r="A56" s="61"/>
      <c r="B56" s="62"/>
      <c r="C56" s="60"/>
      <c r="D56" s="94"/>
      <c r="E56" s="60"/>
      <c r="F56" s="60"/>
      <c r="G56" s="60"/>
      <c r="H56" s="95"/>
      <c r="I56" s="96"/>
      <c r="J56" s="80"/>
      <c r="K56" s="49"/>
      <c r="L56" s="49"/>
      <c r="M56" s="49"/>
      <c r="N56" s="49"/>
    </row>
    <row r="57" spans="1:14">
      <c r="A57" s="61" t="s">
        <v>81</v>
      </c>
      <c r="B57" s="62">
        <v>62.590200000000003</v>
      </c>
      <c r="C57" s="49"/>
      <c r="D57" s="84" t="s">
        <v>82</v>
      </c>
      <c r="E57" s="97">
        <f>E49-E48</f>
        <v>3.3934333333333377</v>
      </c>
      <c r="F57" s="98">
        <f>SQRT(H49^2+H48^2)</f>
        <v>6.793460908175151E-5</v>
      </c>
      <c r="G57" s="99" t="s">
        <v>66</v>
      </c>
      <c r="H57" s="100">
        <f>F57*100/E57</f>
        <v>2.0019432359091017E-3</v>
      </c>
      <c r="I57" s="88" t="s">
        <v>67</v>
      </c>
      <c r="J57" s="101"/>
      <c r="K57" s="63"/>
      <c r="L57" s="49"/>
      <c r="M57" s="49"/>
      <c r="N57" s="49"/>
    </row>
    <row r="58" spans="1:14" ht="15.75" thickBot="1">
      <c r="A58" s="61"/>
      <c r="B58" s="62">
        <v>62.590299999999999</v>
      </c>
      <c r="C58" s="60"/>
      <c r="D58" s="102" t="s">
        <v>83</v>
      </c>
      <c r="E58" s="103">
        <f>E50-E48</f>
        <v>49.694466666666671</v>
      </c>
      <c r="F58" s="104">
        <f>SQRT(H50^2+H48^2)</f>
        <v>1.3041301911797859E-4</v>
      </c>
      <c r="G58" s="105" t="s">
        <v>66</v>
      </c>
      <c r="H58" s="103">
        <f>F58*100/E58</f>
        <v>2.6242965840189838E-4</v>
      </c>
      <c r="I58" s="106" t="s">
        <v>67</v>
      </c>
      <c r="J58" s="80"/>
      <c r="K58" s="49"/>
      <c r="L58" s="49"/>
      <c r="M58" s="49"/>
      <c r="N58" s="49"/>
    </row>
    <row r="59" spans="1:14">
      <c r="A59" s="61"/>
      <c r="B59" s="62">
        <v>62.590200000000003</v>
      </c>
      <c r="C59" s="60"/>
      <c r="D59" s="49"/>
      <c r="E59" s="95"/>
      <c r="F59" s="60"/>
      <c r="G59" s="49"/>
      <c r="H59" s="49"/>
      <c r="I59" s="49"/>
      <c r="J59" s="80"/>
      <c r="K59" s="49"/>
      <c r="L59" s="49"/>
      <c r="M59" s="49"/>
      <c r="N59" s="49"/>
    </row>
    <row r="60" spans="1:14">
      <c r="A60" s="61"/>
      <c r="B60" s="107"/>
      <c r="C60" s="60"/>
      <c r="D60" s="108"/>
      <c r="E60" s="109"/>
      <c r="F60" s="60"/>
      <c r="G60" s="60"/>
      <c r="H60" s="49"/>
      <c r="I60" s="49"/>
      <c r="J60" s="80"/>
      <c r="K60" s="110"/>
      <c r="L60" s="49"/>
      <c r="M60" s="49"/>
      <c r="N60" s="49"/>
    </row>
    <row r="61" spans="1:14">
      <c r="A61" s="61"/>
      <c r="B61" s="107"/>
      <c r="C61" s="49"/>
      <c r="D61" s="108"/>
      <c r="E61" s="111"/>
      <c r="F61" s="60"/>
      <c r="G61" s="60"/>
      <c r="H61" s="49"/>
      <c r="I61" s="49"/>
      <c r="J61" s="80"/>
      <c r="K61" s="49"/>
      <c r="L61" s="49"/>
      <c r="M61" s="49"/>
      <c r="N61" s="49"/>
    </row>
    <row r="62" spans="1:14">
      <c r="A62" s="61"/>
      <c r="B62" s="54"/>
      <c r="C62" s="49"/>
      <c r="D62" s="49"/>
      <c r="E62" s="49"/>
      <c r="F62" s="49"/>
      <c r="G62" s="49"/>
      <c r="H62" s="49"/>
      <c r="I62" s="49"/>
      <c r="J62" s="80"/>
      <c r="K62" s="49"/>
      <c r="L62" s="49"/>
      <c r="M62" s="49"/>
      <c r="N62" s="49"/>
    </row>
    <row r="63" spans="1:14">
      <c r="A63" s="112"/>
      <c r="B63" s="113"/>
      <c r="C63" s="114"/>
      <c r="D63" s="115"/>
      <c r="E63" s="116"/>
      <c r="F63" s="114"/>
      <c r="G63" s="114"/>
      <c r="H63" s="117"/>
      <c r="I63" s="114"/>
      <c r="J63" s="118"/>
      <c r="K63" s="49"/>
      <c r="L63" s="49"/>
      <c r="M63" s="49"/>
      <c r="N63" s="49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3088" r:id="rId4">
          <objectPr defaultSize="0" autoPict="0" r:id="rId5">
            <anchor moveWithCells="1">
              <from>
                <xdr:col>3</xdr:col>
                <xdr:colOff>428625</xdr:colOff>
                <xdr:row>19</xdr:row>
                <xdr:rowOff>76200</xdr:rowOff>
              </from>
              <to>
                <xdr:col>7</xdr:col>
                <xdr:colOff>0</xdr:colOff>
                <xdr:row>23</xdr:row>
                <xdr:rowOff>123825</xdr:rowOff>
              </to>
            </anchor>
          </objectPr>
        </oleObject>
      </mc:Choice>
      <mc:Fallback>
        <oleObject progId="Equation.3" shapeId="3088" r:id="rId4"/>
      </mc:Fallback>
    </mc:AlternateContent>
    <mc:AlternateContent xmlns:mc="http://schemas.openxmlformats.org/markup-compatibility/2006">
      <mc:Choice Requires="x14">
        <oleObject progId="Equation.3" shapeId="3089" r:id="rId6">
          <objectPr defaultSize="0" autoPict="0" r:id="rId5">
            <anchor moveWithCells="1">
              <from>
                <xdr:col>3</xdr:col>
                <xdr:colOff>428625</xdr:colOff>
                <xdr:row>38</xdr:row>
                <xdr:rowOff>76200</xdr:rowOff>
              </from>
              <to>
                <xdr:col>7</xdr:col>
                <xdr:colOff>0</xdr:colOff>
                <xdr:row>42</xdr:row>
                <xdr:rowOff>123825</xdr:rowOff>
              </to>
            </anchor>
          </objectPr>
        </oleObject>
      </mc:Choice>
      <mc:Fallback>
        <oleObject progId="Equation.3" shapeId="3089" r:id="rId6"/>
      </mc:Fallback>
    </mc:AlternateContent>
    <mc:AlternateContent xmlns:mc="http://schemas.openxmlformats.org/markup-compatibility/2006">
      <mc:Choice Requires="x14">
        <oleObject progId="Equation.3" shapeId="3099" r:id="rId7">
          <objectPr defaultSize="0" autoPict="0" r:id="rId5">
            <anchor moveWithCells="1">
              <from>
                <xdr:col>3</xdr:col>
                <xdr:colOff>428625</xdr:colOff>
                <xdr:row>58</xdr:row>
                <xdr:rowOff>76200</xdr:rowOff>
              </from>
              <to>
                <xdr:col>6</xdr:col>
                <xdr:colOff>828675</xdr:colOff>
                <xdr:row>62</xdr:row>
                <xdr:rowOff>123825</xdr:rowOff>
              </to>
            </anchor>
          </objectPr>
        </oleObject>
      </mc:Choice>
      <mc:Fallback>
        <oleObject progId="Equation.3" shapeId="3099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Overview</vt:lpstr>
      <vt:lpstr>Calculation template</vt:lpstr>
      <vt:lpstr>Peripump MassFlow</vt:lpstr>
      <vt:lpstr>FlexCal-H value and u </vt:lpstr>
      <vt:lpstr>Aw(Hg_e)</vt:lpstr>
      <vt:lpstr>Mass fraction 199Hg</vt:lpstr>
      <vt:lpstr>'Calculation template'!mercury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Panayot Petrov</dc:creator>
  <cp:lastModifiedBy>Philip Dunn</cp:lastModifiedBy>
  <dcterms:created xsi:type="dcterms:W3CDTF">2022-01-20T11:40:21Z</dcterms:created>
  <dcterms:modified xsi:type="dcterms:W3CDTF">2024-12-17T11:35:45Z</dcterms:modified>
</cp:coreProperties>
</file>