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embeddings/oleObject1.bin" ContentType="application/vnd.openxmlformats-officedocument.oleObject"/>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5.xml" ContentType="application/vnd.openxmlformats-officedocument.drawing+xml"/>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T:\QT20\Inorganic Speciation Analysis Team\Projects\Current\CBM2125\Impact\Gas Phase IDMS Paper\Supplementary Materials\"/>
    </mc:Choice>
  </mc:AlternateContent>
  <xr:revisionPtr revIDLastSave="0" documentId="13_ncr:1_{A1F5424C-A74F-41DF-BA55-E0C29B90158C}" xr6:coauthVersionLast="47" xr6:coauthVersionMax="47" xr10:uidLastSave="{00000000-0000-0000-0000-000000000000}"/>
  <bookViews>
    <workbookView xWindow="-120" yWindow="-120" windowWidth="29040" windowHeight="17790" xr2:uid="{1175134B-7D87-4448-8AA0-5291550D1908}"/>
  </bookViews>
  <sheets>
    <sheet name="Overview" sheetId="10" r:id="rId1"/>
    <sheet name="Calculation template" sheetId="1" r:id="rId2"/>
    <sheet name="Peripump MassFlow" sheetId="11" r:id="rId3"/>
    <sheet name="FlexCal-H value and u " sheetId="8" r:id="rId4"/>
    <sheet name="Aw(Hg_e)" sheetId="7" r:id="rId5"/>
    <sheet name="Mass fraction 199Hg" sheetId="3" r:id="rId6"/>
  </sheets>
  <externalReferences>
    <externalReference r:id="rId7"/>
    <externalReference r:id="rId8"/>
  </externalReferences>
  <definedNames>
    <definedName name="mercury" localSheetId="4">'Aw(Hg_e)'!#REF!</definedName>
    <definedName name="mercury" localSheetId="1">'Calculation template'!$I$6:$K$57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1" l="1"/>
  <c r="G9" i="1" l="1"/>
  <c r="G4" i="1" l="1"/>
  <c r="E50" i="11" l="1"/>
  <c r="E14" i="11"/>
  <c r="D9" i="11"/>
  <c r="D10" i="11"/>
  <c r="D11" i="11"/>
  <c r="E20" i="11"/>
  <c r="E68" i="11"/>
  <c r="D68" i="11"/>
  <c r="B68" i="11"/>
  <c r="D67" i="11"/>
  <c r="B67" i="11"/>
  <c r="D66" i="11"/>
  <c r="B66" i="11"/>
  <c r="D65" i="11"/>
  <c r="B65" i="11"/>
  <c r="D64" i="11"/>
  <c r="B64" i="11"/>
  <c r="D63" i="11"/>
  <c r="B63" i="11"/>
  <c r="E62" i="11"/>
  <c r="D62" i="11"/>
  <c r="B62" i="11"/>
  <c r="D61" i="11"/>
  <c r="B61" i="11"/>
  <c r="D60" i="11"/>
  <c r="B60" i="11"/>
  <c r="D59" i="11"/>
  <c r="B59" i="11"/>
  <c r="D58" i="11"/>
  <c r="B58" i="11"/>
  <c r="D57" i="11"/>
  <c r="B57" i="11"/>
  <c r="E56" i="11"/>
  <c r="D56" i="11"/>
  <c r="B56" i="11"/>
  <c r="D55" i="11"/>
  <c r="B55" i="11"/>
  <c r="D54" i="11"/>
  <c r="B54" i="11"/>
  <c r="D53" i="11"/>
  <c r="B53" i="11"/>
  <c r="D52" i="11"/>
  <c r="B52" i="11"/>
  <c r="D51" i="11"/>
  <c r="B51" i="11"/>
  <c r="D50" i="11"/>
  <c r="B50" i="11"/>
  <c r="D49" i="11"/>
  <c r="B49" i="11"/>
  <c r="D48" i="11"/>
  <c r="B48" i="11"/>
  <c r="D47" i="11"/>
  <c r="B47" i="11"/>
  <c r="D46" i="11"/>
  <c r="B46" i="11"/>
  <c r="D45" i="11"/>
  <c r="B45" i="11"/>
  <c r="E44" i="11"/>
  <c r="D44" i="11"/>
  <c r="B44" i="11"/>
  <c r="D43" i="11"/>
  <c r="B43" i="11"/>
  <c r="D42" i="11"/>
  <c r="B42" i="11"/>
  <c r="D41" i="11"/>
  <c r="B41" i="11"/>
  <c r="D40" i="11"/>
  <c r="B40" i="11"/>
  <c r="D39" i="11"/>
  <c r="B39" i="11"/>
  <c r="E38" i="11"/>
  <c r="D38" i="11"/>
  <c r="B38" i="11"/>
  <c r="D37" i="11"/>
  <c r="B37" i="11"/>
  <c r="D36" i="11"/>
  <c r="B36" i="11"/>
  <c r="D35" i="11"/>
  <c r="B35" i="11"/>
  <c r="D34" i="11"/>
  <c r="B34" i="11"/>
  <c r="D33" i="11"/>
  <c r="B33" i="11"/>
  <c r="E32" i="11"/>
  <c r="D32" i="11"/>
  <c r="B32" i="11"/>
  <c r="D31" i="11"/>
  <c r="B31" i="11"/>
  <c r="D30" i="11"/>
  <c r="B30" i="11"/>
  <c r="D29" i="11"/>
  <c r="B29" i="11"/>
  <c r="D28" i="11"/>
  <c r="B28" i="11"/>
  <c r="D27" i="11"/>
  <c r="B27" i="11"/>
  <c r="E26" i="11"/>
  <c r="D26" i="11"/>
  <c r="B26" i="11"/>
  <c r="D25" i="11"/>
  <c r="B25" i="11"/>
  <c r="D24" i="11"/>
  <c r="B24" i="11"/>
  <c r="D23" i="11"/>
  <c r="B23" i="11"/>
  <c r="D22" i="11"/>
  <c r="B22" i="11"/>
  <c r="D21" i="11"/>
  <c r="B21" i="11"/>
  <c r="D20" i="11"/>
  <c r="B20" i="11"/>
  <c r="D19" i="11"/>
  <c r="B19" i="11"/>
  <c r="D18" i="11"/>
  <c r="B18" i="11"/>
  <c r="D17" i="11"/>
  <c r="B17" i="11"/>
  <c r="D16" i="11"/>
  <c r="B16" i="11"/>
  <c r="D15" i="11"/>
  <c r="B15" i="11"/>
  <c r="D14" i="11"/>
  <c r="B14" i="11"/>
  <c r="D13" i="11"/>
  <c r="B13" i="11"/>
  <c r="D12" i="11"/>
  <c r="B12" i="11"/>
  <c r="B11" i="11"/>
  <c r="B10" i="11"/>
  <c r="B9" i="11"/>
  <c r="B8" i="11"/>
  <c r="H9" i="11" l="1"/>
  <c r="G30" i="1" s="1"/>
  <c r="H8" i="11"/>
  <c r="F30" i="1" s="1"/>
  <c r="H10" i="11" l="1"/>
  <c r="E12" i="3" l="1"/>
  <c r="H12" i="3"/>
  <c r="C10" i="8" l="1"/>
  <c r="F28" i="1" s="1"/>
  <c r="D10" i="8" l="1"/>
  <c r="F11" i="1" l="1"/>
  <c r="F10" i="1"/>
  <c r="F6" i="1"/>
  <c r="G54" i="3" l="1"/>
  <c r="J50" i="3"/>
  <c r="F50" i="3" s="1"/>
  <c r="H50" i="3" s="1"/>
  <c r="G50" i="3"/>
  <c r="E50" i="3"/>
  <c r="J49" i="3"/>
  <c r="F49" i="3" s="1"/>
  <c r="H49" i="3" s="1"/>
  <c r="G49" i="3"/>
  <c r="E49" i="3"/>
  <c r="J48" i="3"/>
  <c r="F48" i="3" s="1"/>
  <c r="H48" i="3" s="1"/>
  <c r="G48" i="3"/>
  <c r="E48" i="3"/>
  <c r="G10" i="8"/>
  <c r="F10" i="8" l="1"/>
  <c r="H10" i="8" s="1"/>
  <c r="E58" i="3"/>
  <c r="F58" i="3"/>
  <c r="K51" i="3"/>
  <c r="F57" i="3"/>
  <c r="E57" i="3"/>
  <c r="H13" i="8" l="1"/>
  <c r="G28" i="1"/>
  <c r="H58" i="3"/>
  <c r="H57" i="3"/>
  <c r="G5" i="1" l="1"/>
  <c r="D11" i="8" l="1"/>
  <c r="G34" i="3" l="1"/>
  <c r="J30" i="3"/>
  <c r="F30" i="3" s="1"/>
  <c r="G30" i="3"/>
  <c r="E30" i="3"/>
  <c r="J29" i="3"/>
  <c r="F29" i="3" s="1"/>
  <c r="G29" i="3"/>
  <c r="E29" i="3"/>
  <c r="J28" i="3"/>
  <c r="F28" i="3" s="1"/>
  <c r="H28" i="3" s="1"/>
  <c r="G28" i="3"/>
  <c r="E28" i="3"/>
  <c r="G15" i="3"/>
  <c r="J11" i="3"/>
  <c r="F11" i="3" s="1"/>
  <c r="G11" i="3"/>
  <c r="E11" i="3"/>
  <c r="J10" i="3"/>
  <c r="F10" i="3" s="1"/>
  <c r="G10" i="3"/>
  <c r="E10" i="3"/>
  <c r="J9" i="3"/>
  <c r="F9" i="3" s="1"/>
  <c r="G9" i="3"/>
  <c r="E9" i="3"/>
  <c r="H11" i="3" l="1"/>
  <c r="H9" i="3"/>
  <c r="K11" i="3"/>
  <c r="H29" i="3"/>
  <c r="F37" i="3" s="1"/>
  <c r="H30" i="3"/>
  <c r="F38" i="3" s="1"/>
  <c r="E37" i="3"/>
  <c r="E15" i="3"/>
  <c r="E16" i="3" s="1"/>
  <c r="E31" i="3" s="1"/>
  <c r="H10" i="3"/>
  <c r="K12" i="3"/>
  <c r="L12" i="3" s="1"/>
  <c r="E19" i="3"/>
  <c r="E38" i="3"/>
  <c r="E18" i="3"/>
  <c r="K31" i="3"/>
  <c r="K9" i="3"/>
  <c r="K10" i="3"/>
  <c r="F18" i="3" l="1"/>
  <c r="L9" i="3"/>
  <c r="L11" i="3"/>
  <c r="F19" i="3"/>
  <c r="H19" i="3" s="1"/>
  <c r="K28" i="3"/>
  <c r="L28" i="3" s="1"/>
  <c r="H37" i="3"/>
  <c r="L10" i="3"/>
  <c r="H38" i="3"/>
  <c r="H18" i="3"/>
  <c r="L13" i="3" l="1"/>
  <c r="M10" i="3" s="1"/>
  <c r="K29" i="3"/>
  <c r="L29" i="3" s="1"/>
  <c r="K30" i="3"/>
  <c r="L30" i="3" s="1"/>
  <c r="E34" i="3"/>
  <c r="M12" i="3" l="1"/>
  <c r="M11" i="3"/>
  <c r="F15" i="3"/>
  <c r="F16" i="3" s="1"/>
  <c r="H31" i="3" s="1"/>
  <c r="M9" i="3"/>
  <c r="E51" i="3"/>
  <c r="E54" i="3" s="1"/>
  <c r="E35" i="3"/>
  <c r="H15" i="3" l="1"/>
  <c r="L31" i="3"/>
  <c r="H16" i="3"/>
  <c r="K50" i="3" l="1"/>
  <c r="L50" i="3" s="1"/>
  <c r="K49" i="3"/>
  <c r="L49" i="3" s="1"/>
  <c r="E55" i="3"/>
  <c r="F20" i="1" s="1"/>
  <c r="K48" i="3"/>
  <c r="L48" i="3" s="1"/>
  <c r="L32" i="3"/>
  <c r="F17" i="7"/>
  <c r="F3" i="1" l="1"/>
  <c r="F34" i="3"/>
  <c r="H51" i="3" s="1"/>
  <c r="M28" i="3"/>
  <c r="M30" i="3"/>
  <c r="M29" i="3"/>
  <c r="M31" i="3"/>
  <c r="F35" i="3" l="1"/>
  <c r="H35" i="3" s="1"/>
  <c r="H34" i="3"/>
  <c r="C11" i="8" l="1"/>
  <c r="F29" i="1" s="1"/>
  <c r="I14" i="1"/>
  <c r="J14" i="1"/>
  <c r="K14" i="1"/>
  <c r="L14" i="1"/>
  <c r="M14" i="1"/>
  <c r="N14" i="1"/>
  <c r="O14" i="1"/>
  <c r="P14" i="1"/>
  <c r="H14" i="1"/>
  <c r="M8" i="1"/>
  <c r="L7" i="1"/>
  <c r="I5" i="1"/>
  <c r="K5" i="1"/>
  <c r="L5" i="1"/>
  <c r="M5" i="1"/>
  <c r="N5" i="1"/>
  <c r="O5" i="1"/>
  <c r="P5" i="1"/>
  <c r="L6" i="1"/>
  <c r="I7" i="1"/>
  <c r="J7" i="1"/>
  <c r="K7" i="1"/>
  <c r="M7" i="1"/>
  <c r="N7" i="1"/>
  <c r="O7" i="1"/>
  <c r="P7" i="1"/>
  <c r="I8" i="1"/>
  <c r="J8" i="1"/>
  <c r="K8" i="1"/>
  <c r="L8" i="1"/>
  <c r="N8" i="1"/>
  <c r="O8" i="1"/>
  <c r="P8" i="1"/>
  <c r="H5" i="1"/>
  <c r="H7" i="1"/>
  <c r="H8" i="1"/>
  <c r="G6" i="1"/>
  <c r="M6" i="1"/>
  <c r="I21" i="7"/>
  <c r="J21" i="7"/>
  <c r="K21" i="7"/>
  <c r="L21" i="7"/>
  <c r="M21" i="7"/>
  <c r="N21" i="7"/>
  <c r="O21" i="7"/>
  <c r="P21" i="7"/>
  <c r="Q21" i="7"/>
  <c r="R21" i="7"/>
  <c r="S21" i="7"/>
  <c r="T21" i="7"/>
  <c r="U21" i="7"/>
  <c r="H21" i="7"/>
  <c r="G17" i="7"/>
  <c r="I20" i="7"/>
  <c r="J20" i="7"/>
  <c r="K20" i="7"/>
  <c r="L20" i="7"/>
  <c r="M20" i="7"/>
  <c r="N20" i="7"/>
  <c r="O20" i="7"/>
  <c r="P20" i="7"/>
  <c r="Q20" i="7"/>
  <c r="R20" i="7"/>
  <c r="S20" i="7"/>
  <c r="T20" i="7"/>
  <c r="U20" i="7"/>
  <c r="H20" i="7"/>
  <c r="U16" i="7"/>
  <c r="T15" i="7"/>
  <c r="S14" i="7"/>
  <c r="R13" i="7"/>
  <c r="Q12" i="7"/>
  <c r="P11" i="7"/>
  <c r="P10" i="7"/>
  <c r="Q10" i="7"/>
  <c r="O10" i="7"/>
  <c r="N9" i="7"/>
  <c r="M8" i="7"/>
  <c r="L7" i="7"/>
  <c r="K6" i="7"/>
  <c r="J5" i="7"/>
  <c r="I4" i="7"/>
  <c r="H3" i="7"/>
  <c r="I3" i="7"/>
  <c r="J3" i="7"/>
  <c r="K3" i="7"/>
  <c r="L3" i="7"/>
  <c r="M3" i="7"/>
  <c r="N3" i="7"/>
  <c r="O3" i="7"/>
  <c r="P3" i="7"/>
  <c r="Q3" i="7"/>
  <c r="R3" i="7"/>
  <c r="S3" i="7"/>
  <c r="T3" i="7"/>
  <c r="U3" i="7"/>
  <c r="H4" i="7"/>
  <c r="J4" i="7"/>
  <c r="K4" i="7"/>
  <c r="L4" i="7"/>
  <c r="M4" i="7"/>
  <c r="N4" i="7"/>
  <c r="O4" i="7"/>
  <c r="P4" i="7"/>
  <c r="Q4" i="7"/>
  <c r="R4" i="7"/>
  <c r="S4" i="7"/>
  <c r="T4" i="7"/>
  <c r="U4" i="7"/>
  <c r="H5" i="7"/>
  <c r="I5" i="7"/>
  <c r="K5" i="7"/>
  <c r="L5" i="7"/>
  <c r="M5" i="7"/>
  <c r="N5" i="7"/>
  <c r="O5" i="7"/>
  <c r="P5" i="7"/>
  <c r="Q5" i="7"/>
  <c r="R5" i="7"/>
  <c r="S5" i="7"/>
  <c r="T5" i="7"/>
  <c r="U5" i="7"/>
  <c r="H6" i="7"/>
  <c r="I6" i="7"/>
  <c r="J6" i="7"/>
  <c r="L6" i="7"/>
  <c r="M6" i="7"/>
  <c r="N6" i="7"/>
  <c r="O6" i="7"/>
  <c r="P6" i="7"/>
  <c r="Q6" i="7"/>
  <c r="R6" i="7"/>
  <c r="S6" i="7"/>
  <c r="T6" i="7"/>
  <c r="U6" i="7"/>
  <c r="H7" i="7"/>
  <c r="I7" i="7"/>
  <c r="J7" i="7"/>
  <c r="K7" i="7"/>
  <c r="M7" i="7"/>
  <c r="N7" i="7"/>
  <c r="O7" i="7"/>
  <c r="P7" i="7"/>
  <c r="Q7" i="7"/>
  <c r="R7" i="7"/>
  <c r="S7" i="7"/>
  <c r="T7" i="7"/>
  <c r="U7" i="7"/>
  <c r="H8" i="7"/>
  <c r="I8" i="7"/>
  <c r="J8" i="7"/>
  <c r="K8" i="7"/>
  <c r="L8" i="7"/>
  <c r="N8" i="7"/>
  <c r="O8" i="7"/>
  <c r="P8" i="7"/>
  <c r="Q8" i="7"/>
  <c r="R8" i="7"/>
  <c r="S8" i="7"/>
  <c r="T8" i="7"/>
  <c r="U8" i="7"/>
  <c r="H9" i="7"/>
  <c r="I9" i="7"/>
  <c r="J9" i="7"/>
  <c r="K9" i="7"/>
  <c r="L9" i="7"/>
  <c r="M9" i="7"/>
  <c r="O9" i="7"/>
  <c r="P9" i="7"/>
  <c r="Q9" i="7"/>
  <c r="R9" i="7"/>
  <c r="S9" i="7"/>
  <c r="T9" i="7"/>
  <c r="U9" i="7"/>
  <c r="H10" i="7"/>
  <c r="I10" i="7"/>
  <c r="J10" i="7"/>
  <c r="K10" i="7"/>
  <c r="L10" i="7"/>
  <c r="M10" i="7"/>
  <c r="N10" i="7"/>
  <c r="R10" i="7"/>
  <c r="S10" i="7"/>
  <c r="T10" i="7"/>
  <c r="U10" i="7"/>
  <c r="H11" i="7"/>
  <c r="I11" i="7"/>
  <c r="J11" i="7"/>
  <c r="K11" i="7"/>
  <c r="L11" i="7"/>
  <c r="M11" i="7"/>
  <c r="N11" i="7"/>
  <c r="O11" i="7"/>
  <c r="Q11" i="7"/>
  <c r="R11" i="7"/>
  <c r="S11" i="7"/>
  <c r="T11" i="7"/>
  <c r="U11" i="7"/>
  <c r="H12" i="7"/>
  <c r="I12" i="7"/>
  <c r="J12" i="7"/>
  <c r="K12" i="7"/>
  <c r="L12" i="7"/>
  <c r="M12" i="7"/>
  <c r="N12" i="7"/>
  <c r="O12" i="7"/>
  <c r="P12" i="7"/>
  <c r="R12" i="7"/>
  <c r="S12" i="7"/>
  <c r="T12" i="7"/>
  <c r="U12" i="7"/>
  <c r="H13" i="7"/>
  <c r="I13" i="7"/>
  <c r="J13" i="7"/>
  <c r="K13" i="7"/>
  <c r="L13" i="7"/>
  <c r="M13" i="7"/>
  <c r="N13" i="7"/>
  <c r="O13" i="7"/>
  <c r="P13" i="7"/>
  <c r="Q13" i="7"/>
  <c r="S13" i="7"/>
  <c r="T13" i="7"/>
  <c r="U13" i="7"/>
  <c r="H14" i="7"/>
  <c r="I14" i="7"/>
  <c r="J14" i="7"/>
  <c r="K14" i="7"/>
  <c r="L14" i="7"/>
  <c r="M14" i="7"/>
  <c r="N14" i="7"/>
  <c r="O14" i="7"/>
  <c r="P14" i="7"/>
  <c r="Q14" i="7"/>
  <c r="R14" i="7"/>
  <c r="T14" i="7"/>
  <c r="U14" i="7"/>
  <c r="H15" i="7"/>
  <c r="I15" i="7"/>
  <c r="J15" i="7"/>
  <c r="K15" i="7"/>
  <c r="L15" i="7"/>
  <c r="M15" i="7"/>
  <c r="N15" i="7"/>
  <c r="O15" i="7"/>
  <c r="P15" i="7"/>
  <c r="Q15" i="7"/>
  <c r="R15" i="7"/>
  <c r="S15" i="7"/>
  <c r="U15" i="7"/>
  <c r="H16" i="7"/>
  <c r="I16" i="7"/>
  <c r="J16" i="7"/>
  <c r="K16" i="7"/>
  <c r="L16" i="7"/>
  <c r="M16" i="7"/>
  <c r="N16" i="7"/>
  <c r="O16" i="7"/>
  <c r="P16" i="7"/>
  <c r="Q16" i="7"/>
  <c r="R16" i="7"/>
  <c r="S16" i="7"/>
  <c r="T16" i="7"/>
  <c r="G48" i="1"/>
  <c r="G49" i="1"/>
  <c r="G50" i="1"/>
  <c r="G51" i="1"/>
  <c r="G52" i="1"/>
  <c r="G47" i="1"/>
  <c r="I39" i="1"/>
  <c r="I46" i="1" s="1"/>
  <c r="J39" i="1"/>
  <c r="J46" i="1" s="1"/>
  <c r="K39" i="1"/>
  <c r="K46" i="1" s="1"/>
  <c r="L39" i="1"/>
  <c r="L46" i="1" s="1"/>
  <c r="M39" i="1"/>
  <c r="M46" i="1" s="1"/>
  <c r="N39" i="1"/>
  <c r="N46" i="1" s="1"/>
  <c r="O39" i="1"/>
  <c r="O46" i="1" s="1"/>
  <c r="P39" i="1"/>
  <c r="P46" i="1" s="1"/>
  <c r="H39" i="1"/>
  <c r="H46" i="1" s="1"/>
  <c r="J5" i="1"/>
  <c r="L51" i="3" l="1"/>
  <c r="L52" i="3" s="1"/>
  <c r="F11" i="8"/>
  <c r="G11" i="8"/>
  <c r="J6" i="1"/>
  <c r="J40" i="1" s="1"/>
  <c r="I6" i="1"/>
  <c r="I40" i="1" s="1"/>
  <c r="K6" i="1"/>
  <c r="K40" i="1" s="1"/>
  <c r="P6" i="1"/>
  <c r="P40" i="1" s="1"/>
  <c r="O6" i="1"/>
  <c r="O40" i="1" s="1"/>
  <c r="N6" i="1"/>
  <c r="N40" i="1" s="1"/>
  <c r="H6" i="1"/>
  <c r="H40" i="1" s="1"/>
  <c r="O17" i="7"/>
  <c r="N17" i="7"/>
  <c r="U17" i="7"/>
  <c r="M17" i="7"/>
  <c r="T17" i="7"/>
  <c r="L17" i="7"/>
  <c r="P17" i="7"/>
  <c r="H17" i="7"/>
  <c r="S17" i="7"/>
  <c r="K17" i="7"/>
  <c r="R17" i="7"/>
  <c r="J17" i="7"/>
  <c r="Q17" i="7"/>
  <c r="I17" i="7"/>
  <c r="L40" i="1"/>
  <c r="M40" i="1"/>
  <c r="F54" i="3" l="1"/>
  <c r="F55" i="3" s="1"/>
  <c r="G20" i="1" s="1"/>
  <c r="H11" i="8"/>
  <c r="M48" i="3"/>
  <c r="M50" i="3"/>
  <c r="M49" i="3"/>
  <c r="M51" i="3"/>
  <c r="M47" i="1"/>
  <c r="P47" i="1"/>
  <c r="J47" i="1"/>
  <c r="K47" i="1"/>
  <c r="H47" i="1"/>
  <c r="N47" i="1"/>
  <c r="O47" i="1"/>
  <c r="I47" i="1"/>
  <c r="L47" i="1"/>
  <c r="G3" i="1" l="1"/>
  <c r="H3" i="1" s="1"/>
  <c r="N4" i="1"/>
  <c r="N44" i="1" s="1"/>
  <c r="P4" i="1"/>
  <c r="P44" i="1" s="1"/>
  <c r="M4" i="1"/>
  <c r="M44" i="1" s="1"/>
  <c r="H4" i="1"/>
  <c r="H44" i="1" s="1"/>
  <c r="O4" i="1"/>
  <c r="O44" i="1" s="1"/>
  <c r="L4" i="1"/>
  <c r="L44" i="1" s="1"/>
  <c r="K4" i="1"/>
  <c r="K44" i="1" s="1"/>
  <c r="J4" i="1"/>
  <c r="J44" i="1" s="1"/>
  <c r="H14" i="8"/>
  <c r="G29" i="1"/>
  <c r="I4" i="1" s="1"/>
  <c r="I44" i="1" s="1"/>
  <c r="H54" i="3"/>
  <c r="K51" i="1" l="1"/>
  <c r="I51" i="1"/>
  <c r="P51" i="1"/>
  <c r="H51" i="1"/>
  <c r="O51" i="1"/>
  <c r="L51" i="1"/>
  <c r="N51" i="1"/>
  <c r="J51" i="1"/>
  <c r="M51" i="1"/>
  <c r="H55" i="3"/>
  <c r="H43" i="1"/>
  <c r="G10" i="1"/>
  <c r="O10" i="1" s="1"/>
  <c r="O42" i="1" s="1"/>
  <c r="I10" i="1"/>
  <c r="J10" i="1"/>
  <c r="K10" i="1"/>
  <c r="L10" i="1"/>
  <c r="L42" i="1" s="1"/>
  <c r="H10" i="1"/>
  <c r="M10" i="1"/>
  <c r="M42" i="1" s="1"/>
  <c r="N10" i="1"/>
  <c r="N42" i="1" s="1"/>
  <c r="P10" i="1"/>
  <c r="K3" i="1"/>
  <c r="L3" i="1"/>
  <c r="M3" i="1"/>
  <c r="J3" i="1"/>
  <c r="J43" i="1" s="1"/>
  <c r="N3" i="1"/>
  <c r="N43" i="1" s="1"/>
  <c r="O3" i="1"/>
  <c r="O43" i="1" s="1"/>
  <c r="P3" i="1"/>
  <c r="P43" i="1" s="1"/>
  <c r="I3" i="1"/>
  <c r="I43" i="1" s="1"/>
  <c r="G11" i="1"/>
  <c r="P11" i="1" s="1"/>
  <c r="P41" i="1" s="1"/>
  <c r="I11" i="1"/>
  <c r="I41" i="1" s="1"/>
  <c r="J11" i="1"/>
  <c r="K11" i="1"/>
  <c r="L11" i="1"/>
  <c r="L41" i="1" s="1"/>
  <c r="M11" i="1"/>
  <c r="N11" i="1"/>
  <c r="H11" i="1"/>
  <c r="O11" i="1"/>
  <c r="K41" i="1"/>
  <c r="M41" i="1"/>
  <c r="N41" i="1"/>
  <c r="J41" i="1"/>
  <c r="O41" i="1"/>
  <c r="H41" i="1"/>
  <c r="J42" i="1"/>
  <c r="I42" i="1"/>
  <c r="H42" i="1"/>
  <c r="K42" i="1"/>
  <c r="P42" i="1"/>
  <c r="M43" i="1" l="1"/>
  <c r="L43" i="1"/>
  <c r="J48" i="1"/>
  <c r="K49" i="1"/>
  <c r="I48" i="1"/>
  <c r="H49" i="1"/>
  <c r="J49" i="1"/>
  <c r="O49" i="1"/>
  <c r="N49" i="1"/>
  <c r="H48" i="1"/>
  <c r="L48" i="1"/>
  <c r="L49" i="1"/>
  <c r="M49" i="1"/>
  <c r="N48" i="1"/>
  <c r="M48" i="1"/>
  <c r="P49" i="1"/>
  <c r="I49" i="1"/>
  <c r="O48" i="1"/>
  <c r="P48" i="1"/>
  <c r="K48" i="1"/>
  <c r="K43" i="1" l="1"/>
  <c r="K50" i="1" l="1"/>
  <c r="M50" i="1"/>
  <c r="H50" i="1"/>
  <c r="J50" i="1"/>
  <c r="N50" i="1"/>
  <c r="P50" i="1"/>
  <c r="O50" i="1"/>
  <c r="L50" i="1"/>
  <c r="I50" i="1"/>
  <c r="F12" i="1" l="1"/>
  <c r="M9" i="1"/>
  <c r="M12" i="1" s="1"/>
  <c r="H9" i="1"/>
  <c r="H12" i="1" s="1"/>
  <c r="P9" i="1"/>
  <c r="P12" i="1" s="1"/>
  <c r="N9" i="1"/>
  <c r="N12" i="1" s="1"/>
  <c r="O9" i="1"/>
  <c r="O12" i="1" s="1"/>
  <c r="L9" i="1"/>
  <c r="L12" i="1" s="1"/>
  <c r="K9" i="1"/>
  <c r="K12" i="1" s="1"/>
  <c r="J9" i="1"/>
  <c r="J12" i="1" s="1"/>
  <c r="I9" i="1"/>
  <c r="I12" i="1" s="1"/>
  <c r="O15" i="1" l="1"/>
  <c r="O45" i="1"/>
  <c r="N15" i="1"/>
  <c r="N45" i="1"/>
  <c r="K45" i="1"/>
  <c r="K15" i="1"/>
  <c r="P15" i="1"/>
  <c r="P45" i="1"/>
  <c r="L15" i="1"/>
  <c r="L45" i="1"/>
  <c r="H15" i="1"/>
  <c r="H45" i="1"/>
  <c r="I15" i="1"/>
  <c r="I45" i="1"/>
  <c r="M15" i="1"/>
  <c r="M45" i="1"/>
  <c r="J15" i="1"/>
  <c r="J45" i="1"/>
  <c r="G12" i="1" l="1"/>
  <c r="G13" i="1" s="1"/>
  <c r="M52" i="1"/>
  <c r="P52" i="1"/>
  <c r="M16" i="1"/>
  <c r="P16" i="1"/>
  <c r="I52" i="1"/>
  <c r="K16" i="1"/>
  <c r="I16" i="1"/>
  <c r="K52" i="1"/>
  <c r="H52" i="1"/>
  <c r="N52" i="1"/>
  <c r="H16" i="1"/>
  <c r="N16" i="1"/>
  <c r="J52" i="1"/>
  <c r="L52" i="1"/>
  <c r="O52" i="1"/>
  <c r="J16" i="1"/>
  <c r="L16" i="1"/>
  <c r="O1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Sophie Page</author>
    <author>tc={446E808F-1671-49D6-A8D3-06041EEF957D}</author>
  </authors>
  <commentList>
    <comment ref="G4" authorId="0" shapeId="0" xr:uid="{ABEBDACF-A0AD-4DC6-81A9-5E9577B68158}">
      <text>
        <r>
          <rPr>
            <b/>
            <sz val="9"/>
            <color indexed="81"/>
            <rFont val="Tahoma"/>
            <family val="2"/>
          </rPr>
          <t>Sophie Page:</t>
        </r>
        <r>
          <rPr>
            <sz val="9"/>
            <color indexed="81"/>
            <rFont val="Tahoma"/>
            <family val="2"/>
          </rPr>
          <t xml:space="preserve">
based on uncertianty from certificate since the ADM flow meter only shows the real time flow and there is no way to record the standard devaition over time.</t>
        </r>
      </text>
    </comment>
    <comment ref="G5" authorId="1" shapeId="0" xr:uid="{446E808F-1671-49D6-A8D3-06041EEF957D}">
      <text>
        <t>[Threaded comment]
Your version of Excel allows you to read this threaded comment; however, any edits to it will get removed if the file is opened in a newer version of Excel. Learn more: https://go.microsoft.com/fwlink/?linkid=870924
Comment:
    https://www.ciaaw.org/mercury.htm - assumed k=2</t>
      </text>
    </comment>
    <comment ref="F28" authorId="0" shapeId="0" xr:uid="{E2AF6C4C-55E3-43FA-8620-26C4C5339FCA}">
      <text>
        <r>
          <rPr>
            <b/>
            <sz val="9"/>
            <color indexed="81"/>
            <rFont val="Tahoma"/>
            <family val="2"/>
          </rPr>
          <t>Sophie Page:</t>
        </r>
        <r>
          <rPr>
            <sz val="9"/>
            <color indexed="81"/>
            <rFont val="Tahoma"/>
            <family val="2"/>
          </rPr>
          <t xml:space="preserve">
FelxCal-H flow meter is broken. Instead split flow was measured by connecting the 1/8 inch tubing after the split, but before the merge with the cold vapour output, to the ADM flow meter. However this had to be done before turning on the ICP, so may not be as accurate.</t>
        </r>
      </text>
    </comment>
    <comment ref="G28" authorId="0" shapeId="0" xr:uid="{9129BFCA-5735-425E-B6A8-98C083097252}">
      <text>
        <r>
          <rPr>
            <b/>
            <sz val="9"/>
            <color indexed="81"/>
            <rFont val="Tahoma"/>
            <family val="2"/>
          </rPr>
          <t>Sophie Page:</t>
        </r>
        <r>
          <rPr>
            <sz val="9"/>
            <color indexed="81"/>
            <rFont val="Tahoma"/>
            <family val="2"/>
          </rPr>
          <t xml:space="preserve">
based on uncertainty from certificate. The SD of flow measurement is of similar magnitude</t>
        </r>
      </text>
    </comment>
    <comment ref="F29" authorId="0" shapeId="0" xr:uid="{15D9920E-5522-4C06-B501-69FBBF61E8C7}">
      <text>
        <r>
          <rPr>
            <b/>
            <sz val="9"/>
            <color indexed="81"/>
            <rFont val="Tahoma"/>
            <family val="2"/>
          </rPr>
          <t>Sophie Page:</t>
        </r>
        <r>
          <rPr>
            <sz val="9"/>
            <color indexed="81"/>
            <rFont val="Tahoma"/>
            <family val="2"/>
          </rPr>
          <t xml:space="preserve">
FelxCal-H flow meter is broken. Instead split flow was measured by connecting the 1/8 inch tubing after the split, but before the merge with the cold vapour output, to the ADM flow meter. However this had to be done before turning on the ICP, so may not be as accurate.</t>
        </r>
      </text>
    </comment>
    <comment ref="G29" authorId="0" shapeId="0" xr:uid="{D8DBDA3E-1F2E-49D2-854A-2770C89A4730}">
      <text>
        <r>
          <rPr>
            <b/>
            <sz val="9"/>
            <color indexed="81"/>
            <rFont val="Tahoma"/>
            <family val="2"/>
          </rPr>
          <t>Sophie Page:</t>
        </r>
        <r>
          <rPr>
            <sz val="9"/>
            <color indexed="81"/>
            <rFont val="Tahoma"/>
            <family val="2"/>
          </rPr>
          <t xml:space="preserve">
based on uncertainty from certificate. The SD of flow measurement is of similar magnitude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Sophie Page</author>
  </authors>
  <commentList>
    <comment ref="H12" authorId="0" shapeId="0" xr:uid="{B96C7011-EAB0-4453-8C42-10E8FC52D81A}">
      <text>
        <r>
          <rPr>
            <b/>
            <sz val="9"/>
            <color indexed="81"/>
            <rFont val="Tahoma"/>
            <family val="2"/>
          </rPr>
          <t>Sophie Page:</t>
        </r>
        <r>
          <rPr>
            <sz val="9"/>
            <color indexed="81"/>
            <rFont val="Tahoma"/>
            <family val="2"/>
          </rPr>
          <t xml:space="preserve">
Concentration and uncertainty from reverse IDMS of 199Hg from 10/02/2022 SP/PP 
(T:\QT20\Inorganic Speciation Analysis Team\Projects\Current\CBM2125\WP2\220210 Reverse IDMS 199Hg)</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E13E228-D24A-480F-910D-812DDC5318DB}" name="Connection" type="4" refreshedVersion="7" background="1" saveData="1">
    <webPr sourceData="1" parsePre="1" consecutive="1" xl2000="1" url="https://www.ciaaw.org/mercury.htm" htmlTables="1" htmlFormat="all"/>
  </connection>
</connections>
</file>

<file path=xl/sharedStrings.xml><?xml version="1.0" encoding="utf-8"?>
<sst xmlns="http://schemas.openxmlformats.org/spreadsheetml/2006/main" count="479" uniqueCount="188">
  <si>
    <t>Term</t>
  </si>
  <si>
    <t>Unit</t>
  </si>
  <si>
    <t>Value</t>
  </si>
  <si>
    <t>Uncertainty</t>
  </si>
  <si>
    <t>natHg Atomic weight</t>
  </si>
  <si>
    <t>g mol-1</t>
  </si>
  <si>
    <t>199Hg Atomic weight</t>
  </si>
  <si>
    <t>199Hg IR (202/199)</t>
  </si>
  <si>
    <t>natHg IR (199/202)</t>
  </si>
  <si>
    <t>Blend IR (202/199)</t>
  </si>
  <si>
    <t>measured</t>
  </si>
  <si>
    <t>cert</t>
  </si>
  <si>
    <t>Generator mass flow (natHg)</t>
  </si>
  <si>
    <t>Total Gen flow</t>
  </si>
  <si>
    <t>Waste Gen Flow</t>
  </si>
  <si>
    <t>[sl min-1]</t>
  </si>
  <si>
    <t>Type (measured/calc)</t>
  </si>
  <si>
    <t>calculated</t>
  </si>
  <si>
    <t>Spike Mass Flow 199Hg</t>
  </si>
  <si>
    <t>cert (IUPAC website)</t>
  </si>
  <si>
    <t>Atomic mass (Da)</t>
  </si>
  <si>
    <t>Isotopic abundance (amount fraction)</t>
  </si>
  <si>
    <t>195.965 83(2)</t>
  </si>
  <si>
    <t>0.0015(1)</t>
  </si>
  <si>
    <t>197.966 769(3)</t>
  </si>
  <si>
    <t>0.1004(3)</t>
  </si>
  <si>
    <t>198.968 281(4)</t>
  </si>
  <si>
    <t>0.1694(12)</t>
  </si>
  <si>
    <t>199.968 327(4)</t>
  </si>
  <si>
    <t>0.2314(9)</t>
  </si>
  <si>
    <t>200.970 303(5)</t>
  </si>
  <si>
    <t>0.1317(9)</t>
  </si>
  <si>
    <t>201.970 644(5)</t>
  </si>
  <si>
    <t>0.2974(13)</t>
  </si>
  <si>
    <t>203.973 494(3)</t>
  </si>
  <si>
    <t>0.0682(4)</t>
  </si>
  <si>
    <t>Atomic mass 196Hg</t>
  </si>
  <si>
    <t>Atomic mass 198Hg</t>
  </si>
  <si>
    <t>Atomic mass 199Hg</t>
  </si>
  <si>
    <t>Atomic mass 200Hg</t>
  </si>
  <si>
    <t>Atomic mass 201Hg</t>
  </si>
  <si>
    <t>Atomic mass 202Hg</t>
  </si>
  <si>
    <t>Atomic mass 204Hg</t>
  </si>
  <si>
    <t>Da</t>
  </si>
  <si>
    <t>natHg Atom fraction202Hg</t>
  </si>
  <si>
    <t>natHg Atom fraction199Hg</t>
  </si>
  <si>
    <t>budget</t>
  </si>
  <si>
    <r>
      <t>(difference)</t>
    </r>
    <r>
      <rPr>
        <vertAlign val="superscript"/>
        <sz val="11"/>
        <color theme="1"/>
        <rFont val="Calibri"/>
        <family val="2"/>
        <scheme val="minor"/>
      </rPr>
      <t>2</t>
    </r>
  </si>
  <si>
    <t>Auto updating table from the website</t>
  </si>
  <si>
    <t>Dilution with 3 weighings (bottle-analyte-solvent)</t>
  </si>
  <si>
    <t>Analyte/Std ID</t>
  </si>
  <si>
    <t>Analyst/Lab book</t>
  </si>
  <si>
    <t>Solvent</t>
  </si>
  <si>
    <t>Date</t>
  </si>
  <si>
    <t>Source/Lot no</t>
  </si>
  <si>
    <t>Balance</t>
  </si>
  <si>
    <t>Bottle</t>
  </si>
  <si>
    <t>Data:</t>
  </si>
  <si>
    <t>value</t>
  </si>
  <si>
    <t>repeat</t>
  </si>
  <si>
    <t>linearity</t>
  </si>
  <si>
    <t>std. uncert.</t>
  </si>
  <si>
    <t>n</t>
  </si>
  <si>
    <t>derivatives</t>
  </si>
  <si>
    <t>variances</t>
  </si>
  <si>
    <r>
      <t>m</t>
    </r>
    <r>
      <rPr>
        <vertAlign val="subscript"/>
        <sz val="11"/>
        <rFont val="Calibri"/>
        <family val="2"/>
        <scheme val="minor"/>
      </rPr>
      <t>1</t>
    </r>
  </si>
  <si>
    <t>g</t>
  </si>
  <si>
    <t>%</t>
  </si>
  <si>
    <r>
      <t>m</t>
    </r>
    <r>
      <rPr>
        <vertAlign val="subscript"/>
        <sz val="11"/>
        <rFont val="Calibri"/>
        <family val="2"/>
        <scheme val="minor"/>
      </rPr>
      <t>2</t>
    </r>
  </si>
  <si>
    <r>
      <t>m</t>
    </r>
    <r>
      <rPr>
        <vertAlign val="subscript"/>
        <sz val="11"/>
        <rFont val="Calibri"/>
        <family val="2"/>
        <scheme val="minor"/>
      </rPr>
      <t>3</t>
    </r>
  </si>
  <si>
    <r>
      <t>w</t>
    </r>
    <r>
      <rPr>
        <vertAlign val="subscript"/>
        <sz val="11"/>
        <rFont val="Calibri"/>
        <family val="2"/>
        <scheme val="minor"/>
      </rPr>
      <t>stock</t>
    </r>
  </si>
  <si>
    <t>Bottle +analyte</t>
  </si>
  <si>
    <t>sum</t>
  </si>
  <si>
    <t>Results</t>
  </si>
  <si>
    <t>mass (g)</t>
  </si>
  <si>
    <t>uncert.</t>
  </si>
  <si>
    <t>unit</t>
  </si>
  <si>
    <t>rsu (%)</t>
  </si>
  <si>
    <r>
      <t>w</t>
    </r>
    <r>
      <rPr>
        <vertAlign val="subscript"/>
        <sz val="11"/>
        <rFont val="Calibri"/>
        <family val="2"/>
        <scheme val="minor"/>
      </rPr>
      <t>Analyte</t>
    </r>
  </si>
  <si>
    <r>
      <t>w</t>
    </r>
    <r>
      <rPr>
        <b/>
        <vertAlign val="subscript"/>
        <sz val="11"/>
        <rFont val="Calibri"/>
        <family val="2"/>
        <scheme val="minor"/>
      </rPr>
      <t>Analyte</t>
    </r>
  </si>
  <si>
    <t>µg/g</t>
  </si>
  <si>
    <t>Bottle +analyte+solvent</t>
  </si>
  <si>
    <t>m(Analyte)</t>
  </si>
  <si>
    <t>m (Solution)</t>
  </si>
  <si>
    <t>calculated (external)</t>
  </si>
  <si>
    <t>Anotation</t>
  </si>
  <si>
    <t>W(199Hg)</t>
  </si>
  <si>
    <t>Aw(196Hg)</t>
  </si>
  <si>
    <t>Aw(198Hg)</t>
  </si>
  <si>
    <t>Aw(199Hg)</t>
  </si>
  <si>
    <t>Aw(200Hg)</t>
  </si>
  <si>
    <t>Aw(201Hg)</t>
  </si>
  <si>
    <t>Aw(202Hg)</t>
  </si>
  <si>
    <t>Aw(204Hg)</t>
  </si>
  <si>
    <t>F(Gen_tot)</t>
  </si>
  <si>
    <t>F(Gen_exh)</t>
  </si>
  <si>
    <t>Rb(202Hg/199Hg)</t>
  </si>
  <si>
    <t>A(202Hg)_n</t>
  </si>
  <si>
    <t>Rn(199Hg/202Hg)</t>
  </si>
  <si>
    <t>A(199Hg)_n</t>
  </si>
  <si>
    <t>[pg min-1]</t>
  </si>
  <si>
    <t>F(PP)</t>
  </si>
  <si>
    <t>[g min-1]</t>
  </si>
  <si>
    <t>Vf</t>
  </si>
  <si>
    <t>Peri Pump flow</t>
  </si>
  <si>
    <t>Valumetric flow (split-flow)</t>
  </si>
  <si>
    <t>MFt_e</t>
  </si>
  <si>
    <t>pg g-1</t>
  </si>
  <si>
    <t>enrHg Atom fraction 198Hg</t>
  </si>
  <si>
    <t>enrHg Atom fraction 200Hg</t>
  </si>
  <si>
    <t>enrHg Atom fraction 201Hg</t>
  </si>
  <si>
    <t>enrHg Atom fraction 202Hg</t>
  </si>
  <si>
    <t>enrHg Atom fraction 204Hg</t>
  </si>
  <si>
    <t>enrHg Atom fraction199Hg</t>
  </si>
  <si>
    <t>enrHg mass fraction</t>
  </si>
  <si>
    <t>enrHg Atom fraction 196Hg</t>
  </si>
  <si>
    <t>MFgen</t>
  </si>
  <si>
    <t>A(199Hg)_e</t>
  </si>
  <si>
    <t>A(196Hg)_e</t>
  </si>
  <si>
    <t>A(198Hg)_e</t>
  </si>
  <si>
    <t>A(200Hg)_e</t>
  </si>
  <si>
    <t>A(201Hg)_e</t>
  </si>
  <si>
    <t>A(202Hg)_e</t>
  </si>
  <si>
    <t>A(204Hg)_e</t>
  </si>
  <si>
    <t>Aw(Hg_e)</t>
  </si>
  <si>
    <t>Aw(Hg_n)</t>
  </si>
  <si>
    <t>Squared deviations</t>
  </si>
  <si>
    <t>Budget</t>
  </si>
  <si>
    <t>Re(202Hg/199Hg)</t>
  </si>
  <si>
    <t>Uncertainty Budget</t>
  </si>
  <si>
    <t>RSU</t>
  </si>
  <si>
    <t>SD</t>
  </si>
  <si>
    <t>RSD</t>
  </si>
  <si>
    <t>Bias</t>
  </si>
  <si>
    <t>Reference flow</t>
  </si>
  <si>
    <t>Standard uncertainty</t>
  </si>
  <si>
    <t>Corrected flow</t>
  </si>
  <si>
    <t>Measured flow [ml min-1]</t>
  </si>
  <si>
    <t>199Hg Spike (ORNL) SAMD/116 in 20% HNO3 prepared 02/03/2005</t>
  </si>
  <si>
    <t>10 % v/v c.HCl Romil UpA</t>
  </si>
  <si>
    <t>TBC</t>
  </si>
  <si>
    <t>ng/g</t>
  </si>
  <si>
    <t>pg/g</t>
  </si>
  <si>
    <t>ng m-3 (=pg/L)</t>
  </si>
  <si>
    <t>Time [min]</t>
  </si>
  <si>
    <t>weight loss [g]</t>
  </si>
  <si>
    <t>Momentum mass flow [g/min]</t>
  </si>
  <si>
    <t>Mass flow [g/min]</t>
  </si>
  <si>
    <t>Mass flow at sample scale</t>
  </si>
  <si>
    <t>AVG</t>
  </si>
  <si>
    <t>Time [s]</t>
  </si>
  <si>
    <t>Peripump Massflow Determination</t>
  </si>
  <si>
    <t>Peripump</t>
  </si>
  <si>
    <t>Analysts</t>
  </si>
  <si>
    <t>ICP-MS06 peripump</t>
  </si>
  <si>
    <t>Solution</t>
  </si>
  <si>
    <t>Calibration Unceratinty (k=1)</t>
  </si>
  <si>
    <t>Repeatability</t>
  </si>
  <si>
    <t>Combined U</t>
  </si>
  <si>
    <t>ü</t>
  </si>
  <si>
    <t>mol mol-1</t>
  </si>
  <si>
    <r>
      <t xml:space="preserve">ext file checked </t>
    </r>
    <r>
      <rPr>
        <sz val="11"/>
        <color rgb="FF00B050"/>
        <rFont val="Wingdings"/>
        <charset val="2"/>
      </rPr>
      <t>ü</t>
    </r>
  </si>
  <si>
    <t>Volumetric flow (split-flow)</t>
  </si>
  <si>
    <t>Flow IDMS Calculation Overview</t>
  </si>
  <si>
    <t>Date of Calculation</t>
  </si>
  <si>
    <t>Date of Analysis</t>
  </si>
  <si>
    <t>Analyst(s)</t>
  </si>
  <si>
    <t>Detector</t>
  </si>
  <si>
    <t>Generator</t>
  </si>
  <si>
    <t>Mass Flow Meter</t>
  </si>
  <si>
    <t>CV</t>
  </si>
  <si>
    <t>Set-up</t>
  </si>
  <si>
    <t>Gen Flow Settings</t>
  </si>
  <si>
    <t>SP</t>
  </si>
  <si>
    <t>ICP-MS06</t>
  </si>
  <si>
    <t>Drycal Pro Flexcal (S/N 175689)</t>
  </si>
  <si>
    <t>Cetac HGX-200</t>
  </si>
  <si>
    <t>Panayot's Flow IDMS set-up</t>
  </si>
  <si>
    <t>Temp (°C)</t>
  </si>
  <si>
    <t>Press(hPa)</t>
  </si>
  <si>
    <t>SP1 88, 92</t>
  </si>
  <si>
    <t>Ohaus Explorer EX224 S/N C212744832</t>
  </si>
  <si>
    <t>PSA 10.532 fixed flow HgCl2</t>
  </si>
  <si>
    <t>199Hg Dilution 1 - 25/04/2023 SP1 pg. 122</t>
  </si>
  <si>
    <t>199Hg Dilution 2 - 25/04/2023 SP1 pg. 122</t>
  </si>
  <si>
    <t>0.5 ppb 199Hg - 25/04/2023 SP1 pg. 123</t>
  </si>
  <si>
    <t>14.8 L/min dil + 9 mL/min res</t>
  </si>
  <si>
    <t>199Hg in 10% v/v HCl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</si>
</sst>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0.000"/>
    <numFmt numFmtId="165" formatCode="0.0000000"/>
    <numFmt numFmtId="166" formatCode="0.000000"/>
    <numFmt numFmtId="167" formatCode="0.00000"/>
    <numFmt numFmtId="168" formatCode="0.0000"/>
    <numFmt numFmtId="169" formatCode="0.0"/>
    <numFmt numFmtId="170" formatCode="0.0E+00"/>
    <numFmt numFmtId="171" formatCode="_-* #,##0.0000_-;\-* #,##0.0000_-;_-* &quot;-&quot;??_-;_-@_-"/>
    <numFmt numFmtId="172" formatCode="0.0%"/>
    <numFmt numFmtId="173" formatCode="0.000%"/>
  </numFmts>
  <fonts count="31">
    <font>
      <sz val="11"/>
      <color theme="1"/>
      <name val="Calibri"/>
      <family val="2"/>
      <scheme val="minor"/>
    </font>
    <font>
      <sz val="11"/>
      <color rgb="FFFF0000"/>
      <name val="Calibri"/>
      <family val="2"/>
      <scheme val="minor"/>
    </font>
    <font>
      <b/>
      <sz val="11"/>
      <color theme="1"/>
      <name val="Calibri"/>
      <family val="2"/>
      <scheme val="minor"/>
    </font>
    <font>
      <sz val="10"/>
      <name val="MS Sans Serif"/>
      <family val="2"/>
    </font>
    <font>
      <b/>
      <sz val="10"/>
      <name val="Arial"/>
      <family val="2"/>
    </font>
    <font>
      <sz val="11"/>
      <color theme="1"/>
      <name val="Calibri"/>
      <family val="2"/>
    </font>
    <font>
      <sz val="10"/>
      <color theme="1"/>
      <name val="Calibri"/>
      <family val="2"/>
      <scheme val="minor"/>
    </font>
    <font>
      <vertAlign val="superscript"/>
      <sz val="11"/>
      <color theme="1"/>
      <name val="Calibri"/>
      <family val="2"/>
      <scheme val="minor"/>
    </font>
    <font>
      <sz val="11"/>
      <color theme="1"/>
      <name val="Calibri"/>
      <family val="2"/>
      <scheme val="minor"/>
    </font>
    <font>
      <b/>
      <sz val="11"/>
      <color indexed="48"/>
      <name val="Calibri"/>
      <family val="2"/>
      <scheme val="minor"/>
    </font>
    <font>
      <sz val="11"/>
      <name val="Calibri"/>
      <family val="2"/>
      <scheme val="minor"/>
    </font>
    <font>
      <sz val="11"/>
      <color indexed="12"/>
      <name val="Calibri"/>
      <family val="2"/>
      <scheme val="minor"/>
    </font>
    <font>
      <b/>
      <sz val="11"/>
      <name val="Calibri"/>
      <family val="2"/>
      <scheme val="minor"/>
    </font>
    <font>
      <sz val="10"/>
      <name val="Times New Roman"/>
      <family val="1"/>
    </font>
    <font>
      <i/>
      <sz val="11"/>
      <name val="Calibri"/>
      <family val="2"/>
      <scheme val="minor"/>
    </font>
    <font>
      <vertAlign val="subscript"/>
      <sz val="11"/>
      <name val="Calibri"/>
      <family val="2"/>
      <scheme val="minor"/>
    </font>
    <font>
      <sz val="11"/>
      <color rgb="FF7030A0"/>
      <name val="Calibri"/>
      <family val="2"/>
      <scheme val="minor"/>
    </font>
    <font>
      <sz val="11"/>
      <color indexed="17"/>
      <name val="Calibri"/>
      <family val="2"/>
      <scheme val="minor"/>
    </font>
    <font>
      <sz val="10"/>
      <name val="Times New Roman"/>
      <family val="1"/>
    </font>
    <font>
      <sz val="11"/>
      <color indexed="10"/>
      <name val="Calibri"/>
      <family val="2"/>
      <scheme val="minor"/>
    </font>
    <font>
      <b/>
      <vertAlign val="subscript"/>
      <sz val="11"/>
      <name val="Calibri"/>
      <family val="2"/>
      <scheme val="minor"/>
    </font>
    <font>
      <sz val="11"/>
      <color rgb="FF0000FF"/>
      <name val="Calibri"/>
      <family val="2"/>
      <scheme val="minor"/>
    </font>
    <font>
      <b/>
      <sz val="14"/>
      <color theme="1"/>
      <name val="Calibri"/>
      <family val="2"/>
      <scheme val="minor"/>
    </font>
    <font>
      <sz val="9"/>
      <color indexed="81"/>
      <name val="Tahoma"/>
      <family val="2"/>
    </font>
    <font>
      <b/>
      <sz val="9"/>
      <color indexed="81"/>
      <name val="Tahoma"/>
      <family val="2"/>
    </font>
    <font>
      <b/>
      <sz val="11"/>
      <color rgb="FF00B050"/>
      <name val="Wingdings"/>
      <charset val="2"/>
    </font>
    <font>
      <sz val="8"/>
      <name val="Calibri"/>
      <family val="2"/>
      <scheme val="minor"/>
    </font>
    <font>
      <sz val="11"/>
      <color rgb="FF00B050"/>
      <name val="Calibri"/>
      <family val="2"/>
      <scheme val="minor"/>
    </font>
    <font>
      <sz val="11"/>
      <color rgb="FF00B050"/>
      <name val="Wingdings"/>
      <charset val="2"/>
    </font>
    <font>
      <b/>
      <sz val="16"/>
      <color theme="1"/>
      <name val="Calibri"/>
      <family val="2"/>
      <scheme val="minor"/>
    </font>
    <font>
      <b/>
      <sz val="11"/>
      <color rgb="FFFF0000"/>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EFEFE"/>
        <bgColor indexed="64"/>
      </patternFill>
    </fill>
    <fill>
      <patternFill patternType="solid">
        <fgColor rgb="FFFFFF00"/>
        <bgColor indexed="64"/>
      </patternFill>
    </fill>
    <fill>
      <patternFill patternType="solid">
        <fgColor theme="7" tint="0.39997558519241921"/>
        <bgColor indexed="64"/>
      </patternFill>
    </fill>
  </fills>
  <borders count="28">
    <border>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s>
  <cellStyleXfs count="9">
    <xf numFmtId="0" fontId="0" fillId="0" borderId="0"/>
    <xf numFmtId="0" fontId="3" fillId="0" borderId="0"/>
    <xf numFmtId="9" fontId="8" fillId="0" borderId="0" applyFont="0" applyFill="0" applyBorder="0" applyAlignment="0" applyProtection="0"/>
    <xf numFmtId="0" fontId="13" fillId="0" borderId="0"/>
    <xf numFmtId="43" fontId="18" fillId="0" borderId="0" applyFont="0" applyFill="0" applyBorder="0" applyAlignment="0" applyProtection="0"/>
    <xf numFmtId="43" fontId="8" fillId="0" borderId="0" applyFont="0" applyFill="0" applyBorder="0" applyAlignment="0" applyProtection="0"/>
    <xf numFmtId="0" fontId="8" fillId="0" borderId="0"/>
    <xf numFmtId="0" fontId="13" fillId="0" borderId="0"/>
    <xf numFmtId="43" fontId="13" fillId="0" borderId="0" applyFont="0" applyFill="0" applyBorder="0" applyAlignment="0" applyProtection="0"/>
  </cellStyleXfs>
  <cellXfs count="161">
    <xf numFmtId="0" fontId="0" fillId="0" borderId="0" xfId="0"/>
    <xf numFmtId="0" fontId="5" fillId="0" borderId="0" xfId="0" applyFont="1"/>
    <xf numFmtId="0" fontId="6" fillId="5" borderId="0" xfId="0" applyFont="1" applyFill="1" applyAlignment="1">
      <alignment horizontal="left" vertical="center" wrapText="1"/>
    </xf>
    <xf numFmtId="0" fontId="6" fillId="5" borderId="0" xfId="0" applyFont="1" applyFill="1" applyAlignment="1">
      <alignment vertical="center" wrapText="1"/>
    </xf>
    <xf numFmtId="0" fontId="10" fillId="0" borderId="0" xfId="0" applyFont="1" applyProtection="1">
      <protection locked="0"/>
    </xf>
    <xf numFmtId="0" fontId="0" fillId="0" borderId="17" xfId="0" applyBorder="1"/>
    <xf numFmtId="0" fontId="0" fillId="4" borderId="17" xfId="0" applyFill="1" applyBorder="1"/>
    <xf numFmtId="0" fontId="0" fillId="3" borderId="17" xfId="0" applyFill="1" applyBorder="1"/>
    <xf numFmtId="0" fontId="0" fillId="0" borderId="20" xfId="0" applyBorder="1"/>
    <xf numFmtId="0" fontId="0" fillId="0" borderId="23" xfId="0" applyBorder="1"/>
    <xf numFmtId="0" fontId="1" fillId="0" borderId="19" xfId="0" applyFont="1" applyBorder="1"/>
    <xf numFmtId="0" fontId="1" fillId="0" borderId="0" xfId="0" applyFont="1"/>
    <xf numFmtId="0" fontId="0" fillId="6" borderId="20" xfId="0" applyFill="1" applyBorder="1"/>
    <xf numFmtId="0" fontId="0" fillId="6" borderId="23" xfId="0" applyFill="1" applyBorder="1"/>
    <xf numFmtId="0" fontId="0" fillId="6" borderId="17" xfId="0" applyFill="1" applyBorder="1"/>
    <xf numFmtId="169" fontId="0" fillId="6" borderId="17" xfId="0" applyNumberFormat="1" applyFill="1" applyBorder="1"/>
    <xf numFmtId="0" fontId="0" fillId="6" borderId="0" xfId="0" applyFill="1"/>
    <xf numFmtId="165" fontId="0" fillId="0" borderId="17" xfId="0" applyNumberFormat="1" applyBorder="1"/>
    <xf numFmtId="49" fontId="4" fillId="2" borderId="19" xfId="1" applyNumberFormat="1" applyFont="1" applyFill="1" applyBorder="1" applyAlignment="1">
      <alignment horizontal="center" vertical="center"/>
    </xf>
    <xf numFmtId="49" fontId="4" fillId="2" borderId="17" xfId="1" applyNumberFormat="1" applyFont="1" applyFill="1" applyBorder="1" applyAlignment="1">
      <alignment horizontal="center" vertical="center"/>
    </xf>
    <xf numFmtId="49" fontId="4" fillId="2" borderId="18" xfId="1" applyNumberFormat="1" applyFont="1" applyFill="1" applyBorder="1" applyAlignment="1">
      <alignment horizontal="center" vertical="center"/>
    </xf>
    <xf numFmtId="49" fontId="4" fillId="2" borderId="20" xfId="1" applyNumberFormat="1" applyFont="1" applyFill="1" applyBorder="1" applyAlignment="1">
      <alignment horizontal="center" vertical="center"/>
    </xf>
    <xf numFmtId="0" fontId="2" fillId="0" borderId="26" xfId="0" applyFont="1" applyBorder="1"/>
    <xf numFmtId="0" fontId="0" fillId="0" borderId="19" xfId="0" applyBorder="1"/>
    <xf numFmtId="169" fontId="0" fillId="0" borderId="17" xfId="0" applyNumberFormat="1" applyBorder="1"/>
    <xf numFmtId="171" fontId="0" fillId="0" borderId="26" xfId="5" applyNumberFormat="1" applyFont="1" applyBorder="1"/>
    <xf numFmtId="9" fontId="0" fillId="0" borderId="17" xfId="2" applyFont="1" applyBorder="1"/>
    <xf numFmtId="0" fontId="0" fillId="0" borderId="22" xfId="0" applyBorder="1"/>
    <xf numFmtId="9" fontId="0" fillId="0" borderId="22" xfId="2" applyFont="1" applyBorder="1"/>
    <xf numFmtId="9" fontId="0" fillId="0" borderId="0" xfId="0" applyNumberFormat="1"/>
    <xf numFmtId="0" fontId="0" fillId="7" borderId="0" xfId="0" applyFill="1"/>
    <xf numFmtId="11" fontId="0" fillId="0" borderId="0" xfId="0" applyNumberFormat="1"/>
    <xf numFmtId="11" fontId="0" fillId="0" borderId="17" xfId="0" applyNumberFormat="1" applyBorder="1"/>
    <xf numFmtId="2" fontId="0" fillId="0" borderId="17" xfId="0" applyNumberFormat="1" applyBorder="1"/>
    <xf numFmtId="168" fontId="0" fillId="0" borderId="17" xfId="0" applyNumberFormat="1" applyBorder="1"/>
    <xf numFmtId="164" fontId="0" fillId="0" borderId="17" xfId="0" applyNumberFormat="1" applyBorder="1"/>
    <xf numFmtId="0" fontId="2" fillId="0" borderId="21" xfId="0" applyFont="1" applyBorder="1"/>
    <xf numFmtId="0" fontId="2" fillId="0" borderId="22" xfId="0" applyFont="1" applyBorder="1"/>
    <xf numFmtId="1" fontId="2" fillId="0" borderId="22" xfId="0" applyNumberFormat="1" applyFont="1" applyBorder="1"/>
    <xf numFmtId="169" fontId="0" fillId="4" borderId="17" xfId="0" applyNumberFormat="1" applyFill="1" applyBorder="1"/>
    <xf numFmtId="10" fontId="0" fillId="0" borderId="0" xfId="2" applyNumberFormat="1" applyFont="1"/>
    <xf numFmtId="10" fontId="0" fillId="0" borderId="17" xfId="0" applyNumberFormat="1" applyBorder="1"/>
    <xf numFmtId="164" fontId="21" fillId="0" borderId="17" xfId="0" applyNumberFormat="1" applyFont="1" applyBorder="1"/>
    <xf numFmtId="0" fontId="22" fillId="0" borderId="0" xfId="0" applyFont="1"/>
    <xf numFmtId="0" fontId="2" fillId="0" borderId="0" xfId="0" applyFont="1"/>
    <xf numFmtId="172" fontId="0" fillId="0" borderId="0" xfId="2" applyNumberFormat="1" applyFont="1"/>
    <xf numFmtId="2" fontId="2" fillId="0" borderId="22" xfId="0" applyNumberFormat="1" applyFont="1" applyBorder="1"/>
    <xf numFmtId="164" fontId="2" fillId="0" borderId="22" xfId="0" applyNumberFormat="1" applyFont="1" applyBorder="1"/>
    <xf numFmtId="0" fontId="9" fillId="0" borderId="0" xfId="6" applyFont="1" applyProtection="1">
      <protection locked="0"/>
    </xf>
    <xf numFmtId="0" fontId="10" fillId="0" borderId="0" xfId="6" applyFont="1"/>
    <xf numFmtId="0" fontId="10" fillId="0" borderId="0" xfId="6" applyFont="1" applyProtection="1">
      <protection locked="0"/>
    </xf>
    <xf numFmtId="0" fontId="11" fillId="2" borderId="0" xfId="6" applyFont="1" applyFill="1" applyProtection="1">
      <protection locked="0"/>
    </xf>
    <xf numFmtId="0" fontId="10" fillId="2" borderId="0" xfId="6" applyFont="1" applyFill="1" applyProtection="1">
      <protection locked="0"/>
    </xf>
    <xf numFmtId="14" fontId="11" fillId="2" borderId="0" xfId="6" applyNumberFormat="1" applyFont="1" applyFill="1" applyAlignment="1" applyProtection="1">
      <alignment horizontal="center"/>
      <protection locked="0"/>
    </xf>
    <xf numFmtId="0" fontId="11" fillId="0" borderId="0" xfId="6" applyFont="1" applyProtection="1">
      <protection locked="0"/>
    </xf>
    <xf numFmtId="0" fontId="12" fillId="0" borderId="2" xfId="6" applyFont="1" applyBorder="1" applyAlignment="1">
      <alignment horizontal="left"/>
    </xf>
    <xf numFmtId="0" fontId="10" fillId="0" borderId="3" xfId="6" applyFont="1" applyBorder="1"/>
    <xf numFmtId="0" fontId="10" fillId="0" borderId="3" xfId="6" applyFont="1" applyBorder="1" applyAlignment="1">
      <alignment horizontal="center"/>
    </xf>
    <xf numFmtId="14" fontId="10" fillId="0" borderId="3" xfId="6" applyNumberFormat="1" applyFont="1" applyBorder="1" applyAlignment="1">
      <alignment horizontal="center"/>
    </xf>
    <xf numFmtId="0" fontId="10" fillId="0" borderId="1" xfId="6" applyFont="1" applyBorder="1"/>
    <xf numFmtId="0" fontId="10" fillId="0" borderId="0" xfId="6" applyFont="1" applyAlignment="1">
      <alignment horizontal="center"/>
    </xf>
    <xf numFmtId="0" fontId="10" fillId="0" borderId="5" xfId="6" applyFont="1" applyBorder="1"/>
    <xf numFmtId="168" fontId="11" fillId="2" borderId="0" xfId="7" applyNumberFormat="1" applyFont="1" applyFill="1" applyAlignment="1" applyProtection="1">
      <alignment horizontal="center"/>
      <protection locked="0"/>
    </xf>
    <xf numFmtId="0" fontId="12" fillId="0" borderId="0" xfId="6" applyFont="1"/>
    <xf numFmtId="0" fontId="14" fillId="0" borderId="6" xfId="6" applyFont="1" applyBorder="1" applyAlignment="1">
      <alignment horizontal="center"/>
    </xf>
    <xf numFmtId="0" fontId="11" fillId="0" borderId="0" xfId="6" applyFont="1" applyAlignment="1" applyProtection="1">
      <alignment horizontal="center"/>
      <protection locked="0"/>
    </xf>
    <xf numFmtId="170" fontId="16" fillId="0" borderId="0" xfId="6" applyNumberFormat="1" applyFont="1" applyAlignment="1">
      <alignment horizontal="center"/>
    </xf>
    <xf numFmtId="11" fontId="11" fillId="2" borderId="0" xfId="6" applyNumberFormat="1" applyFont="1" applyFill="1" applyAlignment="1" applyProtection="1">
      <alignment horizontal="center"/>
      <protection locked="0"/>
    </xf>
    <xf numFmtId="11" fontId="16" fillId="0" borderId="0" xfId="6" applyNumberFormat="1" applyFont="1" applyAlignment="1">
      <alignment horizontal="center"/>
    </xf>
    <xf numFmtId="0" fontId="11" fillId="0" borderId="6" xfId="6" applyFont="1" applyBorder="1" applyAlignment="1" applyProtection="1">
      <alignment horizontal="center"/>
      <protection locked="0"/>
    </xf>
    <xf numFmtId="11" fontId="17" fillId="0" borderId="0" xfId="6" applyNumberFormat="1" applyFont="1"/>
    <xf numFmtId="2" fontId="17" fillId="0" borderId="0" xfId="6" applyNumberFormat="1" applyFont="1"/>
    <xf numFmtId="0" fontId="17" fillId="0" borderId="0" xfId="6" applyFont="1"/>
    <xf numFmtId="166" fontId="11" fillId="0" borderId="0" xfId="6" applyNumberFormat="1" applyFont="1" applyAlignment="1" applyProtection="1">
      <alignment horizontal="center"/>
      <protection locked="0"/>
    </xf>
    <xf numFmtId="167" fontId="11" fillId="2" borderId="0" xfId="6" applyNumberFormat="1" applyFont="1" applyFill="1" applyAlignment="1" applyProtection="1">
      <alignment horizontal="center"/>
      <protection locked="0"/>
    </xf>
    <xf numFmtId="170" fontId="10" fillId="0" borderId="0" xfId="6" applyNumberFormat="1" applyFont="1" applyAlignment="1">
      <alignment horizontal="center"/>
    </xf>
    <xf numFmtId="11" fontId="10" fillId="0" borderId="0" xfId="6" applyNumberFormat="1" applyFont="1" applyAlignment="1">
      <alignment horizontal="center"/>
    </xf>
    <xf numFmtId="0" fontId="10" fillId="0" borderId="6" xfId="6" applyFont="1" applyBorder="1" applyAlignment="1">
      <alignment horizontal="center"/>
    </xf>
    <xf numFmtId="166" fontId="10" fillId="0" borderId="0" xfId="6" applyNumberFormat="1" applyFont="1" applyAlignment="1">
      <alignment horizontal="center"/>
    </xf>
    <xf numFmtId="11" fontId="10" fillId="0" borderId="0" xfId="6" applyNumberFormat="1" applyFont="1"/>
    <xf numFmtId="0" fontId="10" fillId="0" borderId="6" xfId="6" applyFont="1" applyBorder="1"/>
    <xf numFmtId="0" fontId="12" fillId="0" borderId="9" xfId="6" applyFont="1" applyBorder="1"/>
    <xf numFmtId="0" fontId="10" fillId="0" borderId="10" xfId="6" applyFont="1" applyBorder="1" applyAlignment="1">
      <alignment horizontal="center"/>
    </xf>
    <xf numFmtId="0" fontId="10" fillId="0" borderId="11" xfId="6" applyFont="1" applyBorder="1"/>
    <xf numFmtId="0" fontId="10" fillId="0" borderId="12" xfId="6" applyFont="1" applyBorder="1"/>
    <xf numFmtId="165" fontId="19" fillId="0" borderId="0" xfId="8" applyNumberFormat="1" applyFont="1" applyBorder="1" applyAlignment="1" applyProtection="1">
      <alignment horizontal="center"/>
    </xf>
    <xf numFmtId="0" fontId="19" fillId="0" borderId="0" xfId="6" applyFont="1" applyAlignment="1">
      <alignment horizontal="center"/>
    </xf>
    <xf numFmtId="168" fontId="19" fillId="0" borderId="0" xfId="6" applyNumberFormat="1" applyFont="1" applyAlignment="1">
      <alignment horizontal="center"/>
    </xf>
    <xf numFmtId="0" fontId="19" fillId="0" borderId="13" xfId="6" applyFont="1" applyBorder="1"/>
    <xf numFmtId="0" fontId="12" fillId="0" borderId="12" xfId="6" applyFont="1" applyBorder="1"/>
    <xf numFmtId="167" fontId="1" fillId="0" borderId="0" xfId="6" applyNumberFormat="1" applyFont="1" applyAlignment="1" applyProtection="1">
      <alignment horizontal="center"/>
      <protection locked="0"/>
    </xf>
    <xf numFmtId="0" fontId="1" fillId="2" borderId="0" xfId="6" applyFont="1" applyFill="1" applyAlignment="1" applyProtection="1">
      <alignment horizontal="center"/>
      <protection locked="0"/>
    </xf>
    <xf numFmtId="168" fontId="1" fillId="0" borderId="0" xfId="6" applyNumberFormat="1" applyFont="1" applyAlignment="1">
      <alignment horizontal="center"/>
    </xf>
    <xf numFmtId="0" fontId="1" fillId="0" borderId="13" xfId="6" applyFont="1" applyBorder="1" applyProtection="1">
      <protection locked="0"/>
    </xf>
    <xf numFmtId="170" fontId="10" fillId="0" borderId="12" xfId="6" applyNumberFormat="1" applyFont="1" applyBorder="1" applyAlignment="1">
      <alignment horizontal="center"/>
    </xf>
    <xf numFmtId="167" fontId="10" fillId="0" borderId="0" xfId="6" applyNumberFormat="1" applyFont="1" applyAlignment="1">
      <alignment horizontal="center"/>
    </xf>
    <xf numFmtId="0" fontId="10" fillId="0" borderId="13" xfId="6" applyFont="1" applyBorder="1"/>
    <xf numFmtId="167" fontId="19" fillId="0" borderId="0" xfId="6" applyNumberFormat="1" applyFont="1"/>
    <xf numFmtId="11" fontId="19" fillId="0" borderId="0" xfId="6" applyNumberFormat="1" applyFont="1"/>
    <xf numFmtId="0" fontId="19" fillId="0" borderId="0" xfId="6" applyFont="1"/>
    <xf numFmtId="164" fontId="19" fillId="0" borderId="0" xfId="6" applyNumberFormat="1" applyFont="1"/>
    <xf numFmtId="0" fontId="12" fillId="0" borderId="6" xfId="6" applyFont="1" applyBorder="1"/>
    <xf numFmtId="0" fontId="10" fillId="0" borderId="14" xfId="6" applyFont="1" applyBorder="1"/>
    <xf numFmtId="167" fontId="19" fillId="0" borderId="15" xfId="6" applyNumberFormat="1" applyFont="1" applyBorder="1"/>
    <xf numFmtId="11" fontId="19" fillId="0" borderId="15" xfId="6" applyNumberFormat="1" applyFont="1" applyBorder="1"/>
    <xf numFmtId="0" fontId="19" fillId="0" borderId="15" xfId="6" applyFont="1" applyBorder="1"/>
    <xf numFmtId="0" fontId="19" fillId="0" borderId="16" xfId="6" applyFont="1" applyBorder="1"/>
    <xf numFmtId="0" fontId="11" fillId="2" borderId="0" xfId="6" applyFont="1" applyFill="1" applyAlignment="1" applyProtection="1">
      <alignment horizontal="center"/>
      <protection locked="0"/>
    </xf>
    <xf numFmtId="0" fontId="14" fillId="0" borderId="0" xfId="6" applyFont="1" applyAlignment="1">
      <alignment horizontal="left"/>
    </xf>
    <xf numFmtId="168" fontId="10" fillId="0" borderId="0" xfId="6" applyNumberFormat="1" applyFont="1"/>
    <xf numFmtId="166" fontId="10" fillId="0" borderId="0" xfId="6" applyNumberFormat="1" applyFont="1"/>
    <xf numFmtId="164" fontId="10" fillId="0" borderId="0" xfId="6" applyNumberFormat="1" applyFont="1" applyAlignment="1">
      <alignment horizontal="center"/>
    </xf>
    <xf numFmtId="0" fontId="10" fillId="0" borderId="7" xfId="6" applyFont="1" applyBorder="1"/>
    <xf numFmtId="0" fontId="11" fillId="0" borderId="8" xfId="6" applyFont="1" applyBorder="1" applyProtection="1">
      <protection locked="0"/>
    </xf>
    <xf numFmtId="0" fontId="10" fillId="0" borderId="8" xfId="6" applyFont="1" applyBorder="1"/>
    <xf numFmtId="0" fontId="12" fillId="0" borderId="8" xfId="6" applyFont="1" applyBorder="1" applyAlignment="1">
      <alignment horizontal="left"/>
    </xf>
    <xf numFmtId="166" fontId="10" fillId="0" borderId="8" xfId="6" applyNumberFormat="1" applyFont="1" applyBorder="1"/>
    <xf numFmtId="164" fontId="10" fillId="0" borderId="8" xfId="6" applyNumberFormat="1" applyFont="1" applyBorder="1" applyAlignment="1">
      <alignment horizontal="center"/>
    </xf>
    <xf numFmtId="0" fontId="10" fillId="0" borderId="4" xfId="6" applyFont="1" applyBorder="1"/>
    <xf numFmtId="0" fontId="12" fillId="0" borderId="0" xfId="6" applyFont="1" applyAlignment="1">
      <alignment horizontal="left"/>
    </xf>
    <xf numFmtId="0" fontId="11" fillId="2" borderId="0" xfId="7" applyFont="1" applyFill="1" applyAlignment="1" applyProtection="1">
      <alignment horizontal="center"/>
      <protection locked="0"/>
    </xf>
    <xf numFmtId="167" fontId="21" fillId="2" borderId="0" xfId="6" applyNumberFormat="1" applyFont="1" applyFill="1" applyAlignment="1" applyProtection="1">
      <alignment horizontal="center"/>
      <protection locked="0"/>
    </xf>
    <xf numFmtId="0" fontId="10" fillId="0" borderId="17" xfId="0" applyFont="1" applyBorder="1"/>
    <xf numFmtId="2" fontId="10" fillId="0" borderId="17" xfId="0" applyNumberFormat="1" applyFont="1" applyBorder="1"/>
    <xf numFmtId="164" fontId="10" fillId="0" borderId="17" xfId="0" applyNumberFormat="1" applyFont="1" applyBorder="1"/>
    <xf numFmtId="0" fontId="2" fillId="0" borderId="17" xfId="0" applyFont="1" applyBorder="1"/>
    <xf numFmtId="0" fontId="2" fillId="0" borderId="0" xfId="0" applyFont="1" applyAlignment="1">
      <alignment horizontal="right" vertical="center"/>
    </xf>
    <xf numFmtId="164" fontId="0" fillId="0" borderId="0" xfId="0" applyNumberFormat="1" applyAlignment="1">
      <alignment horizontal="center" vertical="center"/>
    </xf>
    <xf numFmtId="0" fontId="2" fillId="6" borderId="0" xfId="0" applyFont="1" applyFill="1" applyAlignment="1">
      <alignment horizontal="right" vertical="center"/>
    </xf>
    <xf numFmtId="172" fontId="8" fillId="6" borderId="0" xfId="2" applyNumberFormat="1" applyFont="1" applyFill="1" applyAlignment="1">
      <alignment horizontal="center" vertical="center"/>
    </xf>
    <xf numFmtId="14" fontId="0" fillId="0" borderId="0" xfId="0" applyNumberFormat="1"/>
    <xf numFmtId="2" fontId="21" fillId="0" borderId="17" xfId="0" applyNumberFormat="1" applyFont="1" applyBorder="1"/>
    <xf numFmtId="169" fontId="21" fillId="0" borderId="17" xfId="0" applyNumberFormat="1" applyFont="1" applyBorder="1"/>
    <xf numFmtId="173" fontId="0" fillId="0" borderId="0" xfId="2" applyNumberFormat="1" applyFont="1"/>
    <xf numFmtId="169" fontId="2" fillId="0" borderId="0" xfId="0" applyNumberFormat="1" applyFont="1"/>
    <xf numFmtId="0" fontId="21" fillId="2" borderId="0" xfId="6" applyFont="1" applyFill="1" applyProtection="1">
      <protection locked="0"/>
    </xf>
    <xf numFmtId="14" fontId="11" fillId="2" borderId="0" xfId="6" applyNumberFormat="1" applyFont="1" applyFill="1" applyAlignment="1" applyProtection="1">
      <alignment horizontal="left"/>
      <protection locked="0"/>
    </xf>
    <xf numFmtId="0" fontId="25" fillId="0" borderId="0" xfId="0" applyFont="1" applyAlignment="1">
      <alignment horizontal="center"/>
    </xf>
    <xf numFmtId="172" fontId="0" fillId="0" borderId="22" xfId="2" applyNumberFormat="1" applyFont="1" applyBorder="1"/>
    <xf numFmtId="0" fontId="27" fillId="0" borderId="17" xfId="0" applyFont="1" applyBorder="1"/>
    <xf numFmtId="0" fontId="29" fillId="0" borderId="0" xfId="0" applyFont="1"/>
    <xf numFmtId="0" fontId="30" fillId="0" borderId="0" xfId="0" applyFont="1"/>
    <xf numFmtId="9" fontId="1" fillId="0" borderId="0" xfId="2" applyFont="1"/>
    <xf numFmtId="164" fontId="0" fillId="0" borderId="0" xfId="0" applyNumberFormat="1"/>
    <xf numFmtId="2" fontId="0" fillId="0" borderId="0" xfId="0" applyNumberFormat="1"/>
    <xf numFmtId="2" fontId="0" fillId="0" borderId="0" xfId="2" applyNumberFormat="1" applyFont="1"/>
    <xf numFmtId="164" fontId="1" fillId="0" borderId="17" xfId="0" applyNumberFormat="1" applyFont="1" applyBorder="1"/>
    <xf numFmtId="0" fontId="1" fillId="0" borderId="20" xfId="0" applyFont="1" applyBorder="1"/>
    <xf numFmtId="0" fontId="1" fillId="0" borderId="23" xfId="0" applyFont="1" applyBorder="1"/>
    <xf numFmtId="0" fontId="1" fillId="0" borderId="17" xfId="0" applyFont="1" applyBorder="1"/>
    <xf numFmtId="168" fontId="10" fillId="0" borderId="17" xfId="0" applyNumberFormat="1" applyFont="1" applyBorder="1"/>
    <xf numFmtId="49" fontId="4" fillId="2" borderId="19" xfId="1" applyNumberFormat="1" applyFont="1" applyFill="1" applyBorder="1" applyAlignment="1">
      <alignment horizontal="center" vertical="center"/>
    </xf>
    <xf numFmtId="49" fontId="4" fillId="2" borderId="17" xfId="1" applyNumberFormat="1" applyFont="1" applyFill="1"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0" fontId="0" fillId="0" borderId="27" xfId="0" applyBorder="1" applyAlignment="1">
      <alignment horizontal="center" vertical="center"/>
    </xf>
    <xf numFmtId="0" fontId="0" fillId="0" borderId="21" xfId="0" applyBorder="1" applyAlignment="1">
      <alignment horizontal="center" vertical="center"/>
    </xf>
    <xf numFmtId="49" fontId="4" fillId="2" borderId="18" xfId="1" applyNumberFormat="1" applyFont="1" applyFill="1" applyBorder="1" applyAlignment="1">
      <alignment horizontal="center" vertical="center"/>
    </xf>
    <xf numFmtId="49" fontId="4" fillId="2" borderId="20" xfId="1" applyNumberFormat="1" applyFont="1" applyFill="1" applyBorder="1" applyAlignment="1">
      <alignment horizontal="center" vertical="center"/>
    </xf>
    <xf numFmtId="49" fontId="4" fillId="2" borderId="24" xfId="1" applyNumberFormat="1" applyFont="1" applyFill="1" applyBorder="1" applyAlignment="1">
      <alignment horizontal="center" vertical="center"/>
    </xf>
    <xf numFmtId="49" fontId="4" fillId="2" borderId="25" xfId="1" applyNumberFormat="1" applyFont="1" applyFill="1" applyBorder="1" applyAlignment="1">
      <alignment horizontal="center" vertical="center"/>
    </xf>
  </cellXfs>
  <cellStyles count="9">
    <cellStyle name="Comma" xfId="5" builtinId="3"/>
    <cellStyle name="Comma 2" xfId="4" xr:uid="{8827266F-A894-4556-9648-9B72D5001FFA}"/>
    <cellStyle name="Comma 2 2" xfId="8" xr:uid="{BCE1CAD5-2E52-49CB-8584-FAA152E5C9C3}"/>
    <cellStyle name="Normal" xfId="0" builtinId="0"/>
    <cellStyle name="Normal 2" xfId="3" xr:uid="{742B523A-605F-4E20-84CC-540AE7B0C68C}"/>
    <cellStyle name="Normal 2 2" xfId="7" xr:uid="{63DB6DD7-6F57-49CF-91CD-7D92B6910972}"/>
    <cellStyle name="Normal 6" xfId="6" xr:uid="{44916C90-6C7E-431F-9203-8430AE7E3A7B}"/>
    <cellStyle name="Normal_Isodat d13C Calculation" xfId="1" xr:uid="{C7F3DFDA-4593-4027-9A7F-F895E5731687}"/>
    <cellStyle name="Percent" xfId="2"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1"/>
          <c:order val="0"/>
          <c:tx>
            <c:strRef>
              <c:f>'Calculation template'!$G$16</c:f>
              <c:strCache>
                <c:ptCount val="1"/>
                <c:pt idx="0">
                  <c:v>Uncertainty Budget</c:v>
                </c:pt>
              </c:strCache>
            </c:strRef>
          </c:tx>
          <c:spPr>
            <a:solidFill>
              <a:schemeClr val="accent2"/>
            </a:solidFill>
            <a:ln>
              <a:noFill/>
            </a:ln>
            <a:effectLst/>
          </c:spPr>
          <c:invertIfNegative val="0"/>
          <c:cat>
            <c:strRef>
              <c:f>'Calculation template'!$H$14:$P$14</c:f>
              <c:strCache>
                <c:ptCount val="9"/>
                <c:pt idx="0">
                  <c:v>Spike Mass Flow 199Hg</c:v>
                </c:pt>
                <c:pt idx="1">
                  <c:v>Volumetric flow (split-flow)</c:v>
                </c:pt>
                <c:pt idx="2">
                  <c:v>natHg Atomic weight</c:v>
                </c:pt>
                <c:pt idx="3">
                  <c:v>199Hg Atomic weight</c:v>
                </c:pt>
                <c:pt idx="4">
                  <c:v>enrHg Atom fraction199Hg</c:v>
                </c:pt>
                <c:pt idx="5">
                  <c:v>natHg Atom fraction202Hg</c:v>
                </c:pt>
                <c:pt idx="6">
                  <c:v>Blend IR (202/199)</c:v>
                </c:pt>
                <c:pt idx="7">
                  <c:v>199Hg IR (202/199)</c:v>
                </c:pt>
                <c:pt idx="8">
                  <c:v>natHg IR (199/202)</c:v>
                </c:pt>
              </c:strCache>
            </c:strRef>
          </c:cat>
          <c:val>
            <c:numRef>
              <c:f>'Calculation template'!$H$16:$P$16</c:f>
              <c:numCache>
                <c:formatCode>0%</c:formatCode>
                <c:ptCount val="9"/>
                <c:pt idx="0">
                  <c:v>0.51510145267434782</c:v>
                </c:pt>
                <c:pt idx="1">
                  <c:v>0.35688176557330992</c:v>
                </c:pt>
                <c:pt idx="2">
                  <c:v>5.1906292778985982E-8</c:v>
                </c:pt>
                <c:pt idx="3">
                  <c:v>4.1697939214510338E-4</c:v>
                </c:pt>
                <c:pt idx="4">
                  <c:v>2.7447402593272957E-4</c:v>
                </c:pt>
                <c:pt idx="5">
                  <c:v>1.7582513939300531E-2</c:v>
                </c:pt>
                <c:pt idx="6">
                  <c:v>2.2118898586956908E-2</c:v>
                </c:pt>
                <c:pt idx="7">
                  <c:v>1.262305755704105E-5</c:v>
                </c:pt>
                <c:pt idx="8">
                  <c:v>8.7611240844157126E-2</c:v>
                </c:pt>
              </c:numCache>
            </c:numRef>
          </c:val>
          <c:extLst>
            <c:ext xmlns:c16="http://schemas.microsoft.com/office/drawing/2014/chart" uri="{C3380CC4-5D6E-409C-BE32-E72D297353CC}">
              <c16:uniqueId val="{00000001-A9AD-4888-AF0D-2E868A2C18C5}"/>
            </c:ext>
          </c:extLst>
        </c:ser>
        <c:dLbls>
          <c:showLegendKey val="0"/>
          <c:showVal val="0"/>
          <c:showCatName val="0"/>
          <c:showSerName val="0"/>
          <c:showPercent val="0"/>
          <c:showBubbleSize val="0"/>
        </c:dLbls>
        <c:gapWidth val="267"/>
        <c:overlap val="-43"/>
        <c:axId val="925690312"/>
        <c:axId val="925687688"/>
      </c:barChart>
      <c:catAx>
        <c:axId val="92569031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5400000" spcFirstLastPara="1" vertOverflow="ellipsis"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925687688"/>
        <c:crosses val="autoZero"/>
        <c:auto val="1"/>
        <c:lblAlgn val="ctr"/>
        <c:lblOffset val="100"/>
        <c:noMultiLvlLbl val="0"/>
      </c:catAx>
      <c:valAx>
        <c:axId val="925687688"/>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92569031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Weight loss function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'Peripump MassFlow'!$C$7</c:f>
              <c:strCache>
                <c:ptCount val="1"/>
                <c:pt idx="0">
                  <c:v>weight loss [g]</c:v>
                </c:pt>
              </c:strCache>
            </c:strRef>
          </c:tx>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12610246719160104"/>
                  <c:y val="-0.43903326210617727"/>
                </c:manualLayout>
              </c:layout>
              <c:numFmt formatCode="#,##0.000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'Peripump MassFlow'!$A$8:$A$68</c:f>
              <c:numCache>
                <c:formatCode>General</c:formatCode>
                <c:ptCount val="61"/>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numCache>
            </c:numRef>
          </c:xVal>
          <c:yVal>
            <c:numRef>
              <c:f>'Peripump MassFlow'!$C$8:$C$68</c:f>
              <c:numCache>
                <c:formatCode>General</c:formatCode>
                <c:ptCount val="61"/>
                <c:pt idx="0">
                  <c:v>-0.26369999999999999</c:v>
                </c:pt>
                <c:pt idx="1">
                  <c:v>-0.30809999999999998</c:v>
                </c:pt>
                <c:pt idx="2">
                  <c:v>-0.3518</c:v>
                </c:pt>
                <c:pt idx="3">
                  <c:v>-0.39560000000000001</c:v>
                </c:pt>
                <c:pt idx="4" formatCode="0.0000">
                  <c:v>-0.44</c:v>
                </c:pt>
                <c:pt idx="5">
                  <c:v>-0.48359999999999997</c:v>
                </c:pt>
                <c:pt idx="6">
                  <c:v>-0.52749999999999997</c:v>
                </c:pt>
                <c:pt idx="7">
                  <c:v>-0.57330000000000003</c:v>
                </c:pt>
                <c:pt idx="8">
                  <c:v>-0.61609999999999998</c:v>
                </c:pt>
                <c:pt idx="9">
                  <c:v>-0.66010000000000002</c:v>
                </c:pt>
                <c:pt idx="10">
                  <c:v>-0.70479999999999998</c:v>
                </c:pt>
                <c:pt idx="11">
                  <c:v>-0.74890000000000001</c:v>
                </c:pt>
                <c:pt idx="12">
                  <c:v>-0.7944</c:v>
                </c:pt>
                <c:pt idx="13">
                  <c:v>-0.8377</c:v>
                </c:pt>
                <c:pt idx="14">
                  <c:v>-0.88280000000000003</c:v>
                </c:pt>
                <c:pt idx="15">
                  <c:v>-0.92920000000000003</c:v>
                </c:pt>
                <c:pt idx="16" formatCode="0.0000">
                  <c:v>-0.97399999999999998</c:v>
                </c:pt>
                <c:pt idx="17">
                  <c:v>-1.0185</c:v>
                </c:pt>
                <c:pt idx="18">
                  <c:v>-1.0609</c:v>
                </c:pt>
                <c:pt idx="19">
                  <c:v>-1.1056999999999999</c:v>
                </c:pt>
                <c:pt idx="20">
                  <c:v>-1.1511</c:v>
                </c:pt>
                <c:pt idx="21">
                  <c:v>-1.1982999999999999</c:v>
                </c:pt>
                <c:pt idx="22">
                  <c:v>-1.2415</c:v>
                </c:pt>
                <c:pt idx="23">
                  <c:v>-1.2861</c:v>
                </c:pt>
                <c:pt idx="24">
                  <c:v>-1.3298000000000001</c:v>
                </c:pt>
                <c:pt idx="25">
                  <c:v>-1.3769</c:v>
                </c:pt>
                <c:pt idx="26">
                  <c:v>-1.4235</c:v>
                </c:pt>
                <c:pt idx="27" formatCode="0.0000">
                  <c:v>-1.47</c:v>
                </c:pt>
                <c:pt idx="28">
                  <c:v>-1.5125999999999999</c:v>
                </c:pt>
                <c:pt idx="29">
                  <c:v>-1.5576000000000001</c:v>
                </c:pt>
                <c:pt idx="30">
                  <c:v>-1.6045</c:v>
                </c:pt>
                <c:pt idx="31">
                  <c:v>-1.6504000000000001</c:v>
                </c:pt>
                <c:pt idx="32">
                  <c:v>-1.6948000000000001</c:v>
                </c:pt>
                <c:pt idx="33">
                  <c:v>-1.7418</c:v>
                </c:pt>
                <c:pt idx="34">
                  <c:v>-1.7864</c:v>
                </c:pt>
                <c:pt idx="35">
                  <c:v>-1.8335999999999999</c:v>
                </c:pt>
                <c:pt idx="36">
                  <c:v>-1.8781000000000001</c:v>
                </c:pt>
                <c:pt idx="37">
                  <c:v>-1.9259999999999999</c:v>
                </c:pt>
                <c:pt idx="38">
                  <c:v>-1.9692000000000001</c:v>
                </c:pt>
                <c:pt idx="39">
                  <c:v>-2.0152000000000001</c:v>
                </c:pt>
                <c:pt idx="40">
                  <c:v>-2.0617999999999999</c:v>
                </c:pt>
                <c:pt idx="41">
                  <c:v>-2.1074000000000002</c:v>
                </c:pt>
                <c:pt idx="42">
                  <c:v>-2.1543000000000001</c:v>
                </c:pt>
                <c:pt idx="43">
                  <c:v>-2.2010000000000001</c:v>
                </c:pt>
                <c:pt idx="44">
                  <c:v>-2.2483</c:v>
                </c:pt>
                <c:pt idx="45">
                  <c:v>-2.2934000000000001</c:v>
                </c:pt>
                <c:pt idx="46">
                  <c:v>-2.3386999999999998</c:v>
                </c:pt>
                <c:pt idx="47">
                  <c:v>-2.3837999999999999</c:v>
                </c:pt>
                <c:pt idx="48">
                  <c:v>-2.4312999999999998</c:v>
                </c:pt>
                <c:pt idx="49" formatCode="0.0000">
                  <c:v>-2.476</c:v>
                </c:pt>
                <c:pt idx="50">
                  <c:v>-2.5225</c:v>
                </c:pt>
                <c:pt idx="51">
                  <c:v>-2.5678999999999998</c:v>
                </c:pt>
                <c:pt idx="52">
                  <c:v>-2.6141999999999999</c:v>
                </c:pt>
                <c:pt idx="53">
                  <c:v>-2.6635</c:v>
                </c:pt>
                <c:pt idx="54">
                  <c:v>-2.7115</c:v>
                </c:pt>
                <c:pt idx="55">
                  <c:v>-2.7593999999999999</c:v>
                </c:pt>
                <c:pt idx="56">
                  <c:v>-2.8081999999999998</c:v>
                </c:pt>
                <c:pt idx="57">
                  <c:v>-2.8508</c:v>
                </c:pt>
                <c:pt idx="58" formatCode="0.0000">
                  <c:v>-2.895</c:v>
                </c:pt>
                <c:pt idx="59">
                  <c:v>-2.9413999999999998</c:v>
                </c:pt>
                <c:pt idx="60">
                  <c:v>-2.9883000000000002</c:v>
                </c:pt>
              </c:numCache>
            </c:numRef>
          </c:yVal>
          <c:smooth val="0"/>
          <c:extLst>
            <c:ext xmlns:c16="http://schemas.microsoft.com/office/drawing/2014/chart" uri="{C3380CC4-5D6E-409C-BE32-E72D297353CC}">
              <c16:uniqueId val="{00000001-B5E8-4102-93DC-949056E1E9E9}"/>
            </c:ext>
          </c:extLst>
        </c:ser>
        <c:dLbls>
          <c:showLegendKey val="0"/>
          <c:showVal val="0"/>
          <c:showCatName val="0"/>
          <c:showSerName val="0"/>
          <c:showPercent val="0"/>
          <c:showBubbleSize val="0"/>
        </c:dLbls>
        <c:axId val="516541032"/>
        <c:axId val="516541360"/>
      </c:scatterChart>
      <c:valAx>
        <c:axId val="5165410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 [min]</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6541360"/>
        <c:crosses val="autoZero"/>
        <c:crossBetween val="midCat"/>
      </c:valAx>
      <c:valAx>
        <c:axId val="516541360"/>
        <c:scaling>
          <c:orientation val="minMax"/>
          <c:max val="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Weight loss [g]</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accent1"/>
                </a:solidFill>
                <a:latin typeface="+mn-lt"/>
                <a:ea typeface="+mn-ea"/>
                <a:cs typeface="+mn-cs"/>
              </a:defRPr>
            </a:pPr>
            <a:endParaRPr lang="en-US"/>
          </a:p>
        </c:txPr>
        <c:crossAx val="51654103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1"/>
          <c:order val="0"/>
          <c:tx>
            <c:strRef>
              <c:f>'Peripump MassFlow'!$D$7</c:f>
              <c:strCache>
                <c:ptCount val="1"/>
                <c:pt idx="0">
                  <c:v>Momentum mass flow [g/min]</c:v>
                </c:pt>
              </c:strCache>
            </c:strRef>
          </c:tx>
          <c:spPr>
            <a:ln w="25400" cap="rnd">
              <a:noFill/>
              <a:round/>
            </a:ln>
            <a:effectLst/>
          </c:spPr>
          <c:marker>
            <c:symbol val="circle"/>
            <c:size val="5"/>
            <c:spPr>
              <a:solidFill>
                <a:schemeClr val="accent2"/>
              </a:solidFill>
              <a:ln w="9525">
                <a:solidFill>
                  <a:schemeClr val="accent2"/>
                </a:solidFill>
              </a:ln>
              <a:effectLst/>
            </c:spPr>
          </c:marker>
          <c:xVal>
            <c:numRef>
              <c:f>'Peripump MassFlow'!$A$8:$A$68</c:f>
              <c:numCache>
                <c:formatCode>General</c:formatCode>
                <c:ptCount val="61"/>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numCache>
            </c:numRef>
          </c:xVal>
          <c:yVal>
            <c:numRef>
              <c:f>'Peripump MassFlow'!$D$8:$D$68</c:f>
              <c:numCache>
                <c:formatCode>0.000</c:formatCode>
                <c:ptCount val="61"/>
                <c:pt idx="1">
                  <c:v>0.26639999999999997</c:v>
                </c:pt>
                <c:pt idx="2">
                  <c:v>0.2622000000000001</c:v>
                </c:pt>
                <c:pt idx="3">
                  <c:v>0.26280000000000003</c:v>
                </c:pt>
                <c:pt idx="4">
                  <c:v>0.26639999999999997</c:v>
                </c:pt>
                <c:pt idx="5">
                  <c:v>0.26159999999999983</c:v>
                </c:pt>
                <c:pt idx="6">
                  <c:v>0.26339999999999997</c:v>
                </c:pt>
                <c:pt idx="7">
                  <c:v>0.27480000000000038</c:v>
                </c:pt>
                <c:pt idx="8">
                  <c:v>0.2567999999999997</c:v>
                </c:pt>
                <c:pt idx="9">
                  <c:v>0.26400000000000023</c:v>
                </c:pt>
                <c:pt idx="10">
                  <c:v>0.26819999999999977</c:v>
                </c:pt>
                <c:pt idx="11">
                  <c:v>0.26460000000000017</c:v>
                </c:pt>
                <c:pt idx="12">
                  <c:v>0.27299999999999991</c:v>
                </c:pt>
                <c:pt idx="13">
                  <c:v>0.25980000000000003</c:v>
                </c:pt>
                <c:pt idx="14">
                  <c:v>0.27060000000000017</c:v>
                </c:pt>
                <c:pt idx="15">
                  <c:v>0.27839999999999998</c:v>
                </c:pt>
                <c:pt idx="16">
                  <c:v>0.26879999999999971</c:v>
                </c:pt>
                <c:pt idx="17">
                  <c:v>0.2669999999999999</c:v>
                </c:pt>
                <c:pt idx="18">
                  <c:v>0.25439999999999996</c:v>
                </c:pt>
                <c:pt idx="19">
                  <c:v>0.26879999999999971</c:v>
                </c:pt>
                <c:pt idx="20">
                  <c:v>0.27240000000000064</c:v>
                </c:pt>
                <c:pt idx="21">
                  <c:v>0.28319999999999945</c:v>
                </c:pt>
                <c:pt idx="22">
                  <c:v>0.25920000000000076</c:v>
                </c:pt>
                <c:pt idx="23">
                  <c:v>0.26759999999999984</c:v>
                </c:pt>
                <c:pt idx="24">
                  <c:v>0.26220000000000043</c:v>
                </c:pt>
                <c:pt idx="25">
                  <c:v>0.28259999999999952</c:v>
                </c:pt>
                <c:pt idx="26">
                  <c:v>0.27959999999999985</c:v>
                </c:pt>
                <c:pt idx="27">
                  <c:v>0.27899999999999991</c:v>
                </c:pt>
                <c:pt idx="28">
                  <c:v>0.25559999999999983</c:v>
                </c:pt>
                <c:pt idx="29">
                  <c:v>0.27000000000000091</c:v>
                </c:pt>
                <c:pt idx="30">
                  <c:v>0.28139999999999965</c:v>
                </c:pt>
                <c:pt idx="31">
                  <c:v>0.27540000000000031</c:v>
                </c:pt>
                <c:pt idx="32">
                  <c:v>0.26639999999999997</c:v>
                </c:pt>
                <c:pt idx="33">
                  <c:v>0.28199999999999958</c:v>
                </c:pt>
                <c:pt idx="34">
                  <c:v>0.26759999999999984</c:v>
                </c:pt>
                <c:pt idx="35">
                  <c:v>0.28319999999999945</c:v>
                </c:pt>
                <c:pt idx="36">
                  <c:v>0.26700000000000124</c:v>
                </c:pt>
                <c:pt idx="37">
                  <c:v>0.28739999999999899</c:v>
                </c:pt>
                <c:pt idx="38">
                  <c:v>0.25920000000000076</c:v>
                </c:pt>
                <c:pt idx="39">
                  <c:v>0.27600000000000025</c:v>
                </c:pt>
                <c:pt idx="40">
                  <c:v>0.27959999999999852</c:v>
                </c:pt>
                <c:pt idx="41">
                  <c:v>0.27360000000000184</c:v>
                </c:pt>
                <c:pt idx="42">
                  <c:v>0.28139999999999965</c:v>
                </c:pt>
                <c:pt idx="43">
                  <c:v>0.28019999999999978</c:v>
                </c:pt>
                <c:pt idx="44">
                  <c:v>0.28379999999999939</c:v>
                </c:pt>
                <c:pt idx="45">
                  <c:v>0.27060000000000084</c:v>
                </c:pt>
                <c:pt idx="46">
                  <c:v>0.27179999999999804</c:v>
                </c:pt>
                <c:pt idx="47">
                  <c:v>0.27060000000000084</c:v>
                </c:pt>
                <c:pt idx="48">
                  <c:v>0.28499999999999925</c:v>
                </c:pt>
                <c:pt idx="49">
                  <c:v>0.2682000000000011</c:v>
                </c:pt>
                <c:pt idx="50">
                  <c:v>0.27899999999999991</c:v>
                </c:pt>
                <c:pt idx="51">
                  <c:v>0.27239999999999931</c:v>
                </c:pt>
                <c:pt idx="52">
                  <c:v>0.27780000000000005</c:v>
                </c:pt>
                <c:pt idx="53">
                  <c:v>0.29580000000000073</c:v>
                </c:pt>
                <c:pt idx="54">
                  <c:v>0.28800000000000026</c:v>
                </c:pt>
                <c:pt idx="55">
                  <c:v>0.28739999999999899</c:v>
                </c:pt>
                <c:pt idx="56">
                  <c:v>0.29279999999999973</c:v>
                </c:pt>
                <c:pt idx="57">
                  <c:v>0.25560000000000116</c:v>
                </c:pt>
                <c:pt idx="58">
                  <c:v>0.2652000000000001</c:v>
                </c:pt>
                <c:pt idx="59">
                  <c:v>0.27839999999999865</c:v>
                </c:pt>
                <c:pt idx="60">
                  <c:v>0.28140000000000231</c:v>
                </c:pt>
              </c:numCache>
            </c:numRef>
          </c:yVal>
          <c:smooth val="0"/>
          <c:extLst>
            <c:ext xmlns:c16="http://schemas.microsoft.com/office/drawing/2014/chart" uri="{C3380CC4-5D6E-409C-BE32-E72D297353CC}">
              <c16:uniqueId val="{00000000-C1D6-4853-A851-F1D82417169B}"/>
            </c:ext>
          </c:extLst>
        </c:ser>
        <c:dLbls>
          <c:showLegendKey val="0"/>
          <c:showVal val="0"/>
          <c:showCatName val="0"/>
          <c:showSerName val="0"/>
          <c:showPercent val="0"/>
          <c:showBubbleSize val="0"/>
        </c:dLbls>
        <c:axId val="516541032"/>
        <c:axId val="516541360"/>
      </c:scatterChart>
      <c:valAx>
        <c:axId val="5165410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 [min]</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6541360"/>
        <c:crosses val="autoZero"/>
        <c:crossBetween val="midCat"/>
      </c:valAx>
      <c:valAx>
        <c:axId val="516541360"/>
        <c:scaling>
          <c:orientation val="minMax"/>
          <c:min val="0.15000000000000002"/>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Mass Flow [g min-1]</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accent1"/>
                </a:solidFill>
                <a:latin typeface="+mn-lt"/>
                <a:ea typeface="+mn-ea"/>
                <a:cs typeface="+mn-cs"/>
              </a:defRPr>
            </a:pPr>
            <a:endParaRPr lang="en-US"/>
          </a:p>
        </c:txPr>
        <c:crossAx val="51654103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Mass flow [g/min] - per</a:t>
            </a:r>
            <a:r>
              <a:rPr lang="en-GB" baseline="0"/>
              <a:t> sample scale</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1"/>
          <c:order val="0"/>
          <c:tx>
            <c:strRef>
              <c:f>'Peripump MassFlow'!$D$7</c:f>
              <c:strCache>
                <c:ptCount val="1"/>
                <c:pt idx="0">
                  <c:v>Momentum mass flow [g/min]</c:v>
                </c:pt>
              </c:strCache>
            </c:strRef>
          </c:tx>
          <c:spPr>
            <a:ln w="25400" cap="rnd">
              <a:noFill/>
              <a:round/>
            </a:ln>
            <a:effectLst/>
          </c:spPr>
          <c:marker>
            <c:symbol val="circle"/>
            <c:size val="5"/>
            <c:spPr>
              <a:solidFill>
                <a:schemeClr val="accent2"/>
              </a:solidFill>
              <a:ln w="9525">
                <a:solidFill>
                  <a:schemeClr val="accent2"/>
                </a:solidFill>
              </a:ln>
              <a:effectLst/>
            </c:spPr>
          </c:marker>
          <c:xVal>
            <c:numRef>
              <c:f>'Peripump MassFlow'!$A$8:$A$68</c:f>
              <c:numCache>
                <c:formatCode>General</c:formatCode>
                <c:ptCount val="61"/>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pt idx="37">
                  <c:v>370</c:v>
                </c:pt>
                <c:pt idx="38">
                  <c:v>380</c:v>
                </c:pt>
                <c:pt idx="39">
                  <c:v>390</c:v>
                </c:pt>
                <c:pt idx="40">
                  <c:v>400</c:v>
                </c:pt>
                <c:pt idx="41">
                  <c:v>410</c:v>
                </c:pt>
                <c:pt idx="42">
                  <c:v>420</c:v>
                </c:pt>
                <c:pt idx="43">
                  <c:v>430</c:v>
                </c:pt>
                <c:pt idx="44">
                  <c:v>440</c:v>
                </c:pt>
                <c:pt idx="45">
                  <c:v>450</c:v>
                </c:pt>
                <c:pt idx="46">
                  <c:v>460</c:v>
                </c:pt>
                <c:pt idx="47">
                  <c:v>470</c:v>
                </c:pt>
                <c:pt idx="48">
                  <c:v>480</c:v>
                </c:pt>
                <c:pt idx="49">
                  <c:v>490</c:v>
                </c:pt>
                <c:pt idx="50">
                  <c:v>500</c:v>
                </c:pt>
                <c:pt idx="51">
                  <c:v>510</c:v>
                </c:pt>
                <c:pt idx="52">
                  <c:v>520</c:v>
                </c:pt>
                <c:pt idx="53">
                  <c:v>530</c:v>
                </c:pt>
                <c:pt idx="54">
                  <c:v>540</c:v>
                </c:pt>
                <c:pt idx="55">
                  <c:v>550</c:v>
                </c:pt>
                <c:pt idx="56">
                  <c:v>560</c:v>
                </c:pt>
                <c:pt idx="57">
                  <c:v>570</c:v>
                </c:pt>
                <c:pt idx="58">
                  <c:v>580</c:v>
                </c:pt>
                <c:pt idx="59">
                  <c:v>590</c:v>
                </c:pt>
                <c:pt idx="60">
                  <c:v>600</c:v>
                </c:pt>
              </c:numCache>
            </c:numRef>
          </c:xVal>
          <c:yVal>
            <c:numRef>
              <c:f>'Peripump MassFlow'!$E$8:$E$68</c:f>
              <c:numCache>
                <c:formatCode>General</c:formatCode>
                <c:ptCount val="61"/>
                <c:pt idx="6">
                  <c:v>0.26379999999999998</c:v>
                </c:pt>
                <c:pt idx="12">
                  <c:v>0.26690000000000003</c:v>
                </c:pt>
                <c:pt idx="18">
                  <c:v>0.26649999999999996</c:v>
                </c:pt>
                <c:pt idx="24">
                  <c:v>0.26890000000000014</c:v>
                </c:pt>
                <c:pt idx="30">
                  <c:v>0.27469999999999994</c:v>
                </c:pt>
                <c:pt idx="36">
                  <c:v>0.27360000000000007</c:v>
                </c:pt>
                <c:pt idx="42">
                  <c:v>0.2762</c:v>
                </c:pt>
                <c:pt idx="48">
                  <c:v>0.27699999999999969</c:v>
                </c:pt>
                <c:pt idx="54">
                  <c:v>0.28020000000000023</c:v>
                </c:pt>
                <c:pt idx="60">
                  <c:v>0.27680000000000016</c:v>
                </c:pt>
              </c:numCache>
            </c:numRef>
          </c:yVal>
          <c:smooth val="0"/>
          <c:extLst>
            <c:ext xmlns:c16="http://schemas.microsoft.com/office/drawing/2014/chart" uri="{C3380CC4-5D6E-409C-BE32-E72D297353CC}">
              <c16:uniqueId val="{00000000-C117-4053-8EBA-353905A12CA7}"/>
            </c:ext>
          </c:extLst>
        </c:ser>
        <c:dLbls>
          <c:showLegendKey val="0"/>
          <c:showVal val="0"/>
          <c:showCatName val="0"/>
          <c:showSerName val="0"/>
          <c:showPercent val="0"/>
          <c:showBubbleSize val="0"/>
        </c:dLbls>
        <c:axId val="516541032"/>
        <c:axId val="516541360"/>
      </c:scatterChart>
      <c:valAx>
        <c:axId val="5165410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 [min]</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6541360"/>
        <c:crosses val="autoZero"/>
        <c:crossBetween val="midCat"/>
      </c:valAx>
      <c:valAx>
        <c:axId val="51654136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Mass flow [g min-1]</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accent1"/>
                </a:solidFill>
                <a:latin typeface="+mn-lt"/>
                <a:ea typeface="+mn-ea"/>
                <a:cs typeface="+mn-cs"/>
              </a:defRPr>
            </a:pPr>
            <a:endParaRPr lang="en-US"/>
          </a:p>
        </c:txPr>
        <c:crossAx val="51654103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'FlexCal-H value and u '!$C$3</c:f>
              <c:strCache>
                <c:ptCount val="1"/>
                <c:pt idx="0">
                  <c:v>Bias</c:v>
                </c:pt>
              </c:strCache>
            </c:strRef>
          </c:tx>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og"/>
            <c:dispRSqr val="0"/>
            <c:dispEq val="1"/>
            <c:trendlineLbl>
              <c:layout>
                <c:manualLayout>
                  <c:x val="0.16128521434820647"/>
                  <c:y val="-0.20239063867016624"/>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'FlexCal-H value and u '!$B$4:$B$6</c:f>
              <c:numCache>
                <c:formatCode>General</c:formatCode>
                <c:ptCount val="3"/>
                <c:pt idx="0">
                  <c:v>502.38</c:v>
                </c:pt>
                <c:pt idx="1">
                  <c:v>5001.2</c:v>
                </c:pt>
                <c:pt idx="2">
                  <c:v>49911</c:v>
                </c:pt>
              </c:numCache>
            </c:numRef>
          </c:xVal>
          <c:yVal>
            <c:numRef>
              <c:f>'FlexCal-H value and u '!$C$4:$C$6</c:f>
              <c:numCache>
                <c:formatCode>0.00%</c:formatCode>
                <c:ptCount val="3"/>
                <c:pt idx="0">
                  <c:v>-3.8999999999999998E-3</c:v>
                </c:pt>
                <c:pt idx="1">
                  <c:v>-1.1999999999999999E-3</c:v>
                </c:pt>
                <c:pt idx="2">
                  <c:v>4.0000000000000001E-3</c:v>
                </c:pt>
              </c:numCache>
            </c:numRef>
          </c:yVal>
          <c:smooth val="0"/>
          <c:extLst>
            <c:ext xmlns:c16="http://schemas.microsoft.com/office/drawing/2014/chart" uri="{C3380CC4-5D6E-409C-BE32-E72D297353CC}">
              <c16:uniqueId val="{00000000-4408-47BE-815F-0E0DDCF23A52}"/>
            </c:ext>
          </c:extLst>
        </c:ser>
        <c:dLbls>
          <c:showLegendKey val="0"/>
          <c:showVal val="0"/>
          <c:showCatName val="0"/>
          <c:showSerName val="0"/>
          <c:showPercent val="0"/>
          <c:showBubbleSize val="0"/>
        </c:dLbls>
        <c:axId val="743031872"/>
        <c:axId val="743032200"/>
      </c:scatterChart>
      <c:valAx>
        <c:axId val="743031872"/>
        <c:scaling>
          <c:orientation val="minMax"/>
        </c:scaling>
        <c:delete val="0"/>
        <c:axPos val="b"/>
        <c:majorGridlines>
          <c:spPr>
            <a:ln w="9525" cap="flat" cmpd="sng" algn="ctr">
              <a:solidFill>
                <a:schemeClr val="tx1">
                  <a:lumMod val="15000"/>
                  <a:lumOff val="85000"/>
                </a:schemeClr>
              </a:solidFill>
              <a:round/>
            </a:ln>
            <a:effectLst/>
          </c:spPr>
        </c:majorGridlines>
        <c:title>
          <c:tx>
            <c:strRef>
              <c:f>'FlexCal-H value and u '!$B$3</c:f>
              <c:strCache>
                <c:ptCount val="1"/>
                <c:pt idx="0">
                  <c:v>Reference flow</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3032200"/>
        <c:crosses val="autoZero"/>
        <c:crossBetween val="midCat"/>
      </c:valAx>
      <c:valAx>
        <c:axId val="743032200"/>
        <c:scaling>
          <c:orientation val="minMax"/>
        </c:scaling>
        <c:delete val="0"/>
        <c:axPos val="l"/>
        <c:majorGridlines>
          <c:spPr>
            <a:ln w="9525" cap="flat" cmpd="sng" algn="ctr">
              <a:solidFill>
                <a:schemeClr val="tx1">
                  <a:lumMod val="15000"/>
                  <a:lumOff val="85000"/>
                </a:schemeClr>
              </a:solidFill>
              <a:round/>
            </a:ln>
            <a:effectLst/>
          </c:spPr>
        </c:majorGridlines>
        <c:title>
          <c:tx>
            <c:strRef>
              <c:f>'FlexCal-H value and u '!$C$3</c:f>
              <c:strCache>
                <c:ptCount val="1"/>
                <c:pt idx="0">
                  <c:v>Bias</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303187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'FlexCal-H value and u '!$D$3</c:f>
              <c:strCache>
                <c:ptCount val="1"/>
                <c:pt idx="0">
                  <c:v>Standard uncertainty</c:v>
                </c:pt>
              </c:strCache>
            </c:strRef>
          </c:tx>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0.16128521434820647"/>
                  <c:y val="-0.20239063867016624"/>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'FlexCal-H value and u '!$B$4:$B$6</c:f>
              <c:numCache>
                <c:formatCode>General</c:formatCode>
                <c:ptCount val="3"/>
                <c:pt idx="0">
                  <c:v>502.38</c:v>
                </c:pt>
                <c:pt idx="1">
                  <c:v>5001.2</c:v>
                </c:pt>
                <c:pt idx="2">
                  <c:v>49911</c:v>
                </c:pt>
              </c:numCache>
            </c:numRef>
          </c:xVal>
          <c:yVal>
            <c:numRef>
              <c:f>'FlexCal-H value and u '!$D$4:$D$6</c:f>
              <c:numCache>
                <c:formatCode>0.00%</c:formatCode>
                <c:ptCount val="3"/>
                <c:pt idx="0">
                  <c:v>1.8E-3</c:v>
                </c:pt>
                <c:pt idx="1">
                  <c:v>1.8E-3</c:v>
                </c:pt>
                <c:pt idx="2">
                  <c:v>1.9E-3</c:v>
                </c:pt>
              </c:numCache>
            </c:numRef>
          </c:yVal>
          <c:smooth val="0"/>
          <c:extLst>
            <c:ext xmlns:c16="http://schemas.microsoft.com/office/drawing/2014/chart" uri="{C3380CC4-5D6E-409C-BE32-E72D297353CC}">
              <c16:uniqueId val="{00000000-4408-47BE-815F-0E0DDCF23A52}"/>
            </c:ext>
          </c:extLst>
        </c:ser>
        <c:dLbls>
          <c:showLegendKey val="0"/>
          <c:showVal val="0"/>
          <c:showCatName val="0"/>
          <c:showSerName val="0"/>
          <c:showPercent val="0"/>
          <c:showBubbleSize val="0"/>
        </c:dLbls>
        <c:axId val="743031872"/>
        <c:axId val="743032200"/>
      </c:scatterChart>
      <c:valAx>
        <c:axId val="743031872"/>
        <c:scaling>
          <c:orientation val="minMax"/>
        </c:scaling>
        <c:delete val="0"/>
        <c:axPos val="b"/>
        <c:majorGridlines>
          <c:spPr>
            <a:ln w="9525" cap="flat" cmpd="sng" algn="ctr">
              <a:solidFill>
                <a:schemeClr val="tx1">
                  <a:lumMod val="15000"/>
                  <a:lumOff val="85000"/>
                </a:schemeClr>
              </a:solidFill>
              <a:round/>
            </a:ln>
            <a:effectLst/>
          </c:spPr>
        </c:majorGridlines>
        <c:title>
          <c:tx>
            <c:strRef>
              <c:f>'FlexCal-H value and u '!$B$3</c:f>
              <c:strCache>
                <c:ptCount val="1"/>
                <c:pt idx="0">
                  <c:v>Reference flow</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3032200"/>
        <c:crosses val="autoZero"/>
        <c:crossBetween val="midCat"/>
      </c:valAx>
      <c:valAx>
        <c:axId val="743032200"/>
        <c:scaling>
          <c:orientation val="minMax"/>
        </c:scaling>
        <c:delete val="0"/>
        <c:axPos val="l"/>
        <c:majorGridlines>
          <c:spPr>
            <a:ln w="9525" cap="flat" cmpd="sng" algn="ctr">
              <a:solidFill>
                <a:schemeClr val="tx1">
                  <a:lumMod val="15000"/>
                  <a:lumOff val="85000"/>
                </a:schemeClr>
              </a:solidFill>
              <a:round/>
            </a:ln>
            <a:effectLst/>
          </c:spPr>
        </c:majorGridlines>
        <c:title>
          <c:tx>
            <c:strRef>
              <c:f>'FlexCal-H value and u '!$C$3</c:f>
              <c:strCache>
                <c:ptCount val="1"/>
                <c:pt idx="0">
                  <c:v>Bias</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303187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en-US"/>
              <a:t>Uncertainty Budget</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manualLayout>
          <c:layoutTarget val="inner"/>
          <c:xMode val="edge"/>
          <c:yMode val="edge"/>
          <c:x val="0.13756955380577429"/>
          <c:y val="0.11334510795677398"/>
          <c:w val="0.83187489063867015"/>
          <c:h val="0.48344783111917478"/>
        </c:manualLayout>
      </c:layout>
      <c:barChart>
        <c:barDir val="col"/>
        <c:grouping val="stacked"/>
        <c:varyColors val="0"/>
        <c:ser>
          <c:idx val="1"/>
          <c:order val="0"/>
          <c:tx>
            <c:strRef>
              <c:f>'Aw(Hg_e)'!$G$21</c:f>
              <c:strCache>
                <c:ptCount val="1"/>
                <c:pt idx="0">
                  <c:v>Budget</c:v>
                </c:pt>
              </c:strCache>
            </c:strRef>
          </c:tx>
          <c:spPr>
            <a:solidFill>
              <a:schemeClr val="accent2"/>
            </a:solidFill>
            <a:ln>
              <a:noFill/>
            </a:ln>
            <a:effectLst/>
          </c:spPr>
          <c:invertIfNegative val="0"/>
          <c:cat>
            <c:strRef>
              <c:f>'Aw(Hg_e)'!$H$19:$U$19</c:f>
              <c:strCache>
                <c:ptCount val="14"/>
                <c:pt idx="0">
                  <c:v>Atomic mass 196Hg</c:v>
                </c:pt>
                <c:pt idx="1">
                  <c:v>Atomic mass 198Hg</c:v>
                </c:pt>
                <c:pt idx="2">
                  <c:v>Atomic mass 199Hg</c:v>
                </c:pt>
                <c:pt idx="3">
                  <c:v>Atomic mass 200Hg</c:v>
                </c:pt>
                <c:pt idx="4">
                  <c:v>Atomic mass 201Hg</c:v>
                </c:pt>
                <c:pt idx="5">
                  <c:v>Atomic mass 202Hg</c:v>
                </c:pt>
                <c:pt idx="6">
                  <c:v>Atomic mass 204Hg</c:v>
                </c:pt>
                <c:pt idx="7">
                  <c:v>enrHg Atom fraction 196Hg</c:v>
                </c:pt>
                <c:pt idx="8">
                  <c:v>enrHg Atom fraction 198Hg</c:v>
                </c:pt>
                <c:pt idx="9">
                  <c:v>enrHg Atom fraction199Hg</c:v>
                </c:pt>
                <c:pt idx="10">
                  <c:v>enrHg Atom fraction 200Hg</c:v>
                </c:pt>
                <c:pt idx="11">
                  <c:v>enrHg Atom fraction 201Hg</c:v>
                </c:pt>
                <c:pt idx="12">
                  <c:v>enrHg Atom fraction 202Hg</c:v>
                </c:pt>
                <c:pt idx="13">
                  <c:v>enrHg Atom fraction 204Hg</c:v>
                </c:pt>
              </c:strCache>
            </c:strRef>
          </c:cat>
          <c:val>
            <c:numRef>
              <c:f>'Aw(Hg_e)'!$H$21:$U$21</c:f>
              <c:numCache>
                <c:formatCode>0%</c:formatCode>
                <c:ptCount val="14"/>
                <c:pt idx="0">
                  <c:v>8.9748078980704797E-16</c:v>
                </c:pt>
                <c:pt idx="1">
                  <c:v>1.3413002775638271E-13</c:v>
                </c:pt>
                <c:pt idx="2">
                  <c:v>7.5880754224628391E-10</c:v>
                </c:pt>
                <c:pt idx="3">
                  <c:v>2.1724927080037731E-12</c:v>
                </c:pt>
                <c:pt idx="4">
                  <c:v>6.1085180834168019E-14</c:v>
                </c:pt>
                <c:pt idx="5">
                  <c:v>7.4729749863399351E-14</c:v>
                </c:pt>
                <c:pt idx="6">
                  <c:v>6.1085812161500049E-16</c:v>
                </c:pt>
                <c:pt idx="7">
                  <c:v>8.6164602069105617E-2</c:v>
                </c:pt>
                <c:pt idx="8">
                  <c:v>8.7933178994809277E-2</c:v>
                </c:pt>
                <c:pt idx="9">
                  <c:v>0.55515709833525961</c:v>
                </c:pt>
                <c:pt idx="10">
                  <c:v>0.20187062544437456</c:v>
                </c:pt>
                <c:pt idx="11">
                  <c:v>2.2655412152605334E-2</c:v>
                </c:pt>
                <c:pt idx="12">
                  <c:v>2.2881510643955709E-2</c:v>
                </c:pt>
                <c:pt idx="13">
                  <c:v>2.3337571598638539E-2</c:v>
                </c:pt>
              </c:numCache>
            </c:numRef>
          </c:val>
          <c:extLst>
            <c:ext xmlns:c16="http://schemas.microsoft.com/office/drawing/2014/chart" uri="{C3380CC4-5D6E-409C-BE32-E72D297353CC}">
              <c16:uniqueId val="{00000001-2DD2-4984-B23C-CE5DCA3C4116}"/>
            </c:ext>
          </c:extLst>
        </c:ser>
        <c:dLbls>
          <c:showLegendKey val="0"/>
          <c:showVal val="0"/>
          <c:showCatName val="0"/>
          <c:showSerName val="0"/>
          <c:showPercent val="0"/>
          <c:showBubbleSize val="0"/>
        </c:dLbls>
        <c:gapWidth val="150"/>
        <c:overlap val="100"/>
        <c:axId val="926617880"/>
        <c:axId val="926612304"/>
      </c:barChart>
      <c:catAx>
        <c:axId val="92661788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5400000" spcFirstLastPara="1" vertOverflow="ellipsis"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926612304"/>
        <c:crosses val="autoZero"/>
        <c:auto val="1"/>
        <c:lblAlgn val="ctr"/>
        <c:lblOffset val="100"/>
        <c:noMultiLvlLbl val="0"/>
      </c:catAx>
      <c:valAx>
        <c:axId val="92661230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926617880"/>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3</xdr:col>
      <xdr:colOff>1348154</xdr:colOff>
      <xdr:row>57</xdr:row>
      <xdr:rowOff>117230</xdr:rowOff>
    </xdr:from>
    <xdr:to>
      <xdr:col>9</xdr:col>
      <xdr:colOff>797126</xdr:colOff>
      <xdr:row>120</xdr:row>
      <xdr:rowOff>74599</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28846" y="9656884"/>
          <a:ext cx="8597611" cy="12090753"/>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oneCellAnchor>
    <xdr:from>
      <xdr:col>1</xdr:col>
      <xdr:colOff>9855</xdr:colOff>
      <xdr:row>13</xdr:row>
      <xdr:rowOff>20567</xdr:rowOff>
    </xdr:from>
    <xdr:ext cx="4154599" cy="562270"/>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617074" y="2532786"/>
              <a:ext cx="4154599" cy="5622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GB" sz="1100" b="0" i="1">
                            <a:latin typeface="Cambria Math" panose="02040503050406030204" pitchFamily="18" charset="0"/>
                          </a:rPr>
                        </m:ctrlPr>
                      </m:sSubPr>
                      <m:e>
                        <m:r>
                          <a:rPr lang="en-GB" sz="1100" b="0" i="1">
                            <a:latin typeface="Cambria Math" panose="02040503050406030204" pitchFamily="18" charset="0"/>
                          </a:rPr>
                          <m:t>𝑀𝐹</m:t>
                        </m:r>
                      </m:e>
                      <m:sub>
                        <m:r>
                          <a:rPr lang="en-GB" sz="1100" b="0" i="1">
                            <a:latin typeface="Cambria Math" panose="02040503050406030204" pitchFamily="18" charset="0"/>
                          </a:rPr>
                          <m:t>𝐺𝐸𝑁</m:t>
                        </m:r>
                      </m:sub>
                    </m:sSub>
                    <m:r>
                      <a:rPr lang="en-GB" sz="1100" i="1">
                        <a:latin typeface="Cambria Math" panose="02040503050406030204" pitchFamily="18" charset="0"/>
                      </a:rPr>
                      <m:t>=</m:t>
                    </m:r>
                    <m:f>
                      <m:fPr>
                        <m:ctrlPr>
                          <a:rPr lang="en-GB" sz="1100" i="1">
                            <a:solidFill>
                              <a:schemeClr val="tx1"/>
                            </a:solidFill>
                            <a:effectLst/>
                            <a:latin typeface="Cambria Math" panose="02040503050406030204" pitchFamily="18" charset="0"/>
                            <a:ea typeface="+mn-ea"/>
                            <a:cs typeface="+mn-cs"/>
                          </a:rPr>
                        </m:ctrlPr>
                      </m:fPr>
                      <m:num>
                        <m:sSub>
                          <m:sSubPr>
                            <m:ctrlPr>
                              <a:rPr lang="en-GB" sz="1100" i="1">
                                <a:solidFill>
                                  <a:schemeClr val="tx1"/>
                                </a:solidFill>
                                <a:effectLst/>
                                <a:latin typeface="Cambria Math" panose="02040503050406030204" pitchFamily="18" charset="0"/>
                                <a:ea typeface="+mn-ea"/>
                                <a:cs typeface="+mn-cs"/>
                              </a:rPr>
                            </m:ctrlPr>
                          </m:sSubPr>
                          <m:e>
                            <m:r>
                              <a:rPr lang="en-GB" sz="1100" b="0" i="1">
                                <a:solidFill>
                                  <a:schemeClr val="tx1"/>
                                </a:solidFill>
                                <a:effectLst/>
                                <a:latin typeface="Cambria Math" panose="02040503050406030204" pitchFamily="18" charset="0"/>
                                <a:ea typeface="+mn-ea"/>
                                <a:cs typeface="+mn-cs"/>
                              </a:rPr>
                              <m:t>𝑀𝐹</m:t>
                            </m:r>
                          </m:e>
                          <m:sub>
                            <m:r>
                              <a:rPr lang="en-GB" sz="1100" b="0" i="1">
                                <a:solidFill>
                                  <a:schemeClr val="tx1"/>
                                </a:solidFill>
                                <a:effectLst/>
                                <a:latin typeface="Cambria Math" panose="02040503050406030204" pitchFamily="18" charset="0"/>
                                <a:ea typeface="+mn-ea"/>
                                <a:cs typeface="+mn-cs"/>
                              </a:rPr>
                              <m:t>𝑡</m:t>
                            </m:r>
                            <m:r>
                              <a:rPr lang="en-GB" sz="1100" b="0" i="1">
                                <a:solidFill>
                                  <a:schemeClr val="tx1"/>
                                </a:solidFill>
                                <a:effectLst/>
                                <a:latin typeface="Cambria Math" panose="02040503050406030204" pitchFamily="18" charset="0"/>
                                <a:ea typeface="+mn-ea"/>
                                <a:cs typeface="+mn-cs"/>
                              </a:rPr>
                              <m:t>_</m:t>
                            </m:r>
                            <m:r>
                              <a:rPr lang="en-GB" sz="1100" b="0" i="1">
                                <a:solidFill>
                                  <a:schemeClr val="tx1"/>
                                </a:solidFill>
                                <a:effectLst/>
                                <a:latin typeface="Cambria Math" panose="02040503050406030204" pitchFamily="18" charset="0"/>
                                <a:ea typeface="+mn-ea"/>
                                <a:cs typeface="+mn-cs"/>
                              </a:rPr>
                              <m:t>𝑒</m:t>
                            </m:r>
                          </m:sub>
                        </m:sSub>
                      </m:num>
                      <m:den>
                        <m:sSub>
                          <m:sSubPr>
                            <m:ctrlPr>
                              <a:rPr lang="en-GB" sz="1100" i="1">
                                <a:solidFill>
                                  <a:schemeClr val="tx1"/>
                                </a:solidFill>
                                <a:effectLst/>
                                <a:latin typeface="Cambria Math" panose="02040503050406030204" pitchFamily="18" charset="0"/>
                                <a:ea typeface="+mn-ea"/>
                                <a:cs typeface="+mn-cs"/>
                              </a:rPr>
                            </m:ctrlPr>
                          </m:sSubPr>
                          <m:e>
                            <m:r>
                              <a:rPr lang="en-GB" sz="1100" b="0" i="1">
                                <a:solidFill>
                                  <a:schemeClr val="tx1"/>
                                </a:solidFill>
                                <a:effectLst/>
                                <a:latin typeface="Cambria Math" panose="02040503050406030204" pitchFamily="18" charset="0"/>
                                <a:ea typeface="+mn-ea"/>
                                <a:cs typeface="+mn-cs"/>
                              </a:rPr>
                              <m:t>𝑉</m:t>
                            </m:r>
                          </m:e>
                          <m:sub>
                            <m:r>
                              <a:rPr lang="en-GB" sz="1100" b="0" i="1">
                                <a:solidFill>
                                  <a:schemeClr val="tx1"/>
                                </a:solidFill>
                                <a:effectLst/>
                                <a:latin typeface="Cambria Math" panose="02040503050406030204" pitchFamily="18" charset="0"/>
                                <a:ea typeface="+mn-ea"/>
                                <a:cs typeface="+mn-cs"/>
                              </a:rPr>
                              <m:t>𝑓</m:t>
                            </m:r>
                          </m:sub>
                        </m:sSub>
                      </m:den>
                    </m:f>
                    <m:r>
                      <a:rPr lang="en-GB" sz="1100" i="0">
                        <a:solidFill>
                          <a:schemeClr val="tx1"/>
                        </a:solidFill>
                        <a:effectLst/>
                        <a:latin typeface="Cambria Math" panose="02040503050406030204" pitchFamily="18" charset="0"/>
                        <a:ea typeface="+mn-ea"/>
                        <a:cs typeface="+mn-cs"/>
                      </a:rPr>
                      <m:t>⋅</m:t>
                    </m:r>
                    <m:f>
                      <m:fPr>
                        <m:ctrlPr>
                          <a:rPr lang="en-GB" sz="1100" i="1">
                            <a:solidFill>
                              <a:schemeClr val="tx1"/>
                            </a:solidFill>
                            <a:effectLst/>
                            <a:latin typeface="Cambria Math" panose="02040503050406030204" pitchFamily="18" charset="0"/>
                            <a:ea typeface="+mn-ea"/>
                            <a:cs typeface="+mn-cs"/>
                          </a:rPr>
                        </m:ctrlPr>
                      </m:fPr>
                      <m:num>
                        <m:sSub>
                          <m:sSubPr>
                            <m:ctrlPr>
                              <a:rPr lang="en-GB" sz="1100" i="1">
                                <a:solidFill>
                                  <a:schemeClr val="tx1"/>
                                </a:solidFill>
                                <a:effectLst/>
                                <a:latin typeface="Cambria Math" panose="02040503050406030204" pitchFamily="18" charset="0"/>
                                <a:ea typeface="+mn-ea"/>
                                <a:cs typeface="+mn-cs"/>
                              </a:rPr>
                            </m:ctrlPr>
                          </m:sSubPr>
                          <m:e>
                            <m:r>
                              <a:rPr lang="en-GB" sz="1100" b="0" i="1">
                                <a:solidFill>
                                  <a:schemeClr val="tx1"/>
                                </a:solidFill>
                                <a:effectLst/>
                                <a:latin typeface="Cambria Math" panose="02040503050406030204" pitchFamily="18" charset="0"/>
                                <a:ea typeface="+mn-ea"/>
                                <a:cs typeface="+mn-cs"/>
                              </a:rPr>
                              <m:t>𝐴𝑤</m:t>
                            </m:r>
                          </m:e>
                          <m:sub>
                            <m:r>
                              <a:rPr lang="en-GB" sz="1100" b="0" i="1">
                                <a:solidFill>
                                  <a:schemeClr val="tx1"/>
                                </a:solidFill>
                                <a:effectLst/>
                                <a:latin typeface="Cambria Math" panose="02040503050406030204" pitchFamily="18" charset="0"/>
                                <a:ea typeface="+mn-ea"/>
                                <a:cs typeface="+mn-cs"/>
                              </a:rPr>
                              <m:t>(</m:t>
                            </m:r>
                            <m:r>
                              <a:rPr lang="en-GB" sz="1100" b="0" i="1">
                                <a:solidFill>
                                  <a:schemeClr val="tx1"/>
                                </a:solidFill>
                                <a:effectLst/>
                                <a:latin typeface="Cambria Math" panose="02040503050406030204" pitchFamily="18" charset="0"/>
                                <a:ea typeface="+mn-ea"/>
                                <a:cs typeface="+mn-cs"/>
                              </a:rPr>
                              <m:t>𝐻</m:t>
                            </m:r>
                            <m:sSub>
                              <m:sSubPr>
                                <m:ctrlPr>
                                  <a:rPr lang="en-GB" sz="1100" b="0" i="1">
                                    <a:solidFill>
                                      <a:schemeClr val="tx1"/>
                                    </a:solidFill>
                                    <a:effectLst/>
                                    <a:latin typeface="Cambria Math" panose="02040503050406030204" pitchFamily="18" charset="0"/>
                                    <a:ea typeface="+mn-ea"/>
                                    <a:cs typeface="+mn-cs"/>
                                  </a:rPr>
                                </m:ctrlPr>
                              </m:sSubPr>
                              <m:e>
                                <m:r>
                                  <a:rPr lang="en-GB" sz="1100" b="0" i="1">
                                    <a:solidFill>
                                      <a:schemeClr val="tx1"/>
                                    </a:solidFill>
                                    <a:effectLst/>
                                    <a:latin typeface="Cambria Math" panose="02040503050406030204" pitchFamily="18" charset="0"/>
                                    <a:ea typeface="+mn-ea"/>
                                    <a:cs typeface="+mn-cs"/>
                                  </a:rPr>
                                  <m:t>𝑔</m:t>
                                </m:r>
                                <m:r>
                                  <a:rPr lang="en-GB" sz="1100" b="0" i="1">
                                    <a:solidFill>
                                      <a:schemeClr val="tx1"/>
                                    </a:solidFill>
                                    <a:effectLst/>
                                    <a:latin typeface="Cambria Math" panose="02040503050406030204" pitchFamily="18" charset="0"/>
                                    <a:ea typeface="+mn-ea"/>
                                    <a:cs typeface="+mn-cs"/>
                                  </a:rPr>
                                  <m:t>_</m:t>
                                </m:r>
                              </m:e>
                              <m:sub>
                                <m:r>
                                  <a:rPr lang="en-GB" sz="1100" b="0" i="1">
                                    <a:solidFill>
                                      <a:schemeClr val="tx1"/>
                                    </a:solidFill>
                                    <a:effectLst/>
                                    <a:latin typeface="Cambria Math" panose="02040503050406030204" pitchFamily="18" charset="0"/>
                                    <a:ea typeface="+mn-ea"/>
                                    <a:cs typeface="+mn-cs"/>
                                  </a:rPr>
                                  <m:t>𝑛</m:t>
                                </m:r>
                              </m:sub>
                            </m:sSub>
                            <m:r>
                              <a:rPr lang="en-GB" sz="1100" b="0" i="1">
                                <a:solidFill>
                                  <a:schemeClr val="tx1"/>
                                </a:solidFill>
                                <a:effectLst/>
                                <a:latin typeface="Cambria Math" panose="02040503050406030204" pitchFamily="18" charset="0"/>
                                <a:ea typeface="+mn-ea"/>
                                <a:cs typeface="+mn-cs"/>
                              </a:rPr>
                              <m:t>)</m:t>
                            </m:r>
                          </m:sub>
                        </m:sSub>
                      </m:num>
                      <m:den>
                        <m:sSub>
                          <m:sSubPr>
                            <m:ctrlPr>
                              <a:rPr lang="en-GB" sz="1100" i="1">
                                <a:solidFill>
                                  <a:schemeClr val="tx1"/>
                                </a:solidFill>
                                <a:effectLst/>
                                <a:latin typeface="Cambria Math" panose="02040503050406030204" pitchFamily="18" charset="0"/>
                                <a:ea typeface="+mn-ea"/>
                                <a:cs typeface="+mn-cs"/>
                              </a:rPr>
                            </m:ctrlPr>
                          </m:sSubPr>
                          <m:e>
                            <m:r>
                              <a:rPr lang="en-GB" sz="1100" b="0" i="1">
                                <a:solidFill>
                                  <a:schemeClr val="tx1"/>
                                </a:solidFill>
                                <a:effectLst/>
                                <a:latin typeface="Cambria Math" panose="02040503050406030204" pitchFamily="18" charset="0"/>
                                <a:ea typeface="+mn-ea"/>
                                <a:cs typeface="+mn-cs"/>
                              </a:rPr>
                              <m:t>𝐴𝑤</m:t>
                            </m:r>
                          </m:e>
                          <m:sub>
                            <m:r>
                              <a:rPr lang="en-GB" sz="1100" b="0" i="1">
                                <a:solidFill>
                                  <a:schemeClr val="tx1"/>
                                </a:solidFill>
                                <a:effectLst/>
                                <a:latin typeface="Cambria Math" panose="02040503050406030204" pitchFamily="18" charset="0"/>
                                <a:ea typeface="+mn-ea"/>
                                <a:cs typeface="+mn-cs"/>
                              </a:rPr>
                              <m:t>(</m:t>
                            </m:r>
                            <m:r>
                              <a:rPr lang="en-GB" sz="1100" b="0" i="1">
                                <a:solidFill>
                                  <a:schemeClr val="tx1"/>
                                </a:solidFill>
                                <a:effectLst/>
                                <a:latin typeface="Cambria Math" panose="02040503050406030204" pitchFamily="18" charset="0"/>
                                <a:ea typeface="+mn-ea"/>
                                <a:cs typeface="+mn-cs"/>
                              </a:rPr>
                              <m:t>𝐻</m:t>
                            </m:r>
                            <m:sSub>
                              <m:sSubPr>
                                <m:ctrlPr>
                                  <a:rPr lang="en-GB" sz="1100" b="0" i="1">
                                    <a:solidFill>
                                      <a:schemeClr val="tx1"/>
                                    </a:solidFill>
                                    <a:effectLst/>
                                    <a:latin typeface="Cambria Math" panose="02040503050406030204" pitchFamily="18" charset="0"/>
                                    <a:ea typeface="+mn-ea"/>
                                    <a:cs typeface="+mn-cs"/>
                                  </a:rPr>
                                </m:ctrlPr>
                              </m:sSubPr>
                              <m:e>
                                <m:r>
                                  <a:rPr lang="en-GB" sz="1100" b="0" i="1">
                                    <a:solidFill>
                                      <a:schemeClr val="tx1"/>
                                    </a:solidFill>
                                    <a:effectLst/>
                                    <a:latin typeface="Cambria Math" panose="02040503050406030204" pitchFamily="18" charset="0"/>
                                    <a:ea typeface="+mn-ea"/>
                                    <a:cs typeface="+mn-cs"/>
                                  </a:rPr>
                                  <m:t>𝑔</m:t>
                                </m:r>
                              </m:e>
                              <m:sub>
                                <m:r>
                                  <a:rPr lang="en-GB" sz="1100" b="0" i="1">
                                    <a:solidFill>
                                      <a:schemeClr val="tx1"/>
                                    </a:solidFill>
                                    <a:effectLst/>
                                    <a:latin typeface="Cambria Math" panose="02040503050406030204" pitchFamily="18" charset="0"/>
                                    <a:ea typeface="+mn-ea"/>
                                    <a:cs typeface="+mn-cs"/>
                                  </a:rPr>
                                  <m:t>_</m:t>
                                </m:r>
                                <m:r>
                                  <a:rPr lang="en-GB" sz="1100" b="0" i="1">
                                    <a:solidFill>
                                      <a:schemeClr val="tx1"/>
                                    </a:solidFill>
                                    <a:effectLst/>
                                    <a:latin typeface="Cambria Math" panose="02040503050406030204" pitchFamily="18" charset="0"/>
                                    <a:ea typeface="+mn-ea"/>
                                    <a:cs typeface="+mn-cs"/>
                                  </a:rPr>
                                  <m:t>𝑒</m:t>
                                </m:r>
                              </m:sub>
                            </m:sSub>
                            <m:r>
                              <a:rPr lang="en-GB" sz="1100" b="0" i="1">
                                <a:solidFill>
                                  <a:schemeClr val="tx1"/>
                                </a:solidFill>
                                <a:effectLst/>
                                <a:latin typeface="Cambria Math" panose="02040503050406030204" pitchFamily="18" charset="0"/>
                                <a:ea typeface="+mn-ea"/>
                                <a:cs typeface="+mn-cs"/>
                              </a:rPr>
                              <m:t>)</m:t>
                            </m:r>
                          </m:sub>
                        </m:sSub>
                      </m:den>
                    </m:f>
                    <m:r>
                      <a:rPr lang="en-GB" sz="1100" i="0">
                        <a:solidFill>
                          <a:schemeClr val="tx1"/>
                        </a:solidFill>
                        <a:effectLst/>
                        <a:latin typeface="Cambria Math" panose="02040503050406030204" pitchFamily="18" charset="0"/>
                        <a:ea typeface="+mn-ea"/>
                        <a:cs typeface="+mn-cs"/>
                      </a:rPr>
                      <m:t>⋅</m:t>
                    </m:r>
                    <m:f>
                      <m:fPr>
                        <m:ctrlPr>
                          <a:rPr lang="en-GB" sz="1100" i="1">
                            <a:solidFill>
                              <a:schemeClr val="tx1"/>
                            </a:solidFill>
                            <a:effectLst/>
                            <a:latin typeface="Cambria Math" panose="02040503050406030204" pitchFamily="18" charset="0"/>
                            <a:ea typeface="+mn-ea"/>
                            <a:cs typeface="+mn-cs"/>
                          </a:rPr>
                        </m:ctrlPr>
                      </m:fPr>
                      <m:num>
                        <m:sSub>
                          <m:sSubPr>
                            <m:ctrlPr>
                              <a:rPr lang="en-GB" sz="1100" i="1">
                                <a:solidFill>
                                  <a:schemeClr val="tx1"/>
                                </a:solidFill>
                                <a:effectLst/>
                                <a:latin typeface="Cambria Math" panose="02040503050406030204" pitchFamily="18" charset="0"/>
                                <a:ea typeface="+mn-ea"/>
                                <a:cs typeface="+mn-cs"/>
                              </a:rPr>
                            </m:ctrlPr>
                          </m:sSubPr>
                          <m:e>
                            <m:r>
                              <a:rPr lang="en-GB" sz="1100" b="0" i="1">
                                <a:solidFill>
                                  <a:schemeClr val="tx1"/>
                                </a:solidFill>
                                <a:effectLst/>
                                <a:latin typeface="Cambria Math" panose="02040503050406030204" pitchFamily="18" charset="0"/>
                                <a:ea typeface="+mn-ea"/>
                                <a:cs typeface="+mn-cs"/>
                              </a:rPr>
                              <m:t>𝐴</m:t>
                            </m:r>
                          </m:e>
                          <m:sub>
                            <m:d>
                              <m:dPr>
                                <m:ctrlPr>
                                  <a:rPr lang="en-GB" sz="1100" b="0" i="1">
                                    <a:solidFill>
                                      <a:schemeClr val="tx1"/>
                                    </a:solidFill>
                                    <a:effectLst/>
                                    <a:latin typeface="Cambria Math" panose="02040503050406030204" pitchFamily="18" charset="0"/>
                                    <a:ea typeface="+mn-ea"/>
                                    <a:cs typeface="+mn-cs"/>
                                  </a:rPr>
                                </m:ctrlPr>
                              </m:dPr>
                              <m:e>
                                <m:r>
                                  <a:rPr lang="en-GB" sz="1100" b="0" i="1">
                                    <a:solidFill>
                                      <a:schemeClr val="tx1"/>
                                    </a:solidFill>
                                    <a:effectLst/>
                                    <a:latin typeface="Cambria Math" panose="02040503050406030204" pitchFamily="18" charset="0"/>
                                    <a:ea typeface="+mn-ea"/>
                                    <a:cs typeface="+mn-cs"/>
                                  </a:rPr>
                                  <m:t>199</m:t>
                                </m:r>
                                <m:r>
                                  <a:rPr lang="en-GB" sz="1100" b="0" i="1">
                                    <a:solidFill>
                                      <a:schemeClr val="tx1"/>
                                    </a:solidFill>
                                    <a:effectLst/>
                                    <a:latin typeface="Cambria Math" panose="02040503050406030204" pitchFamily="18" charset="0"/>
                                    <a:ea typeface="+mn-ea"/>
                                    <a:cs typeface="+mn-cs"/>
                                  </a:rPr>
                                  <m:t>𝐻𝑔</m:t>
                                </m:r>
                                <m:r>
                                  <a:rPr lang="en-GB" sz="1100" b="0" i="1">
                                    <a:solidFill>
                                      <a:schemeClr val="tx1"/>
                                    </a:solidFill>
                                    <a:effectLst/>
                                    <a:latin typeface="Cambria Math" panose="02040503050406030204" pitchFamily="18" charset="0"/>
                                    <a:ea typeface="+mn-ea"/>
                                    <a:cs typeface="+mn-cs"/>
                                  </a:rPr>
                                  <m:t>)_</m:t>
                                </m:r>
                                <m:r>
                                  <a:rPr lang="en-GB" sz="1100" b="0" i="1">
                                    <a:solidFill>
                                      <a:schemeClr val="tx1"/>
                                    </a:solidFill>
                                    <a:effectLst/>
                                    <a:latin typeface="Cambria Math" panose="02040503050406030204" pitchFamily="18" charset="0"/>
                                    <a:ea typeface="+mn-ea"/>
                                    <a:cs typeface="+mn-cs"/>
                                  </a:rPr>
                                  <m:t>𝑒</m:t>
                                </m:r>
                              </m:e>
                            </m:d>
                          </m:sub>
                        </m:sSub>
                      </m:num>
                      <m:den>
                        <m:sSub>
                          <m:sSubPr>
                            <m:ctrlPr>
                              <a:rPr lang="en-GB" sz="1100" i="1">
                                <a:solidFill>
                                  <a:schemeClr val="tx1"/>
                                </a:solidFill>
                                <a:effectLst/>
                                <a:latin typeface="Cambria Math" panose="02040503050406030204" pitchFamily="18" charset="0"/>
                                <a:ea typeface="+mn-ea"/>
                                <a:cs typeface="+mn-cs"/>
                              </a:rPr>
                            </m:ctrlPr>
                          </m:sSubPr>
                          <m:e>
                            <m:r>
                              <a:rPr lang="en-GB" sz="1100" b="0" i="1">
                                <a:solidFill>
                                  <a:schemeClr val="tx1"/>
                                </a:solidFill>
                                <a:effectLst/>
                                <a:latin typeface="Cambria Math" panose="02040503050406030204" pitchFamily="18" charset="0"/>
                                <a:ea typeface="+mn-ea"/>
                                <a:cs typeface="+mn-cs"/>
                              </a:rPr>
                              <m:t>𝐴</m:t>
                            </m:r>
                          </m:e>
                          <m:sub>
                            <m:r>
                              <a:rPr lang="en-GB" sz="1100" b="0" i="1">
                                <a:solidFill>
                                  <a:schemeClr val="tx1"/>
                                </a:solidFill>
                                <a:effectLst/>
                                <a:latin typeface="Cambria Math" panose="02040503050406030204" pitchFamily="18" charset="0"/>
                                <a:ea typeface="+mn-ea"/>
                                <a:cs typeface="+mn-cs"/>
                              </a:rPr>
                              <m:t>(202</m:t>
                            </m:r>
                            <m:r>
                              <a:rPr lang="en-GB" sz="1100" b="0" i="1">
                                <a:solidFill>
                                  <a:schemeClr val="tx1"/>
                                </a:solidFill>
                                <a:effectLst/>
                                <a:latin typeface="Cambria Math" panose="02040503050406030204" pitchFamily="18" charset="0"/>
                                <a:ea typeface="+mn-ea"/>
                                <a:cs typeface="+mn-cs"/>
                              </a:rPr>
                              <m:t>𝐻𝑔</m:t>
                            </m:r>
                            <m:r>
                              <a:rPr lang="en-GB" sz="1100" b="0" i="1">
                                <a:solidFill>
                                  <a:schemeClr val="tx1"/>
                                </a:solidFill>
                                <a:effectLst/>
                                <a:latin typeface="Cambria Math" panose="02040503050406030204" pitchFamily="18" charset="0"/>
                                <a:ea typeface="+mn-ea"/>
                                <a:cs typeface="+mn-cs"/>
                              </a:rPr>
                              <m:t>)_</m:t>
                            </m:r>
                            <m:r>
                              <a:rPr lang="en-GB" sz="1100" b="0" i="1">
                                <a:solidFill>
                                  <a:schemeClr val="tx1"/>
                                </a:solidFill>
                                <a:effectLst/>
                                <a:latin typeface="Cambria Math" panose="02040503050406030204" pitchFamily="18" charset="0"/>
                                <a:ea typeface="+mn-ea"/>
                                <a:cs typeface="+mn-cs"/>
                              </a:rPr>
                              <m:t>𝑛</m:t>
                            </m:r>
                          </m:sub>
                        </m:sSub>
                      </m:den>
                    </m:f>
                    <m:r>
                      <a:rPr lang="en-GB" sz="1100" i="0">
                        <a:solidFill>
                          <a:schemeClr val="tx1"/>
                        </a:solidFill>
                        <a:effectLst/>
                        <a:latin typeface="Cambria Math" panose="02040503050406030204" pitchFamily="18" charset="0"/>
                        <a:ea typeface="+mn-ea"/>
                        <a:cs typeface="+mn-cs"/>
                      </a:rPr>
                      <m:t>⋅</m:t>
                    </m:r>
                    <m:d>
                      <m:dPr>
                        <m:ctrlPr>
                          <a:rPr lang="en-GB" sz="1100" i="1">
                            <a:solidFill>
                              <a:schemeClr val="tx1"/>
                            </a:solidFill>
                            <a:effectLst/>
                            <a:latin typeface="Cambria Math" panose="02040503050406030204" pitchFamily="18" charset="0"/>
                            <a:ea typeface="+mn-ea"/>
                            <a:cs typeface="+mn-cs"/>
                          </a:rPr>
                        </m:ctrlPr>
                      </m:dPr>
                      <m:e>
                        <m:f>
                          <m:fPr>
                            <m:ctrlPr>
                              <a:rPr lang="en-GB" sz="1100" i="1">
                                <a:solidFill>
                                  <a:schemeClr val="tx1"/>
                                </a:solidFill>
                                <a:effectLst/>
                                <a:latin typeface="Cambria Math" panose="02040503050406030204" pitchFamily="18" charset="0"/>
                                <a:ea typeface="+mn-ea"/>
                                <a:cs typeface="+mn-cs"/>
                              </a:rPr>
                            </m:ctrlPr>
                          </m:fPr>
                          <m:num>
                            <m:sSub>
                              <m:sSubPr>
                                <m:ctrlPr>
                                  <a:rPr lang="en-GB" sz="1100" i="1">
                                    <a:solidFill>
                                      <a:schemeClr val="tx1"/>
                                    </a:solidFill>
                                    <a:effectLst/>
                                    <a:latin typeface="Cambria Math" panose="02040503050406030204" pitchFamily="18" charset="0"/>
                                    <a:ea typeface="+mn-ea"/>
                                    <a:cs typeface="+mn-cs"/>
                                  </a:rPr>
                                </m:ctrlPr>
                              </m:sSubPr>
                              <m:e>
                                <m:r>
                                  <a:rPr lang="en-GB" sz="1100" b="0" i="1">
                                    <a:solidFill>
                                      <a:schemeClr val="tx1"/>
                                    </a:solidFill>
                                    <a:effectLst/>
                                    <a:latin typeface="Cambria Math" panose="02040503050406030204" pitchFamily="18" charset="0"/>
                                    <a:ea typeface="+mn-ea"/>
                                    <a:cs typeface="+mn-cs"/>
                                  </a:rPr>
                                  <m:t>𝑅</m:t>
                                </m:r>
                              </m:e>
                              <m:sub>
                                <m:r>
                                  <a:rPr lang="en-GB" sz="1100" b="0" i="1">
                                    <a:solidFill>
                                      <a:schemeClr val="tx1"/>
                                    </a:solidFill>
                                    <a:effectLst/>
                                    <a:latin typeface="Cambria Math" panose="02040503050406030204" pitchFamily="18" charset="0"/>
                                    <a:ea typeface="+mn-ea"/>
                                    <a:cs typeface="+mn-cs"/>
                                  </a:rPr>
                                  <m:t>𝑏</m:t>
                                </m:r>
                                <m:r>
                                  <a:rPr lang="en-GB" sz="1100" b="0" i="1">
                                    <a:solidFill>
                                      <a:schemeClr val="tx1"/>
                                    </a:solidFill>
                                    <a:effectLst/>
                                    <a:latin typeface="Cambria Math" panose="02040503050406030204" pitchFamily="18" charset="0"/>
                                    <a:ea typeface="+mn-ea"/>
                                    <a:cs typeface="+mn-cs"/>
                                  </a:rPr>
                                  <m:t>(</m:t>
                                </m:r>
                                <m:f>
                                  <m:fPr>
                                    <m:ctrlPr>
                                      <a:rPr lang="en-GB" sz="1100" b="0" i="1">
                                        <a:solidFill>
                                          <a:schemeClr val="tx1"/>
                                        </a:solidFill>
                                        <a:effectLst/>
                                        <a:latin typeface="Cambria Math" panose="02040503050406030204" pitchFamily="18" charset="0"/>
                                        <a:ea typeface="+mn-ea"/>
                                        <a:cs typeface="+mn-cs"/>
                                      </a:rPr>
                                    </m:ctrlPr>
                                  </m:fPr>
                                  <m:num>
                                    <m:r>
                                      <a:rPr lang="en-GB" sz="1100" b="0" i="1">
                                        <a:solidFill>
                                          <a:schemeClr val="tx1"/>
                                        </a:solidFill>
                                        <a:effectLst/>
                                        <a:latin typeface="Cambria Math" panose="02040503050406030204" pitchFamily="18" charset="0"/>
                                        <a:ea typeface="+mn-ea"/>
                                        <a:cs typeface="+mn-cs"/>
                                      </a:rPr>
                                      <m:t>202</m:t>
                                    </m:r>
                                    <m:r>
                                      <a:rPr lang="en-GB" sz="1100" b="0" i="1">
                                        <a:solidFill>
                                          <a:schemeClr val="tx1"/>
                                        </a:solidFill>
                                        <a:effectLst/>
                                        <a:latin typeface="Cambria Math" panose="02040503050406030204" pitchFamily="18" charset="0"/>
                                        <a:ea typeface="+mn-ea"/>
                                        <a:cs typeface="+mn-cs"/>
                                      </a:rPr>
                                      <m:t>𝐻𝑔</m:t>
                                    </m:r>
                                  </m:num>
                                  <m:den>
                                    <m:r>
                                      <a:rPr lang="en-GB" sz="1100" b="0" i="1">
                                        <a:solidFill>
                                          <a:schemeClr val="tx1"/>
                                        </a:solidFill>
                                        <a:effectLst/>
                                        <a:latin typeface="Cambria Math" panose="02040503050406030204" pitchFamily="18" charset="0"/>
                                        <a:ea typeface="+mn-ea"/>
                                        <a:cs typeface="+mn-cs"/>
                                      </a:rPr>
                                      <m:t>199</m:t>
                                    </m:r>
                                    <m:r>
                                      <a:rPr lang="en-GB" sz="1100" b="0" i="1">
                                        <a:solidFill>
                                          <a:schemeClr val="tx1"/>
                                        </a:solidFill>
                                        <a:effectLst/>
                                        <a:latin typeface="Cambria Math" panose="02040503050406030204" pitchFamily="18" charset="0"/>
                                        <a:ea typeface="+mn-ea"/>
                                        <a:cs typeface="+mn-cs"/>
                                      </a:rPr>
                                      <m:t>𝐻𝑔</m:t>
                                    </m:r>
                                  </m:den>
                                </m:f>
                                <m:r>
                                  <a:rPr lang="en-GB" sz="1100" b="0" i="1">
                                    <a:solidFill>
                                      <a:schemeClr val="tx1"/>
                                    </a:solidFill>
                                    <a:effectLst/>
                                    <a:latin typeface="Cambria Math" panose="02040503050406030204" pitchFamily="18" charset="0"/>
                                    <a:ea typeface="+mn-ea"/>
                                    <a:cs typeface="+mn-cs"/>
                                  </a:rPr>
                                  <m:t>)</m:t>
                                </m:r>
                              </m:sub>
                            </m:sSub>
                            <m:r>
                              <a:rPr lang="en-GB" sz="1100" b="0" i="1">
                                <a:solidFill>
                                  <a:schemeClr val="tx1"/>
                                </a:solidFill>
                                <a:effectLst/>
                                <a:latin typeface="Cambria Math" panose="02040503050406030204" pitchFamily="18" charset="0"/>
                                <a:ea typeface="+mn-ea"/>
                                <a:cs typeface="+mn-cs"/>
                              </a:rPr>
                              <m:t>−</m:t>
                            </m:r>
                            <m:sSub>
                              <m:sSubPr>
                                <m:ctrlPr>
                                  <a:rPr lang="en-GB" sz="1100" b="0" i="1">
                                    <a:solidFill>
                                      <a:schemeClr val="tx1"/>
                                    </a:solidFill>
                                    <a:effectLst/>
                                    <a:latin typeface="Cambria Math" panose="02040503050406030204" pitchFamily="18" charset="0"/>
                                    <a:ea typeface="+mn-ea"/>
                                    <a:cs typeface="+mn-cs"/>
                                  </a:rPr>
                                </m:ctrlPr>
                              </m:sSubPr>
                              <m:e>
                                <m:r>
                                  <a:rPr lang="en-GB" sz="1100" b="0" i="1">
                                    <a:solidFill>
                                      <a:schemeClr val="tx1"/>
                                    </a:solidFill>
                                    <a:effectLst/>
                                    <a:latin typeface="Cambria Math" panose="02040503050406030204" pitchFamily="18" charset="0"/>
                                    <a:ea typeface="+mn-ea"/>
                                    <a:cs typeface="+mn-cs"/>
                                  </a:rPr>
                                  <m:t>𝑅</m:t>
                                </m:r>
                              </m:e>
                              <m:sub>
                                <m:r>
                                  <a:rPr lang="en-GB" sz="1100" b="0" i="1">
                                    <a:solidFill>
                                      <a:schemeClr val="tx1"/>
                                    </a:solidFill>
                                    <a:effectLst/>
                                    <a:latin typeface="Cambria Math" panose="02040503050406030204" pitchFamily="18" charset="0"/>
                                    <a:ea typeface="+mn-ea"/>
                                    <a:cs typeface="+mn-cs"/>
                                  </a:rPr>
                                  <m:t>𝑒</m:t>
                                </m:r>
                                <m:r>
                                  <a:rPr lang="en-GB" sz="1100" b="0" i="1">
                                    <a:solidFill>
                                      <a:schemeClr val="tx1"/>
                                    </a:solidFill>
                                    <a:effectLst/>
                                    <a:latin typeface="Cambria Math" panose="02040503050406030204" pitchFamily="18" charset="0"/>
                                    <a:ea typeface="+mn-ea"/>
                                    <a:cs typeface="+mn-cs"/>
                                  </a:rPr>
                                  <m:t>(</m:t>
                                </m:r>
                                <m:f>
                                  <m:fPr>
                                    <m:ctrlPr>
                                      <a:rPr lang="en-GB" sz="1100" b="0" i="1">
                                        <a:solidFill>
                                          <a:schemeClr val="tx1"/>
                                        </a:solidFill>
                                        <a:effectLst/>
                                        <a:latin typeface="Cambria Math" panose="02040503050406030204" pitchFamily="18" charset="0"/>
                                        <a:ea typeface="+mn-ea"/>
                                        <a:cs typeface="+mn-cs"/>
                                      </a:rPr>
                                    </m:ctrlPr>
                                  </m:fPr>
                                  <m:num>
                                    <m:r>
                                      <a:rPr lang="en-GB" sz="1100" b="0" i="1">
                                        <a:solidFill>
                                          <a:schemeClr val="tx1"/>
                                        </a:solidFill>
                                        <a:effectLst/>
                                        <a:latin typeface="Cambria Math" panose="02040503050406030204" pitchFamily="18" charset="0"/>
                                        <a:ea typeface="+mn-ea"/>
                                        <a:cs typeface="+mn-cs"/>
                                      </a:rPr>
                                      <m:t>202</m:t>
                                    </m:r>
                                    <m:r>
                                      <a:rPr lang="en-GB" sz="1100" b="0" i="1">
                                        <a:solidFill>
                                          <a:schemeClr val="tx1"/>
                                        </a:solidFill>
                                        <a:effectLst/>
                                        <a:latin typeface="Cambria Math" panose="02040503050406030204" pitchFamily="18" charset="0"/>
                                        <a:ea typeface="+mn-ea"/>
                                        <a:cs typeface="+mn-cs"/>
                                      </a:rPr>
                                      <m:t>𝐻𝑔</m:t>
                                    </m:r>
                                  </m:num>
                                  <m:den>
                                    <m:r>
                                      <a:rPr lang="en-GB" sz="1100" b="0" i="1">
                                        <a:solidFill>
                                          <a:schemeClr val="tx1"/>
                                        </a:solidFill>
                                        <a:effectLst/>
                                        <a:latin typeface="Cambria Math" panose="02040503050406030204" pitchFamily="18" charset="0"/>
                                        <a:ea typeface="+mn-ea"/>
                                        <a:cs typeface="+mn-cs"/>
                                      </a:rPr>
                                      <m:t>199</m:t>
                                    </m:r>
                                    <m:r>
                                      <a:rPr lang="en-GB" sz="1100" b="0" i="1">
                                        <a:solidFill>
                                          <a:schemeClr val="tx1"/>
                                        </a:solidFill>
                                        <a:effectLst/>
                                        <a:latin typeface="Cambria Math" panose="02040503050406030204" pitchFamily="18" charset="0"/>
                                        <a:ea typeface="+mn-ea"/>
                                        <a:cs typeface="+mn-cs"/>
                                      </a:rPr>
                                      <m:t>𝐻𝑔</m:t>
                                    </m:r>
                                  </m:den>
                                </m:f>
                                <m:r>
                                  <a:rPr lang="en-GB" sz="1100" b="0" i="1">
                                    <a:solidFill>
                                      <a:schemeClr val="tx1"/>
                                    </a:solidFill>
                                    <a:effectLst/>
                                    <a:latin typeface="Cambria Math" panose="02040503050406030204" pitchFamily="18" charset="0"/>
                                    <a:ea typeface="+mn-ea"/>
                                    <a:cs typeface="+mn-cs"/>
                                  </a:rPr>
                                  <m:t>)</m:t>
                                </m:r>
                              </m:sub>
                            </m:sSub>
                          </m:num>
                          <m:den>
                            <m:r>
                              <a:rPr lang="en-GB" sz="1100" b="0" i="1">
                                <a:solidFill>
                                  <a:schemeClr val="tx1"/>
                                </a:solidFill>
                                <a:effectLst/>
                                <a:latin typeface="Cambria Math" panose="02040503050406030204" pitchFamily="18" charset="0"/>
                                <a:ea typeface="+mn-ea"/>
                                <a:cs typeface="+mn-cs"/>
                              </a:rPr>
                              <m:t>1−</m:t>
                            </m:r>
                            <m:sSub>
                              <m:sSubPr>
                                <m:ctrlPr>
                                  <a:rPr lang="en-GB" sz="1100" i="1">
                                    <a:solidFill>
                                      <a:schemeClr val="tx1"/>
                                    </a:solidFill>
                                    <a:effectLst/>
                                    <a:latin typeface="Cambria Math" panose="02040503050406030204" pitchFamily="18" charset="0"/>
                                    <a:ea typeface="+mn-ea"/>
                                    <a:cs typeface="+mn-cs"/>
                                  </a:rPr>
                                </m:ctrlPr>
                              </m:sSubPr>
                              <m:e>
                                <m:r>
                                  <a:rPr lang="en-GB" sz="1100" b="0" i="1">
                                    <a:solidFill>
                                      <a:schemeClr val="tx1"/>
                                    </a:solidFill>
                                    <a:effectLst/>
                                    <a:latin typeface="Cambria Math" panose="02040503050406030204" pitchFamily="18" charset="0"/>
                                    <a:ea typeface="+mn-ea"/>
                                    <a:cs typeface="+mn-cs"/>
                                  </a:rPr>
                                  <m:t>𝑅</m:t>
                                </m:r>
                              </m:e>
                              <m:sub>
                                <m:r>
                                  <a:rPr lang="en-GB" sz="1100" b="0" i="1">
                                    <a:solidFill>
                                      <a:schemeClr val="tx1"/>
                                    </a:solidFill>
                                    <a:effectLst/>
                                    <a:latin typeface="Cambria Math" panose="02040503050406030204" pitchFamily="18" charset="0"/>
                                    <a:ea typeface="+mn-ea"/>
                                    <a:cs typeface="+mn-cs"/>
                                  </a:rPr>
                                  <m:t>𝑏</m:t>
                                </m:r>
                                <m:r>
                                  <a:rPr lang="en-GB" sz="1100" b="0" i="1">
                                    <a:solidFill>
                                      <a:schemeClr val="tx1"/>
                                    </a:solidFill>
                                    <a:effectLst/>
                                    <a:latin typeface="Cambria Math" panose="02040503050406030204" pitchFamily="18" charset="0"/>
                                    <a:ea typeface="+mn-ea"/>
                                    <a:cs typeface="+mn-cs"/>
                                  </a:rPr>
                                  <m:t>(</m:t>
                                </m:r>
                                <m:f>
                                  <m:fPr>
                                    <m:ctrlPr>
                                      <a:rPr lang="en-GB" sz="1100" b="0" i="1">
                                        <a:solidFill>
                                          <a:schemeClr val="tx1"/>
                                        </a:solidFill>
                                        <a:effectLst/>
                                        <a:latin typeface="Cambria Math" panose="02040503050406030204" pitchFamily="18" charset="0"/>
                                        <a:ea typeface="+mn-ea"/>
                                        <a:cs typeface="+mn-cs"/>
                                      </a:rPr>
                                    </m:ctrlPr>
                                  </m:fPr>
                                  <m:num>
                                    <m:r>
                                      <a:rPr lang="en-GB" sz="1100" b="0" i="1">
                                        <a:solidFill>
                                          <a:schemeClr val="tx1"/>
                                        </a:solidFill>
                                        <a:effectLst/>
                                        <a:latin typeface="Cambria Math" panose="02040503050406030204" pitchFamily="18" charset="0"/>
                                        <a:ea typeface="+mn-ea"/>
                                        <a:cs typeface="+mn-cs"/>
                                      </a:rPr>
                                      <m:t>202</m:t>
                                    </m:r>
                                    <m:r>
                                      <a:rPr lang="en-GB" sz="1100" b="0" i="1">
                                        <a:solidFill>
                                          <a:schemeClr val="tx1"/>
                                        </a:solidFill>
                                        <a:effectLst/>
                                        <a:latin typeface="Cambria Math" panose="02040503050406030204" pitchFamily="18" charset="0"/>
                                        <a:ea typeface="+mn-ea"/>
                                        <a:cs typeface="+mn-cs"/>
                                      </a:rPr>
                                      <m:t>𝐻𝑔</m:t>
                                    </m:r>
                                  </m:num>
                                  <m:den>
                                    <m:r>
                                      <a:rPr lang="en-GB" sz="1100" b="0" i="1">
                                        <a:solidFill>
                                          <a:schemeClr val="tx1"/>
                                        </a:solidFill>
                                        <a:effectLst/>
                                        <a:latin typeface="Cambria Math" panose="02040503050406030204" pitchFamily="18" charset="0"/>
                                        <a:ea typeface="+mn-ea"/>
                                        <a:cs typeface="+mn-cs"/>
                                      </a:rPr>
                                      <m:t>199</m:t>
                                    </m:r>
                                    <m:r>
                                      <a:rPr lang="en-GB" sz="1100" b="0" i="1">
                                        <a:solidFill>
                                          <a:schemeClr val="tx1"/>
                                        </a:solidFill>
                                        <a:effectLst/>
                                        <a:latin typeface="Cambria Math" panose="02040503050406030204" pitchFamily="18" charset="0"/>
                                        <a:ea typeface="+mn-ea"/>
                                        <a:cs typeface="+mn-cs"/>
                                      </a:rPr>
                                      <m:t>𝐻𝑔</m:t>
                                    </m:r>
                                  </m:den>
                                </m:f>
                                <m:r>
                                  <a:rPr lang="en-GB" sz="1100" b="0" i="1">
                                    <a:solidFill>
                                      <a:schemeClr val="tx1"/>
                                    </a:solidFill>
                                    <a:effectLst/>
                                    <a:latin typeface="Cambria Math" panose="02040503050406030204" pitchFamily="18" charset="0"/>
                                    <a:ea typeface="+mn-ea"/>
                                    <a:cs typeface="+mn-cs"/>
                                  </a:rPr>
                                  <m:t>)</m:t>
                                </m:r>
                              </m:sub>
                            </m:sSub>
                            <m:r>
                              <a:rPr lang="en-GB" sz="1100" b="0" i="1">
                                <a:solidFill>
                                  <a:schemeClr val="tx1"/>
                                </a:solidFill>
                                <a:effectLst/>
                                <a:latin typeface="Cambria Math" panose="02040503050406030204" pitchFamily="18" charset="0"/>
                                <a:ea typeface="Cambria Math" panose="02040503050406030204" pitchFamily="18" charset="0"/>
                                <a:cs typeface="+mn-cs"/>
                              </a:rPr>
                              <m:t>⋅</m:t>
                            </m:r>
                            <m:sSub>
                              <m:sSubPr>
                                <m:ctrlPr>
                                  <a:rPr lang="en-GB" sz="1100" i="1">
                                    <a:solidFill>
                                      <a:schemeClr val="tx1"/>
                                    </a:solidFill>
                                    <a:effectLst/>
                                    <a:latin typeface="Cambria Math" panose="02040503050406030204" pitchFamily="18" charset="0"/>
                                    <a:ea typeface="+mn-ea"/>
                                    <a:cs typeface="+mn-cs"/>
                                  </a:rPr>
                                </m:ctrlPr>
                              </m:sSubPr>
                              <m:e>
                                <m:r>
                                  <a:rPr lang="en-GB" sz="1100" b="0" i="1">
                                    <a:solidFill>
                                      <a:schemeClr val="tx1"/>
                                    </a:solidFill>
                                    <a:effectLst/>
                                    <a:latin typeface="Cambria Math" panose="02040503050406030204" pitchFamily="18" charset="0"/>
                                    <a:ea typeface="+mn-ea"/>
                                    <a:cs typeface="+mn-cs"/>
                                  </a:rPr>
                                  <m:t>𝑅</m:t>
                                </m:r>
                              </m:e>
                              <m:sub>
                                <m:r>
                                  <a:rPr lang="en-GB" sz="1100" b="0" i="1">
                                    <a:solidFill>
                                      <a:schemeClr val="tx1"/>
                                    </a:solidFill>
                                    <a:effectLst/>
                                    <a:latin typeface="Cambria Math" panose="02040503050406030204" pitchFamily="18" charset="0"/>
                                    <a:ea typeface="+mn-ea"/>
                                    <a:cs typeface="+mn-cs"/>
                                  </a:rPr>
                                  <m:t>𝑛</m:t>
                                </m:r>
                                <m:r>
                                  <a:rPr lang="en-GB" sz="1100" b="0" i="1">
                                    <a:solidFill>
                                      <a:schemeClr val="tx1"/>
                                    </a:solidFill>
                                    <a:effectLst/>
                                    <a:latin typeface="Cambria Math" panose="02040503050406030204" pitchFamily="18" charset="0"/>
                                    <a:ea typeface="+mn-ea"/>
                                    <a:cs typeface="+mn-cs"/>
                                  </a:rPr>
                                  <m:t>(</m:t>
                                </m:r>
                                <m:f>
                                  <m:fPr>
                                    <m:ctrlPr>
                                      <a:rPr lang="en-GB" sz="1100" b="0" i="1">
                                        <a:solidFill>
                                          <a:schemeClr val="tx1"/>
                                        </a:solidFill>
                                        <a:effectLst/>
                                        <a:latin typeface="Cambria Math" panose="02040503050406030204" pitchFamily="18" charset="0"/>
                                        <a:ea typeface="+mn-ea"/>
                                        <a:cs typeface="+mn-cs"/>
                                      </a:rPr>
                                    </m:ctrlPr>
                                  </m:fPr>
                                  <m:num>
                                    <m:r>
                                      <a:rPr lang="en-GB" sz="1100" b="0" i="1">
                                        <a:solidFill>
                                          <a:schemeClr val="tx1"/>
                                        </a:solidFill>
                                        <a:effectLst/>
                                        <a:latin typeface="Cambria Math" panose="02040503050406030204" pitchFamily="18" charset="0"/>
                                        <a:ea typeface="+mn-ea"/>
                                        <a:cs typeface="+mn-cs"/>
                                      </a:rPr>
                                      <m:t>199</m:t>
                                    </m:r>
                                    <m:r>
                                      <a:rPr lang="en-GB" sz="1100" b="0" i="1">
                                        <a:solidFill>
                                          <a:schemeClr val="tx1"/>
                                        </a:solidFill>
                                        <a:effectLst/>
                                        <a:latin typeface="Cambria Math" panose="02040503050406030204" pitchFamily="18" charset="0"/>
                                        <a:ea typeface="+mn-ea"/>
                                        <a:cs typeface="+mn-cs"/>
                                      </a:rPr>
                                      <m:t>𝐻𝑔</m:t>
                                    </m:r>
                                  </m:num>
                                  <m:den>
                                    <m:r>
                                      <a:rPr lang="en-GB" sz="1100" b="0" i="1">
                                        <a:solidFill>
                                          <a:schemeClr val="tx1"/>
                                        </a:solidFill>
                                        <a:effectLst/>
                                        <a:latin typeface="Cambria Math" panose="02040503050406030204" pitchFamily="18" charset="0"/>
                                        <a:ea typeface="+mn-ea"/>
                                        <a:cs typeface="+mn-cs"/>
                                      </a:rPr>
                                      <m:t>202</m:t>
                                    </m:r>
                                    <m:r>
                                      <a:rPr lang="en-GB" sz="1100" b="0" i="1">
                                        <a:solidFill>
                                          <a:schemeClr val="tx1"/>
                                        </a:solidFill>
                                        <a:effectLst/>
                                        <a:latin typeface="Cambria Math" panose="02040503050406030204" pitchFamily="18" charset="0"/>
                                        <a:ea typeface="+mn-ea"/>
                                        <a:cs typeface="+mn-cs"/>
                                      </a:rPr>
                                      <m:t>𝐻𝑔</m:t>
                                    </m:r>
                                  </m:den>
                                </m:f>
                                <m:r>
                                  <a:rPr lang="en-GB" sz="1100" b="0" i="1">
                                    <a:solidFill>
                                      <a:schemeClr val="tx1"/>
                                    </a:solidFill>
                                    <a:effectLst/>
                                    <a:latin typeface="Cambria Math" panose="02040503050406030204" pitchFamily="18" charset="0"/>
                                    <a:ea typeface="+mn-ea"/>
                                    <a:cs typeface="+mn-cs"/>
                                  </a:rPr>
                                  <m:t>)</m:t>
                                </m:r>
                              </m:sub>
                            </m:sSub>
                          </m:den>
                        </m:f>
                      </m:e>
                    </m:d>
                  </m:oMath>
                </m:oMathPara>
              </a14:m>
              <a:endParaRPr lang="en-GB" sz="1100"/>
            </a:p>
          </xdr:txBody>
        </xdr:sp>
      </mc:Choice>
      <mc:Fallback xmlns="">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617074" y="2532786"/>
              <a:ext cx="4154599" cy="5622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〖𝑀𝐹〗_𝐺𝐸𝑁</a:t>
              </a:r>
              <a:r>
                <a:rPr lang="en-GB" sz="1100" i="0">
                  <a:latin typeface="Cambria Math" panose="02040503050406030204" pitchFamily="18" charset="0"/>
                </a:rPr>
                <a:t>=</a:t>
              </a:r>
              <a:r>
                <a:rPr lang="en-GB" sz="1100" i="0">
                  <a:solidFill>
                    <a:schemeClr val="tx1"/>
                  </a:solidFill>
                  <a:effectLst/>
                  <a:latin typeface="+mn-lt"/>
                  <a:ea typeface="+mn-ea"/>
                  <a:cs typeface="+mn-cs"/>
                </a:rPr>
                <a:t>〖</a:t>
              </a:r>
              <a:r>
                <a:rPr lang="en-GB" sz="1100" b="0" i="0">
                  <a:solidFill>
                    <a:schemeClr val="tx1"/>
                  </a:solidFill>
                  <a:effectLst/>
                  <a:latin typeface="+mn-lt"/>
                  <a:ea typeface="+mn-ea"/>
                  <a:cs typeface="+mn-cs"/>
                </a:rPr>
                <a:t>𝑀𝐹〗_(𝑡_𝑒)/𝑉_𝑓 </a:t>
              </a:r>
              <a:r>
                <a:rPr lang="en-GB" sz="1100" i="0">
                  <a:solidFill>
                    <a:schemeClr val="tx1"/>
                  </a:solidFill>
                  <a:effectLst/>
                  <a:latin typeface="+mn-lt"/>
                  <a:ea typeface="+mn-ea"/>
                  <a:cs typeface="+mn-cs"/>
                </a:rPr>
                <a:t>⋅</a:t>
              </a:r>
              <a:r>
                <a:rPr lang="en-GB" sz="1100" i="0">
                  <a:solidFill>
                    <a:schemeClr val="tx1"/>
                  </a:solidFill>
                  <a:effectLst/>
                  <a:latin typeface="Cambria Math" panose="02040503050406030204" pitchFamily="18" charset="0"/>
                  <a:ea typeface="+mn-ea"/>
                  <a:cs typeface="+mn-cs"/>
                </a:rPr>
                <a:t>〖</a:t>
              </a:r>
              <a:r>
                <a:rPr lang="en-GB" sz="1100" b="0" i="0">
                  <a:solidFill>
                    <a:schemeClr val="tx1"/>
                  </a:solidFill>
                  <a:effectLst/>
                  <a:latin typeface="Cambria Math" panose="02040503050406030204" pitchFamily="18" charset="0"/>
                  <a:ea typeface="+mn-ea"/>
                  <a:cs typeface="+mn-cs"/>
                </a:rPr>
                <a:t>𝐴𝑤〗_((𝐻〖𝑔_〗_𝑛))/〖𝐴𝑤〗_((𝐻𝑔_(_𝑒))) </a:t>
              </a:r>
              <a:r>
                <a:rPr lang="en-GB" sz="1100" i="0">
                  <a:solidFill>
                    <a:schemeClr val="tx1"/>
                  </a:solidFill>
                  <a:effectLst/>
                  <a:latin typeface="Cambria Math" panose="02040503050406030204" pitchFamily="18" charset="0"/>
                  <a:ea typeface="+mn-ea"/>
                  <a:cs typeface="+mn-cs"/>
                </a:rPr>
                <a:t>⋅</a:t>
              </a:r>
              <a:r>
                <a:rPr lang="en-GB" sz="1100" b="0" i="0">
                  <a:solidFill>
                    <a:schemeClr val="tx1"/>
                  </a:solidFill>
                  <a:effectLst/>
                  <a:latin typeface="Cambria Math" panose="02040503050406030204" pitchFamily="18" charset="0"/>
                  <a:ea typeface="+mn-ea"/>
                  <a:cs typeface="+mn-cs"/>
                </a:rPr>
                <a:t>𝐴_((199𝐻𝑔)_𝑒) )/𝐴_((202𝐻𝑔)_𝑛) </a:t>
              </a:r>
              <a:r>
                <a:rPr lang="en-GB" sz="1100" i="0">
                  <a:solidFill>
                    <a:schemeClr val="tx1"/>
                  </a:solidFill>
                  <a:effectLst/>
                  <a:latin typeface="Cambria Math" panose="02040503050406030204" pitchFamily="18" charset="0"/>
                  <a:ea typeface="+mn-ea"/>
                  <a:cs typeface="+mn-cs"/>
                </a:rPr>
                <a:t>⋅((</a:t>
              </a:r>
              <a:r>
                <a:rPr lang="en-GB" sz="1100" b="0" i="0">
                  <a:solidFill>
                    <a:schemeClr val="tx1"/>
                  </a:solidFill>
                  <a:effectLst/>
                  <a:latin typeface="Cambria Math" panose="02040503050406030204" pitchFamily="18" charset="0"/>
                  <a:ea typeface="+mn-ea"/>
                  <a:cs typeface="+mn-cs"/>
                </a:rPr>
                <a:t>𝑅_(𝑏(202𝐻𝑔/199𝐻𝑔))−𝑅_(𝑒(202𝐻𝑔/199𝐻𝑔)))/(1−𝑅_(𝑏(202𝐻𝑔/199𝐻𝑔))</a:t>
              </a:r>
              <a:r>
                <a:rPr lang="en-GB" sz="1100" b="0" i="0">
                  <a:solidFill>
                    <a:schemeClr val="tx1"/>
                  </a:solidFill>
                  <a:effectLst/>
                  <a:latin typeface="Cambria Math" panose="02040503050406030204" pitchFamily="18" charset="0"/>
                  <a:ea typeface="Cambria Math" panose="02040503050406030204" pitchFamily="18" charset="0"/>
                  <a:cs typeface="+mn-cs"/>
                </a:rPr>
                <a:t>⋅</a:t>
              </a:r>
              <a:r>
                <a:rPr lang="en-GB" sz="1100" b="0" i="0">
                  <a:solidFill>
                    <a:schemeClr val="tx1"/>
                  </a:solidFill>
                  <a:effectLst/>
                  <a:latin typeface="Cambria Math" panose="02040503050406030204" pitchFamily="18" charset="0"/>
                  <a:ea typeface="+mn-ea"/>
                  <a:cs typeface="+mn-cs"/>
                </a:rPr>
                <a:t>𝑅_(𝑛(199𝐻𝑔/202𝐻𝑔)) ))</a:t>
              </a:r>
              <a:endParaRPr lang="en-GB" sz="1100"/>
            </a:p>
          </xdr:txBody>
        </xdr:sp>
      </mc:Fallback>
    </mc:AlternateContent>
    <xdr:clientData/>
  </xdr:oneCellAnchor>
  <xdr:twoCellAnchor>
    <xdr:from>
      <xdr:col>7</xdr:col>
      <xdr:colOff>201031</xdr:colOff>
      <xdr:row>16</xdr:row>
      <xdr:rowOff>183308</xdr:rowOff>
    </xdr:from>
    <xdr:to>
      <xdr:col>10</xdr:col>
      <xdr:colOff>605844</xdr:colOff>
      <xdr:row>37</xdr:row>
      <xdr:rowOff>59071</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6</xdr:row>
      <xdr:rowOff>0</xdr:rowOff>
    </xdr:from>
    <xdr:to>
      <xdr:col>16</xdr:col>
      <xdr:colOff>314325</xdr:colOff>
      <xdr:row>19</xdr:row>
      <xdr:rowOff>85725</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38100</xdr:colOff>
      <xdr:row>19</xdr:row>
      <xdr:rowOff>133350</xdr:rowOff>
    </xdr:from>
    <xdr:to>
      <xdr:col>16</xdr:col>
      <xdr:colOff>342900</xdr:colOff>
      <xdr:row>34</xdr:row>
      <xdr:rowOff>19050</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9525</xdr:colOff>
      <xdr:row>34</xdr:row>
      <xdr:rowOff>76200</xdr:rowOff>
    </xdr:from>
    <xdr:to>
      <xdr:col>16</xdr:col>
      <xdr:colOff>314325</xdr:colOff>
      <xdr:row>48</xdr:row>
      <xdr:rowOff>152400</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57150</xdr:colOff>
          <xdr:row>2</xdr:row>
          <xdr:rowOff>114300</xdr:rowOff>
        </xdr:from>
        <xdr:to>
          <xdr:col>5</xdr:col>
          <xdr:colOff>971550</xdr:colOff>
          <xdr:row>6</xdr:row>
          <xdr:rowOff>38100</xdr:rowOff>
        </xdr:to>
        <xdr:sp macro="" textlink="">
          <xdr:nvSpPr>
            <xdr:cNvPr id="8195" name="Object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10</xdr:col>
      <xdr:colOff>333375</xdr:colOff>
      <xdr:row>0</xdr:row>
      <xdr:rowOff>119062</xdr:rowOff>
    </xdr:from>
    <xdr:to>
      <xdr:col>18</xdr:col>
      <xdr:colOff>28575</xdr:colOff>
      <xdr:row>15</xdr:row>
      <xdr:rowOff>4762</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333375</xdr:colOff>
      <xdr:row>15</xdr:row>
      <xdr:rowOff>100012</xdr:rowOff>
    </xdr:from>
    <xdr:to>
      <xdr:col>18</xdr:col>
      <xdr:colOff>28575</xdr:colOff>
      <xdr:row>29</xdr:row>
      <xdr:rowOff>176212</xdr:rowOff>
    </xdr:to>
    <xdr:graphicFrame macro="">
      <xdr:nvGraphicFramePr>
        <xdr:cNvPr id="6" name="Chart 5">
          <a:extLst>
            <a:ext uri="{FF2B5EF4-FFF2-40B4-BE49-F238E27FC236}">
              <a16:creationId xmlns:a16="http://schemas.microsoft.com/office/drawing/2014/main" id="{00000000-0008-0000-0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39</xdr:row>
      <xdr:rowOff>80596</xdr:rowOff>
    </xdr:from>
    <xdr:to>
      <xdr:col>6</xdr:col>
      <xdr:colOff>1297188</xdr:colOff>
      <xdr:row>102</xdr:row>
      <xdr:rowOff>169849</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030308"/>
          <a:ext cx="8647923" cy="12090753"/>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xdr:from>
      <xdr:col>2</xdr:col>
      <xdr:colOff>1564298</xdr:colOff>
      <xdr:row>21</xdr:row>
      <xdr:rowOff>57151</xdr:rowOff>
    </xdr:from>
    <xdr:to>
      <xdr:col>7</xdr:col>
      <xdr:colOff>714375</xdr:colOff>
      <xdr:row>42</xdr:row>
      <xdr:rowOff>80596</xdr:rowOff>
    </xdr:to>
    <xdr:graphicFrame macro="">
      <xdr:nvGraphicFramePr>
        <xdr:cNvPr id="4" name="Chart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428625</xdr:colOff>
          <xdr:row>19</xdr:row>
          <xdr:rowOff>76200</xdr:rowOff>
        </xdr:from>
        <xdr:to>
          <xdr:col>7</xdr:col>
          <xdr:colOff>0</xdr:colOff>
          <xdr:row>23</xdr:row>
          <xdr:rowOff>123825</xdr:rowOff>
        </xdr:to>
        <xdr:sp macro="" textlink="">
          <xdr:nvSpPr>
            <xdr:cNvPr id="3088" name="Object 16" hidden="1">
              <a:extLst>
                <a:ext uri="{63B3BB69-23CF-44E3-9099-C40C66FF867C}">
                  <a14:compatExt spid="_x0000_s3088"/>
                </a:ext>
                <a:ext uri="{FF2B5EF4-FFF2-40B4-BE49-F238E27FC236}">
                  <a16:creationId xmlns:a16="http://schemas.microsoft.com/office/drawing/2014/main" id="{00000000-0008-0000-0500-000010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428625</xdr:colOff>
          <xdr:row>38</xdr:row>
          <xdr:rowOff>76200</xdr:rowOff>
        </xdr:from>
        <xdr:to>
          <xdr:col>7</xdr:col>
          <xdr:colOff>0</xdr:colOff>
          <xdr:row>42</xdr:row>
          <xdr:rowOff>123825</xdr:rowOff>
        </xdr:to>
        <xdr:sp macro="" textlink="">
          <xdr:nvSpPr>
            <xdr:cNvPr id="3089" name="Object 17" hidden="1">
              <a:extLst>
                <a:ext uri="{63B3BB69-23CF-44E3-9099-C40C66FF867C}">
                  <a14:compatExt spid="_x0000_s3089"/>
                </a:ext>
                <a:ext uri="{FF2B5EF4-FFF2-40B4-BE49-F238E27FC236}">
                  <a16:creationId xmlns:a16="http://schemas.microsoft.com/office/drawing/2014/main" id="{00000000-0008-0000-0500-000011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428625</xdr:colOff>
          <xdr:row>58</xdr:row>
          <xdr:rowOff>76200</xdr:rowOff>
        </xdr:from>
        <xdr:to>
          <xdr:col>6</xdr:col>
          <xdr:colOff>828675</xdr:colOff>
          <xdr:row>62</xdr:row>
          <xdr:rowOff>123825</xdr:rowOff>
        </xdr:to>
        <xdr:sp macro="" textlink="">
          <xdr:nvSpPr>
            <xdr:cNvPr id="3099" name="Object 27" hidden="1">
              <a:extLst>
                <a:ext uri="{63B3BB69-23CF-44E3-9099-C40C66FF867C}">
                  <a14:compatExt spid="_x0000_s3099"/>
                </a:ext>
                <a:ext uri="{FF2B5EF4-FFF2-40B4-BE49-F238E27FC236}">
                  <a16:creationId xmlns:a16="http://schemas.microsoft.com/office/drawing/2014/main" id="{00000000-0008-0000-0500-00001B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T:\QT20\Inorganic%20Speciation%20Analysis%20Team\Projects\Current\CBM2125\WP2\IDMS\April%202023%20IDMS%20Fixed%20Flow%20PSA%2010.532%20HgCl2\230426%20Data%20Processing.xlsx" TargetMode="External"/><Relationship Id="rId1" Type="http://schemas.openxmlformats.org/officeDocument/2006/relationships/externalLinkPath" Target="/QT20/Inorganic%20Speciation%20Analysis%20Team/Projects/Current/CBM2125/WP2/IDMS/April%202023%20IDMS%20Fixed%20Flow%20PSA%2010.532%20HgCl2/230426%20Data%20Processin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QT20/Inorganic%20Speciation%20Analysis%20Team/Projects/Current/CBM2125/WP2/IDMS/199Hg%20Spike%20Conc%20Summary%20-%20Reverse%20IDM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a Summary"/>
      <sheetName val="Blanks"/>
      <sheetName val="NIST3133"/>
      <sheetName val="Gen only"/>
      <sheetName val="Gen +199Hg"/>
      <sheetName val="MB corr"/>
    </sheetNames>
    <sheetDataSet>
      <sheetData sheetId="0">
        <row r="78">
          <cell r="P78">
            <v>0.94127986769810934</v>
          </cell>
        </row>
        <row r="79">
          <cell r="P79">
            <v>2.1173819830893332E-3</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 1"/>
    </sheetNames>
    <sheetDataSet>
      <sheetData sheetId="0">
        <row r="13">
          <cell r="C13">
            <v>738.17190662177291</v>
          </cell>
        </row>
        <row r="14">
          <cell r="C14">
            <v>7.3630583114432833</v>
          </cell>
        </row>
      </sheetData>
    </sheetDataSet>
  </externalBook>
</externalLink>
</file>

<file path=xl/persons/person.xml><?xml version="1.0" encoding="utf-8"?>
<personList xmlns="http://schemas.microsoft.com/office/spreadsheetml/2018/threadedcomments" xmlns:x="http://schemas.openxmlformats.org/spreadsheetml/2006/main">
  <person displayName="Panayot Petrov" id="{3AACD7F2-0D36-426D-A55F-04CC66C528E0}" userId="S::Panayot.Petrov@lgcgroup.com::d494340c-36b5-4152-9cae-5aba6125c5bd" providerId="AD"/>
</personList>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mercury" preserveFormatting="0" connectionId="1" xr16:uid="{4AEF1010-0083-439B-84DE-A2F51D241A02}" autoFormatId="16" applyNumberFormats="0" applyBorderFormats="0" applyFontFormats="1" applyPatternFormats="1" applyAlignmentFormats="0" applyWidthHeightFormats="0"/>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5" dT="2022-01-20T14:33:33.90" personId="{3AACD7F2-0D36-426D-A55F-04CC66C528E0}" id="{446E808F-1671-49D6-A8D3-06041EEF957D}">
    <text>https://www.ciaaw.org/mercury.htm - assumed k=2</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queryTable" Target="../queryTables/queryTable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3.vml"/><Relationship Id="rId7" Type="http://schemas.openxmlformats.org/officeDocument/2006/relationships/oleObject" Target="../embeddings/oleObject4.bin"/><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oleObject" Target="../embeddings/oleObject3.bin"/><Relationship Id="rId5" Type="http://schemas.openxmlformats.org/officeDocument/2006/relationships/image" Target="../media/image3.emf"/><Relationship Id="rId4"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62620-18C9-484C-9813-5BBF42FE7EB5}">
  <sheetPr>
    <tabColor rgb="FF00B050"/>
  </sheetPr>
  <dimension ref="A1:B19"/>
  <sheetViews>
    <sheetView tabSelected="1" workbookViewId="0">
      <selection activeCell="E16" sqref="E16"/>
    </sheetView>
  </sheetViews>
  <sheetFormatPr defaultRowHeight="15"/>
  <cols>
    <col min="1" max="1" width="47.28515625" bestFit="1" customWidth="1"/>
    <col min="2" max="2" width="10.7109375" bestFit="1" customWidth="1"/>
  </cols>
  <sheetData>
    <row r="1" spans="1:2" ht="21">
      <c r="A1" s="140" t="s">
        <v>163</v>
      </c>
    </row>
    <row r="3" spans="1:2">
      <c r="A3" s="44" t="s">
        <v>164</v>
      </c>
      <c r="B3" s="130">
        <v>45050</v>
      </c>
    </row>
    <row r="4" spans="1:2">
      <c r="A4" s="44" t="s">
        <v>165</v>
      </c>
      <c r="B4" s="130">
        <v>45042</v>
      </c>
    </row>
    <row r="5" spans="1:2">
      <c r="A5" s="44" t="s">
        <v>166</v>
      </c>
      <c r="B5" t="s">
        <v>173</v>
      </c>
    </row>
    <row r="6" spans="1:2">
      <c r="A6" s="44" t="s">
        <v>168</v>
      </c>
      <c r="B6" t="s">
        <v>182</v>
      </c>
    </row>
    <row r="7" spans="1:2">
      <c r="A7" s="44" t="s">
        <v>167</v>
      </c>
      <c r="B7" t="s">
        <v>174</v>
      </c>
    </row>
    <row r="8" spans="1:2">
      <c r="A8" s="44" t="s">
        <v>170</v>
      </c>
      <c r="B8" t="s">
        <v>176</v>
      </c>
    </row>
    <row r="9" spans="1:2">
      <c r="A9" s="44" t="s">
        <v>152</v>
      </c>
      <c r="B9" t="s">
        <v>154</v>
      </c>
    </row>
    <row r="10" spans="1:2">
      <c r="A10" s="44" t="s">
        <v>169</v>
      </c>
      <c r="B10" t="s">
        <v>175</v>
      </c>
    </row>
    <row r="11" spans="1:2">
      <c r="A11" s="44" t="s">
        <v>171</v>
      </c>
      <c r="B11" t="s">
        <v>177</v>
      </c>
    </row>
    <row r="12" spans="1:2">
      <c r="A12" s="44" t="s">
        <v>172</v>
      </c>
      <c r="B12" t="s">
        <v>186</v>
      </c>
    </row>
    <row r="13" spans="1:2">
      <c r="A13" s="44" t="s">
        <v>178</v>
      </c>
      <c r="B13">
        <v>40.1</v>
      </c>
    </row>
    <row r="14" spans="1:2">
      <c r="A14" s="44" t="s">
        <v>179</v>
      </c>
      <c r="B14">
        <v>1173</v>
      </c>
    </row>
    <row r="15" spans="1:2">
      <c r="A15" s="44"/>
      <c r="B15" s="144"/>
    </row>
    <row r="16" spans="1:2">
      <c r="A16" s="44"/>
      <c r="B16" s="144"/>
    </row>
    <row r="17" spans="1:2">
      <c r="A17" s="44"/>
      <c r="B17" s="144"/>
    </row>
    <row r="18" spans="1:2">
      <c r="A18" s="141"/>
      <c r="B18" s="142"/>
    </row>
    <row r="19" spans="1:2">
      <c r="A19" s="141"/>
      <c r="B19" s="14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9CC24-6751-40AF-8BEA-905AAB133B34}">
  <sheetPr>
    <tabColor rgb="FF00B050"/>
  </sheetPr>
  <dimension ref="A1:Q80"/>
  <sheetViews>
    <sheetView zoomScale="80" zoomScaleNormal="80" workbookViewId="0">
      <pane ySplit="2" topLeftCell="A3" activePane="bottomLeft" state="frozen"/>
      <selection pane="bottomLeft" activeCell="D36" sqref="D36"/>
    </sheetView>
  </sheetViews>
  <sheetFormatPr defaultRowHeight="15"/>
  <cols>
    <col min="1" max="1" width="33.85546875" customWidth="1"/>
    <col min="2" max="2" width="35.140625" bestFit="1" customWidth="1"/>
    <col min="3" max="3" width="28.140625" bestFit="1" customWidth="1"/>
    <col min="4" max="4" width="28.140625" customWidth="1"/>
    <col min="5" max="6" width="19.42578125" customWidth="1"/>
    <col min="7" max="7" width="27" bestFit="1" customWidth="1"/>
    <col min="8" max="8" width="24.85546875" style="11" bestFit="1" customWidth="1"/>
    <col min="9" max="9" width="19.140625" style="11" bestFit="1" customWidth="1"/>
    <col min="10" max="16" width="18.5703125" style="11" bestFit="1" customWidth="1"/>
    <col min="17" max="17" width="17.5703125" bestFit="1" customWidth="1"/>
    <col min="18" max="18" width="17.28515625" bestFit="1" customWidth="1"/>
    <col min="19" max="19" width="21.5703125" bestFit="1" customWidth="1"/>
    <col min="20" max="20" width="28.140625" bestFit="1" customWidth="1"/>
  </cols>
  <sheetData>
    <row r="1" spans="1:17">
      <c r="B1" s="20" t="s">
        <v>16</v>
      </c>
      <c r="C1" s="151" t="s">
        <v>0</v>
      </c>
      <c r="D1" s="151" t="s">
        <v>85</v>
      </c>
      <c r="E1" s="151" t="s">
        <v>1</v>
      </c>
      <c r="F1" s="151" t="s">
        <v>2</v>
      </c>
      <c r="G1" s="151" t="s">
        <v>3</v>
      </c>
      <c r="H1" s="10"/>
      <c r="I1" s="10"/>
      <c r="J1" s="10"/>
      <c r="K1" s="10"/>
      <c r="L1" s="10"/>
      <c r="M1" s="10"/>
      <c r="N1" s="10"/>
      <c r="O1" s="10"/>
      <c r="P1" s="10"/>
    </row>
    <row r="2" spans="1:17">
      <c r="B2" s="21"/>
      <c r="C2" s="152"/>
      <c r="D2" s="152"/>
      <c r="E2" s="152"/>
      <c r="F2" s="152"/>
      <c r="G2" s="152"/>
      <c r="H2" s="5" t="s">
        <v>18</v>
      </c>
      <c r="I2" s="5" t="s">
        <v>162</v>
      </c>
      <c r="J2" s="5" t="s">
        <v>4</v>
      </c>
      <c r="K2" s="5" t="s">
        <v>6</v>
      </c>
      <c r="L2" s="5" t="s">
        <v>113</v>
      </c>
      <c r="M2" s="5" t="s">
        <v>44</v>
      </c>
      <c r="N2" s="5" t="s">
        <v>9</v>
      </c>
      <c r="O2" s="5" t="s">
        <v>7</v>
      </c>
      <c r="P2" s="5" t="s">
        <v>8</v>
      </c>
    </row>
    <row r="3" spans="1:17">
      <c r="A3" s="137" t="s">
        <v>159</v>
      </c>
      <c r="B3" s="8" t="s">
        <v>17</v>
      </c>
      <c r="C3" s="5" t="s">
        <v>18</v>
      </c>
      <c r="D3" s="5" t="s">
        <v>106</v>
      </c>
      <c r="E3" s="5" t="s">
        <v>100</v>
      </c>
      <c r="F3" s="33">
        <f>F30*F20</f>
        <v>140.09425548378559</v>
      </c>
      <c r="G3" s="33">
        <f>F3*SQRT((G20/F20)^2+(G30/F30)^2)</f>
        <v>3.30015516199503</v>
      </c>
      <c r="H3" s="39">
        <f>$F3+$G3</f>
        <v>143.39441064578062</v>
      </c>
      <c r="I3" s="24">
        <f t="shared" ref="I3:P3" si="0">$F3</f>
        <v>140.09425548378559</v>
      </c>
      <c r="J3" s="24">
        <f t="shared" si="0"/>
        <v>140.09425548378559</v>
      </c>
      <c r="K3" s="24">
        <f t="shared" si="0"/>
        <v>140.09425548378559</v>
      </c>
      <c r="L3" s="24">
        <f t="shared" si="0"/>
        <v>140.09425548378559</v>
      </c>
      <c r="M3" s="24">
        <f t="shared" si="0"/>
        <v>140.09425548378559</v>
      </c>
      <c r="N3" s="24">
        <f t="shared" si="0"/>
        <v>140.09425548378559</v>
      </c>
      <c r="O3" s="24">
        <f t="shared" si="0"/>
        <v>140.09425548378559</v>
      </c>
      <c r="P3" s="24">
        <f t="shared" si="0"/>
        <v>140.09425548378559</v>
      </c>
    </row>
    <row r="4" spans="1:17">
      <c r="A4" s="137" t="s">
        <v>159</v>
      </c>
      <c r="B4" s="8" t="s">
        <v>17</v>
      </c>
      <c r="C4" s="5" t="s">
        <v>162</v>
      </c>
      <c r="D4" s="5" t="s">
        <v>103</v>
      </c>
      <c r="E4" s="5" t="s">
        <v>15</v>
      </c>
      <c r="F4" s="33">
        <v>0.20399999999999999</v>
      </c>
      <c r="G4" s="35">
        <f>F4*2%</f>
        <v>4.0799999999999994E-3</v>
      </c>
      <c r="H4" s="24">
        <f t="shared" ref="H4:P11" si="1">$F4</f>
        <v>0.20399999999999999</v>
      </c>
      <c r="I4" s="39">
        <f>$F4+$G4</f>
        <v>0.20807999999999999</v>
      </c>
      <c r="J4" s="24">
        <f t="shared" si="1"/>
        <v>0.20399999999999999</v>
      </c>
      <c r="K4" s="24">
        <f t="shared" si="1"/>
        <v>0.20399999999999999</v>
      </c>
      <c r="L4" s="24">
        <f t="shared" si="1"/>
        <v>0.20399999999999999</v>
      </c>
      <c r="M4" s="24">
        <f t="shared" si="1"/>
        <v>0.20399999999999999</v>
      </c>
      <c r="N4" s="24">
        <f t="shared" si="1"/>
        <v>0.20399999999999999</v>
      </c>
      <c r="O4" s="24">
        <f t="shared" si="1"/>
        <v>0.20399999999999999</v>
      </c>
      <c r="P4" s="24">
        <f t="shared" si="1"/>
        <v>0.20399999999999999</v>
      </c>
    </row>
    <row r="5" spans="1:17">
      <c r="A5" s="137" t="s">
        <v>159</v>
      </c>
      <c r="B5" s="8" t="s">
        <v>19</v>
      </c>
      <c r="C5" s="5" t="s">
        <v>4</v>
      </c>
      <c r="D5" s="5" t="s">
        <v>125</v>
      </c>
      <c r="E5" s="5" t="s">
        <v>5</v>
      </c>
      <c r="F5" s="5">
        <v>200.59200000000001</v>
      </c>
      <c r="G5" s="122">
        <f>0.003/2</f>
        <v>1.5E-3</v>
      </c>
      <c r="H5" s="24">
        <f t="shared" si="1"/>
        <v>200.59200000000001</v>
      </c>
      <c r="I5" s="24">
        <f t="shared" si="1"/>
        <v>200.59200000000001</v>
      </c>
      <c r="J5" s="39">
        <f>$F5+$G5</f>
        <v>200.59350000000001</v>
      </c>
      <c r="K5" s="24">
        <f t="shared" si="1"/>
        <v>200.59200000000001</v>
      </c>
      <c r="L5" s="24">
        <f t="shared" si="1"/>
        <v>200.59200000000001</v>
      </c>
      <c r="M5" s="24">
        <f t="shared" si="1"/>
        <v>200.59200000000001</v>
      </c>
      <c r="N5" s="24">
        <f t="shared" si="1"/>
        <v>200.59200000000001</v>
      </c>
      <c r="O5" s="24">
        <f t="shared" si="1"/>
        <v>200.59200000000001</v>
      </c>
      <c r="P5" s="24">
        <f t="shared" si="1"/>
        <v>200.59200000000001</v>
      </c>
    </row>
    <row r="6" spans="1:17">
      <c r="A6" s="137" t="s">
        <v>159</v>
      </c>
      <c r="B6" s="8" t="s">
        <v>17</v>
      </c>
      <c r="C6" s="5" t="s">
        <v>6</v>
      </c>
      <c r="D6" s="5" t="s">
        <v>124</v>
      </c>
      <c r="E6" s="5" t="s">
        <v>5</v>
      </c>
      <c r="F6" s="132">
        <f>'Aw(Hg_e)'!F17</f>
        <v>199.08098811300002</v>
      </c>
      <c r="G6" s="132">
        <f>'Aw(Hg_e)'!G17</f>
        <v>0.1335198708541501</v>
      </c>
      <c r="H6" s="24">
        <f t="shared" si="1"/>
        <v>199.08098811300002</v>
      </c>
      <c r="I6" s="24">
        <f t="shared" si="1"/>
        <v>199.08098811300002</v>
      </c>
      <c r="J6" s="24">
        <f t="shared" si="1"/>
        <v>199.08098811300002</v>
      </c>
      <c r="K6" s="39">
        <f>$F6+$G6</f>
        <v>199.21450798385416</v>
      </c>
      <c r="L6" s="24">
        <f t="shared" si="1"/>
        <v>199.08098811300002</v>
      </c>
      <c r="M6" s="24">
        <f t="shared" si="1"/>
        <v>199.08098811300002</v>
      </c>
      <c r="N6" s="24">
        <f t="shared" si="1"/>
        <v>199.08098811300002</v>
      </c>
      <c r="O6" s="24">
        <f t="shared" si="1"/>
        <v>199.08098811300002</v>
      </c>
      <c r="P6" s="24">
        <f t="shared" si="1"/>
        <v>199.08098811300002</v>
      </c>
    </row>
    <row r="7" spans="1:17">
      <c r="A7" s="137" t="s">
        <v>159</v>
      </c>
      <c r="B7" s="8" t="s">
        <v>11</v>
      </c>
      <c r="C7" s="5" t="s">
        <v>113</v>
      </c>
      <c r="D7" s="5" t="s">
        <v>117</v>
      </c>
      <c r="E7" s="5" t="s">
        <v>67</v>
      </c>
      <c r="F7" s="5">
        <v>91.95</v>
      </c>
      <c r="G7" s="5">
        <v>0.05</v>
      </c>
      <c r="H7" s="24">
        <f t="shared" si="1"/>
        <v>91.95</v>
      </c>
      <c r="I7" s="24">
        <f t="shared" si="1"/>
        <v>91.95</v>
      </c>
      <c r="J7" s="24">
        <f t="shared" si="1"/>
        <v>91.95</v>
      </c>
      <c r="K7" s="24">
        <f t="shared" si="1"/>
        <v>91.95</v>
      </c>
      <c r="L7" s="39">
        <f>$F7+$G7</f>
        <v>92</v>
      </c>
      <c r="M7" s="24">
        <f t="shared" si="1"/>
        <v>91.95</v>
      </c>
      <c r="N7" s="24">
        <f t="shared" si="1"/>
        <v>91.95</v>
      </c>
      <c r="O7" s="24">
        <f t="shared" si="1"/>
        <v>91.95</v>
      </c>
      <c r="P7" s="24">
        <f t="shared" si="1"/>
        <v>91.95</v>
      </c>
    </row>
    <row r="8" spans="1:17">
      <c r="A8" s="137" t="s">
        <v>159</v>
      </c>
      <c r="B8" s="8" t="s">
        <v>19</v>
      </c>
      <c r="C8" s="5" t="s">
        <v>44</v>
      </c>
      <c r="D8" s="5" t="s">
        <v>97</v>
      </c>
      <c r="E8" s="5" t="s">
        <v>67</v>
      </c>
      <c r="F8" s="5">
        <v>29.74</v>
      </c>
      <c r="G8" s="122">
        <v>0.13</v>
      </c>
      <c r="H8" s="24">
        <f t="shared" si="1"/>
        <v>29.74</v>
      </c>
      <c r="I8" s="24">
        <f t="shared" si="1"/>
        <v>29.74</v>
      </c>
      <c r="J8" s="24">
        <f t="shared" si="1"/>
        <v>29.74</v>
      </c>
      <c r="K8" s="24">
        <f t="shared" si="1"/>
        <v>29.74</v>
      </c>
      <c r="L8" s="24">
        <f t="shared" si="1"/>
        <v>29.74</v>
      </c>
      <c r="M8" s="39">
        <f>$F8+$G8</f>
        <v>29.869999999999997</v>
      </c>
      <c r="N8" s="24">
        <f t="shared" si="1"/>
        <v>29.74</v>
      </c>
      <c r="O8" s="24">
        <f t="shared" si="1"/>
        <v>29.74</v>
      </c>
      <c r="P8" s="24">
        <f t="shared" si="1"/>
        <v>29.74</v>
      </c>
    </row>
    <row r="9" spans="1:17">
      <c r="A9" s="139" t="s">
        <v>161</v>
      </c>
      <c r="B9" s="8" t="s">
        <v>10</v>
      </c>
      <c r="C9" s="5" t="s">
        <v>9</v>
      </c>
      <c r="D9" s="5" t="s">
        <v>96</v>
      </c>
      <c r="E9" s="5" t="s">
        <v>160</v>
      </c>
      <c r="F9" s="131">
        <f>'[1]Data Summary'!$P$78</f>
        <v>0.94127986769810934</v>
      </c>
      <c r="G9" s="42">
        <f>'[1]Data Summary'!$P$79</f>
        <v>2.1173819830893332E-3</v>
      </c>
      <c r="H9" s="24">
        <f t="shared" si="1"/>
        <v>0.94127986769810934</v>
      </c>
      <c r="I9" s="24">
        <f t="shared" si="1"/>
        <v>0.94127986769810934</v>
      </c>
      <c r="J9" s="24">
        <f t="shared" si="1"/>
        <v>0.94127986769810934</v>
      </c>
      <c r="K9" s="24">
        <f t="shared" si="1"/>
        <v>0.94127986769810934</v>
      </c>
      <c r="L9" s="24">
        <f t="shared" si="1"/>
        <v>0.94127986769810934</v>
      </c>
      <c r="M9" s="24">
        <f t="shared" si="1"/>
        <v>0.94127986769810934</v>
      </c>
      <c r="N9" s="39">
        <f>$F9+$G9</f>
        <v>0.94339724968119865</v>
      </c>
      <c r="O9" s="24">
        <f t="shared" si="1"/>
        <v>0.94127986769810934</v>
      </c>
      <c r="P9" s="24">
        <f t="shared" si="1"/>
        <v>0.94127986769810934</v>
      </c>
    </row>
    <row r="10" spans="1:17">
      <c r="A10" s="137" t="s">
        <v>159</v>
      </c>
      <c r="B10" s="8" t="s">
        <v>17</v>
      </c>
      <c r="C10" s="5" t="s">
        <v>7</v>
      </c>
      <c r="D10" s="5" t="s">
        <v>128</v>
      </c>
      <c r="E10" s="5" t="s">
        <v>160</v>
      </c>
      <c r="F10" s="34">
        <f>F25/F7</f>
        <v>7.9390973355084275E-3</v>
      </c>
      <c r="G10" s="34">
        <f>F10*SQRT((G7/F7)^2+(G25/F25)^2)</f>
        <v>1.0884040845125457E-4</v>
      </c>
      <c r="H10" s="24">
        <f t="shared" si="1"/>
        <v>7.9390973355084275E-3</v>
      </c>
      <c r="I10" s="24">
        <f t="shared" si="1"/>
        <v>7.9390973355084275E-3</v>
      </c>
      <c r="J10" s="24">
        <f t="shared" si="1"/>
        <v>7.9390973355084275E-3</v>
      </c>
      <c r="K10" s="24">
        <f t="shared" si="1"/>
        <v>7.9390973355084275E-3</v>
      </c>
      <c r="L10" s="24">
        <f t="shared" si="1"/>
        <v>7.9390973355084275E-3</v>
      </c>
      <c r="M10" s="24">
        <f t="shared" si="1"/>
        <v>7.9390973355084275E-3</v>
      </c>
      <c r="N10" s="24">
        <f t="shared" si="1"/>
        <v>7.9390973355084275E-3</v>
      </c>
      <c r="O10" s="39">
        <f>$F10+$G10</f>
        <v>8.0479377439596819E-3</v>
      </c>
      <c r="P10" s="24">
        <f t="shared" si="1"/>
        <v>7.9390973355084275E-3</v>
      </c>
    </row>
    <row r="11" spans="1:17">
      <c r="A11" s="137" t="s">
        <v>159</v>
      </c>
      <c r="B11" s="8" t="s">
        <v>17</v>
      </c>
      <c r="C11" s="5" t="s">
        <v>8</v>
      </c>
      <c r="D11" s="5" t="s">
        <v>98</v>
      </c>
      <c r="E11" s="5" t="s">
        <v>160</v>
      </c>
      <c r="F11" s="124">
        <f>F27/F8</f>
        <v>0.56960322797579022</v>
      </c>
      <c r="G11" s="35">
        <f>F11*SQRT((G8/F8)^2+(G27/F27)^2)</f>
        <v>4.7413479936744465E-3</v>
      </c>
      <c r="H11" s="24">
        <f t="shared" si="1"/>
        <v>0.56960322797579022</v>
      </c>
      <c r="I11" s="24">
        <f t="shared" si="1"/>
        <v>0.56960322797579022</v>
      </c>
      <c r="J11" s="24">
        <f t="shared" si="1"/>
        <v>0.56960322797579022</v>
      </c>
      <c r="K11" s="24">
        <f t="shared" si="1"/>
        <v>0.56960322797579022</v>
      </c>
      <c r="L11" s="24">
        <f t="shared" si="1"/>
        <v>0.56960322797579022</v>
      </c>
      <c r="M11" s="24">
        <f t="shared" si="1"/>
        <v>0.56960322797579022</v>
      </c>
      <c r="N11" s="24">
        <f t="shared" si="1"/>
        <v>0.56960322797579022</v>
      </c>
      <c r="O11" s="24">
        <f t="shared" si="1"/>
        <v>0.56960322797579022</v>
      </c>
      <c r="P11" s="39">
        <f>$F11+$G11</f>
        <v>0.57434457596946464</v>
      </c>
    </row>
    <row r="12" spans="1:17" ht="15.75" thickBot="1">
      <c r="A12" s="137" t="s">
        <v>159</v>
      </c>
      <c r="B12" s="36" t="s">
        <v>17</v>
      </c>
      <c r="C12" s="37" t="s">
        <v>12</v>
      </c>
      <c r="D12" s="27" t="s">
        <v>116</v>
      </c>
      <c r="E12" s="37" t="s">
        <v>143</v>
      </c>
      <c r="F12" s="47">
        <f>(F3/F4)*(F5/F6)*(F7/F8)*((F9-F10)/(1-F9*F11))</f>
        <v>4304.8011214936987</v>
      </c>
      <c r="G12" s="46">
        <f>SQRT(SUM(H45:P45))</f>
        <v>141.29302938315357</v>
      </c>
      <c r="H12" s="38">
        <f>(H3/H4)*(H5/H6)*(H7/H8)*((H9-H10)/(1-H9*H11))</f>
        <v>4406.207932168415</v>
      </c>
      <c r="I12" s="38">
        <f t="shared" ref="I12:P12" si="2">(I3/I4)*(I5/I6)*(I7/I8)*((I9-I10)/(1-I9*I11))</f>
        <v>4220.3932563663711</v>
      </c>
      <c r="J12" s="38">
        <f t="shared" si="2"/>
        <v>4304.8333122175673</v>
      </c>
      <c r="K12" s="38">
        <f t="shared" si="2"/>
        <v>4301.9159074818708</v>
      </c>
      <c r="L12" s="38">
        <f t="shared" si="2"/>
        <v>4307.1419595151747</v>
      </c>
      <c r="M12" s="38">
        <f t="shared" si="2"/>
        <v>4286.0657968939604</v>
      </c>
      <c r="N12" s="38">
        <f t="shared" si="2"/>
        <v>4325.8148194420946</v>
      </c>
      <c r="O12" s="38">
        <f t="shared" si="2"/>
        <v>4304.2991223019317</v>
      </c>
      <c r="P12" s="38">
        <f t="shared" si="2"/>
        <v>4346.6227223048318</v>
      </c>
    </row>
    <row r="13" spans="1:17">
      <c r="F13" t="s">
        <v>130</v>
      </c>
      <c r="G13" s="45">
        <f>G12/F12</f>
        <v>3.2822196750898237E-2</v>
      </c>
      <c r="H13"/>
      <c r="I13"/>
      <c r="J13"/>
      <c r="K13"/>
      <c r="L13"/>
      <c r="M13"/>
      <c r="N13"/>
      <c r="O13"/>
      <c r="P13"/>
    </row>
    <row r="14" spans="1:17">
      <c r="H14" s="8" t="str">
        <f>H2</f>
        <v>Spike Mass Flow 199Hg</v>
      </c>
      <c r="I14" s="8" t="str">
        <f t="shared" ref="I14:P14" si="3">I2</f>
        <v>Volumetric flow (split-flow)</v>
      </c>
      <c r="J14" s="8" t="str">
        <f t="shared" si="3"/>
        <v>natHg Atomic weight</v>
      </c>
      <c r="K14" s="8" t="str">
        <f t="shared" si="3"/>
        <v>199Hg Atomic weight</v>
      </c>
      <c r="L14" s="8" t="str">
        <f t="shared" si="3"/>
        <v>enrHg Atom fraction199Hg</v>
      </c>
      <c r="M14" s="8" t="str">
        <f t="shared" si="3"/>
        <v>natHg Atom fraction202Hg</v>
      </c>
      <c r="N14" s="8" t="str">
        <f t="shared" si="3"/>
        <v>Blend IR (202/199)</v>
      </c>
      <c r="O14" s="8" t="str">
        <f t="shared" si="3"/>
        <v>199Hg IR (202/199)</v>
      </c>
      <c r="P14" s="8" t="str">
        <f t="shared" si="3"/>
        <v>natHg IR (199/202)</v>
      </c>
    </row>
    <row r="15" spans="1:17">
      <c r="F15" s="145"/>
      <c r="G15" s="8" t="s">
        <v>126</v>
      </c>
      <c r="H15" s="32">
        <f>(H12-$F$12)^2</f>
        <v>10283.34125121776</v>
      </c>
      <c r="I15" s="32">
        <f t="shared" ref="I15:P15" si="4">(I12-$F$12)^2</f>
        <v>7124.6876953531209</v>
      </c>
      <c r="J15" s="32">
        <f t="shared" si="4"/>
        <v>1.0362427031814017E-3</v>
      </c>
      <c r="K15" s="32">
        <f t="shared" si="4"/>
        <v>8.3244598940479531</v>
      </c>
      <c r="L15" s="32">
        <f t="shared" si="4"/>
        <v>5.479522642787555</v>
      </c>
      <c r="M15" s="32">
        <f t="shared" si="4"/>
        <v>351.0123878575593</v>
      </c>
      <c r="N15" s="32">
        <f t="shared" si="4"/>
        <v>441.57550146641927</v>
      </c>
      <c r="O15" s="32">
        <f t="shared" si="4"/>
        <v>0.25200318853474812</v>
      </c>
      <c r="P15" s="32">
        <f t="shared" si="4"/>
        <v>1749.046294405766</v>
      </c>
    </row>
    <row r="16" spans="1:17">
      <c r="G16" s="8" t="s">
        <v>129</v>
      </c>
      <c r="H16" s="26">
        <f>H15/SUM($H$15:$P$15)</f>
        <v>0.51510145267434782</v>
      </c>
      <c r="I16" s="26">
        <f t="shared" ref="I16:P16" si="5">I15/SUM($H$15:$P$15)</f>
        <v>0.35688176557330992</v>
      </c>
      <c r="J16" s="26">
        <f t="shared" si="5"/>
        <v>5.1906292778985982E-8</v>
      </c>
      <c r="K16" s="26">
        <f t="shared" si="5"/>
        <v>4.1697939214510338E-4</v>
      </c>
      <c r="L16" s="26">
        <f t="shared" si="5"/>
        <v>2.7447402593272957E-4</v>
      </c>
      <c r="M16" s="26">
        <f t="shared" si="5"/>
        <v>1.7582513939300531E-2</v>
      </c>
      <c r="N16" s="26">
        <f t="shared" si="5"/>
        <v>2.2118898586956908E-2</v>
      </c>
      <c r="O16" s="26">
        <f t="shared" si="5"/>
        <v>1.262305755704105E-5</v>
      </c>
      <c r="P16" s="26">
        <f t="shared" si="5"/>
        <v>8.7611240844157126E-2</v>
      </c>
      <c r="Q16" s="29"/>
    </row>
    <row r="17" spans="1:16" ht="15.75" thickBot="1">
      <c r="H17"/>
      <c r="I17"/>
      <c r="J17"/>
      <c r="K17"/>
      <c r="L17"/>
      <c r="M17"/>
      <c r="N17"/>
      <c r="O17"/>
      <c r="P17"/>
    </row>
    <row r="18" spans="1:16">
      <c r="C18" s="151" t="s">
        <v>0</v>
      </c>
      <c r="D18" s="151" t="s">
        <v>85</v>
      </c>
      <c r="E18" s="151" t="s">
        <v>1</v>
      </c>
      <c r="F18" s="151" t="s">
        <v>2</v>
      </c>
      <c r="G18" s="151" t="s">
        <v>3</v>
      </c>
      <c r="H18"/>
      <c r="I18"/>
      <c r="J18"/>
      <c r="K18"/>
      <c r="L18"/>
      <c r="M18"/>
      <c r="N18"/>
      <c r="O18"/>
      <c r="P18"/>
    </row>
    <row r="19" spans="1:16">
      <c r="C19" s="152"/>
      <c r="D19" s="152"/>
      <c r="E19" s="152"/>
      <c r="F19" s="152"/>
      <c r="G19" s="152"/>
      <c r="H19"/>
      <c r="I19"/>
      <c r="J19"/>
      <c r="K19"/>
      <c r="L19"/>
      <c r="M19"/>
      <c r="N19"/>
      <c r="O19"/>
      <c r="P19"/>
    </row>
    <row r="20" spans="1:16">
      <c r="A20" s="137" t="s">
        <v>159</v>
      </c>
      <c r="B20" s="6" t="s">
        <v>84</v>
      </c>
      <c r="C20" s="8" t="s">
        <v>114</v>
      </c>
      <c r="D20" s="9" t="s">
        <v>86</v>
      </c>
      <c r="E20" s="5" t="s">
        <v>107</v>
      </c>
      <c r="F20" s="132">
        <f>'Mass fraction 199Hg'!E55</f>
        <v>514.18283595311448</v>
      </c>
      <c r="G20" s="42">
        <f>'Mass fraction 199Hg'!F55</f>
        <v>6.1949581749311537</v>
      </c>
      <c r="H20"/>
      <c r="I20"/>
      <c r="J20"/>
      <c r="K20"/>
      <c r="L20"/>
      <c r="M20"/>
      <c r="N20"/>
      <c r="O20"/>
      <c r="P20"/>
    </row>
    <row r="21" spans="1:16">
      <c r="A21" s="137" t="s">
        <v>159</v>
      </c>
      <c r="B21" s="6" t="s">
        <v>11</v>
      </c>
      <c r="C21" s="8" t="s">
        <v>115</v>
      </c>
      <c r="D21" s="9" t="s">
        <v>118</v>
      </c>
      <c r="E21" s="5" t="s">
        <v>67</v>
      </c>
      <c r="F21" s="123">
        <v>0.02</v>
      </c>
      <c r="G21" s="122">
        <v>0.02</v>
      </c>
      <c r="H21"/>
      <c r="I21"/>
      <c r="J21"/>
      <c r="K21"/>
      <c r="L21"/>
      <c r="M21"/>
      <c r="N21"/>
      <c r="O21"/>
      <c r="P21"/>
    </row>
    <row r="22" spans="1:16">
      <c r="A22" s="137" t="s">
        <v>159</v>
      </c>
      <c r="B22" s="6" t="s">
        <v>11</v>
      </c>
      <c r="C22" s="8" t="s">
        <v>108</v>
      </c>
      <c r="D22" s="9" t="s">
        <v>119</v>
      </c>
      <c r="E22" s="5" t="s">
        <v>67</v>
      </c>
      <c r="F22" s="123">
        <v>1.63</v>
      </c>
      <c r="G22" s="122">
        <v>0.02</v>
      </c>
      <c r="H22"/>
      <c r="I22"/>
      <c r="J22"/>
      <c r="K22"/>
      <c r="L22"/>
      <c r="M22"/>
      <c r="N22"/>
      <c r="O22"/>
      <c r="P22"/>
    </row>
    <row r="23" spans="1:16">
      <c r="A23" s="137" t="s">
        <v>159</v>
      </c>
      <c r="B23" s="6" t="s">
        <v>11</v>
      </c>
      <c r="C23" s="8" t="s">
        <v>109</v>
      </c>
      <c r="D23" s="9" t="s">
        <v>120</v>
      </c>
      <c r="E23" s="5" t="s">
        <v>67</v>
      </c>
      <c r="F23" s="123">
        <v>4.92</v>
      </c>
      <c r="G23" s="122">
        <v>0.03</v>
      </c>
      <c r="H23"/>
      <c r="I23"/>
      <c r="J23"/>
      <c r="K23"/>
      <c r="L23"/>
      <c r="M23"/>
      <c r="N23"/>
      <c r="O23"/>
      <c r="P23"/>
    </row>
    <row r="24" spans="1:16">
      <c r="A24" s="137" t="s">
        <v>159</v>
      </c>
      <c r="B24" s="6" t="s">
        <v>11</v>
      </c>
      <c r="C24" s="8" t="s">
        <v>110</v>
      </c>
      <c r="D24" s="9" t="s">
        <v>121</v>
      </c>
      <c r="E24" s="5" t="s">
        <v>67</v>
      </c>
      <c r="F24" s="123">
        <v>0.66</v>
      </c>
      <c r="G24" s="122">
        <v>0.01</v>
      </c>
      <c r="H24"/>
      <c r="I24"/>
      <c r="J24"/>
      <c r="K24"/>
      <c r="L24"/>
      <c r="M24"/>
      <c r="N24"/>
      <c r="O24"/>
      <c r="P24"/>
    </row>
    <row r="25" spans="1:16">
      <c r="A25" s="137" t="s">
        <v>159</v>
      </c>
      <c r="B25" s="6" t="s">
        <v>11</v>
      </c>
      <c r="C25" s="8" t="s">
        <v>111</v>
      </c>
      <c r="D25" s="9" t="s">
        <v>122</v>
      </c>
      <c r="E25" s="5" t="s">
        <v>67</v>
      </c>
      <c r="F25" s="123">
        <v>0.73</v>
      </c>
      <c r="G25" s="122">
        <v>0.01</v>
      </c>
      <c r="H25"/>
      <c r="I25"/>
      <c r="J25"/>
      <c r="K25"/>
      <c r="L25"/>
      <c r="M25"/>
      <c r="N25"/>
      <c r="O25"/>
      <c r="P25"/>
    </row>
    <row r="26" spans="1:16">
      <c r="A26" s="137" t="s">
        <v>159</v>
      </c>
      <c r="B26" s="6" t="s">
        <v>11</v>
      </c>
      <c r="C26" s="8" t="s">
        <v>112</v>
      </c>
      <c r="D26" s="9" t="s">
        <v>123</v>
      </c>
      <c r="E26" s="5" t="s">
        <v>67</v>
      </c>
      <c r="F26" s="123">
        <v>0.11</v>
      </c>
      <c r="G26" s="122">
        <v>0.01</v>
      </c>
      <c r="H26"/>
      <c r="I26"/>
      <c r="J26"/>
      <c r="K26"/>
      <c r="L26"/>
      <c r="M26"/>
      <c r="N26"/>
      <c r="O26"/>
      <c r="P26"/>
    </row>
    <row r="27" spans="1:16">
      <c r="A27" s="137" t="s">
        <v>159</v>
      </c>
      <c r="B27" s="6" t="s">
        <v>19</v>
      </c>
      <c r="C27" s="8" t="s">
        <v>45</v>
      </c>
      <c r="D27" s="9" t="s">
        <v>99</v>
      </c>
      <c r="E27" s="5" t="s">
        <v>67</v>
      </c>
      <c r="F27" s="123">
        <v>16.940000000000001</v>
      </c>
      <c r="G27" s="122">
        <v>0.12</v>
      </c>
      <c r="H27"/>
      <c r="I27"/>
      <c r="J27"/>
      <c r="K27"/>
      <c r="L27"/>
      <c r="M27"/>
      <c r="N27"/>
      <c r="O27"/>
      <c r="P27"/>
    </row>
    <row r="28" spans="1:16">
      <c r="A28" s="137" t="s">
        <v>159</v>
      </c>
      <c r="B28" s="7" t="s">
        <v>10</v>
      </c>
      <c r="C28" s="147" t="s">
        <v>13</v>
      </c>
      <c r="D28" s="148" t="s">
        <v>94</v>
      </c>
      <c r="E28" s="149" t="s">
        <v>15</v>
      </c>
      <c r="F28" s="146">
        <f>'FlexCal-H value and u '!C10</f>
        <v>13.449726433011774</v>
      </c>
      <c r="G28" s="146">
        <f>'FlexCal-H value and u '!H10</f>
        <v>2.4249475790771767E-2</v>
      </c>
      <c r="H28"/>
      <c r="I28"/>
      <c r="J28"/>
      <c r="K28"/>
      <c r="L28"/>
      <c r="M28"/>
      <c r="N28"/>
      <c r="O28"/>
      <c r="P28"/>
    </row>
    <row r="29" spans="1:16">
      <c r="A29" s="137" t="s">
        <v>159</v>
      </c>
      <c r="B29" s="7" t="s">
        <v>10</v>
      </c>
      <c r="C29" s="147" t="s">
        <v>14</v>
      </c>
      <c r="D29" s="148" t="s">
        <v>95</v>
      </c>
      <c r="E29" s="149" t="s">
        <v>15</v>
      </c>
      <c r="F29" s="146">
        <f>'FlexCal-H value and u '!C11</f>
        <v>13.183115370380985</v>
      </c>
      <c r="G29" s="146">
        <f>'FlexCal-H value and u '!H11</f>
        <v>2.6711870420507253E-2</v>
      </c>
      <c r="H29"/>
      <c r="I29"/>
      <c r="J29"/>
      <c r="K29"/>
      <c r="L29"/>
      <c r="M29"/>
      <c r="N29"/>
      <c r="O29"/>
      <c r="P29"/>
    </row>
    <row r="30" spans="1:16">
      <c r="A30" s="137" t="s">
        <v>159</v>
      </c>
      <c r="B30" s="7" t="s">
        <v>10</v>
      </c>
      <c r="C30" s="8" t="s">
        <v>104</v>
      </c>
      <c r="D30" s="9" t="s">
        <v>101</v>
      </c>
      <c r="E30" s="5" t="s">
        <v>102</v>
      </c>
      <c r="F30" s="42">
        <f>'Peripump MassFlow'!H8</f>
        <v>0.27246000000000004</v>
      </c>
      <c r="G30" s="42">
        <f>'Peripump MassFlow'!H9</f>
        <v>5.5152717269616363E-3</v>
      </c>
      <c r="H30"/>
      <c r="I30"/>
      <c r="J30"/>
      <c r="K30"/>
      <c r="L30"/>
      <c r="M30"/>
      <c r="N30"/>
      <c r="O30"/>
      <c r="P30"/>
    </row>
    <row r="31" spans="1:16">
      <c r="H31"/>
      <c r="I31"/>
      <c r="J31"/>
      <c r="K31"/>
      <c r="L31"/>
      <c r="M31"/>
      <c r="N31"/>
      <c r="O31"/>
      <c r="P31"/>
    </row>
    <row r="32" spans="1:16">
      <c r="H32"/>
      <c r="I32"/>
      <c r="J32"/>
      <c r="K32"/>
      <c r="L32"/>
      <c r="M32"/>
      <c r="N32"/>
      <c r="O32"/>
      <c r="P32"/>
    </row>
    <row r="33" spans="5:16">
      <c r="H33"/>
      <c r="I33"/>
      <c r="J33"/>
      <c r="K33"/>
      <c r="L33"/>
      <c r="M33"/>
      <c r="N33"/>
      <c r="O33"/>
      <c r="P33"/>
    </row>
    <row r="34" spans="5:16">
      <c r="H34"/>
      <c r="I34"/>
      <c r="J34"/>
      <c r="K34"/>
      <c r="L34"/>
      <c r="M34"/>
      <c r="N34"/>
      <c r="O34"/>
      <c r="P34"/>
    </row>
    <row r="35" spans="5:16">
      <c r="H35"/>
      <c r="I35"/>
      <c r="J35"/>
      <c r="K35"/>
      <c r="L35"/>
      <c r="M35"/>
      <c r="N35"/>
      <c r="O35"/>
      <c r="P35"/>
    </row>
    <row r="36" spans="5:16">
      <c r="H36"/>
      <c r="I36"/>
      <c r="J36"/>
      <c r="K36"/>
      <c r="L36"/>
      <c r="M36"/>
      <c r="N36"/>
      <c r="O36"/>
      <c r="P36"/>
    </row>
    <row r="37" spans="5:16">
      <c r="H37"/>
      <c r="I37"/>
      <c r="J37"/>
      <c r="K37"/>
      <c r="L37"/>
      <c r="M37"/>
      <c r="N37"/>
      <c r="O37"/>
      <c r="P37"/>
    </row>
    <row r="38" spans="5:16" ht="15.75" thickBot="1">
      <c r="H38"/>
      <c r="I38"/>
      <c r="J38"/>
      <c r="K38"/>
      <c r="L38"/>
      <c r="M38"/>
      <c r="N38"/>
      <c r="O38"/>
      <c r="P38"/>
    </row>
    <row r="39" spans="5:16" ht="17.25" customHeight="1">
      <c r="E39" s="137" t="s">
        <v>159</v>
      </c>
      <c r="F39" s="153" t="s">
        <v>47</v>
      </c>
      <c r="G39" s="23"/>
      <c r="H39" s="23" t="str">
        <f t="shared" ref="H39:P39" si="6">H2</f>
        <v>Spike Mass Flow 199Hg</v>
      </c>
      <c r="I39" s="23" t="str">
        <f t="shared" si="6"/>
        <v>Volumetric flow (split-flow)</v>
      </c>
      <c r="J39" s="23" t="str">
        <f t="shared" si="6"/>
        <v>natHg Atomic weight</v>
      </c>
      <c r="K39" s="23" t="str">
        <f t="shared" si="6"/>
        <v>199Hg Atomic weight</v>
      </c>
      <c r="L39" s="23" t="str">
        <f t="shared" si="6"/>
        <v>enrHg Atom fraction199Hg</v>
      </c>
      <c r="M39" s="23" t="str">
        <f t="shared" si="6"/>
        <v>natHg Atom fraction202Hg</v>
      </c>
      <c r="N39" s="23" t="str">
        <f t="shared" si="6"/>
        <v>Blend IR (202/199)</v>
      </c>
      <c r="O39" s="23" t="str">
        <f t="shared" si="6"/>
        <v>199Hg IR (202/199)</v>
      </c>
      <c r="P39" s="23" t="str">
        <f t="shared" si="6"/>
        <v>natHg IR (199/202)</v>
      </c>
    </row>
    <row r="40" spans="5:16" ht="15" customHeight="1">
      <c r="E40" s="137" t="s">
        <v>159</v>
      </c>
      <c r="F40" s="154"/>
      <c r="G40" s="14" t="s">
        <v>6</v>
      </c>
      <c r="H40" s="24">
        <f>(H6-$F6)^2</f>
        <v>0</v>
      </c>
      <c r="I40" s="24">
        <f t="shared" ref="I40:P40" si="7">(I6-$F6)^2</f>
        <v>0</v>
      </c>
      <c r="J40" s="24">
        <f t="shared" si="7"/>
        <v>0</v>
      </c>
      <c r="K40" s="24">
        <f t="shared" si="7"/>
        <v>1.7827555912907311E-2</v>
      </c>
      <c r="L40" s="24">
        <f t="shared" si="7"/>
        <v>0</v>
      </c>
      <c r="M40" s="24">
        <f t="shared" si="7"/>
        <v>0</v>
      </c>
      <c r="N40" s="24">
        <f t="shared" si="7"/>
        <v>0</v>
      </c>
      <c r="O40" s="24">
        <f t="shared" si="7"/>
        <v>0</v>
      </c>
      <c r="P40" s="24">
        <f t="shared" si="7"/>
        <v>0</v>
      </c>
    </row>
    <row r="41" spans="5:16">
      <c r="E41" s="137" t="s">
        <v>159</v>
      </c>
      <c r="F41" s="154"/>
      <c r="G41" s="5" t="s">
        <v>8</v>
      </c>
      <c r="H41" s="24">
        <f t="shared" ref="H41:P41" si="8">(H11-$F11)^2</f>
        <v>0</v>
      </c>
      <c r="I41" s="24">
        <f t="shared" si="8"/>
        <v>0</v>
      </c>
      <c r="J41" s="24">
        <f t="shared" si="8"/>
        <v>0</v>
      </c>
      <c r="K41" s="24">
        <f t="shared" si="8"/>
        <v>0</v>
      </c>
      <c r="L41" s="24">
        <f t="shared" si="8"/>
        <v>0</v>
      </c>
      <c r="M41" s="24">
        <f t="shared" si="8"/>
        <v>0</v>
      </c>
      <c r="N41" s="24">
        <f t="shared" si="8"/>
        <v>0</v>
      </c>
      <c r="O41" s="24">
        <f t="shared" si="8"/>
        <v>0</v>
      </c>
      <c r="P41" s="24">
        <f t="shared" si="8"/>
        <v>2.2480380797120519E-5</v>
      </c>
    </row>
    <row r="42" spans="5:16">
      <c r="E42" s="137" t="s">
        <v>159</v>
      </c>
      <c r="F42" s="154"/>
      <c r="G42" s="5" t="s">
        <v>7</v>
      </c>
      <c r="H42" s="24">
        <f t="shared" ref="H42:P42" si="9">(H10-$F10)^2</f>
        <v>0</v>
      </c>
      <c r="I42" s="24">
        <f t="shared" si="9"/>
        <v>0</v>
      </c>
      <c r="J42" s="24">
        <f t="shared" si="9"/>
        <v>0</v>
      </c>
      <c r="K42" s="24">
        <f t="shared" si="9"/>
        <v>0</v>
      </c>
      <c r="L42" s="24">
        <f t="shared" si="9"/>
        <v>0</v>
      </c>
      <c r="M42" s="24">
        <f t="shared" si="9"/>
        <v>0</v>
      </c>
      <c r="N42" s="24">
        <f t="shared" si="9"/>
        <v>0</v>
      </c>
      <c r="O42" s="24">
        <f t="shared" si="9"/>
        <v>1.1846234511835888E-8</v>
      </c>
      <c r="P42" s="24">
        <f t="shared" si="9"/>
        <v>0</v>
      </c>
    </row>
    <row r="43" spans="5:16">
      <c r="E43" s="137" t="s">
        <v>159</v>
      </c>
      <c r="F43" s="154"/>
      <c r="G43" s="5" t="s">
        <v>18</v>
      </c>
      <c r="H43" s="24">
        <f t="shared" ref="H43:P43" si="10">(H3-$F3)^2</f>
        <v>10.891024093242484</v>
      </c>
      <c r="I43" s="24">
        <f t="shared" si="10"/>
        <v>0</v>
      </c>
      <c r="J43" s="24">
        <f t="shared" si="10"/>
        <v>0</v>
      </c>
      <c r="K43" s="24">
        <f t="shared" si="10"/>
        <v>0</v>
      </c>
      <c r="L43" s="24">
        <f t="shared" si="10"/>
        <v>0</v>
      </c>
      <c r="M43" s="24">
        <f t="shared" si="10"/>
        <v>0</v>
      </c>
      <c r="N43" s="24">
        <f t="shared" si="10"/>
        <v>0</v>
      </c>
      <c r="O43" s="24">
        <f t="shared" si="10"/>
        <v>0</v>
      </c>
      <c r="P43" s="24">
        <f t="shared" si="10"/>
        <v>0</v>
      </c>
    </row>
    <row r="44" spans="5:16">
      <c r="E44" s="137" t="s">
        <v>159</v>
      </c>
      <c r="F44" s="154"/>
      <c r="G44" s="5" t="s">
        <v>105</v>
      </c>
      <c r="H44" s="24">
        <f t="shared" ref="H44:P44" si="11">(H4-$F4)^2</f>
        <v>0</v>
      </c>
      <c r="I44" s="24">
        <f t="shared" si="11"/>
        <v>1.6646400000000004E-5</v>
      </c>
      <c r="J44" s="24">
        <f t="shared" si="11"/>
        <v>0</v>
      </c>
      <c r="K44" s="24">
        <f t="shared" si="11"/>
        <v>0</v>
      </c>
      <c r="L44" s="24">
        <f t="shared" si="11"/>
        <v>0</v>
      </c>
      <c r="M44" s="24">
        <f t="shared" si="11"/>
        <v>0</v>
      </c>
      <c r="N44" s="24">
        <f t="shared" si="11"/>
        <v>0</v>
      </c>
      <c r="O44" s="24">
        <f t="shared" si="11"/>
        <v>0</v>
      </c>
      <c r="P44" s="24">
        <f t="shared" si="11"/>
        <v>0</v>
      </c>
    </row>
    <row r="45" spans="5:16" ht="15.75" thickBot="1">
      <c r="E45" s="137" t="s">
        <v>159</v>
      </c>
      <c r="F45" s="155"/>
      <c r="G45" s="22" t="s">
        <v>12</v>
      </c>
      <c r="H45" s="25">
        <f>(H12-$F12)^2</f>
        <v>10283.34125121776</v>
      </c>
      <c r="I45" s="25">
        <f t="shared" ref="I45:P45" si="12">(I12-$F12)^2</f>
        <v>7124.6876953531209</v>
      </c>
      <c r="J45" s="25">
        <f t="shared" si="12"/>
        <v>1.0362427031814017E-3</v>
      </c>
      <c r="K45" s="25">
        <f t="shared" si="12"/>
        <v>8.3244598940479531</v>
      </c>
      <c r="L45" s="25">
        <f t="shared" si="12"/>
        <v>5.479522642787555</v>
      </c>
      <c r="M45" s="25">
        <f t="shared" si="12"/>
        <v>351.0123878575593</v>
      </c>
      <c r="N45" s="25">
        <f t="shared" si="12"/>
        <v>441.57550146641927</v>
      </c>
      <c r="O45" s="25">
        <f t="shared" si="12"/>
        <v>0.25200318853474812</v>
      </c>
      <c r="P45" s="25">
        <f t="shared" si="12"/>
        <v>1749.046294405766</v>
      </c>
    </row>
    <row r="46" spans="5:16">
      <c r="E46" s="137" t="s">
        <v>159</v>
      </c>
      <c r="F46" s="153" t="s">
        <v>46</v>
      </c>
      <c r="G46" s="23"/>
      <c r="H46" s="23" t="str">
        <f>H39</f>
        <v>Spike Mass Flow 199Hg</v>
      </c>
      <c r="I46" s="23" t="str">
        <f t="shared" ref="I46:P46" si="13">I39</f>
        <v>Volumetric flow (split-flow)</v>
      </c>
      <c r="J46" s="23" t="str">
        <f t="shared" si="13"/>
        <v>natHg Atomic weight</v>
      </c>
      <c r="K46" s="23" t="str">
        <f t="shared" si="13"/>
        <v>199Hg Atomic weight</v>
      </c>
      <c r="L46" s="23" t="str">
        <f t="shared" si="13"/>
        <v>enrHg Atom fraction199Hg</v>
      </c>
      <c r="M46" s="23" t="str">
        <f t="shared" si="13"/>
        <v>natHg Atom fraction202Hg</v>
      </c>
      <c r="N46" s="23" t="str">
        <f t="shared" si="13"/>
        <v>Blend IR (202/199)</v>
      </c>
      <c r="O46" s="23" t="str">
        <f t="shared" si="13"/>
        <v>199Hg IR (202/199)</v>
      </c>
      <c r="P46" s="23" t="str">
        <f t="shared" si="13"/>
        <v>natHg IR (199/202)</v>
      </c>
    </row>
    <row r="47" spans="5:16">
      <c r="E47" s="137" t="s">
        <v>159</v>
      </c>
      <c r="F47" s="154"/>
      <c r="G47" s="5" t="str">
        <f>G40</f>
        <v>199Hg Atomic weight</v>
      </c>
      <c r="H47" s="26">
        <f t="shared" ref="H47:P47" si="14">H40/SUM($H40:$P40)</f>
        <v>0</v>
      </c>
      <c r="I47" s="26">
        <f t="shared" si="14"/>
        <v>0</v>
      </c>
      <c r="J47" s="26">
        <f t="shared" si="14"/>
        <v>0</v>
      </c>
      <c r="K47" s="26">
        <f t="shared" si="14"/>
        <v>1</v>
      </c>
      <c r="L47" s="26">
        <f t="shared" si="14"/>
        <v>0</v>
      </c>
      <c r="M47" s="26">
        <f t="shared" si="14"/>
        <v>0</v>
      </c>
      <c r="N47" s="26">
        <f t="shared" si="14"/>
        <v>0</v>
      </c>
      <c r="O47" s="26">
        <f t="shared" si="14"/>
        <v>0</v>
      </c>
      <c r="P47" s="26">
        <f t="shared" si="14"/>
        <v>0</v>
      </c>
    </row>
    <row r="48" spans="5:16">
      <c r="E48" s="137" t="s">
        <v>159</v>
      </c>
      <c r="F48" s="154"/>
      <c r="G48" s="5" t="str">
        <f t="shared" ref="G48:G52" si="15">G41</f>
        <v>natHg IR (199/202)</v>
      </c>
      <c r="H48" s="26">
        <f t="shared" ref="H48:P48" si="16">H41/SUM($H41:$P41)</f>
        <v>0</v>
      </c>
      <c r="I48" s="26">
        <f t="shared" si="16"/>
        <v>0</v>
      </c>
      <c r="J48" s="26">
        <f t="shared" si="16"/>
        <v>0</v>
      </c>
      <c r="K48" s="26">
        <f t="shared" si="16"/>
        <v>0</v>
      </c>
      <c r="L48" s="26">
        <f t="shared" si="16"/>
        <v>0</v>
      </c>
      <c r="M48" s="26">
        <f t="shared" si="16"/>
        <v>0</v>
      </c>
      <c r="N48" s="26">
        <f t="shared" si="16"/>
        <v>0</v>
      </c>
      <c r="O48" s="26">
        <f t="shared" si="16"/>
        <v>0</v>
      </c>
      <c r="P48" s="26">
        <f t="shared" si="16"/>
        <v>1</v>
      </c>
    </row>
    <row r="49" spans="1:16">
      <c r="E49" s="137" t="s">
        <v>159</v>
      </c>
      <c r="F49" s="154"/>
      <c r="G49" s="5" t="str">
        <f t="shared" si="15"/>
        <v>199Hg IR (202/199)</v>
      </c>
      <c r="H49" s="26">
        <f t="shared" ref="H49:P49" si="17">H42/SUM($H42:$P42)</f>
        <v>0</v>
      </c>
      <c r="I49" s="26">
        <f t="shared" si="17"/>
        <v>0</v>
      </c>
      <c r="J49" s="26">
        <f t="shared" si="17"/>
        <v>0</v>
      </c>
      <c r="K49" s="26">
        <f t="shared" si="17"/>
        <v>0</v>
      </c>
      <c r="L49" s="26">
        <f t="shared" si="17"/>
        <v>0</v>
      </c>
      <c r="M49" s="26">
        <f t="shared" si="17"/>
        <v>0</v>
      </c>
      <c r="N49" s="26">
        <f t="shared" si="17"/>
        <v>0</v>
      </c>
      <c r="O49" s="26">
        <f t="shared" si="17"/>
        <v>1</v>
      </c>
      <c r="P49" s="26">
        <f t="shared" si="17"/>
        <v>0</v>
      </c>
    </row>
    <row r="50" spans="1:16">
      <c r="E50" s="137" t="s">
        <v>159</v>
      </c>
      <c r="F50" s="154"/>
      <c r="G50" s="5" t="str">
        <f t="shared" si="15"/>
        <v>Spike Mass Flow 199Hg</v>
      </c>
      <c r="H50" s="26">
        <f t="shared" ref="H50:P50" si="18">H43/SUM($H43:$P43)</f>
        <v>1</v>
      </c>
      <c r="I50" s="26">
        <f t="shared" si="18"/>
        <v>0</v>
      </c>
      <c r="J50" s="26">
        <f t="shared" si="18"/>
        <v>0</v>
      </c>
      <c r="K50" s="26">
        <f t="shared" si="18"/>
        <v>0</v>
      </c>
      <c r="L50" s="26">
        <f t="shared" si="18"/>
        <v>0</v>
      </c>
      <c r="M50" s="26">
        <f t="shared" si="18"/>
        <v>0</v>
      </c>
      <c r="N50" s="26">
        <f t="shared" si="18"/>
        <v>0</v>
      </c>
      <c r="O50" s="26">
        <f t="shared" si="18"/>
        <v>0</v>
      </c>
      <c r="P50" s="26">
        <f t="shared" si="18"/>
        <v>0</v>
      </c>
    </row>
    <row r="51" spans="1:16">
      <c r="E51" s="137" t="s">
        <v>159</v>
      </c>
      <c r="F51" s="154"/>
      <c r="G51" s="5" t="str">
        <f t="shared" si="15"/>
        <v>Valumetric flow (split-flow)</v>
      </c>
      <c r="H51" s="26">
        <f t="shared" ref="H51:P51" si="19">H44/SUM($H44:$P44)</f>
        <v>0</v>
      </c>
      <c r="I51" s="26">
        <f t="shared" si="19"/>
        <v>1</v>
      </c>
      <c r="J51" s="26">
        <f t="shared" si="19"/>
        <v>0</v>
      </c>
      <c r="K51" s="26">
        <f t="shared" si="19"/>
        <v>0</v>
      </c>
      <c r="L51" s="26">
        <f t="shared" si="19"/>
        <v>0</v>
      </c>
      <c r="M51" s="26">
        <f t="shared" si="19"/>
        <v>0</v>
      </c>
      <c r="N51" s="26">
        <f t="shared" si="19"/>
        <v>0</v>
      </c>
      <c r="O51" s="26">
        <f t="shared" si="19"/>
        <v>0</v>
      </c>
      <c r="P51" s="26">
        <f t="shared" si="19"/>
        <v>0</v>
      </c>
    </row>
    <row r="52" spans="1:16" ht="15.75" thickBot="1">
      <c r="E52" s="137" t="s">
        <v>159</v>
      </c>
      <c r="F52" s="156"/>
      <c r="G52" s="27" t="str">
        <f t="shared" si="15"/>
        <v>Generator mass flow (natHg)</v>
      </c>
      <c r="H52" s="28">
        <f t="shared" ref="H52:P52" si="20">H45/SUM($H45:$P45)</f>
        <v>0.51510145267434782</v>
      </c>
      <c r="I52" s="138">
        <f t="shared" si="20"/>
        <v>0.35688176557330992</v>
      </c>
      <c r="J52" s="28">
        <f t="shared" si="20"/>
        <v>5.1906292778985982E-8</v>
      </c>
      <c r="K52" s="28">
        <f t="shared" si="20"/>
        <v>4.1697939214510338E-4</v>
      </c>
      <c r="L52" s="28">
        <f t="shared" si="20"/>
        <v>2.7447402593272957E-4</v>
      </c>
      <c r="M52" s="28">
        <f t="shared" si="20"/>
        <v>1.7582513939300531E-2</v>
      </c>
      <c r="N52" s="28">
        <f t="shared" si="20"/>
        <v>2.2118898586956908E-2</v>
      </c>
      <c r="O52" s="28">
        <f t="shared" si="20"/>
        <v>1.262305755704105E-5</v>
      </c>
      <c r="P52" s="28">
        <f t="shared" si="20"/>
        <v>8.7611240844157126E-2</v>
      </c>
    </row>
    <row r="59" spans="1:16">
      <c r="B59" t="s">
        <v>48</v>
      </c>
    </row>
    <row r="60" spans="1:16" ht="25.5">
      <c r="B60" s="2" t="s">
        <v>20</v>
      </c>
      <c r="C60" s="2" t="s">
        <v>21</v>
      </c>
    </row>
    <row r="61" spans="1:16">
      <c r="A61" s="137" t="s">
        <v>159</v>
      </c>
      <c r="B61" s="3" t="s">
        <v>22</v>
      </c>
      <c r="C61" s="3" t="s">
        <v>23</v>
      </c>
    </row>
    <row r="62" spans="1:16">
      <c r="A62" s="137" t="s">
        <v>159</v>
      </c>
      <c r="B62" s="3" t="s">
        <v>24</v>
      </c>
      <c r="C62" s="3" t="s">
        <v>25</v>
      </c>
      <c r="E62" s="1"/>
    </row>
    <row r="63" spans="1:16">
      <c r="A63" s="137" t="s">
        <v>159</v>
      </c>
      <c r="B63" s="3" t="s">
        <v>26</v>
      </c>
      <c r="C63" s="3" t="s">
        <v>27</v>
      </c>
    </row>
    <row r="64" spans="1:16">
      <c r="A64" s="137" t="s">
        <v>159</v>
      </c>
      <c r="B64" s="3" t="s">
        <v>28</v>
      </c>
      <c r="C64" s="3" t="s">
        <v>29</v>
      </c>
    </row>
    <row r="65" spans="1:4">
      <c r="A65" s="137" t="s">
        <v>159</v>
      </c>
      <c r="B65" s="3" t="s">
        <v>30</v>
      </c>
      <c r="C65" s="3" t="s">
        <v>31</v>
      </c>
    </row>
    <row r="66" spans="1:4">
      <c r="A66" s="137" t="s">
        <v>159</v>
      </c>
      <c r="B66" s="3" t="s">
        <v>32</v>
      </c>
      <c r="C66" s="3" t="s">
        <v>33</v>
      </c>
    </row>
    <row r="67" spans="1:4">
      <c r="A67" s="137" t="s">
        <v>159</v>
      </c>
      <c r="B67" s="3" t="s">
        <v>34</v>
      </c>
      <c r="C67" s="3" t="s">
        <v>35</v>
      </c>
    </row>
    <row r="72" spans="1:4">
      <c r="D72" s="137" t="s">
        <v>159</v>
      </c>
    </row>
    <row r="73" spans="1:4">
      <c r="D73" s="137" t="s">
        <v>159</v>
      </c>
    </row>
    <row r="74" spans="1:4">
      <c r="D74" s="137" t="s">
        <v>159</v>
      </c>
    </row>
    <row r="75" spans="1:4">
      <c r="D75" s="137" t="s">
        <v>159</v>
      </c>
    </row>
    <row r="76" spans="1:4">
      <c r="D76" s="137" t="s">
        <v>159</v>
      </c>
    </row>
    <row r="77" spans="1:4">
      <c r="D77" s="137" t="s">
        <v>159</v>
      </c>
    </row>
    <row r="78" spans="1:4">
      <c r="D78" s="137" t="s">
        <v>159</v>
      </c>
    </row>
    <row r="79" spans="1:4">
      <c r="D79" s="137" t="s">
        <v>159</v>
      </c>
    </row>
    <row r="80" spans="1:4">
      <c r="D80" s="137" t="s">
        <v>159</v>
      </c>
    </row>
  </sheetData>
  <mergeCells count="12">
    <mergeCell ref="G18:G19"/>
    <mergeCell ref="G1:G2"/>
    <mergeCell ref="F39:F45"/>
    <mergeCell ref="F46:F52"/>
    <mergeCell ref="C1:C2"/>
    <mergeCell ref="E1:E2"/>
    <mergeCell ref="F1:F2"/>
    <mergeCell ref="D1:D2"/>
    <mergeCell ref="C18:C19"/>
    <mergeCell ref="D18:D19"/>
    <mergeCell ref="E18:E19"/>
    <mergeCell ref="F18:F19"/>
  </mergeCells>
  <phoneticPr fontId="26" type="noConversion"/>
  <pageMargins left="0.7" right="0.7" top="0.75" bottom="0.75" header="0.3" footer="0.3"/>
  <pageSetup paperSize="9" orientation="portrait" r:id="rId1"/>
  <ignoredErrors>
    <ignoredError sqref="G12" formula="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81D56-EE42-4639-B4B9-A7CEE678B996}">
  <sheetPr>
    <tabColor rgb="FF00B050"/>
  </sheetPr>
  <dimension ref="A1:H68"/>
  <sheetViews>
    <sheetView topLeftCell="A2" workbookViewId="0">
      <selection activeCell="D3" sqref="D3"/>
    </sheetView>
  </sheetViews>
  <sheetFormatPr defaultRowHeight="15"/>
  <cols>
    <col min="1" max="1" width="10" customWidth="1"/>
    <col min="2" max="2" width="11.5703125" customWidth="1"/>
    <col min="3" max="3" width="14" bestFit="1" customWidth="1"/>
    <col min="4" max="4" width="28.42578125" bestFit="1" customWidth="1"/>
    <col min="5" max="5" width="17.28515625" bestFit="1" customWidth="1"/>
    <col min="8" max="8" width="24.28515625" bestFit="1" customWidth="1"/>
    <col min="15" max="15" width="12" bestFit="1" customWidth="1"/>
  </cols>
  <sheetData>
    <row r="1" spans="1:8" ht="18.75">
      <c r="A1" s="43" t="s">
        <v>151</v>
      </c>
    </row>
    <row r="2" spans="1:8">
      <c r="A2" s="44" t="s">
        <v>53</v>
      </c>
      <c r="B2" s="130">
        <v>45042</v>
      </c>
    </row>
    <row r="3" spans="1:8">
      <c r="A3" s="44" t="s">
        <v>152</v>
      </c>
      <c r="B3" t="s">
        <v>154</v>
      </c>
    </row>
    <row r="4" spans="1:8">
      <c r="A4" s="44" t="s">
        <v>153</v>
      </c>
      <c r="B4" t="s">
        <v>173</v>
      </c>
    </row>
    <row r="5" spans="1:8">
      <c r="A5" s="44" t="s">
        <v>155</v>
      </c>
      <c r="B5" t="s">
        <v>187</v>
      </c>
    </row>
    <row r="7" spans="1:8">
      <c r="A7" s="125" t="s">
        <v>150</v>
      </c>
      <c r="B7" s="125" t="s">
        <v>144</v>
      </c>
      <c r="C7" s="125" t="s">
        <v>145</v>
      </c>
      <c r="D7" s="125" t="s">
        <v>146</v>
      </c>
      <c r="E7" s="125" t="s">
        <v>147</v>
      </c>
      <c r="H7" s="44" t="s">
        <v>148</v>
      </c>
    </row>
    <row r="8" spans="1:8">
      <c r="A8" s="5">
        <v>0</v>
      </c>
      <c r="B8" s="24">
        <f>A8/60</f>
        <v>0</v>
      </c>
      <c r="C8" s="122">
        <v>-0.26369999999999999</v>
      </c>
      <c r="D8" s="122"/>
      <c r="E8" s="122"/>
      <c r="G8" s="126" t="s">
        <v>149</v>
      </c>
      <c r="H8" s="127">
        <f>AVERAGE(E14,E20,E26,E32,E38,E44,E50,E56,E62,E68)</f>
        <v>0.27246000000000004</v>
      </c>
    </row>
    <row r="9" spans="1:8">
      <c r="A9" s="5">
        <v>10</v>
      </c>
      <c r="B9" s="24">
        <f t="shared" ref="B9:B68" si="0">A9/60</f>
        <v>0.16666666666666666</v>
      </c>
      <c r="C9" s="122">
        <v>-0.30809999999999998</v>
      </c>
      <c r="D9" s="124">
        <f>(-C9+C8)/(A9-A8)*60</f>
        <v>0.26639999999999997</v>
      </c>
      <c r="E9" s="122"/>
      <c r="G9" s="126" t="s">
        <v>131</v>
      </c>
      <c r="H9" s="127">
        <f>_xlfn.STDEV.S(E14,E20,E26,E32,E38,E44,E50,E56,E62,E68)</f>
        <v>5.5152717269616363E-3</v>
      </c>
    </row>
    <row r="10" spans="1:8">
      <c r="A10" s="5">
        <v>20</v>
      </c>
      <c r="B10" s="24">
        <f t="shared" si="0"/>
        <v>0.33333333333333331</v>
      </c>
      <c r="C10" s="122">
        <v>-0.3518</v>
      </c>
      <c r="D10" s="124">
        <f>(-C10+C9)/(A10-A9)*60</f>
        <v>0.2622000000000001</v>
      </c>
      <c r="E10" s="122"/>
      <c r="G10" s="128" t="s">
        <v>132</v>
      </c>
      <c r="H10" s="129">
        <f>H9/H8</f>
        <v>2.0242500649495836E-2</v>
      </c>
    </row>
    <row r="11" spans="1:8">
      <c r="A11" s="5">
        <v>30</v>
      </c>
      <c r="B11" s="24">
        <f t="shared" si="0"/>
        <v>0.5</v>
      </c>
      <c r="C11" s="122">
        <v>-0.39560000000000001</v>
      </c>
      <c r="D11" s="124">
        <f>(-C11+C10)/(A11-A10)*60</f>
        <v>0.26280000000000003</v>
      </c>
      <c r="E11" s="122"/>
    </row>
    <row r="12" spans="1:8">
      <c r="A12" s="5">
        <v>40</v>
      </c>
      <c r="B12" s="24">
        <f t="shared" si="0"/>
        <v>0.66666666666666663</v>
      </c>
      <c r="C12" s="150">
        <v>-0.44</v>
      </c>
      <c r="D12" s="124">
        <f t="shared" ref="D12:D68" si="1">(-C12+C11)/(A12-A11)*60</f>
        <v>0.26639999999999997</v>
      </c>
      <c r="E12" s="122"/>
    </row>
    <row r="13" spans="1:8">
      <c r="A13" s="5">
        <v>50</v>
      </c>
      <c r="B13" s="24">
        <f t="shared" si="0"/>
        <v>0.83333333333333337</v>
      </c>
      <c r="C13" s="122">
        <v>-0.48359999999999997</v>
      </c>
      <c r="D13" s="124">
        <f t="shared" si="1"/>
        <v>0.26159999999999983</v>
      </c>
      <c r="E13" s="122"/>
    </row>
    <row r="14" spans="1:8">
      <c r="A14" s="5">
        <v>60</v>
      </c>
      <c r="B14" s="24">
        <f t="shared" si="0"/>
        <v>1</v>
      </c>
      <c r="C14" s="122">
        <v>-0.52749999999999997</v>
      </c>
      <c r="D14" s="124">
        <f t="shared" si="1"/>
        <v>0.26339999999999997</v>
      </c>
      <c r="E14" s="122">
        <f>C8-C14</f>
        <v>0.26379999999999998</v>
      </c>
    </row>
    <row r="15" spans="1:8">
      <c r="A15" s="5">
        <v>70</v>
      </c>
      <c r="B15" s="24">
        <f t="shared" si="0"/>
        <v>1.1666666666666667</v>
      </c>
      <c r="C15" s="122">
        <v>-0.57330000000000003</v>
      </c>
      <c r="D15" s="124">
        <f t="shared" si="1"/>
        <v>0.27480000000000038</v>
      </c>
      <c r="E15" s="122"/>
      <c r="G15" s="143"/>
    </row>
    <row r="16" spans="1:8">
      <c r="A16" s="5">
        <v>80</v>
      </c>
      <c r="B16" s="24">
        <f t="shared" si="0"/>
        <v>1.3333333333333333</v>
      </c>
      <c r="C16" s="122">
        <v>-0.61609999999999998</v>
      </c>
      <c r="D16" s="124">
        <f>(-C16+C15)/(A16-A15)*60</f>
        <v>0.2567999999999997</v>
      </c>
      <c r="E16" s="122"/>
      <c r="G16" s="143"/>
    </row>
    <row r="17" spans="1:5">
      <c r="A17" s="5">
        <v>90</v>
      </c>
      <c r="B17" s="24">
        <f t="shared" si="0"/>
        <v>1.5</v>
      </c>
      <c r="C17" s="122">
        <v>-0.66010000000000002</v>
      </c>
      <c r="D17" s="124">
        <f t="shared" si="1"/>
        <v>0.26400000000000023</v>
      </c>
      <c r="E17" s="122"/>
    </row>
    <row r="18" spans="1:5">
      <c r="A18" s="5">
        <v>100</v>
      </c>
      <c r="B18" s="24">
        <f t="shared" si="0"/>
        <v>1.6666666666666667</v>
      </c>
      <c r="C18" s="122">
        <v>-0.70479999999999998</v>
      </c>
      <c r="D18" s="124">
        <f>(-C18+C17)/(A18-A17)*60</f>
        <v>0.26819999999999977</v>
      </c>
      <c r="E18" s="122"/>
    </row>
    <row r="19" spans="1:5">
      <c r="A19" s="5">
        <v>110</v>
      </c>
      <c r="B19" s="24">
        <f t="shared" si="0"/>
        <v>1.8333333333333333</v>
      </c>
      <c r="C19" s="122">
        <v>-0.74890000000000001</v>
      </c>
      <c r="D19" s="124">
        <f t="shared" si="1"/>
        <v>0.26460000000000017</v>
      </c>
      <c r="E19" s="122"/>
    </row>
    <row r="20" spans="1:5">
      <c r="A20" s="5">
        <v>120</v>
      </c>
      <c r="B20" s="24">
        <f t="shared" si="0"/>
        <v>2</v>
      </c>
      <c r="C20" s="122">
        <v>-0.7944</v>
      </c>
      <c r="D20" s="124">
        <f t="shared" si="1"/>
        <v>0.27299999999999991</v>
      </c>
      <c r="E20" s="122">
        <f>C14-C20</f>
        <v>0.26690000000000003</v>
      </c>
    </row>
    <row r="21" spans="1:5">
      <c r="A21" s="5">
        <v>130</v>
      </c>
      <c r="B21" s="24">
        <f t="shared" si="0"/>
        <v>2.1666666666666665</v>
      </c>
      <c r="C21" s="5">
        <v>-0.8377</v>
      </c>
      <c r="D21" s="35">
        <f t="shared" si="1"/>
        <v>0.25980000000000003</v>
      </c>
      <c r="E21" s="5"/>
    </row>
    <row r="22" spans="1:5">
      <c r="A22" s="5">
        <v>140</v>
      </c>
      <c r="B22" s="24">
        <f t="shared" si="0"/>
        <v>2.3333333333333335</v>
      </c>
      <c r="C22" s="5">
        <v>-0.88280000000000003</v>
      </c>
      <c r="D22" s="35">
        <f t="shared" si="1"/>
        <v>0.27060000000000017</v>
      </c>
      <c r="E22" s="5"/>
    </row>
    <row r="23" spans="1:5">
      <c r="A23" s="5">
        <v>150</v>
      </c>
      <c r="B23" s="24">
        <f t="shared" si="0"/>
        <v>2.5</v>
      </c>
      <c r="C23" s="5">
        <v>-0.92920000000000003</v>
      </c>
      <c r="D23" s="35">
        <f t="shared" si="1"/>
        <v>0.27839999999999998</v>
      </c>
      <c r="E23" s="5"/>
    </row>
    <row r="24" spans="1:5">
      <c r="A24" s="5">
        <v>160</v>
      </c>
      <c r="B24" s="24">
        <f t="shared" si="0"/>
        <v>2.6666666666666665</v>
      </c>
      <c r="C24" s="34">
        <v>-0.97399999999999998</v>
      </c>
      <c r="D24" s="35">
        <f t="shared" si="1"/>
        <v>0.26879999999999971</v>
      </c>
      <c r="E24" s="5"/>
    </row>
    <row r="25" spans="1:5">
      <c r="A25" s="5">
        <v>170</v>
      </c>
      <c r="B25" s="24">
        <f t="shared" si="0"/>
        <v>2.8333333333333335</v>
      </c>
      <c r="C25" s="5">
        <v>-1.0185</v>
      </c>
      <c r="D25" s="35">
        <f t="shared" si="1"/>
        <v>0.2669999999999999</v>
      </c>
      <c r="E25" s="5"/>
    </row>
    <row r="26" spans="1:5">
      <c r="A26" s="5">
        <v>180</v>
      </c>
      <c r="B26" s="24">
        <f t="shared" si="0"/>
        <v>3</v>
      </c>
      <c r="C26" s="5">
        <v>-1.0609</v>
      </c>
      <c r="D26" s="35">
        <f t="shared" si="1"/>
        <v>0.25439999999999996</v>
      </c>
      <c r="E26" s="5">
        <f>C20-C26</f>
        <v>0.26649999999999996</v>
      </c>
    </row>
    <row r="27" spans="1:5">
      <c r="A27" s="5">
        <v>190</v>
      </c>
      <c r="B27" s="24">
        <f t="shared" si="0"/>
        <v>3.1666666666666665</v>
      </c>
      <c r="C27" s="5">
        <v>-1.1056999999999999</v>
      </c>
      <c r="D27" s="35">
        <f t="shared" si="1"/>
        <v>0.26879999999999971</v>
      </c>
      <c r="E27" s="5"/>
    </row>
    <row r="28" spans="1:5">
      <c r="A28" s="5">
        <v>200</v>
      </c>
      <c r="B28" s="24">
        <f t="shared" si="0"/>
        <v>3.3333333333333335</v>
      </c>
      <c r="C28" s="5">
        <v>-1.1511</v>
      </c>
      <c r="D28" s="35">
        <f t="shared" si="1"/>
        <v>0.27240000000000064</v>
      </c>
      <c r="E28" s="5"/>
    </row>
    <row r="29" spans="1:5">
      <c r="A29" s="5">
        <v>210</v>
      </c>
      <c r="B29" s="24">
        <f t="shared" si="0"/>
        <v>3.5</v>
      </c>
      <c r="C29" s="5">
        <v>-1.1982999999999999</v>
      </c>
      <c r="D29" s="35">
        <f t="shared" si="1"/>
        <v>0.28319999999999945</v>
      </c>
      <c r="E29" s="5"/>
    </row>
    <row r="30" spans="1:5">
      <c r="A30" s="5">
        <v>220</v>
      </c>
      <c r="B30" s="24">
        <f t="shared" si="0"/>
        <v>3.6666666666666665</v>
      </c>
      <c r="C30" s="5">
        <v>-1.2415</v>
      </c>
      <c r="D30" s="35">
        <f t="shared" si="1"/>
        <v>0.25920000000000076</v>
      </c>
      <c r="E30" s="5"/>
    </row>
    <row r="31" spans="1:5">
      <c r="A31" s="5">
        <v>230</v>
      </c>
      <c r="B31" s="24">
        <f t="shared" si="0"/>
        <v>3.8333333333333335</v>
      </c>
      <c r="C31" s="5">
        <v>-1.2861</v>
      </c>
      <c r="D31" s="35">
        <f t="shared" si="1"/>
        <v>0.26759999999999984</v>
      </c>
      <c r="E31" s="5"/>
    </row>
    <row r="32" spans="1:5">
      <c r="A32" s="5">
        <v>240</v>
      </c>
      <c r="B32" s="24">
        <f t="shared" si="0"/>
        <v>4</v>
      </c>
      <c r="C32" s="5">
        <v>-1.3298000000000001</v>
      </c>
      <c r="D32" s="35">
        <f t="shared" si="1"/>
        <v>0.26220000000000043</v>
      </c>
      <c r="E32" s="5">
        <f>C26-C32</f>
        <v>0.26890000000000014</v>
      </c>
    </row>
    <row r="33" spans="1:5">
      <c r="A33" s="5">
        <v>250</v>
      </c>
      <c r="B33" s="24">
        <f t="shared" si="0"/>
        <v>4.166666666666667</v>
      </c>
      <c r="C33" s="5">
        <v>-1.3769</v>
      </c>
      <c r="D33" s="35">
        <f t="shared" si="1"/>
        <v>0.28259999999999952</v>
      </c>
      <c r="E33" s="5"/>
    </row>
    <row r="34" spans="1:5">
      <c r="A34" s="5">
        <v>260</v>
      </c>
      <c r="B34" s="24">
        <f t="shared" si="0"/>
        <v>4.333333333333333</v>
      </c>
      <c r="C34" s="5">
        <v>-1.4235</v>
      </c>
      <c r="D34" s="35">
        <f t="shared" si="1"/>
        <v>0.27959999999999985</v>
      </c>
      <c r="E34" s="5"/>
    </row>
    <row r="35" spans="1:5">
      <c r="A35" s="5">
        <v>270</v>
      </c>
      <c r="B35" s="24">
        <f t="shared" si="0"/>
        <v>4.5</v>
      </c>
      <c r="C35" s="34">
        <v>-1.47</v>
      </c>
      <c r="D35" s="35">
        <f t="shared" si="1"/>
        <v>0.27899999999999991</v>
      </c>
      <c r="E35" s="5"/>
    </row>
    <row r="36" spans="1:5">
      <c r="A36" s="5">
        <v>280</v>
      </c>
      <c r="B36" s="24">
        <f t="shared" si="0"/>
        <v>4.666666666666667</v>
      </c>
      <c r="C36" s="5">
        <v>-1.5125999999999999</v>
      </c>
      <c r="D36" s="35">
        <f t="shared" si="1"/>
        <v>0.25559999999999983</v>
      </c>
      <c r="E36" s="5"/>
    </row>
    <row r="37" spans="1:5">
      <c r="A37" s="5">
        <v>290</v>
      </c>
      <c r="B37" s="24">
        <f t="shared" si="0"/>
        <v>4.833333333333333</v>
      </c>
      <c r="C37" s="5">
        <v>-1.5576000000000001</v>
      </c>
      <c r="D37" s="35">
        <f t="shared" si="1"/>
        <v>0.27000000000000091</v>
      </c>
      <c r="E37" s="5"/>
    </row>
    <row r="38" spans="1:5">
      <c r="A38" s="5">
        <v>300</v>
      </c>
      <c r="B38" s="24">
        <f t="shared" si="0"/>
        <v>5</v>
      </c>
      <c r="C38" s="5">
        <v>-1.6045</v>
      </c>
      <c r="D38" s="35">
        <f t="shared" si="1"/>
        <v>0.28139999999999965</v>
      </c>
      <c r="E38" s="5">
        <f>C32-C38</f>
        <v>0.27469999999999994</v>
      </c>
    </row>
    <row r="39" spans="1:5">
      <c r="A39" s="5">
        <v>310</v>
      </c>
      <c r="B39" s="24">
        <f t="shared" si="0"/>
        <v>5.166666666666667</v>
      </c>
      <c r="C39" s="5">
        <v>-1.6504000000000001</v>
      </c>
      <c r="D39" s="35">
        <f t="shared" si="1"/>
        <v>0.27540000000000031</v>
      </c>
      <c r="E39" s="5"/>
    </row>
    <row r="40" spans="1:5">
      <c r="A40" s="5">
        <v>320</v>
      </c>
      <c r="B40" s="24">
        <f t="shared" si="0"/>
        <v>5.333333333333333</v>
      </c>
      <c r="C40" s="5">
        <v>-1.6948000000000001</v>
      </c>
      <c r="D40" s="35">
        <f t="shared" si="1"/>
        <v>0.26639999999999997</v>
      </c>
      <c r="E40" s="5"/>
    </row>
    <row r="41" spans="1:5">
      <c r="A41" s="5">
        <v>330</v>
      </c>
      <c r="B41" s="24">
        <f t="shared" si="0"/>
        <v>5.5</v>
      </c>
      <c r="C41" s="5">
        <v>-1.7418</v>
      </c>
      <c r="D41" s="35">
        <f t="shared" si="1"/>
        <v>0.28199999999999958</v>
      </c>
      <c r="E41" s="5"/>
    </row>
    <row r="42" spans="1:5">
      <c r="A42" s="5">
        <v>340</v>
      </c>
      <c r="B42" s="24">
        <f t="shared" si="0"/>
        <v>5.666666666666667</v>
      </c>
      <c r="C42" s="5">
        <v>-1.7864</v>
      </c>
      <c r="D42" s="35">
        <f t="shared" si="1"/>
        <v>0.26759999999999984</v>
      </c>
      <c r="E42" s="5"/>
    </row>
    <row r="43" spans="1:5">
      <c r="A43" s="5">
        <v>350</v>
      </c>
      <c r="B43" s="24">
        <f t="shared" si="0"/>
        <v>5.833333333333333</v>
      </c>
      <c r="C43" s="5">
        <v>-1.8335999999999999</v>
      </c>
      <c r="D43" s="35">
        <f t="shared" si="1"/>
        <v>0.28319999999999945</v>
      </c>
      <c r="E43" s="5"/>
    </row>
    <row r="44" spans="1:5">
      <c r="A44" s="5">
        <v>360</v>
      </c>
      <c r="B44" s="24">
        <f t="shared" si="0"/>
        <v>6</v>
      </c>
      <c r="C44" s="5">
        <v>-1.8781000000000001</v>
      </c>
      <c r="D44" s="35">
        <f t="shared" si="1"/>
        <v>0.26700000000000124</v>
      </c>
      <c r="E44" s="5">
        <f>C38-C44</f>
        <v>0.27360000000000007</v>
      </c>
    </row>
    <row r="45" spans="1:5">
      <c r="A45" s="5">
        <v>370</v>
      </c>
      <c r="B45" s="24">
        <f t="shared" si="0"/>
        <v>6.166666666666667</v>
      </c>
      <c r="C45" s="5">
        <v>-1.9259999999999999</v>
      </c>
      <c r="D45" s="35">
        <f t="shared" si="1"/>
        <v>0.28739999999999899</v>
      </c>
      <c r="E45" s="5"/>
    </row>
    <row r="46" spans="1:5">
      <c r="A46" s="5">
        <v>380</v>
      </c>
      <c r="B46" s="24">
        <f t="shared" si="0"/>
        <v>6.333333333333333</v>
      </c>
      <c r="C46" s="5">
        <v>-1.9692000000000001</v>
      </c>
      <c r="D46" s="124">
        <f t="shared" si="1"/>
        <v>0.25920000000000076</v>
      </c>
      <c r="E46" s="5"/>
    </row>
    <row r="47" spans="1:5">
      <c r="A47" s="5">
        <v>390</v>
      </c>
      <c r="B47" s="24">
        <f t="shared" si="0"/>
        <v>6.5</v>
      </c>
      <c r="C47" s="5">
        <v>-2.0152000000000001</v>
      </c>
      <c r="D47" s="35">
        <f t="shared" si="1"/>
        <v>0.27600000000000025</v>
      </c>
      <c r="E47" s="5"/>
    </row>
    <row r="48" spans="1:5">
      <c r="A48" s="5">
        <v>400</v>
      </c>
      <c r="B48" s="24">
        <f t="shared" si="0"/>
        <v>6.666666666666667</v>
      </c>
      <c r="C48" s="5">
        <v>-2.0617999999999999</v>
      </c>
      <c r="D48" s="35">
        <f t="shared" si="1"/>
        <v>0.27959999999999852</v>
      </c>
      <c r="E48" s="5"/>
    </row>
    <row r="49" spans="1:5">
      <c r="A49" s="5">
        <v>410</v>
      </c>
      <c r="B49" s="24">
        <f t="shared" si="0"/>
        <v>6.833333333333333</v>
      </c>
      <c r="C49" s="5">
        <v>-2.1074000000000002</v>
      </c>
      <c r="D49" s="35">
        <f t="shared" si="1"/>
        <v>0.27360000000000184</v>
      </c>
      <c r="E49" s="5"/>
    </row>
    <row r="50" spans="1:5">
      <c r="A50" s="5">
        <v>420</v>
      </c>
      <c r="B50" s="24">
        <f t="shared" si="0"/>
        <v>7</v>
      </c>
      <c r="C50" s="5">
        <v>-2.1543000000000001</v>
      </c>
      <c r="D50" s="35">
        <f t="shared" si="1"/>
        <v>0.28139999999999965</v>
      </c>
      <c r="E50" s="5">
        <f>C44-C50</f>
        <v>0.2762</v>
      </c>
    </row>
    <row r="51" spans="1:5">
      <c r="A51" s="5">
        <v>430</v>
      </c>
      <c r="B51" s="24">
        <f t="shared" si="0"/>
        <v>7.166666666666667</v>
      </c>
      <c r="C51" s="5">
        <v>-2.2010000000000001</v>
      </c>
      <c r="D51" s="35">
        <f t="shared" si="1"/>
        <v>0.28019999999999978</v>
      </c>
      <c r="E51" s="5"/>
    </row>
    <row r="52" spans="1:5">
      <c r="A52" s="5">
        <v>440</v>
      </c>
      <c r="B52" s="24">
        <f t="shared" si="0"/>
        <v>7.333333333333333</v>
      </c>
      <c r="C52" s="5">
        <v>-2.2483</v>
      </c>
      <c r="D52" s="35">
        <f t="shared" si="1"/>
        <v>0.28379999999999939</v>
      </c>
      <c r="E52" s="5"/>
    </row>
    <row r="53" spans="1:5">
      <c r="A53" s="5">
        <v>450</v>
      </c>
      <c r="B53" s="24">
        <f t="shared" si="0"/>
        <v>7.5</v>
      </c>
      <c r="C53" s="5">
        <v>-2.2934000000000001</v>
      </c>
      <c r="D53" s="35">
        <f t="shared" si="1"/>
        <v>0.27060000000000084</v>
      </c>
      <c r="E53" s="5"/>
    </row>
    <row r="54" spans="1:5">
      <c r="A54" s="5">
        <v>460</v>
      </c>
      <c r="B54" s="24">
        <f t="shared" si="0"/>
        <v>7.666666666666667</v>
      </c>
      <c r="C54" s="5">
        <v>-2.3386999999999998</v>
      </c>
      <c r="D54" s="35">
        <f t="shared" si="1"/>
        <v>0.27179999999999804</v>
      </c>
      <c r="E54" s="5"/>
    </row>
    <row r="55" spans="1:5">
      <c r="A55" s="5">
        <v>470</v>
      </c>
      <c r="B55" s="24">
        <f t="shared" si="0"/>
        <v>7.833333333333333</v>
      </c>
      <c r="C55" s="5">
        <v>-2.3837999999999999</v>
      </c>
      <c r="D55" s="35">
        <f t="shared" si="1"/>
        <v>0.27060000000000084</v>
      </c>
      <c r="E55" s="5"/>
    </row>
    <row r="56" spans="1:5">
      <c r="A56" s="5">
        <v>480</v>
      </c>
      <c r="B56" s="24">
        <f t="shared" si="0"/>
        <v>8</v>
      </c>
      <c r="C56" s="5">
        <v>-2.4312999999999998</v>
      </c>
      <c r="D56" s="35">
        <f t="shared" si="1"/>
        <v>0.28499999999999925</v>
      </c>
      <c r="E56" s="5">
        <f>C50-C56</f>
        <v>0.27699999999999969</v>
      </c>
    </row>
    <row r="57" spans="1:5">
      <c r="A57" s="5">
        <v>490</v>
      </c>
      <c r="B57" s="24">
        <f t="shared" si="0"/>
        <v>8.1666666666666661</v>
      </c>
      <c r="C57" s="34">
        <v>-2.476</v>
      </c>
      <c r="D57" s="35">
        <f t="shared" si="1"/>
        <v>0.2682000000000011</v>
      </c>
      <c r="E57" s="5"/>
    </row>
    <row r="58" spans="1:5">
      <c r="A58" s="5">
        <v>500</v>
      </c>
      <c r="B58" s="24">
        <f t="shared" si="0"/>
        <v>8.3333333333333339</v>
      </c>
      <c r="C58" s="5">
        <v>-2.5225</v>
      </c>
      <c r="D58" s="35">
        <f t="shared" si="1"/>
        <v>0.27899999999999991</v>
      </c>
      <c r="E58" s="5"/>
    </row>
    <row r="59" spans="1:5">
      <c r="A59" s="5">
        <v>510</v>
      </c>
      <c r="B59" s="24">
        <f t="shared" si="0"/>
        <v>8.5</v>
      </c>
      <c r="C59" s="5">
        <v>-2.5678999999999998</v>
      </c>
      <c r="D59" s="35">
        <f t="shared" si="1"/>
        <v>0.27239999999999931</v>
      </c>
      <c r="E59" s="5"/>
    </row>
    <row r="60" spans="1:5">
      <c r="A60" s="5">
        <v>520</v>
      </c>
      <c r="B60" s="24">
        <f t="shared" si="0"/>
        <v>8.6666666666666661</v>
      </c>
      <c r="C60" s="5">
        <v>-2.6141999999999999</v>
      </c>
      <c r="D60" s="35">
        <f t="shared" si="1"/>
        <v>0.27780000000000005</v>
      </c>
      <c r="E60" s="5"/>
    </row>
    <row r="61" spans="1:5">
      <c r="A61" s="5">
        <v>530</v>
      </c>
      <c r="B61" s="24">
        <f t="shared" si="0"/>
        <v>8.8333333333333339</v>
      </c>
      <c r="C61" s="5">
        <v>-2.6635</v>
      </c>
      <c r="D61" s="35">
        <f t="shared" si="1"/>
        <v>0.29580000000000073</v>
      </c>
      <c r="E61" s="5"/>
    </row>
    <row r="62" spans="1:5">
      <c r="A62" s="5">
        <v>540</v>
      </c>
      <c r="B62" s="24">
        <f t="shared" si="0"/>
        <v>9</v>
      </c>
      <c r="C62" s="5">
        <v>-2.7115</v>
      </c>
      <c r="D62" s="35">
        <f t="shared" si="1"/>
        <v>0.28800000000000026</v>
      </c>
      <c r="E62" s="5">
        <f>C56-C62</f>
        <v>0.28020000000000023</v>
      </c>
    </row>
    <row r="63" spans="1:5">
      <c r="A63" s="5">
        <v>550</v>
      </c>
      <c r="B63" s="24">
        <f t="shared" si="0"/>
        <v>9.1666666666666661</v>
      </c>
      <c r="C63" s="5">
        <v>-2.7593999999999999</v>
      </c>
      <c r="D63" s="35">
        <f t="shared" si="1"/>
        <v>0.28739999999999899</v>
      </c>
      <c r="E63" s="5"/>
    </row>
    <row r="64" spans="1:5">
      <c r="A64" s="5">
        <v>560</v>
      </c>
      <c r="B64" s="24">
        <f t="shared" si="0"/>
        <v>9.3333333333333339</v>
      </c>
      <c r="C64" s="5">
        <v>-2.8081999999999998</v>
      </c>
      <c r="D64" s="35">
        <f t="shared" si="1"/>
        <v>0.29279999999999973</v>
      </c>
      <c r="E64" s="5"/>
    </row>
    <row r="65" spans="1:5">
      <c r="A65" s="5">
        <v>570</v>
      </c>
      <c r="B65" s="24">
        <f t="shared" si="0"/>
        <v>9.5</v>
      </c>
      <c r="C65" s="5">
        <v>-2.8508</v>
      </c>
      <c r="D65" s="35">
        <f t="shared" si="1"/>
        <v>0.25560000000000116</v>
      </c>
      <c r="E65" s="5"/>
    </row>
    <row r="66" spans="1:5">
      <c r="A66" s="5">
        <v>580</v>
      </c>
      <c r="B66" s="24">
        <f t="shared" si="0"/>
        <v>9.6666666666666661</v>
      </c>
      <c r="C66" s="34">
        <v>-2.895</v>
      </c>
      <c r="D66" s="35">
        <f t="shared" si="1"/>
        <v>0.2652000000000001</v>
      </c>
      <c r="E66" s="5"/>
    </row>
    <row r="67" spans="1:5">
      <c r="A67" s="5">
        <v>590</v>
      </c>
      <c r="B67" s="24">
        <f t="shared" si="0"/>
        <v>9.8333333333333339</v>
      </c>
      <c r="C67" s="5">
        <v>-2.9413999999999998</v>
      </c>
      <c r="D67" s="35">
        <f t="shared" si="1"/>
        <v>0.27839999999999865</v>
      </c>
      <c r="E67" s="5"/>
    </row>
    <row r="68" spans="1:5">
      <c r="A68" s="5">
        <v>600</v>
      </c>
      <c r="B68" s="24">
        <f t="shared" si="0"/>
        <v>10</v>
      </c>
      <c r="C68" s="5">
        <v>-2.9883000000000002</v>
      </c>
      <c r="D68" s="35">
        <f t="shared" si="1"/>
        <v>0.28140000000000231</v>
      </c>
      <c r="E68" s="5">
        <f>C62-C68</f>
        <v>0.27680000000000016</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D4637-56C8-41A0-AC42-D72DF3374808}">
  <sheetPr>
    <tabColor rgb="FF00B050"/>
  </sheetPr>
  <dimension ref="B3:H14"/>
  <sheetViews>
    <sheetView workbookViewId="0">
      <selection activeCell="E11" sqref="E11"/>
    </sheetView>
  </sheetViews>
  <sheetFormatPr defaultRowHeight="15"/>
  <cols>
    <col min="2" max="2" width="24.42578125" bestFit="1" customWidth="1"/>
    <col min="3" max="3" width="14.28515625" bestFit="1" customWidth="1"/>
    <col min="4" max="4" width="21.5703125" bestFit="1" customWidth="1"/>
    <col min="5" max="5" width="12.85546875" bestFit="1" customWidth="1"/>
    <col min="6" max="6" width="26.85546875" bestFit="1" customWidth="1"/>
  </cols>
  <sheetData>
    <row r="3" spans="2:8">
      <c r="B3" s="5" t="s">
        <v>134</v>
      </c>
      <c r="C3" s="5" t="s">
        <v>133</v>
      </c>
      <c r="D3" s="5" t="s">
        <v>135</v>
      </c>
    </row>
    <row r="4" spans="2:8">
      <c r="B4" s="5">
        <v>502.38</v>
      </c>
      <c r="C4" s="41">
        <v>-3.8999999999999998E-3</v>
      </c>
      <c r="D4" s="41">
        <v>1.8E-3</v>
      </c>
    </row>
    <row r="5" spans="2:8">
      <c r="B5" s="5">
        <v>5001.2</v>
      </c>
      <c r="C5" s="41">
        <v>-1.1999999999999999E-3</v>
      </c>
      <c r="D5" s="41">
        <v>1.8E-3</v>
      </c>
    </row>
    <row r="6" spans="2:8">
      <c r="B6" s="5">
        <v>49911</v>
      </c>
      <c r="C6" s="41">
        <v>4.0000000000000001E-3</v>
      </c>
      <c r="D6" s="41">
        <v>1.9E-3</v>
      </c>
    </row>
    <row r="9" spans="2:8">
      <c r="B9" t="s">
        <v>137</v>
      </c>
      <c r="C9" t="s">
        <v>136</v>
      </c>
      <c r="D9" t="s">
        <v>156</v>
      </c>
      <c r="E9" t="s">
        <v>157</v>
      </c>
      <c r="F9" t="s">
        <v>156</v>
      </c>
      <c r="G9" t="s">
        <v>157</v>
      </c>
      <c r="H9" t="s">
        <v>158</v>
      </c>
    </row>
    <row r="10" spans="2:8">
      <c r="B10">
        <v>13.4056</v>
      </c>
      <c r="C10" s="134">
        <f>B10+0.017*LN(B10)</f>
        <v>13.449726433011774</v>
      </c>
      <c r="D10" s="40">
        <f>B10*SLOPE(D4:D6,B4:B6)+INTERCEPT(D4:D6,B4:B6)</f>
        <v>1.7944586536501686E-3</v>
      </c>
      <c r="E10" s="133">
        <v>1.75E-4</v>
      </c>
      <c r="F10">
        <f>$C$10*D10</f>
        <v>2.4134977986945392E-2</v>
      </c>
      <c r="G10">
        <f>$C$10*E10</f>
        <v>2.3537021257770603E-3</v>
      </c>
      <c r="H10" s="44">
        <f>SQRT(F10^2+G10^2)</f>
        <v>2.4249475790771767E-2</v>
      </c>
    </row>
    <row r="11" spans="2:8">
      <c r="B11">
        <v>13.139329999999999</v>
      </c>
      <c r="C11" s="134">
        <f>B11+0.017*LN(B11)</f>
        <v>13.183115370380985</v>
      </c>
      <c r="D11" s="40">
        <f>B11*SLOPE(D4:D6,B4:B6)+INTERCEPT(D4:D6,B4:B6)</f>
        <v>1.7944580928584758E-3</v>
      </c>
      <c r="E11" s="133">
        <v>9.41E-4</v>
      </c>
      <c r="F11">
        <f>C11*D11</f>
        <v>2.3656548065467121E-2</v>
      </c>
      <c r="G11">
        <f>$C$11*E11</f>
        <v>1.2405311563528507E-2</v>
      </c>
      <c r="H11" s="44">
        <f>SQRT(F11^2+G11^2)</f>
        <v>2.6711870420507253E-2</v>
      </c>
    </row>
    <row r="13" spans="2:8">
      <c r="H13" s="133">
        <f>H10/C10</f>
        <v>1.802971674669343E-3</v>
      </c>
    </row>
    <row r="14" spans="2:8">
      <c r="H14" s="133">
        <f>H11/C11</f>
        <v>2.0262183611410886E-3</v>
      </c>
    </row>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AcroExch.Document.DC" dvAspect="DVASPECT_ICON" shapeId="8195" r:id="rId4">
          <objectPr defaultSize="0" r:id="rId5">
            <anchor moveWithCells="1">
              <from>
                <xdr:col>5</xdr:col>
                <xdr:colOff>57150</xdr:colOff>
                <xdr:row>2</xdr:row>
                <xdr:rowOff>114300</xdr:rowOff>
              </from>
              <to>
                <xdr:col>5</xdr:col>
                <xdr:colOff>971550</xdr:colOff>
                <xdr:row>6</xdr:row>
                <xdr:rowOff>38100</xdr:rowOff>
              </to>
            </anchor>
          </objectPr>
        </oleObject>
      </mc:Choice>
      <mc:Fallback>
        <oleObject progId="AcroExch.Document.DC" dvAspect="DVASPECT_ICON" shapeId="8195"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ECB32-3FE9-4C58-B6C7-FF36EC4A697F}">
  <sheetPr>
    <tabColor rgb="FF00B050"/>
  </sheetPr>
  <dimension ref="B1:V34"/>
  <sheetViews>
    <sheetView zoomScale="80" zoomScaleNormal="80" workbookViewId="0">
      <selection activeCell="I32" sqref="I32"/>
    </sheetView>
  </sheetViews>
  <sheetFormatPr defaultRowHeight="15"/>
  <cols>
    <col min="2" max="2" width="35.140625" bestFit="1" customWidth="1"/>
    <col min="3" max="3" width="33.7109375" bestFit="1" customWidth="1"/>
    <col min="4" max="4" width="12" bestFit="1" customWidth="1"/>
    <col min="5" max="5" width="7.5703125" bestFit="1" customWidth="1"/>
    <col min="6" max="6" width="12.5703125" bestFit="1" customWidth="1"/>
    <col min="7" max="7" width="25" bestFit="1" customWidth="1"/>
    <col min="8" max="8" width="22.7109375" bestFit="1" customWidth="1"/>
    <col min="9" max="14" width="18.140625" bestFit="1" customWidth="1"/>
    <col min="15" max="16" width="25" bestFit="1" customWidth="1"/>
    <col min="17" max="17" width="24.5703125" bestFit="1" customWidth="1"/>
    <col min="18" max="21" width="25" bestFit="1" customWidth="1"/>
  </cols>
  <sheetData>
    <row r="1" spans="2:21">
      <c r="B1" s="18" t="s">
        <v>16</v>
      </c>
      <c r="C1" s="157" t="s">
        <v>0</v>
      </c>
      <c r="D1" s="159" t="s">
        <v>85</v>
      </c>
      <c r="E1" s="151" t="s">
        <v>1</v>
      </c>
      <c r="F1" s="151" t="s">
        <v>2</v>
      </c>
      <c r="G1" s="151" t="s">
        <v>3</v>
      </c>
    </row>
    <row r="2" spans="2:21">
      <c r="B2" s="19"/>
      <c r="C2" s="158"/>
      <c r="D2" s="160"/>
      <c r="E2" s="152"/>
      <c r="F2" s="152"/>
      <c r="G2" s="152"/>
      <c r="H2" s="8" t="s">
        <v>36</v>
      </c>
      <c r="I2" s="8" t="s">
        <v>37</v>
      </c>
      <c r="J2" s="8" t="s">
        <v>38</v>
      </c>
      <c r="K2" s="8" t="s">
        <v>39</v>
      </c>
      <c r="L2" s="8" t="s">
        <v>40</v>
      </c>
      <c r="M2" s="8" t="s">
        <v>41</v>
      </c>
      <c r="N2" s="8" t="s">
        <v>42</v>
      </c>
      <c r="O2" s="8" t="s">
        <v>115</v>
      </c>
      <c r="P2" s="8" t="s">
        <v>108</v>
      </c>
      <c r="Q2" s="8" t="s">
        <v>113</v>
      </c>
      <c r="R2" s="8" t="s">
        <v>109</v>
      </c>
      <c r="S2" s="8" t="s">
        <v>110</v>
      </c>
      <c r="T2" s="8" t="s">
        <v>111</v>
      </c>
      <c r="U2" s="8" t="s">
        <v>112</v>
      </c>
    </row>
    <row r="3" spans="2:21">
      <c r="B3" s="6" t="s">
        <v>19</v>
      </c>
      <c r="C3" s="8" t="s">
        <v>36</v>
      </c>
      <c r="D3" s="9" t="s">
        <v>87</v>
      </c>
      <c r="E3" s="5" t="s">
        <v>43</v>
      </c>
      <c r="F3" s="17">
        <v>195.96583000000001</v>
      </c>
      <c r="G3" s="5">
        <v>2.0000000000000002E-5</v>
      </c>
      <c r="H3" s="30">
        <f>$F3+$G3</f>
        <v>195.96585000000002</v>
      </c>
      <c r="I3">
        <f t="shared" ref="H3:U16" si="0">$F3</f>
        <v>195.96583000000001</v>
      </c>
      <c r="J3">
        <f t="shared" si="0"/>
        <v>195.96583000000001</v>
      </c>
      <c r="K3">
        <f t="shared" si="0"/>
        <v>195.96583000000001</v>
      </c>
      <c r="L3">
        <f t="shared" si="0"/>
        <v>195.96583000000001</v>
      </c>
      <c r="M3">
        <f t="shared" si="0"/>
        <v>195.96583000000001</v>
      </c>
      <c r="N3">
        <f t="shared" si="0"/>
        <v>195.96583000000001</v>
      </c>
      <c r="O3">
        <f t="shared" si="0"/>
        <v>195.96583000000001</v>
      </c>
      <c r="P3">
        <f t="shared" si="0"/>
        <v>195.96583000000001</v>
      </c>
      <c r="Q3">
        <f t="shared" si="0"/>
        <v>195.96583000000001</v>
      </c>
      <c r="R3">
        <f t="shared" si="0"/>
        <v>195.96583000000001</v>
      </c>
      <c r="S3">
        <f t="shared" si="0"/>
        <v>195.96583000000001</v>
      </c>
      <c r="T3">
        <f t="shared" si="0"/>
        <v>195.96583000000001</v>
      </c>
      <c r="U3">
        <f t="shared" si="0"/>
        <v>195.96583000000001</v>
      </c>
    </row>
    <row r="4" spans="2:21">
      <c r="B4" s="6" t="s">
        <v>19</v>
      </c>
      <c r="C4" s="8" t="s">
        <v>37</v>
      </c>
      <c r="D4" s="9" t="s">
        <v>88</v>
      </c>
      <c r="E4" s="5" t="s">
        <v>43</v>
      </c>
      <c r="F4" s="17">
        <v>197.966769</v>
      </c>
      <c r="G4" s="5">
        <v>3.0000000000000001E-6</v>
      </c>
      <c r="H4">
        <f t="shared" si="0"/>
        <v>197.966769</v>
      </c>
      <c r="I4" s="30">
        <f>$F4+$G4</f>
        <v>197.96677199999999</v>
      </c>
      <c r="J4">
        <f t="shared" si="0"/>
        <v>197.966769</v>
      </c>
      <c r="K4">
        <f t="shared" si="0"/>
        <v>197.966769</v>
      </c>
      <c r="L4">
        <f t="shared" si="0"/>
        <v>197.966769</v>
      </c>
      <c r="M4">
        <f t="shared" si="0"/>
        <v>197.966769</v>
      </c>
      <c r="N4">
        <f t="shared" si="0"/>
        <v>197.966769</v>
      </c>
      <c r="O4">
        <f t="shared" si="0"/>
        <v>197.966769</v>
      </c>
      <c r="P4">
        <f t="shared" si="0"/>
        <v>197.966769</v>
      </c>
      <c r="Q4">
        <f t="shared" si="0"/>
        <v>197.966769</v>
      </c>
      <c r="R4">
        <f t="shared" si="0"/>
        <v>197.966769</v>
      </c>
      <c r="S4">
        <f t="shared" si="0"/>
        <v>197.966769</v>
      </c>
      <c r="T4">
        <f t="shared" si="0"/>
        <v>197.966769</v>
      </c>
      <c r="U4">
        <f t="shared" si="0"/>
        <v>197.966769</v>
      </c>
    </row>
    <row r="5" spans="2:21">
      <c r="B5" s="6" t="s">
        <v>19</v>
      </c>
      <c r="C5" s="8" t="s">
        <v>38</v>
      </c>
      <c r="D5" s="9" t="s">
        <v>89</v>
      </c>
      <c r="E5" s="5" t="s">
        <v>43</v>
      </c>
      <c r="F5" s="17">
        <v>198.96828099999999</v>
      </c>
      <c r="G5" s="5">
        <v>3.9999999999999998E-6</v>
      </c>
      <c r="H5">
        <f t="shared" si="0"/>
        <v>198.96828099999999</v>
      </c>
      <c r="I5">
        <f t="shared" si="0"/>
        <v>198.96828099999999</v>
      </c>
      <c r="J5" s="30">
        <f>$F5+$G5</f>
        <v>198.96828499999998</v>
      </c>
      <c r="K5">
        <f t="shared" si="0"/>
        <v>198.96828099999999</v>
      </c>
      <c r="L5">
        <f t="shared" si="0"/>
        <v>198.96828099999999</v>
      </c>
      <c r="M5">
        <f t="shared" si="0"/>
        <v>198.96828099999999</v>
      </c>
      <c r="N5">
        <f t="shared" si="0"/>
        <v>198.96828099999999</v>
      </c>
      <c r="O5">
        <f t="shared" si="0"/>
        <v>198.96828099999999</v>
      </c>
      <c r="P5">
        <f t="shared" si="0"/>
        <v>198.96828099999999</v>
      </c>
      <c r="Q5">
        <f t="shared" si="0"/>
        <v>198.96828099999999</v>
      </c>
      <c r="R5">
        <f t="shared" si="0"/>
        <v>198.96828099999999</v>
      </c>
      <c r="S5">
        <f t="shared" si="0"/>
        <v>198.96828099999999</v>
      </c>
      <c r="T5">
        <f t="shared" si="0"/>
        <v>198.96828099999999</v>
      </c>
      <c r="U5">
        <f t="shared" si="0"/>
        <v>198.96828099999999</v>
      </c>
    </row>
    <row r="6" spans="2:21">
      <c r="B6" s="6" t="s">
        <v>19</v>
      </c>
      <c r="C6" s="8" t="s">
        <v>39</v>
      </c>
      <c r="D6" s="9" t="s">
        <v>90</v>
      </c>
      <c r="E6" s="5" t="s">
        <v>43</v>
      </c>
      <c r="F6" s="17">
        <v>199.96832699999999</v>
      </c>
      <c r="G6" s="5">
        <v>3.9999999999999998E-6</v>
      </c>
      <c r="H6">
        <f t="shared" si="0"/>
        <v>199.96832699999999</v>
      </c>
      <c r="I6">
        <f t="shared" si="0"/>
        <v>199.96832699999999</v>
      </c>
      <c r="J6">
        <f t="shared" si="0"/>
        <v>199.96832699999999</v>
      </c>
      <c r="K6" s="30">
        <f>$F6+$G6</f>
        <v>199.96833099999998</v>
      </c>
      <c r="L6">
        <f t="shared" si="0"/>
        <v>199.96832699999999</v>
      </c>
      <c r="M6">
        <f t="shared" si="0"/>
        <v>199.96832699999999</v>
      </c>
      <c r="N6">
        <f t="shared" si="0"/>
        <v>199.96832699999999</v>
      </c>
      <c r="O6">
        <f t="shared" si="0"/>
        <v>199.96832699999999</v>
      </c>
      <c r="P6">
        <f t="shared" si="0"/>
        <v>199.96832699999999</v>
      </c>
      <c r="Q6">
        <f t="shared" si="0"/>
        <v>199.96832699999999</v>
      </c>
      <c r="R6">
        <f t="shared" si="0"/>
        <v>199.96832699999999</v>
      </c>
      <c r="S6">
        <f t="shared" si="0"/>
        <v>199.96832699999999</v>
      </c>
      <c r="T6">
        <f t="shared" si="0"/>
        <v>199.96832699999999</v>
      </c>
      <c r="U6">
        <f t="shared" si="0"/>
        <v>199.96832699999999</v>
      </c>
    </row>
    <row r="7" spans="2:21">
      <c r="B7" s="6" t="s">
        <v>19</v>
      </c>
      <c r="C7" s="8" t="s">
        <v>40</v>
      </c>
      <c r="D7" s="9" t="s">
        <v>91</v>
      </c>
      <c r="E7" s="5" t="s">
        <v>43</v>
      </c>
      <c r="F7" s="17">
        <v>200.970303</v>
      </c>
      <c r="G7" s="5">
        <v>5.0000000000000004E-6</v>
      </c>
      <c r="H7">
        <f t="shared" si="0"/>
        <v>200.970303</v>
      </c>
      <c r="I7">
        <f t="shared" si="0"/>
        <v>200.970303</v>
      </c>
      <c r="J7">
        <f t="shared" si="0"/>
        <v>200.970303</v>
      </c>
      <c r="K7">
        <f t="shared" si="0"/>
        <v>200.970303</v>
      </c>
      <c r="L7" s="30">
        <f>$F7+$G7</f>
        <v>200.97030799999999</v>
      </c>
      <c r="M7">
        <f t="shared" si="0"/>
        <v>200.970303</v>
      </c>
      <c r="N7">
        <f t="shared" si="0"/>
        <v>200.970303</v>
      </c>
      <c r="O7">
        <f t="shared" si="0"/>
        <v>200.970303</v>
      </c>
      <c r="P7">
        <f t="shared" si="0"/>
        <v>200.970303</v>
      </c>
      <c r="Q7">
        <f t="shared" si="0"/>
        <v>200.970303</v>
      </c>
      <c r="R7">
        <f t="shared" si="0"/>
        <v>200.970303</v>
      </c>
      <c r="S7">
        <f t="shared" si="0"/>
        <v>200.970303</v>
      </c>
      <c r="T7">
        <f t="shared" si="0"/>
        <v>200.970303</v>
      </c>
      <c r="U7">
        <f t="shared" si="0"/>
        <v>200.970303</v>
      </c>
    </row>
    <row r="8" spans="2:21">
      <c r="B8" s="6" t="s">
        <v>19</v>
      </c>
      <c r="C8" s="8" t="s">
        <v>41</v>
      </c>
      <c r="D8" s="9" t="s">
        <v>92</v>
      </c>
      <c r="E8" s="5" t="s">
        <v>43</v>
      </c>
      <c r="F8" s="17">
        <v>201.97064399999999</v>
      </c>
      <c r="G8" s="5">
        <v>5.0000000000000004E-6</v>
      </c>
      <c r="H8">
        <f t="shared" si="0"/>
        <v>201.97064399999999</v>
      </c>
      <c r="I8">
        <f t="shared" si="0"/>
        <v>201.97064399999999</v>
      </c>
      <c r="J8">
        <f t="shared" si="0"/>
        <v>201.97064399999999</v>
      </c>
      <c r="K8">
        <f t="shared" si="0"/>
        <v>201.97064399999999</v>
      </c>
      <c r="L8">
        <f t="shared" si="0"/>
        <v>201.97064399999999</v>
      </c>
      <c r="M8" s="30">
        <f>$F8+$G8</f>
        <v>201.97064899999998</v>
      </c>
      <c r="N8">
        <f t="shared" si="0"/>
        <v>201.97064399999999</v>
      </c>
      <c r="O8">
        <f t="shared" si="0"/>
        <v>201.97064399999999</v>
      </c>
      <c r="P8">
        <f t="shared" si="0"/>
        <v>201.97064399999999</v>
      </c>
      <c r="Q8">
        <f t="shared" si="0"/>
        <v>201.97064399999999</v>
      </c>
      <c r="R8">
        <f t="shared" si="0"/>
        <v>201.97064399999999</v>
      </c>
      <c r="S8">
        <f t="shared" si="0"/>
        <v>201.97064399999999</v>
      </c>
      <c r="T8">
        <f t="shared" si="0"/>
        <v>201.97064399999999</v>
      </c>
      <c r="U8">
        <f t="shared" si="0"/>
        <v>201.97064399999999</v>
      </c>
    </row>
    <row r="9" spans="2:21">
      <c r="B9" s="6" t="s">
        <v>19</v>
      </c>
      <c r="C9" s="8" t="s">
        <v>42</v>
      </c>
      <c r="D9" s="9" t="s">
        <v>93</v>
      </c>
      <c r="E9" s="5" t="s">
        <v>43</v>
      </c>
      <c r="F9" s="17">
        <v>203.97349399999999</v>
      </c>
      <c r="G9" s="5">
        <v>3.0000000000000001E-6</v>
      </c>
      <c r="H9">
        <f t="shared" si="0"/>
        <v>203.97349399999999</v>
      </c>
      <c r="I9">
        <f t="shared" si="0"/>
        <v>203.97349399999999</v>
      </c>
      <c r="J9">
        <f t="shared" si="0"/>
        <v>203.97349399999999</v>
      </c>
      <c r="K9">
        <f t="shared" si="0"/>
        <v>203.97349399999999</v>
      </c>
      <c r="L9">
        <f t="shared" si="0"/>
        <v>203.97349399999999</v>
      </c>
      <c r="M9">
        <f t="shared" si="0"/>
        <v>203.97349399999999</v>
      </c>
      <c r="N9" s="30">
        <f>$F9+$G9</f>
        <v>203.97349699999998</v>
      </c>
      <c r="O9">
        <f t="shared" si="0"/>
        <v>203.97349399999999</v>
      </c>
      <c r="P9">
        <f t="shared" si="0"/>
        <v>203.97349399999999</v>
      </c>
      <c r="Q9">
        <f t="shared" si="0"/>
        <v>203.97349399999999</v>
      </c>
      <c r="R9">
        <f t="shared" si="0"/>
        <v>203.97349399999999</v>
      </c>
      <c r="S9">
        <f t="shared" si="0"/>
        <v>203.97349399999999</v>
      </c>
      <c r="T9">
        <f t="shared" si="0"/>
        <v>203.97349399999999</v>
      </c>
      <c r="U9">
        <f t="shared" si="0"/>
        <v>203.97349399999999</v>
      </c>
    </row>
    <row r="10" spans="2:21">
      <c r="B10" s="6" t="s">
        <v>11</v>
      </c>
      <c r="C10" s="8" t="s">
        <v>115</v>
      </c>
      <c r="D10" s="9" t="s">
        <v>118</v>
      </c>
      <c r="E10" s="5" t="s">
        <v>67</v>
      </c>
      <c r="F10" s="5">
        <v>0.02</v>
      </c>
      <c r="G10" s="5">
        <v>0.02</v>
      </c>
      <c r="H10">
        <f t="shared" si="0"/>
        <v>0.02</v>
      </c>
      <c r="I10">
        <f t="shared" si="0"/>
        <v>0.02</v>
      </c>
      <c r="J10">
        <f t="shared" si="0"/>
        <v>0.02</v>
      </c>
      <c r="K10">
        <f t="shared" si="0"/>
        <v>0.02</v>
      </c>
      <c r="L10">
        <f t="shared" si="0"/>
        <v>0.02</v>
      </c>
      <c r="M10">
        <f t="shared" si="0"/>
        <v>0.02</v>
      </c>
      <c r="N10">
        <f t="shared" si="0"/>
        <v>0.02</v>
      </c>
      <c r="O10" s="30">
        <f>$F10+$G10</f>
        <v>0.04</v>
      </c>
      <c r="P10">
        <f t="shared" si="0"/>
        <v>0.02</v>
      </c>
      <c r="Q10">
        <f t="shared" si="0"/>
        <v>0.02</v>
      </c>
      <c r="R10">
        <f t="shared" si="0"/>
        <v>0.02</v>
      </c>
      <c r="S10">
        <f t="shared" si="0"/>
        <v>0.02</v>
      </c>
      <c r="T10">
        <f t="shared" si="0"/>
        <v>0.02</v>
      </c>
      <c r="U10">
        <f t="shared" si="0"/>
        <v>0.02</v>
      </c>
    </row>
    <row r="11" spans="2:21">
      <c r="B11" s="6" t="s">
        <v>11</v>
      </c>
      <c r="C11" s="8" t="s">
        <v>108</v>
      </c>
      <c r="D11" s="9" t="s">
        <v>119</v>
      </c>
      <c r="E11" s="5" t="s">
        <v>67</v>
      </c>
      <c r="F11" s="5">
        <v>1.63</v>
      </c>
      <c r="G11" s="5">
        <v>0.02</v>
      </c>
      <c r="H11">
        <f t="shared" si="0"/>
        <v>1.63</v>
      </c>
      <c r="I11">
        <f t="shared" si="0"/>
        <v>1.63</v>
      </c>
      <c r="J11">
        <f t="shared" si="0"/>
        <v>1.63</v>
      </c>
      <c r="K11">
        <f t="shared" si="0"/>
        <v>1.63</v>
      </c>
      <c r="L11">
        <f t="shared" si="0"/>
        <v>1.63</v>
      </c>
      <c r="M11">
        <f t="shared" si="0"/>
        <v>1.63</v>
      </c>
      <c r="N11">
        <f t="shared" si="0"/>
        <v>1.63</v>
      </c>
      <c r="O11">
        <f t="shared" si="0"/>
        <v>1.63</v>
      </c>
      <c r="P11" s="30">
        <f>$F11+$G11</f>
        <v>1.65</v>
      </c>
      <c r="Q11">
        <f t="shared" si="0"/>
        <v>1.63</v>
      </c>
      <c r="R11">
        <f t="shared" si="0"/>
        <v>1.63</v>
      </c>
      <c r="S11">
        <f t="shared" si="0"/>
        <v>1.63</v>
      </c>
      <c r="T11">
        <f t="shared" si="0"/>
        <v>1.63</v>
      </c>
      <c r="U11">
        <f t="shared" si="0"/>
        <v>1.63</v>
      </c>
    </row>
    <row r="12" spans="2:21">
      <c r="B12" s="6" t="s">
        <v>11</v>
      </c>
      <c r="C12" s="8" t="s">
        <v>113</v>
      </c>
      <c r="D12" s="9" t="s">
        <v>117</v>
      </c>
      <c r="E12" s="5" t="s">
        <v>67</v>
      </c>
      <c r="F12" s="5">
        <v>91.95</v>
      </c>
      <c r="G12" s="5">
        <v>0.05</v>
      </c>
      <c r="H12">
        <f t="shared" si="0"/>
        <v>91.95</v>
      </c>
      <c r="I12">
        <f t="shared" si="0"/>
        <v>91.95</v>
      </c>
      <c r="J12">
        <f t="shared" si="0"/>
        <v>91.95</v>
      </c>
      <c r="K12">
        <f t="shared" si="0"/>
        <v>91.95</v>
      </c>
      <c r="L12">
        <f t="shared" si="0"/>
        <v>91.95</v>
      </c>
      <c r="M12">
        <f t="shared" si="0"/>
        <v>91.95</v>
      </c>
      <c r="N12">
        <f t="shared" si="0"/>
        <v>91.95</v>
      </c>
      <c r="O12">
        <f t="shared" si="0"/>
        <v>91.95</v>
      </c>
      <c r="P12">
        <f t="shared" si="0"/>
        <v>91.95</v>
      </c>
      <c r="Q12" s="30">
        <f>$F12+$G12</f>
        <v>92</v>
      </c>
      <c r="R12">
        <f t="shared" si="0"/>
        <v>91.95</v>
      </c>
      <c r="S12">
        <f t="shared" si="0"/>
        <v>91.95</v>
      </c>
      <c r="T12">
        <f t="shared" si="0"/>
        <v>91.95</v>
      </c>
      <c r="U12">
        <f t="shared" si="0"/>
        <v>91.95</v>
      </c>
    </row>
    <row r="13" spans="2:21">
      <c r="B13" s="6" t="s">
        <v>11</v>
      </c>
      <c r="C13" s="8" t="s">
        <v>109</v>
      </c>
      <c r="D13" s="9" t="s">
        <v>120</v>
      </c>
      <c r="E13" s="5" t="s">
        <v>67</v>
      </c>
      <c r="F13" s="5">
        <v>4.92</v>
      </c>
      <c r="G13" s="5">
        <v>0.03</v>
      </c>
      <c r="H13">
        <f t="shared" si="0"/>
        <v>4.92</v>
      </c>
      <c r="I13">
        <f t="shared" si="0"/>
        <v>4.92</v>
      </c>
      <c r="J13">
        <f t="shared" si="0"/>
        <v>4.92</v>
      </c>
      <c r="K13">
        <f t="shared" si="0"/>
        <v>4.92</v>
      </c>
      <c r="L13">
        <f t="shared" si="0"/>
        <v>4.92</v>
      </c>
      <c r="M13">
        <f t="shared" si="0"/>
        <v>4.92</v>
      </c>
      <c r="N13">
        <f t="shared" si="0"/>
        <v>4.92</v>
      </c>
      <c r="O13">
        <f t="shared" si="0"/>
        <v>4.92</v>
      </c>
      <c r="P13">
        <f t="shared" si="0"/>
        <v>4.92</v>
      </c>
      <c r="Q13">
        <f t="shared" si="0"/>
        <v>4.92</v>
      </c>
      <c r="R13" s="30">
        <f>$F13+$G13</f>
        <v>4.95</v>
      </c>
      <c r="S13">
        <f t="shared" si="0"/>
        <v>4.92</v>
      </c>
      <c r="T13">
        <f t="shared" si="0"/>
        <v>4.92</v>
      </c>
      <c r="U13">
        <f t="shared" si="0"/>
        <v>4.92</v>
      </c>
    </row>
    <row r="14" spans="2:21">
      <c r="B14" s="6" t="s">
        <v>11</v>
      </c>
      <c r="C14" s="8" t="s">
        <v>110</v>
      </c>
      <c r="D14" s="9" t="s">
        <v>121</v>
      </c>
      <c r="E14" s="5" t="s">
        <v>67</v>
      </c>
      <c r="F14" s="5">
        <v>0.66</v>
      </c>
      <c r="G14" s="5">
        <v>0.01</v>
      </c>
      <c r="H14">
        <f t="shared" si="0"/>
        <v>0.66</v>
      </c>
      <c r="I14">
        <f t="shared" si="0"/>
        <v>0.66</v>
      </c>
      <c r="J14">
        <f t="shared" si="0"/>
        <v>0.66</v>
      </c>
      <c r="K14">
        <f t="shared" si="0"/>
        <v>0.66</v>
      </c>
      <c r="L14">
        <f t="shared" si="0"/>
        <v>0.66</v>
      </c>
      <c r="M14">
        <f t="shared" si="0"/>
        <v>0.66</v>
      </c>
      <c r="N14">
        <f t="shared" si="0"/>
        <v>0.66</v>
      </c>
      <c r="O14">
        <f t="shared" si="0"/>
        <v>0.66</v>
      </c>
      <c r="P14">
        <f t="shared" si="0"/>
        <v>0.66</v>
      </c>
      <c r="Q14">
        <f t="shared" si="0"/>
        <v>0.66</v>
      </c>
      <c r="R14">
        <f t="shared" si="0"/>
        <v>0.66</v>
      </c>
      <c r="S14" s="30">
        <f>$F14+$G14</f>
        <v>0.67</v>
      </c>
      <c r="T14">
        <f t="shared" si="0"/>
        <v>0.66</v>
      </c>
      <c r="U14">
        <f t="shared" si="0"/>
        <v>0.66</v>
      </c>
    </row>
    <row r="15" spans="2:21">
      <c r="B15" s="6" t="s">
        <v>11</v>
      </c>
      <c r="C15" s="8" t="s">
        <v>111</v>
      </c>
      <c r="D15" s="9" t="s">
        <v>122</v>
      </c>
      <c r="E15" s="5" t="s">
        <v>67</v>
      </c>
      <c r="F15" s="5">
        <v>0.73</v>
      </c>
      <c r="G15" s="5">
        <v>0.01</v>
      </c>
      <c r="H15">
        <f t="shared" si="0"/>
        <v>0.73</v>
      </c>
      <c r="I15">
        <f t="shared" si="0"/>
        <v>0.73</v>
      </c>
      <c r="J15">
        <f t="shared" si="0"/>
        <v>0.73</v>
      </c>
      <c r="K15">
        <f t="shared" si="0"/>
        <v>0.73</v>
      </c>
      <c r="L15">
        <f t="shared" si="0"/>
        <v>0.73</v>
      </c>
      <c r="M15">
        <f t="shared" si="0"/>
        <v>0.73</v>
      </c>
      <c r="N15">
        <f t="shared" si="0"/>
        <v>0.73</v>
      </c>
      <c r="O15">
        <f t="shared" si="0"/>
        <v>0.73</v>
      </c>
      <c r="P15">
        <f t="shared" si="0"/>
        <v>0.73</v>
      </c>
      <c r="Q15">
        <f t="shared" si="0"/>
        <v>0.73</v>
      </c>
      <c r="R15">
        <f t="shared" si="0"/>
        <v>0.73</v>
      </c>
      <c r="S15">
        <f t="shared" si="0"/>
        <v>0.73</v>
      </c>
      <c r="T15" s="30">
        <f>$F15+$G15</f>
        <v>0.74</v>
      </c>
      <c r="U15">
        <f t="shared" si="0"/>
        <v>0.73</v>
      </c>
    </row>
    <row r="16" spans="2:21">
      <c r="B16" s="6" t="s">
        <v>11</v>
      </c>
      <c r="C16" s="8" t="s">
        <v>112</v>
      </c>
      <c r="D16" s="9" t="s">
        <v>123</v>
      </c>
      <c r="E16" s="5" t="s">
        <v>67</v>
      </c>
      <c r="F16" s="5">
        <v>0.11</v>
      </c>
      <c r="G16" s="5">
        <v>0.01</v>
      </c>
      <c r="H16">
        <f t="shared" si="0"/>
        <v>0.11</v>
      </c>
      <c r="I16">
        <f t="shared" si="0"/>
        <v>0.11</v>
      </c>
      <c r="J16">
        <f t="shared" si="0"/>
        <v>0.11</v>
      </c>
      <c r="K16">
        <f t="shared" si="0"/>
        <v>0.11</v>
      </c>
      <c r="L16">
        <f t="shared" si="0"/>
        <v>0.11</v>
      </c>
      <c r="M16">
        <f t="shared" si="0"/>
        <v>0.11</v>
      </c>
      <c r="N16">
        <f t="shared" si="0"/>
        <v>0.11</v>
      </c>
      <c r="O16">
        <f t="shared" si="0"/>
        <v>0.11</v>
      </c>
      <c r="P16">
        <f t="shared" si="0"/>
        <v>0.11</v>
      </c>
      <c r="Q16">
        <f t="shared" si="0"/>
        <v>0.11</v>
      </c>
      <c r="R16">
        <f t="shared" si="0"/>
        <v>0.11</v>
      </c>
      <c r="S16">
        <f t="shared" si="0"/>
        <v>0.11</v>
      </c>
      <c r="T16">
        <f t="shared" si="0"/>
        <v>0.11</v>
      </c>
      <c r="U16" s="30">
        <f>$F16+$G16</f>
        <v>0.12</v>
      </c>
    </row>
    <row r="17" spans="2:22" s="16" customFormat="1">
      <c r="B17" s="14" t="s">
        <v>17</v>
      </c>
      <c r="C17" s="12" t="s">
        <v>6</v>
      </c>
      <c r="D17" s="13" t="s">
        <v>124</v>
      </c>
      <c r="E17" s="14" t="s">
        <v>5</v>
      </c>
      <c r="F17" s="15">
        <f>(F3*F10+F4*F11+F5*F12+F6*F13+F7*F14+F8*F15+F9*F16)/100</f>
        <v>199.08098811300002</v>
      </c>
      <c r="G17" s="15">
        <f>SQRT(SUM(H20:U20))</f>
        <v>0.1335198708541501</v>
      </c>
      <c r="H17" s="15">
        <f t="shared" ref="H17:U17" si="1">(H3*H10+H4*H11+H5*H12+H6*H13+H7*H14+H8*H15+H9*H16)/100</f>
        <v>199.080988117</v>
      </c>
      <c r="I17" s="15">
        <f t="shared" si="1"/>
        <v>199.08098816190002</v>
      </c>
      <c r="J17" s="15">
        <f t="shared" si="1"/>
        <v>199.080991791</v>
      </c>
      <c r="K17" s="15">
        <f t="shared" si="1"/>
        <v>199.08098830980001</v>
      </c>
      <c r="L17" s="15">
        <f t="shared" si="1"/>
        <v>199.08098814600001</v>
      </c>
      <c r="M17" s="15">
        <f t="shared" si="1"/>
        <v>199.0809881495</v>
      </c>
      <c r="N17" s="15">
        <f t="shared" si="1"/>
        <v>199.08098811630003</v>
      </c>
      <c r="O17" s="15">
        <f t="shared" si="1"/>
        <v>199.12018127899998</v>
      </c>
      <c r="P17" s="15">
        <f t="shared" si="1"/>
        <v>199.12058146679999</v>
      </c>
      <c r="Q17" s="15">
        <f t="shared" si="1"/>
        <v>199.1804722535</v>
      </c>
      <c r="R17" s="15">
        <f t="shared" si="1"/>
        <v>199.1409786111</v>
      </c>
      <c r="S17" s="15">
        <f t="shared" si="1"/>
        <v>199.10108514330005</v>
      </c>
      <c r="T17" s="15">
        <f t="shared" si="1"/>
        <v>199.1011851774</v>
      </c>
      <c r="U17" s="15">
        <f t="shared" si="1"/>
        <v>199.10138546240003</v>
      </c>
    </row>
    <row r="19" spans="2:22">
      <c r="H19" s="8" t="s">
        <v>36</v>
      </c>
      <c r="I19" s="8" t="s">
        <v>37</v>
      </c>
      <c r="J19" s="8" t="s">
        <v>38</v>
      </c>
      <c r="K19" s="8" t="s">
        <v>39</v>
      </c>
      <c r="L19" s="8" t="s">
        <v>40</v>
      </c>
      <c r="M19" s="8" t="s">
        <v>41</v>
      </c>
      <c r="N19" s="8" t="s">
        <v>42</v>
      </c>
      <c r="O19" s="8" t="s">
        <v>115</v>
      </c>
      <c r="P19" s="8" t="s">
        <v>108</v>
      </c>
      <c r="Q19" s="8" t="s">
        <v>113</v>
      </c>
      <c r="R19" s="8" t="s">
        <v>109</v>
      </c>
      <c r="S19" s="8" t="s">
        <v>110</v>
      </c>
      <c r="T19" s="8" t="s">
        <v>111</v>
      </c>
      <c r="U19" s="8" t="s">
        <v>112</v>
      </c>
    </row>
    <row r="20" spans="2:22">
      <c r="G20" s="8" t="s">
        <v>126</v>
      </c>
      <c r="H20" s="32">
        <f>(H17-$F$17)^2</f>
        <v>1.5999888961046802E-17</v>
      </c>
      <c r="I20" s="32">
        <f t="shared" ref="I20:U20" si="2">(I17-$F$17)^2</f>
        <v>2.3912105694269379E-15</v>
      </c>
      <c r="J20" s="32">
        <f t="shared" si="2"/>
        <v>1.3527683886532622E-11</v>
      </c>
      <c r="K20" s="32">
        <f t="shared" si="2"/>
        <v>3.8730235222324169E-14</v>
      </c>
      <c r="L20" s="32">
        <f t="shared" si="2"/>
        <v>1.0889994767712825E-15</v>
      </c>
      <c r="M20" s="32">
        <f t="shared" si="2"/>
        <v>1.3322487940474494E-15</v>
      </c>
      <c r="N20" s="32">
        <f t="shared" si="2"/>
        <v>1.0890107317945937E-17</v>
      </c>
      <c r="O20" s="32">
        <f t="shared" si="2"/>
        <v>1.5361042611005276E-3</v>
      </c>
      <c r="P20" s="32">
        <f t="shared" si="2"/>
        <v>1.5676336651297904E-3</v>
      </c>
      <c r="Q20" s="32">
        <f t="shared" si="2"/>
        <v>9.897094211020115E-3</v>
      </c>
      <c r="R20" s="32">
        <f t="shared" si="2"/>
        <v>3.598859862283481E-3</v>
      </c>
      <c r="S20" s="32">
        <f t="shared" si="2"/>
        <v>4.0389062688056776E-4</v>
      </c>
      <c r="T20" s="32">
        <f t="shared" si="2"/>
        <v>4.0792141037694092E-4</v>
      </c>
      <c r="U20" s="32">
        <f t="shared" si="2"/>
        <v>4.160518625462437E-4</v>
      </c>
    </row>
    <row r="21" spans="2:22">
      <c r="G21" s="8" t="s">
        <v>127</v>
      </c>
      <c r="H21" s="26">
        <f>H20/SUM($H$20:$U$20)</f>
        <v>8.9748078980704797E-16</v>
      </c>
      <c r="I21" s="26">
        <f t="shared" ref="I21:U21" si="3">I20/SUM($H$20:$U$20)</f>
        <v>1.3413002775638271E-13</v>
      </c>
      <c r="J21" s="26">
        <f t="shared" si="3"/>
        <v>7.5880754224628391E-10</v>
      </c>
      <c r="K21" s="26">
        <f t="shared" si="3"/>
        <v>2.1724927080037731E-12</v>
      </c>
      <c r="L21" s="26">
        <f t="shared" si="3"/>
        <v>6.1085180834168019E-14</v>
      </c>
      <c r="M21" s="26">
        <f t="shared" si="3"/>
        <v>7.4729749863399351E-14</v>
      </c>
      <c r="N21" s="26">
        <f t="shared" si="3"/>
        <v>6.1085812161500049E-16</v>
      </c>
      <c r="O21" s="26">
        <f t="shared" si="3"/>
        <v>8.6164602069105617E-2</v>
      </c>
      <c r="P21" s="26">
        <f t="shared" si="3"/>
        <v>8.7933178994809277E-2</v>
      </c>
      <c r="Q21" s="26">
        <f t="shared" si="3"/>
        <v>0.55515709833525961</v>
      </c>
      <c r="R21" s="26">
        <f t="shared" si="3"/>
        <v>0.20187062544437456</v>
      </c>
      <c r="S21" s="26">
        <f t="shared" si="3"/>
        <v>2.2655412152605334E-2</v>
      </c>
      <c r="T21" s="26">
        <f t="shared" si="3"/>
        <v>2.2881510643955709E-2</v>
      </c>
      <c r="U21" s="26">
        <f t="shared" si="3"/>
        <v>2.3337571598638539E-2</v>
      </c>
      <c r="V21" s="31"/>
    </row>
    <row r="26" spans="2:22">
      <c r="B26" t="s">
        <v>48</v>
      </c>
    </row>
    <row r="27" spans="2:22">
      <c r="B27" s="2" t="s">
        <v>20</v>
      </c>
      <c r="C27" s="2" t="s">
        <v>21</v>
      </c>
    </row>
    <row r="28" spans="2:22">
      <c r="B28" s="3" t="s">
        <v>22</v>
      </c>
      <c r="C28" s="3" t="s">
        <v>23</v>
      </c>
    </row>
    <row r="29" spans="2:22">
      <c r="B29" s="3" t="s">
        <v>24</v>
      </c>
      <c r="C29" s="3" t="s">
        <v>25</v>
      </c>
      <c r="E29" s="1"/>
    </row>
    <row r="30" spans="2:22">
      <c r="B30" s="3" t="s">
        <v>26</v>
      </c>
      <c r="C30" s="3" t="s">
        <v>27</v>
      </c>
    </row>
    <row r="31" spans="2:22">
      <c r="B31" s="3" t="s">
        <v>28</v>
      </c>
      <c r="C31" s="3" t="s">
        <v>29</v>
      </c>
    </row>
    <row r="32" spans="2:22">
      <c r="B32" s="3" t="s">
        <v>30</v>
      </c>
      <c r="C32" s="3" t="s">
        <v>31</v>
      </c>
    </row>
    <row r="33" spans="2:3">
      <c r="B33" s="3" t="s">
        <v>32</v>
      </c>
      <c r="C33" s="3" t="s">
        <v>33</v>
      </c>
    </row>
    <row r="34" spans="2:3">
      <c r="B34" s="3" t="s">
        <v>34</v>
      </c>
      <c r="C34" s="3" t="s">
        <v>35</v>
      </c>
    </row>
  </sheetData>
  <mergeCells count="5">
    <mergeCell ref="C1:C2"/>
    <mergeCell ref="D1:D2"/>
    <mergeCell ref="E1:E2"/>
    <mergeCell ref="F1:F2"/>
    <mergeCell ref="G1:G2"/>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6E13-4CB8-4FBD-BCD0-08D83CCDD196}">
  <sheetPr>
    <tabColor rgb="FFFFFF00"/>
  </sheetPr>
  <dimension ref="A1:X63"/>
  <sheetViews>
    <sheetView topLeftCell="A35" zoomScale="90" zoomScaleNormal="90" workbookViewId="0">
      <selection activeCell="B60" sqref="B60"/>
    </sheetView>
  </sheetViews>
  <sheetFormatPr defaultColWidth="8.42578125" defaultRowHeight="15"/>
  <cols>
    <col min="1" max="1" width="25.140625" style="50" customWidth="1"/>
    <col min="2" max="2" width="12.5703125" style="50" customWidth="1"/>
    <col min="3" max="3" width="6.42578125" style="50" customWidth="1"/>
    <col min="4" max="4" width="10.28515625" style="50" customWidth="1"/>
    <col min="5" max="8" width="12.5703125" style="50" customWidth="1"/>
    <col min="9" max="9" width="7" style="50" customWidth="1"/>
    <col min="10" max="10" width="6.140625" style="50" customWidth="1"/>
    <col min="11" max="11" width="10.85546875" style="50" customWidth="1"/>
    <col min="12" max="12" width="9.85546875" style="50" customWidth="1"/>
    <col min="13" max="13" width="8.42578125" style="50"/>
    <col min="14" max="14" width="4.140625" style="50" customWidth="1"/>
    <col min="15" max="15" width="9.85546875" style="50" customWidth="1"/>
    <col min="16" max="24" width="8.42578125" style="50"/>
    <col min="25" max="16384" width="8.42578125" style="4"/>
  </cols>
  <sheetData>
    <row r="1" spans="1:14">
      <c r="A1" s="48" t="s">
        <v>49</v>
      </c>
      <c r="B1" s="49"/>
      <c r="C1" s="49"/>
      <c r="D1" s="49"/>
      <c r="E1" s="49"/>
      <c r="F1" s="49"/>
      <c r="G1" s="49"/>
      <c r="H1" s="49"/>
      <c r="I1" s="49"/>
      <c r="J1" s="49"/>
      <c r="K1" s="49"/>
      <c r="L1" s="49"/>
      <c r="M1" s="49"/>
      <c r="N1" s="49"/>
    </row>
    <row r="2" spans="1:14">
      <c r="A2" s="49"/>
      <c r="B2" s="49"/>
      <c r="C2" s="49"/>
      <c r="D2" s="49"/>
      <c r="E2" s="49"/>
      <c r="F2" s="49"/>
      <c r="G2" s="49"/>
      <c r="H2" s="49"/>
      <c r="I2" s="49"/>
      <c r="J2" s="49"/>
      <c r="K2" s="49"/>
      <c r="L2" s="49"/>
      <c r="M2" s="49"/>
      <c r="N2" s="49"/>
    </row>
    <row r="3" spans="1:14">
      <c r="A3" s="49" t="s">
        <v>50</v>
      </c>
      <c r="B3" s="51" t="s">
        <v>138</v>
      </c>
      <c r="C3" s="52"/>
      <c r="D3" s="52"/>
      <c r="E3" s="49" t="s">
        <v>51</v>
      </c>
      <c r="G3" s="51" t="s">
        <v>180</v>
      </c>
      <c r="H3" s="52"/>
      <c r="I3" s="52"/>
      <c r="K3" s="49"/>
      <c r="L3" s="49"/>
      <c r="M3" s="49"/>
      <c r="N3" s="49"/>
    </row>
    <row r="4" spans="1:14">
      <c r="A4" s="49" t="s">
        <v>52</v>
      </c>
      <c r="B4" s="51" t="s">
        <v>139</v>
      </c>
      <c r="C4" s="52"/>
      <c r="D4" s="52"/>
      <c r="E4" s="49" t="s">
        <v>53</v>
      </c>
      <c r="G4" s="136">
        <v>44818</v>
      </c>
      <c r="H4" s="51"/>
      <c r="I4" s="52"/>
      <c r="K4" s="49"/>
      <c r="L4" s="49"/>
      <c r="M4" s="49"/>
      <c r="N4" s="49"/>
    </row>
    <row r="5" spans="1:14">
      <c r="A5" s="49" t="s">
        <v>54</v>
      </c>
      <c r="B5" s="51" t="s">
        <v>140</v>
      </c>
      <c r="C5" s="51"/>
      <c r="D5" s="53"/>
      <c r="E5" s="50" t="s">
        <v>55</v>
      </c>
      <c r="F5" s="54"/>
      <c r="G5" s="135" t="s">
        <v>181</v>
      </c>
      <c r="H5" s="52"/>
      <c r="I5" s="52"/>
      <c r="K5" s="49"/>
      <c r="L5" s="49"/>
      <c r="M5" s="49"/>
      <c r="N5" s="49"/>
    </row>
    <row r="6" spans="1:14">
      <c r="A6" s="49"/>
      <c r="B6" s="49"/>
      <c r="C6" s="49"/>
      <c r="D6" s="49"/>
      <c r="E6" s="49"/>
      <c r="F6" s="49"/>
      <c r="G6" s="49"/>
      <c r="H6" s="49"/>
      <c r="I6" s="49"/>
      <c r="J6" s="49"/>
      <c r="K6" s="49"/>
      <c r="L6" s="49"/>
      <c r="M6" s="49"/>
      <c r="N6" s="49"/>
    </row>
    <row r="7" spans="1:14">
      <c r="A7" s="55" t="s">
        <v>183</v>
      </c>
      <c r="B7" s="56"/>
      <c r="C7" s="57"/>
      <c r="D7" s="58"/>
      <c r="E7" s="56"/>
      <c r="F7" s="56"/>
      <c r="G7" s="56"/>
      <c r="H7" s="56"/>
      <c r="I7" s="56"/>
      <c r="J7" s="59"/>
      <c r="K7" s="60"/>
      <c r="L7" s="60"/>
      <c r="M7" s="60"/>
      <c r="N7" s="49"/>
    </row>
    <row r="8" spans="1:14">
      <c r="A8" s="61" t="s">
        <v>56</v>
      </c>
      <c r="B8" s="62">
        <v>12.5139</v>
      </c>
      <c r="C8" s="49"/>
      <c r="D8" s="63" t="s">
        <v>57</v>
      </c>
      <c r="E8" s="60" t="s">
        <v>58</v>
      </c>
      <c r="F8" s="60" t="s">
        <v>59</v>
      </c>
      <c r="G8" s="60" t="s">
        <v>60</v>
      </c>
      <c r="H8" s="60" t="s">
        <v>61</v>
      </c>
      <c r="I8" s="49"/>
      <c r="J8" s="64" t="s">
        <v>62</v>
      </c>
      <c r="K8" s="49" t="s">
        <v>63</v>
      </c>
      <c r="L8" s="49" t="s">
        <v>64</v>
      </c>
      <c r="M8" s="49"/>
      <c r="N8" s="49"/>
    </row>
    <row r="9" spans="1:14" ht="18">
      <c r="A9" s="61"/>
      <c r="B9" s="62">
        <v>12.514099999999999</v>
      </c>
      <c r="C9" s="60"/>
      <c r="D9" s="49" t="s">
        <v>65</v>
      </c>
      <c r="E9" s="65">
        <f>AVERAGE(B8:B12)</f>
        <v>12.513799999999998</v>
      </c>
      <c r="F9" s="66">
        <f>STDEV(B8:B12)/SQRT(J9)</f>
        <v>2.0816659994612812E-4</v>
      </c>
      <c r="G9" s="67">
        <f>0.000016/SQRT(3)</f>
        <v>9.2376043070340125E-6</v>
      </c>
      <c r="H9" s="68">
        <f>SQRT(F9^2+G9^2)</f>
        <v>2.0837146317685798E-4</v>
      </c>
      <c r="I9" s="60" t="s">
        <v>66</v>
      </c>
      <c r="J9" s="69">
        <f>COUNT(B8:B12)</f>
        <v>3</v>
      </c>
      <c r="K9" s="70">
        <f>E12*(E10-E11)/(E11-E9)^2</f>
        <v>-14.617187658990918</v>
      </c>
      <c r="L9" s="70">
        <f>(K9*H9)^2</f>
        <v>9.2769267580819165E-6</v>
      </c>
      <c r="M9" s="71">
        <f>L9*100/L13</f>
        <v>0.97953093925786028</v>
      </c>
      <c r="N9" s="72" t="s">
        <v>67</v>
      </c>
    </row>
    <row r="10" spans="1:14" ht="18">
      <c r="A10" s="61"/>
      <c r="B10" s="62">
        <v>12.513400000000001</v>
      </c>
      <c r="C10" s="60"/>
      <c r="D10" s="49" t="s">
        <v>68</v>
      </c>
      <c r="E10" s="73">
        <f>AVERAGE(B13:B17)</f>
        <v>12.7224</v>
      </c>
      <c r="F10" s="66">
        <f>STDEV(B13:B17)/SQRT(J10)</f>
        <v>1.5275252316542014E-4</v>
      </c>
      <c r="G10" s="67">
        <f>0.000016/SQRT(3)</f>
        <v>9.2376043070340125E-6</v>
      </c>
      <c r="H10" s="68">
        <f>SQRT(F10^2+G10^2)</f>
        <v>1.5303158715355321E-4</v>
      </c>
      <c r="I10" s="60" t="s">
        <v>66</v>
      </c>
      <c r="J10" s="69">
        <f>COUNT(B13:B17)</f>
        <v>3</v>
      </c>
      <c r="K10" s="70">
        <f>E12/(E11-E9)</f>
        <v>14.678070474555442</v>
      </c>
      <c r="L10" s="70">
        <f>(K10*H10)^2</f>
        <v>5.0454522708989333E-6</v>
      </c>
      <c r="M10" s="71">
        <f>L10*100/L13</f>
        <v>0.53273855995346597</v>
      </c>
      <c r="N10" s="72" t="s">
        <v>67</v>
      </c>
    </row>
    <row r="11" spans="1:14" ht="18">
      <c r="A11" s="61"/>
      <c r="B11" s="62"/>
      <c r="C11" s="60"/>
      <c r="D11" s="49" t="s">
        <v>69</v>
      </c>
      <c r="E11" s="73">
        <f>AVERAGE(B18:B22)</f>
        <v>62.804600000000001</v>
      </c>
      <c r="F11" s="66">
        <f>STDEV(B18:B22)/SQRT(J11)</f>
        <v>2.08166599946697E-4</v>
      </c>
      <c r="G11" s="67">
        <f>0.00021/SQRT(3)</f>
        <v>1.2124355652982142E-4</v>
      </c>
      <c r="H11" s="68">
        <f>SQRT(F11^2+G11^2)</f>
        <v>2.409010862021344E-4</v>
      </c>
      <c r="I11" s="60" t="s">
        <v>66</v>
      </c>
      <c r="J11" s="69">
        <f>COUNT(B18:B22)</f>
        <v>3</v>
      </c>
      <c r="K11" s="70">
        <f>E12*(E9-E10)/(E11-E9)^2</f>
        <v>-6.0882815564522713E-2</v>
      </c>
      <c r="L11" s="70">
        <f>(K11*H11)^2</f>
        <v>2.1511315664285859E-10</v>
      </c>
      <c r="M11" s="71">
        <f>L11*100/L13</f>
        <v>2.2713340082105873E-5</v>
      </c>
      <c r="N11" s="72" t="s">
        <v>67</v>
      </c>
    </row>
    <row r="12" spans="1:14" ht="18">
      <c r="A12" s="61"/>
      <c r="B12" s="62"/>
      <c r="C12" s="60"/>
      <c r="D12" s="49" t="s">
        <v>70</v>
      </c>
      <c r="E12" s="74">
        <f>'[2]Sheet 1'!$C$13</f>
        <v>738.17190662177291</v>
      </c>
      <c r="F12" s="75"/>
      <c r="G12" s="76"/>
      <c r="H12" s="121">
        <f>'[2]Sheet 1'!$C$14</f>
        <v>7.3630583114432833</v>
      </c>
      <c r="I12" s="51" t="s">
        <v>80</v>
      </c>
      <c r="J12" s="77"/>
      <c r="K12" s="70">
        <f>(E10-E9)/(E11-E9)</f>
        <v>4.1478759534547532E-3</v>
      </c>
      <c r="L12" s="70">
        <f>(K12*H12)^2</f>
        <v>9.3275588865806506E-4</v>
      </c>
      <c r="M12" s="71">
        <f>L12*100/L13</f>
        <v>98.487707787448585</v>
      </c>
      <c r="N12" s="72" t="s">
        <v>67</v>
      </c>
    </row>
    <row r="13" spans="1:14" ht="15.75" thickBot="1">
      <c r="A13" s="61" t="s">
        <v>71</v>
      </c>
      <c r="B13" s="62">
        <v>12.7226</v>
      </c>
      <c r="C13" s="49"/>
      <c r="D13" s="49"/>
      <c r="E13" s="78"/>
      <c r="F13" s="60"/>
      <c r="G13" s="75"/>
      <c r="H13" s="79"/>
      <c r="I13" s="79"/>
      <c r="J13" s="80"/>
      <c r="K13" s="72" t="s">
        <v>72</v>
      </c>
      <c r="L13" s="70">
        <f>SUM(L9:L12)</f>
        <v>9.4707848280020256E-4</v>
      </c>
      <c r="M13" s="71"/>
      <c r="N13" s="72"/>
    </row>
    <row r="14" spans="1:14">
      <c r="A14" s="61"/>
      <c r="B14" s="62">
        <v>12.7225</v>
      </c>
      <c r="C14" s="60"/>
      <c r="D14" s="81" t="s">
        <v>73</v>
      </c>
      <c r="E14" s="82" t="s">
        <v>74</v>
      </c>
      <c r="F14" s="82" t="s">
        <v>75</v>
      </c>
      <c r="G14" s="82" t="s">
        <v>76</v>
      </c>
      <c r="H14" s="82" t="s">
        <v>77</v>
      </c>
      <c r="I14" s="83"/>
      <c r="J14" s="80"/>
      <c r="K14" s="49"/>
      <c r="L14" s="49"/>
      <c r="M14" s="49"/>
      <c r="N14" s="49"/>
    </row>
    <row r="15" spans="1:14" ht="18">
      <c r="A15" s="61"/>
      <c r="B15" s="62">
        <v>12.722099999999999</v>
      </c>
      <c r="C15" s="60"/>
      <c r="D15" s="84" t="s">
        <v>78</v>
      </c>
      <c r="E15" s="85">
        <f>E12*(E10-E9)/(E11-E9)</f>
        <v>3.0618455009922996</v>
      </c>
      <c r="F15" s="85">
        <f>SQRT(L13)</f>
        <v>3.0774640254602532E-2</v>
      </c>
      <c r="G15" s="86" t="str">
        <f>I12</f>
        <v>µg/g</v>
      </c>
      <c r="H15" s="87">
        <f>F15*100/E15</f>
        <v>1.0051010165153311</v>
      </c>
      <c r="I15" s="88" t="s">
        <v>67</v>
      </c>
      <c r="J15" s="80"/>
      <c r="K15" s="49"/>
      <c r="L15" s="49"/>
      <c r="M15" s="49"/>
      <c r="N15" s="49"/>
    </row>
    <row r="16" spans="1:14" ht="18">
      <c r="A16" s="61"/>
      <c r="B16" s="62"/>
      <c r="C16" s="60"/>
      <c r="D16" s="89" t="s">
        <v>79</v>
      </c>
      <c r="E16" s="90">
        <f>E15*1000</f>
        <v>3061.8455009922995</v>
      </c>
      <c r="F16" s="90">
        <f>F15*1000</f>
        <v>30.774640254602531</v>
      </c>
      <c r="G16" s="91" t="s">
        <v>141</v>
      </c>
      <c r="H16" s="92">
        <f>F16*100/E16</f>
        <v>1.0051010165153309</v>
      </c>
      <c r="I16" s="93" t="s">
        <v>67</v>
      </c>
      <c r="J16" s="80"/>
      <c r="K16" s="49"/>
      <c r="L16" s="49"/>
      <c r="M16" s="49"/>
      <c r="N16" s="49"/>
    </row>
    <row r="17" spans="1:14">
      <c r="A17" s="61"/>
      <c r="B17" s="62"/>
      <c r="C17" s="60"/>
      <c r="D17" s="94"/>
      <c r="E17" s="60"/>
      <c r="F17" s="60"/>
      <c r="G17" s="60"/>
      <c r="H17" s="95"/>
      <c r="I17" s="96"/>
      <c r="J17" s="80"/>
      <c r="K17" s="49"/>
      <c r="L17" s="49"/>
      <c r="M17" s="49"/>
      <c r="N17" s="49"/>
    </row>
    <row r="18" spans="1:14">
      <c r="A18" s="61" t="s">
        <v>81</v>
      </c>
      <c r="B18" s="62">
        <v>62.804900000000004</v>
      </c>
      <c r="C18" s="49"/>
      <c r="D18" s="84" t="s">
        <v>82</v>
      </c>
      <c r="E18" s="97">
        <f>E10-E9</f>
        <v>0.20860000000000234</v>
      </c>
      <c r="F18" s="98">
        <f>SQRT(H10^2+H9^2)</f>
        <v>2.5852917307955835E-4</v>
      </c>
      <c r="G18" s="99" t="s">
        <v>66</v>
      </c>
      <c r="H18" s="100">
        <f>F18*100/E18</f>
        <v>0.12393536580994988</v>
      </c>
      <c r="I18" s="88" t="s">
        <v>67</v>
      </c>
      <c r="J18" s="101"/>
      <c r="K18" s="63"/>
      <c r="L18" s="49"/>
      <c r="M18" s="49"/>
      <c r="N18" s="49"/>
    </row>
    <row r="19" spans="1:14" ht="15.75" thickBot="1">
      <c r="A19" s="61"/>
      <c r="B19" s="62">
        <v>62.804699999999997</v>
      </c>
      <c r="C19" s="60"/>
      <c r="D19" s="102" t="s">
        <v>83</v>
      </c>
      <c r="E19" s="103">
        <f>E11-E9</f>
        <v>50.290800000000004</v>
      </c>
      <c r="F19" s="104">
        <f>SQRT(H11^2+H9^2)</f>
        <v>3.185153057544219E-4</v>
      </c>
      <c r="G19" s="105" t="s">
        <v>66</v>
      </c>
      <c r="H19" s="103">
        <f>F19*100/E19</f>
        <v>6.3334706497892635E-4</v>
      </c>
      <c r="I19" s="106" t="s">
        <v>67</v>
      </c>
      <c r="J19" s="80"/>
      <c r="K19" s="49"/>
      <c r="L19" s="49"/>
      <c r="M19" s="49"/>
      <c r="N19" s="49"/>
    </row>
    <row r="20" spans="1:14">
      <c r="A20" s="61"/>
      <c r="B20" s="62">
        <v>62.804200000000002</v>
      </c>
      <c r="C20" s="60"/>
      <c r="D20" s="49"/>
      <c r="E20" s="95"/>
      <c r="F20" s="60"/>
      <c r="G20" s="49"/>
      <c r="H20" s="49"/>
      <c r="I20" s="49"/>
      <c r="J20" s="80"/>
      <c r="K20" s="49"/>
      <c r="L20" s="49"/>
      <c r="M20" s="49"/>
      <c r="N20" s="49"/>
    </row>
    <row r="21" spans="1:14">
      <c r="A21" s="61"/>
      <c r="B21" s="107"/>
      <c r="C21" s="60"/>
      <c r="D21" s="108"/>
      <c r="E21" s="109"/>
      <c r="F21" s="60"/>
      <c r="G21" s="60"/>
      <c r="H21" s="49"/>
      <c r="I21" s="49"/>
      <c r="J21" s="80"/>
      <c r="K21" s="110"/>
      <c r="L21" s="49"/>
      <c r="M21" s="49"/>
      <c r="N21" s="49"/>
    </row>
    <row r="22" spans="1:14">
      <c r="A22" s="61"/>
      <c r="B22" s="107"/>
      <c r="C22" s="49"/>
      <c r="D22" s="108"/>
      <c r="E22" s="111"/>
      <c r="F22" s="60"/>
      <c r="G22" s="60"/>
      <c r="H22" s="49"/>
      <c r="I22" s="49"/>
      <c r="J22" s="80"/>
      <c r="K22" s="49"/>
      <c r="L22" s="49"/>
      <c r="M22" s="49"/>
      <c r="N22" s="49"/>
    </row>
    <row r="23" spans="1:14">
      <c r="A23" s="61"/>
      <c r="B23" s="54"/>
      <c r="C23" s="49"/>
      <c r="D23" s="49"/>
      <c r="E23" s="49"/>
      <c r="F23" s="49"/>
      <c r="G23" s="49"/>
      <c r="H23" s="49"/>
      <c r="I23" s="49"/>
      <c r="J23" s="80"/>
      <c r="K23" s="49"/>
      <c r="L23" s="49"/>
      <c r="M23" s="49"/>
      <c r="N23" s="49"/>
    </row>
    <row r="24" spans="1:14">
      <c r="A24" s="112"/>
      <c r="B24" s="113"/>
      <c r="C24" s="114"/>
      <c r="D24" s="115"/>
      <c r="E24" s="116"/>
      <c r="F24" s="114"/>
      <c r="G24" s="114"/>
      <c r="H24" s="117"/>
      <c r="I24" s="114"/>
      <c r="J24" s="118"/>
      <c r="K24" s="49"/>
      <c r="L24" s="49"/>
      <c r="M24" s="49"/>
      <c r="N24" s="49"/>
    </row>
    <row r="25" spans="1:14">
      <c r="A25" s="49"/>
      <c r="B25" s="54"/>
      <c r="C25" s="49"/>
      <c r="D25" s="119"/>
      <c r="E25" s="110"/>
      <c r="F25" s="49"/>
      <c r="G25" s="49"/>
      <c r="H25" s="111"/>
      <c r="I25" s="49"/>
      <c r="J25" s="49"/>
      <c r="K25" s="49"/>
      <c r="L25" s="49"/>
      <c r="M25" s="49"/>
      <c r="N25" s="49"/>
    </row>
    <row r="26" spans="1:14">
      <c r="A26" s="63" t="s">
        <v>184</v>
      </c>
      <c r="B26" s="49"/>
      <c r="C26" s="49"/>
      <c r="D26" s="49"/>
      <c r="E26" s="49"/>
      <c r="F26" s="49"/>
      <c r="G26" s="49"/>
      <c r="H26" s="49"/>
      <c r="I26" s="49"/>
      <c r="J26" s="49"/>
      <c r="K26" s="49"/>
      <c r="L26" s="49"/>
      <c r="M26" s="49"/>
      <c r="N26" s="49"/>
    </row>
    <row r="27" spans="1:14">
      <c r="A27" s="61" t="s">
        <v>56</v>
      </c>
      <c r="B27" s="120">
        <v>12.723599999999999</v>
      </c>
      <c r="C27" s="49"/>
      <c r="D27" s="63" t="s">
        <v>57</v>
      </c>
      <c r="E27" s="60" t="s">
        <v>58</v>
      </c>
      <c r="F27" s="60" t="s">
        <v>59</v>
      </c>
      <c r="G27" s="60" t="s">
        <v>60</v>
      </c>
      <c r="H27" s="60" t="s">
        <v>61</v>
      </c>
      <c r="I27" s="49"/>
      <c r="J27" s="64" t="s">
        <v>62</v>
      </c>
      <c r="K27" s="49" t="s">
        <v>63</v>
      </c>
      <c r="L27" s="49" t="s">
        <v>64</v>
      </c>
      <c r="M27" s="49"/>
      <c r="N27" s="49"/>
    </row>
    <row r="28" spans="1:14" ht="18">
      <c r="A28" s="61"/>
      <c r="B28" s="120">
        <v>12.723599999999999</v>
      </c>
      <c r="C28" s="60"/>
      <c r="D28" s="49" t="s">
        <v>65</v>
      </c>
      <c r="E28" s="65">
        <f>AVERAGE(B27:B31)</f>
        <v>12.723666666666666</v>
      </c>
      <c r="F28" s="66">
        <f>STDEV(B27:B31)/SQRT(J28)</f>
        <v>6.6666666667103427E-5</v>
      </c>
      <c r="G28" s="67">
        <f>0.000016/SQRT(3)</f>
        <v>9.2376043070340125E-6</v>
      </c>
      <c r="H28" s="68">
        <f>SQRT(F28^2+G28^2)</f>
        <v>6.7303623809093766E-5</v>
      </c>
      <c r="I28" s="60" t="s">
        <v>66</v>
      </c>
      <c r="J28" s="69">
        <f>COUNT(B27:B31)</f>
        <v>3</v>
      </c>
      <c r="K28" s="70">
        <f>E31*(E29-E30)/(E30-E28)^2</f>
        <v>-59.685807254405276</v>
      </c>
      <c r="L28" s="70">
        <f>(K28*H28)^2</f>
        <v>1.6136860368616926E-5</v>
      </c>
      <c r="M28" s="71">
        <f>L28*100/L32</f>
        <v>2.8243190780259187E-3</v>
      </c>
      <c r="N28" s="72" t="s">
        <v>67</v>
      </c>
    </row>
    <row r="29" spans="1:14" ht="18">
      <c r="A29" s="61"/>
      <c r="B29" s="120">
        <v>12.723800000000001</v>
      </c>
      <c r="C29" s="60"/>
      <c r="D29" s="49" t="s">
        <v>68</v>
      </c>
      <c r="E29" s="73">
        <f>AVERAGE(B32:B36)</f>
        <v>13.7537</v>
      </c>
      <c r="F29" s="66">
        <f>STDEV(B32:B36)/SQRT(J29)</f>
        <v>0</v>
      </c>
      <c r="G29" s="67">
        <f>0.000016/SQRT(3)</f>
        <v>9.2376043070340125E-6</v>
      </c>
      <c r="H29" s="68">
        <f>SQRT(F29^2+G29^2)</f>
        <v>9.2376043070340125E-6</v>
      </c>
      <c r="I29" s="60" t="s">
        <v>66</v>
      </c>
      <c r="J29" s="69">
        <f>COUNT(B32:B36)</f>
        <v>3</v>
      </c>
      <c r="K29" s="70">
        <f>E31/(E30-E28)</f>
        <v>60.934916573308676</v>
      </c>
      <c r="L29" s="70">
        <f>(K29*H29)^2</f>
        <v>3.1684813293193289E-7</v>
      </c>
      <c r="M29" s="71">
        <f>L29*100/L32</f>
        <v>5.5455659046100411E-5</v>
      </c>
      <c r="N29" s="72" t="s">
        <v>67</v>
      </c>
    </row>
    <row r="30" spans="1:14" ht="18">
      <c r="A30" s="61"/>
      <c r="B30" s="120"/>
      <c r="C30" s="60"/>
      <c r="D30" s="49" t="s">
        <v>69</v>
      </c>
      <c r="E30" s="73">
        <f>AVERAGE(B37:B41)</f>
        <v>62.971466666666664</v>
      </c>
      <c r="F30" s="66">
        <f>STDEV(B37:B41)/SQRT(J30)</f>
        <v>0.33333333333333337</v>
      </c>
      <c r="G30" s="67">
        <f>0.00021/SQRT(3)</f>
        <v>1.2124355652982142E-4</v>
      </c>
      <c r="H30" s="68">
        <f>SQRT(F30^2+G30^2)</f>
        <v>0.33333335538333264</v>
      </c>
      <c r="I30" s="60" t="s">
        <v>66</v>
      </c>
      <c r="J30" s="69">
        <f>COUNT(B37:B41)</f>
        <v>3</v>
      </c>
      <c r="K30" s="70">
        <f>E31*(E28-E29)/(E30-E28)^2</f>
        <v>-1.2491093189033897</v>
      </c>
      <c r="L30" s="70">
        <f>(K30*H30)^2</f>
        <v>0.17336381077728363</v>
      </c>
      <c r="M30" s="71">
        <f>L30*100/L32</f>
        <v>30.342625952803211</v>
      </c>
      <c r="N30" s="72" t="s">
        <v>67</v>
      </c>
    </row>
    <row r="31" spans="1:14" ht="18">
      <c r="A31" s="61"/>
      <c r="B31" s="120"/>
      <c r="C31" s="60"/>
      <c r="D31" s="49" t="s">
        <v>70</v>
      </c>
      <c r="E31" s="74">
        <f>E16</f>
        <v>3061.8455009922995</v>
      </c>
      <c r="F31" s="75"/>
      <c r="G31" s="76"/>
      <c r="H31" s="74">
        <f>F16</f>
        <v>30.774640254602531</v>
      </c>
      <c r="I31" s="51" t="s">
        <v>141</v>
      </c>
      <c r="J31" s="77"/>
      <c r="K31" s="70">
        <f>(E29-E28)/(E30-E28)</f>
        <v>2.0499073259592139E-2</v>
      </c>
      <c r="L31" s="70">
        <f>(K31*H31)^2</f>
        <v>0.3979737476783049</v>
      </c>
      <c r="M31" s="71">
        <f>L31*100/L32</f>
        <v>69.654494272459715</v>
      </c>
      <c r="N31" s="72" t="s">
        <v>67</v>
      </c>
    </row>
    <row r="32" spans="1:14" ht="15.75" thickBot="1">
      <c r="A32" s="61" t="s">
        <v>71</v>
      </c>
      <c r="B32" s="120">
        <v>13.7537</v>
      </c>
      <c r="C32" s="49"/>
      <c r="D32" s="49"/>
      <c r="E32" s="78"/>
      <c r="F32" s="60"/>
      <c r="G32" s="75"/>
      <c r="H32" s="79"/>
      <c r="I32" s="79"/>
      <c r="J32" s="80"/>
      <c r="K32" s="72" t="s">
        <v>72</v>
      </c>
      <c r="L32" s="70">
        <f>SUM(L28:L31)</f>
        <v>0.5713540121640901</v>
      </c>
      <c r="M32" s="71"/>
      <c r="N32" s="72"/>
    </row>
    <row r="33" spans="1:14">
      <c r="A33" s="61"/>
      <c r="B33" s="120">
        <v>13.7537</v>
      </c>
      <c r="C33" s="60"/>
      <c r="D33" s="81" t="s">
        <v>73</v>
      </c>
      <c r="E33" s="82" t="s">
        <v>74</v>
      </c>
      <c r="F33" s="82" t="s">
        <v>75</v>
      </c>
      <c r="G33" s="82" t="s">
        <v>76</v>
      </c>
      <c r="H33" s="82" t="s">
        <v>77</v>
      </c>
      <c r="I33" s="83"/>
      <c r="J33" s="80"/>
      <c r="K33" s="49"/>
      <c r="L33" s="49"/>
      <c r="M33" s="49"/>
      <c r="N33" s="49"/>
    </row>
    <row r="34" spans="1:14" ht="18">
      <c r="A34" s="61"/>
      <c r="B34" s="120">
        <v>13.7537</v>
      </c>
      <c r="C34" s="60"/>
      <c r="D34" s="84" t="s">
        <v>78</v>
      </c>
      <c r="E34" s="85">
        <f>E31*(E29-E28)/(E30-E28)</f>
        <v>62.764995234393744</v>
      </c>
      <c r="F34" s="85">
        <f>SQRT(L32)</f>
        <v>0.75587962809172871</v>
      </c>
      <c r="G34" s="86" t="str">
        <f>I31</f>
        <v>ng/g</v>
      </c>
      <c r="H34" s="87">
        <f>F34*100/E34</f>
        <v>1.204301259434374</v>
      </c>
      <c r="I34" s="88" t="s">
        <v>67</v>
      </c>
      <c r="J34" s="80"/>
      <c r="K34" s="49"/>
      <c r="L34" s="49"/>
      <c r="M34" s="49"/>
      <c r="N34" s="49"/>
    </row>
    <row r="35" spans="1:14" ht="18">
      <c r="A35" s="61"/>
      <c r="B35" s="120"/>
      <c r="C35" s="60"/>
      <c r="D35" s="89" t="s">
        <v>79</v>
      </c>
      <c r="E35" s="90">
        <f>E34*1000</f>
        <v>62764.995234393748</v>
      </c>
      <c r="F35" s="90">
        <f>F34*1000</f>
        <v>755.8796280917287</v>
      </c>
      <c r="G35" s="91" t="s">
        <v>142</v>
      </c>
      <c r="H35" s="92">
        <f>F35*100/E35</f>
        <v>1.2043012594343738</v>
      </c>
      <c r="I35" s="93" t="s">
        <v>67</v>
      </c>
      <c r="J35" s="80"/>
      <c r="K35" s="49"/>
      <c r="L35" s="49"/>
      <c r="M35" s="49"/>
      <c r="N35" s="49"/>
    </row>
    <row r="36" spans="1:14">
      <c r="A36" s="61"/>
      <c r="B36" s="120"/>
      <c r="C36" s="60"/>
      <c r="D36" s="94"/>
      <c r="E36" s="60"/>
      <c r="F36" s="60"/>
      <c r="G36" s="60"/>
      <c r="H36" s="95"/>
      <c r="I36" s="96"/>
      <c r="J36" s="80"/>
      <c r="K36" s="49"/>
      <c r="L36" s="49"/>
      <c r="M36" s="49"/>
      <c r="N36" s="49"/>
    </row>
    <row r="37" spans="1:14">
      <c r="A37" s="61" t="s">
        <v>81</v>
      </c>
      <c r="B37" s="120">
        <v>62.3048</v>
      </c>
      <c r="C37" s="49"/>
      <c r="D37" s="84" t="s">
        <v>82</v>
      </c>
      <c r="E37" s="97">
        <f>E29-E28</f>
        <v>1.0300333333333338</v>
      </c>
      <c r="F37" s="98">
        <f>SQRT(H29^2+H28^2)</f>
        <v>6.7934609082332602E-5</v>
      </c>
      <c r="G37" s="99" t="s">
        <v>66</v>
      </c>
      <c r="H37" s="100">
        <f>F37*100/E37</f>
        <v>6.5953796720817359E-3</v>
      </c>
      <c r="I37" s="88" t="s">
        <v>67</v>
      </c>
      <c r="J37" s="101"/>
      <c r="K37" s="63"/>
      <c r="L37" s="49"/>
      <c r="M37" s="49"/>
      <c r="N37" s="49"/>
    </row>
    <row r="38" spans="1:14" ht="15.75" thickBot="1">
      <c r="A38" s="61"/>
      <c r="B38" s="120">
        <v>63.3048</v>
      </c>
      <c r="C38" s="60"/>
      <c r="D38" s="102" t="s">
        <v>83</v>
      </c>
      <c r="E38" s="103">
        <f>E30-E28</f>
        <v>50.247799999999998</v>
      </c>
      <c r="F38" s="104">
        <f>SQRT(H30^2+H28^2)</f>
        <v>0.3333333621779988</v>
      </c>
      <c r="G38" s="105" t="s">
        <v>66</v>
      </c>
      <c r="H38" s="103">
        <f>F38*100/E38</f>
        <v>0.66337901794307186</v>
      </c>
      <c r="I38" s="106" t="s">
        <v>67</v>
      </c>
      <c r="J38" s="80"/>
      <c r="K38" s="49"/>
      <c r="L38" s="49"/>
      <c r="M38" s="49"/>
      <c r="N38" s="49"/>
    </row>
    <row r="39" spans="1:14">
      <c r="A39" s="61"/>
      <c r="B39" s="120">
        <v>63.3048</v>
      </c>
      <c r="C39" s="60"/>
      <c r="D39" s="49"/>
      <c r="E39" s="95"/>
      <c r="F39" s="60"/>
      <c r="G39" s="49"/>
      <c r="H39" s="49"/>
      <c r="I39" s="49"/>
      <c r="J39" s="80"/>
      <c r="K39" s="49"/>
      <c r="L39" s="49"/>
      <c r="M39" s="49"/>
      <c r="N39" s="49"/>
    </row>
    <row r="40" spans="1:14">
      <c r="A40" s="61"/>
      <c r="B40" s="107"/>
      <c r="C40" s="60"/>
      <c r="D40" s="108"/>
      <c r="E40" s="109"/>
      <c r="F40" s="60"/>
      <c r="G40" s="60"/>
      <c r="H40" s="49"/>
      <c r="I40" s="49"/>
      <c r="J40" s="80"/>
      <c r="K40" s="110"/>
      <c r="L40" s="49"/>
      <c r="M40" s="49"/>
      <c r="N40" s="49"/>
    </row>
    <row r="41" spans="1:14">
      <c r="A41" s="61"/>
      <c r="B41" s="107"/>
      <c r="C41" s="49"/>
      <c r="D41" s="108"/>
      <c r="E41" s="111"/>
      <c r="F41" s="60"/>
      <c r="G41" s="60"/>
      <c r="H41" s="49"/>
      <c r="I41" s="49"/>
      <c r="J41" s="80"/>
      <c r="K41" s="49"/>
      <c r="L41" s="49"/>
      <c r="M41" s="49"/>
      <c r="N41" s="49"/>
    </row>
    <row r="42" spans="1:14">
      <c r="A42" s="61"/>
      <c r="B42" s="54"/>
      <c r="C42" s="49"/>
      <c r="D42" s="49"/>
      <c r="E42" s="49"/>
      <c r="F42" s="49"/>
      <c r="G42" s="49"/>
      <c r="H42" s="49"/>
      <c r="I42" s="49"/>
      <c r="J42" s="80"/>
      <c r="K42" s="49"/>
      <c r="L42" s="49"/>
      <c r="M42" s="49"/>
      <c r="N42" s="49"/>
    </row>
    <row r="43" spans="1:14">
      <c r="A43" s="112"/>
      <c r="B43" s="113"/>
      <c r="C43" s="114"/>
      <c r="D43" s="115"/>
      <c r="E43" s="116"/>
      <c r="F43" s="114"/>
      <c r="G43" s="114"/>
      <c r="H43" s="117"/>
      <c r="I43" s="114"/>
      <c r="J43" s="118"/>
      <c r="K43" s="49"/>
      <c r="L43" s="49"/>
      <c r="M43" s="49"/>
      <c r="N43" s="49"/>
    </row>
    <row r="46" spans="1:14">
      <c r="A46" s="63" t="s">
        <v>185</v>
      </c>
      <c r="B46" s="49"/>
      <c r="C46" s="49"/>
      <c r="D46" s="49"/>
      <c r="E46" s="49"/>
      <c r="F46" s="49"/>
      <c r="G46" s="49"/>
      <c r="H46" s="49"/>
      <c r="I46" s="49"/>
      <c r="J46" s="49"/>
      <c r="K46" s="49"/>
      <c r="L46" s="49"/>
      <c r="M46" s="49"/>
      <c r="N46" s="49"/>
    </row>
    <row r="47" spans="1:14">
      <c r="A47" s="61" t="s">
        <v>56</v>
      </c>
      <c r="B47" s="120">
        <v>12.552</v>
      </c>
      <c r="C47" s="49"/>
      <c r="D47" s="63" t="s">
        <v>57</v>
      </c>
      <c r="E47" s="60" t="s">
        <v>58</v>
      </c>
      <c r="F47" s="60" t="s">
        <v>59</v>
      </c>
      <c r="G47" s="60" t="s">
        <v>60</v>
      </c>
      <c r="H47" s="60" t="s">
        <v>61</v>
      </c>
      <c r="I47" s="49"/>
      <c r="J47" s="64" t="s">
        <v>62</v>
      </c>
      <c r="K47" s="49" t="s">
        <v>63</v>
      </c>
      <c r="L47" s="49" t="s">
        <v>64</v>
      </c>
      <c r="M47" s="49"/>
      <c r="N47" s="49"/>
    </row>
    <row r="48" spans="1:14" ht="18">
      <c r="A48" s="61"/>
      <c r="B48" s="120">
        <v>12.5518</v>
      </c>
      <c r="C48" s="60"/>
      <c r="D48" s="49" t="s">
        <v>65</v>
      </c>
      <c r="E48" s="65">
        <f>AVERAGE(B47:B51)</f>
        <v>12.552</v>
      </c>
      <c r="F48" s="66">
        <f>STDEV(B47:B51)/SQRT(J48)</f>
        <v>1.1547005383765604E-4</v>
      </c>
      <c r="G48" s="67">
        <f>0.000016/SQRT(3)</f>
        <v>9.2376043070340125E-6</v>
      </c>
      <c r="H48" s="68">
        <f>SQRT(F48^2+G48^2)</f>
        <v>1.1583896868759026E-4</v>
      </c>
      <c r="I48" s="60" t="s">
        <v>66</v>
      </c>
      <c r="J48" s="69">
        <f>COUNT(B47:B51)</f>
        <v>3</v>
      </c>
      <c r="K48" s="70">
        <f>E51*(E49-E50)/(E50-E48)^2</f>
        <v>-1.2375923440277714</v>
      </c>
      <c r="L48" s="70">
        <f>(K48*H48)^2</f>
        <v>2.0552496970306533E-8</v>
      </c>
      <c r="M48" s="71">
        <f>L48*100/L52</f>
        <v>5.3553497060728962E-2</v>
      </c>
      <c r="N48" s="72" t="s">
        <v>67</v>
      </c>
    </row>
    <row r="49" spans="1:14" ht="18">
      <c r="A49" s="61"/>
      <c r="B49" s="120">
        <v>12.552199999999999</v>
      </c>
      <c r="C49" s="60"/>
      <c r="D49" s="49" t="s">
        <v>68</v>
      </c>
      <c r="E49" s="73">
        <f>AVERAGE(B52:B56)</f>
        <v>12.964066666666668</v>
      </c>
      <c r="F49" s="66">
        <f>STDEV(B52:B56)/SQRT(J49)</f>
        <v>8.8191710368614148E-5</v>
      </c>
      <c r="G49" s="67">
        <f>0.000016/SQRT(3)</f>
        <v>9.2376043070340125E-6</v>
      </c>
      <c r="H49" s="68">
        <f>SQRT(F49^2+G49^2)</f>
        <v>8.8674185144690552E-5</v>
      </c>
      <c r="I49" s="60" t="s">
        <v>66</v>
      </c>
      <c r="J49" s="69">
        <f>COUNT(B52:B56)</f>
        <v>3</v>
      </c>
      <c r="K49" s="70">
        <f>E51/(E50-E48)</f>
        <v>1.2478146803586303</v>
      </c>
      <c r="L49" s="70">
        <f>(K49*H49)^2</f>
        <v>1.2243190134417106E-8</v>
      </c>
      <c r="M49" s="71">
        <f>L49*100/L52</f>
        <v>3.1901994576363793E-2</v>
      </c>
      <c r="N49" s="72" t="s">
        <v>67</v>
      </c>
    </row>
    <row r="50" spans="1:14" ht="18">
      <c r="A50" s="61"/>
      <c r="B50" s="120"/>
      <c r="C50" s="60"/>
      <c r="D50" s="49" t="s">
        <v>69</v>
      </c>
      <c r="E50" s="73">
        <f>AVERAGE(B57:B61)</f>
        <v>62.851933333333335</v>
      </c>
      <c r="F50" s="66">
        <f>STDEV(B57:B61)/SQRT(J50)</f>
        <v>1.3333333333539107E-4</v>
      </c>
      <c r="G50" s="67">
        <f>0.00021/SQRT(3)</f>
        <v>1.2124355652982142E-4</v>
      </c>
      <c r="H50" s="68">
        <f>SQRT(F50^2+G50^2)</f>
        <v>1.8021591988036603E-4</v>
      </c>
      <c r="I50" s="60" t="s">
        <v>66</v>
      </c>
      <c r="J50" s="69">
        <f>COUNT(B57:B61)</f>
        <v>3</v>
      </c>
      <c r="K50" s="70">
        <f>E51*(E48-E49)/(E50-E48)^2</f>
        <v>-1.022233633085891E-2</v>
      </c>
      <c r="L50" s="70">
        <f>(K50*H50)^2</f>
        <v>3.3938030651560265E-12</v>
      </c>
      <c r="M50" s="71">
        <f>L50*100/L52</f>
        <v>8.8432088196928926E-6</v>
      </c>
      <c r="N50" s="72" t="s">
        <v>67</v>
      </c>
    </row>
    <row r="51" spans="1:14" ht="18">
      <c r="A51" s="61"/>
      <c r="B51" s="120"/>
      <c r="C51" s="60"/>
      <c r="D51" s="49" t="s">
        <v>70</v>
      </c>
      <c r="E51" s="74">
        <f>E34</f>
        <v>62.764995234393744</v>
      </c>
      <c r="F51" s="75"/>
      <c r="G51" s="76"/>
      <c r="H51" s="74">
        <f>F34</f>
        <v>0.75587962809172871</v>
      </c>
      <c r="I51" s="51" t="s">
        <v>141</v>
      </c>
      <c r="J51" s="77"/>
      <c r="K51" s="70">
        <f>(E49-E48)/(E50-E48)</f>
        <v>8.1921911095972546E-3</v>
      </c>
      <c r="L51" s="70">
        <f>(K51*H51)^2</f>
        <v>3.8344707708238533E-5</v>
      </c>
      <c r="M51" s="71">
        <f>L51*100/L52</f>
        <v>99.914535665154091</v>
      </c>
      <c r="N51" s="72" t="s">
        <v>67</v>
      </c>
    </row>
    <row r="52" spans="1:14" ht="15.75" thickBot="1">
      <c r="A52" s="61" t="s">
        <v>71</v>
      </c>
      <c r="B52" s="62">
        <v>12.963900000000001</v>
      </c>
      <c r="C52" s="49"/>
      <c r="D52" s="49"/>
      <c r="E52" s="78"/>
      <c r="F52" s="60"/>
      <c r="G52" s="75"/>
      <c r="H52" s="79"/>
      <c r="I52" s="79"/>
      <c r="J52" s="80"/>
      <c r="K52" s="72" t="s">
        <v>72</v>
      </c>
      <c r="L52" s="70">
        <f>SUM(L48:L51)</f>
        <v>3.8377506789146322E-5</v>
      </c>
      <c r="M52" s="71"/>
      <c r="N52" s="72"/>
    </row>
    <row r="53" spans="1:14">
      <c r="A53" s="61"/>
      <c r="B53" s="62">
        <v>12.9641</v>
      </c>
      <c r="C53" s="60"/>
      <c r="D53" s="81" t="s">
        <v>73</v>
      </c>
      <c r="E53" s="82" t="s">
        <v>74</v>
      </c>
      <c r="F53" s="82" t="s">
        <v>75</v>
      </c>
      <c r="G53" s="82" t="s">
        <v>76</v>
      </c>
      <c r="H53" s="82" t="s">
        <v>77</v>
      </c>
      <c r="I53" s="83"/>
      <c r="J53" s="80"/>
      <c r="K53" s="49"/>
      <c r="L53" s="49"/>
      <c r="M53" s="49"/>
      <c r="N53" s="49"/>
    </row>
    <row r="54" spans="1:14" ht="18">
      <c r="A54" s="61"/>
      <c r="B54" s="62">
        <v>12.9642</v>
      </c>
      <c r="C54" s="60"/>
      <c r="D54" s="84" t="s">
        <v>78</v>
      </c>
      <c r="E54" s="85">
        <f>E51*(E49-E48)/(E50-E48)</f>
        <v>0.51418283595311443</v>
      </c>
      <c r="F54" s="85">
        <f>SQRT(L52)</f>
        <v>6.1949581749311533E-3</v>
      </c>
      <c r="G54" s="86" t="str">
        <f>I51</f>
        <v>ng/g</v>
      </c>
      <c r="H54" s="87">
        <f>F54*100/E54</f>
        <v>1.2048162135649425</v>
      </c>
      <c r="I54" s="88" t="s">
        <v>67</v>
      </c>
      <c r="J54" s="80"/>
      <c r="K54" s="49"/>
      <c r="L54" s="49"/>
      <c r="M54" s="49"/>
      <c r="N54" s="49"/>
    </row>
    <row r="55" spans="1:14" ht="18">
      <c r="A55" s="61"/>
      <c r="B55" s="62"/>
      <c r="C55" s="60"/>
      <c r="D55" s="89" t="s">
        <v>79</v>
      </c>
      <c r="E55" s="90">
        <f>E54*1000</f>
        <v>514.18283595311448</v>
      </c>
      <c r="F55" s="90">
        <f>F54*1000</f>
        <v>6.1949581749311537</v>
      </c>
      <c r="G55" s="91" t="s">
        <v>142</v>
      </c>
      <c r="H55" s="92">
        <f>F55*100/E55</f>
        <v>1.2048162135649425</v>
      </c>
      <c r="I55" s="93" t="s">
        <v>67</v>
      </c>
      <c r="J55" s="80"/>
      <c r="K55" s="49"/>
      <c r="L55" s="49"/>
      <c r="M55" s="49"/>
      <c r="N55" s="49"/>
    </row>
    <row r="56" spans="1:14">
      <c r="A56" s="61"/>
      <c r="B56" s="62"/>
      <c r="C56" s="60"/>
      <c r="D56" s="94"/>
      <c r="E56" s="60"/>
      <c r="F56" s="60"/>
      <c r="G56" s="60"/>
      <c r="H56" s="95"/>
      <c r="I56" s="96"/>
      <c r="J56" s="80"/>
      <c r="K56" s="49"/>
      <c r="L56" s="49"/>
      <c r="M56" s="49"/>
      <c r="N56" s="49"/>
    </row>
    <row r="57" spans="1:14">
      <c r="A57" s="61" t="s">
        <v>81</v>
      </c>
      <c r="B57" s="62">
        <v>62.852200000000003</v>
      </c>
      <c r="C57" s="49"/>
      <c r="D57" s="84" t="s">
        <v>82</v>
      </c>
      <c r="E57" s="97">
        <f>E49-E48</f>
        <v>0.41206666666666791</v>
      </c>
      <c r="F57" s="98">
        <f>SQRT(H49^2+H48^2)</f>
        <v>1.4588275353063287E-4</v>
      </c>
      <c r="G57" s="99" t="s">
        <v>66</v>
      </c>
      <c r="H57" s="100">
        <f>F57*100/E57</f>
        <v>3.5402706729647085E-2</v>
      </c>
      <c r="I57" s="88" t="s">
        <v>67</v>
      </c>
      <c r="J57" s="101"/>
      <c r="K57" s="63"/>
      <c r="L57" s="49"/>
      <c r="M57" s="49"/>
      <c r="N57" s="49"/>
    </row>
    <row r="58" spans="1:14" ht="15.75" thickBot="1">
      <c r="A58" s="61"/>
      <c r="B58" s="62">
        <v>62.851799999999997</v>
      </c>
      <c r="C58" s="60"/>
      <c r="D58" s="102" t="s">
        <v>83</v>
      </c>
      <c r="E58" s="103">
        <f>E50-E48</f>
        <v>50.299933333333335</v>
      </c>
      <c r="F58" s="104">
        <f>SQRT(H50^2+H48^2)</f>
        <v>2.142345547406651E-4</v>
      </c>
      <c r="G58" s="105" t="s">
        <v>66</v>
      </c>
      <c r="H58" s="103">
        <f>F58*100/E58</f>
        <v>4.2591419221363797E-4</v>
      </c>
      <c r="I58" s="106" t="s">
        <v>67</v>
      </c>
      <c r="J58" s="80"/>
      <c r="K58" s="49"/>
      <c r="L58" s="49"/>
      <c r="M58" s="49"/>
      <c r="N58" s="49"/>
    </row>
    <row r="59" spans="1:14">
      <c r="A59" s="61"/>
      <c r="B59" s="62">
        <v>62.851799999999997</v>
      </c>
      <c r="C59" s="60"/>
      <c r="D59" s="49"/>
      <c r="E59" s="95"/>
      <c r="F59" s="60"/>
      <c r="G59" s="49"/>
      <c r="H59" s="49"/>
      <c r="I59" s="49"/>
      <c r="J59" s="80"/>
      <c r="K59" s="49"/>
      <c r="L59" s="49"/>
      <c r="M59" s="49"/>
      <c r="N59" s="49"/>
    </row>
    <row r="60" spans="1:14">
      <c r="A60" s="61"/>
      <c r="B60" s="107"/>
      <c r="C60" s="60"/>
      <c r="D60" s="108"/>
      <c r="E60" s="109"/>
      <c r="F60" s="60"/>
      <c r="G60" s="60"/>
      <c r="H60" s="49"/>
      <c r="I60" s="49"/>
      <c r="J60" s="80"/>
      <c r="K60" s="110"/>
      <c r="L60" s="49"/>
      <c r="M60" s="49"/>
      <c r="N60" s="49"/>
    </row>
    <row r="61" spans="1:14">
      <c r="A61" s="61"/>
      <c r="B61" s="107"/>
      <c r="C61" s="49"/>
      <c r="D61" s="108"/>
      <c r="E61" s="111"/>
      <c r="F61" s="60"/>
      <c r="G61" s="60"/>
      <c r="H61" s="49"/>
      <c r="I61" s="49"/>
      <c r="J61" s="80"/>
      <c r="K61" s="49"/>
      <c r="L61" s="49"/>
      <c r="M61" s="49"/>
      <c r="N61" s="49"/>
    </row>
    <row r="62" spans="1:14">
      <c r="A62" s="61"/>
      <c r="B62" s="54"/>
      <c r="C62" s="49"/>
      <c r="D62" s="49"/>
      <c r="E62" s="49"/>
      <c r="F62" s="49"/>
      <c r="G62" s="49"/>
      <c r="H62" s="49"/>
      <c r="I62" s="49"/>
      <c r="J62" s="80"/>
      <c r="K62" s="49"/>
      <c r="L62" s="49"/>
      <c r="M62" s="49"/>
      <c r="N62" s="49"/>
    </row>
    <row r="63" spans="1:14">
      <c r="A63" s="112"/>
      <c r="B63" s="113"/>
      <c r="C63" s="114"/>
      <c r="D63" s="115"/>
      <c r="E63" s="116"/>
      <c r="F63" s="114"/>
      <c r="G63" s="114"/>
      <c r="H63" s="117"/>
      <c r="I63" s="114"/>
      <c r="J63" s="118"/>
      <c r="K63" s="49"/>
      <c r="L63" s="49"/>
      <c r="M63" s="49"/>
      <c r="N63" s="49"/>
    </row>
  </sheetData>
  <pageMargins left="0.7" right="0.7" top="0.75" bottom="0.75" header="0.3" footer="0.3"/>
  <pageSetup paperSize="9" orientation="landscape" r:id="rId1"/>
  <drawing r:id="rId2"/>
  <legacyDrawing r:id="rId3"/>
  <oleObjects>
    <mc:AlternateContent xmlns:mc="http://schemas.openxmlformats.org/markup-compatibility/2006">
      <mc:Choice Requires="x14">
        <oleObject progId="Equation.3" shapeId="3088" r:id="rId4">
          <objectPr defaultSize="0" autoPict="0" r:id="rId5">
            <anchor moveWithCells="1">
              <from>
                <xdr:col>3</xdr:col>
                <xdr:colOff>428625</xdr:colOff>
                <xdr:row>19</xdr:row>
                <xdr:rowOff>76200</xdr:rowOff>
              </from>
              <to>
                <xdr:col>7</xdr:col>
                <xdr:colOff>0</xdr:colOff>
                <xdr:row>23</xdr:row>
                <xdr:rowOff>123825</xdr:rowOff>
              </to>
            </anchor>
          </objectPr>
        </oleObject>
      </mc:Choice>
      <mc:Fallback>
        <oleObject progId="Equation.3" shapeId="3088" r:id="rId4"/>
      </mc:Fallback>
    </mc:AlternateContent>
    <mc:AlternateContent xmlns:mc="http://schemas.openxmlformats.org/markup-compatibility/2006">
      <mc:Choice Requires="x14">
        <oleObject progId="Equation.3" shapeId="3089" r:id="rId6">
          <objectPr defaultSize="0" autoPict="0" r:id="rId5">
            <anchor moveWithCells="1">
              <from>
                <xdr:col>3</xdr:col>
                <xdr:colOff>428625</xdr:colOff>
                <xdr:row>38</xdr:row>
                <xdr:rowOff>76200</xdr:rowOff>
              </from>
              <to>
                <xdr:col>7</xdr:col>
                <xdr:colOff>0</xdr:colOff>
                <xdr:row>42</xdr:row>
                <xdr:rowOff>123825</xdr:rowOff>
              </to>
            </anchor>
          </objectPr>
        </oleObject>
      </mc:Choice>
      <mc:Fallback>
        <oleObject progId="Equation.3" shapeId="3089" r:id="rId6"/>
      </mc:Fallback>
    </mc:AlternateContent>
    <mc:AlternateContent xmlns:mc="http://schemas.openxmlformats.org/markup-compatibility/2006">
      <mc:Choice Requires="x14">
        <oleObject progId="Equation.3" shapeId="3099" r:id="rId7">
          <objectPr defaultSize="0" autoPict="0" r:id="rId5">
            <anchor moveWithCells="1">
              <from>
                <xdr:col>3</xdr:col>
                <xdr:colOff>428625</xdr:colOff>
                <xdr:row>58</xdr:row>
                <xdr:rowOff>76200</xdr:rowOff>
              </from>
              <to>
                <xdr:col>6</xdr:col>
                <xdr:colOff>828675</xdr:colOff>
                <xdr:row>62</xdr:row>
                <xdr:rowOff>123825</xdr:rowOff>
              </to>
            </anchor>
          </objectPr>
        </oleObject>
      </mc:Choice>
      <mc:Fallback>
        <oleObject progId="Equation.3" shapeId="3099" r:id="rId7"/>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Overview</vt:lpstr>
      <vt:lpstr>Calculation template</vt:lpstr>
      <vt:lpstr>Peripump MassFlow</vt:lpstr>
      <vt:lpstr>FlexCal-H value and u </vt:lpstr>
      <vt:lpstr>Aw(Hg_e)</vt:lpstr>
      <vt:lpstr>Mass fraction 199Hg</vt:lpstr>
      <vt:lpstr>'Calculation template'!mercury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Panayot Petrov</dc:creator>
  <cp:lastModifiedBy>Philip Dunn</cp:lastModifiedBy>
  <cp:lastPrinted>2023-04-25T10:46:14Z</cp:lastPrinted>
  <dcterms:created xsi:type="dcterms:W3CDTF">2022-01-20T11:40:21Z</dcterms:created>
  <dcterms:modified xsi:type="dcterms:W3CDTF">2024-12-17T11:36:03Z</dcterms:modified>
</cp:coreProperties>
</file>