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om\NMSU Advanced Dropbox\Thomas Manz\research\papers_in_preparation\new_potentials\revised_manuscript\figures\C6F6_stretch\"/>
    </mc:Choice>
  </mc:AlternateContent>
  <xr:revisionPtr revIDLastSave="0" documentId="13_ncr:1_{E74BCAB9-0ECC-4D45-A6D2-71884DBCB335}" xr6:coauthVersionLast="47" xr6:coauthVersionMax="47" xr10:uidLastSave="{00000000-0000-0000-0000-000000000000}"/>
  <bookViews>
    <workbookView xWindow="30030" yWindow="825" windowWidth="27360" windowHeight="14340" xr2:uid="{00000000-000D-0000-FFFF-FFFF00000000}"/>
  </bookViews>
  <sheets>
    <sheet name="Chart1" sheetId="2" r:id="rId1"/>
    <sheet name="sheet1" sheetId="1" r:id="rId2"/>
    <sheet name="with_charges" sheetId="4" r:id="rId3"/>
    <sheet name="with_charges_and_LJ" sheetId="5" r:id="rId4"/>
    <sheet name="LJ_parameters" sheetId="3" r:id="rId5"/>
  </sheets>
  <definedNames>
    <definedName name="solver_adj" localSheetId="1" hidden="1">sheet1!$AB$2,sheet1!$AD$3</definedName>
    <definedName name="solver_adj" localSheetId="2" hidden="1">with_charges!$AN$51</definedName>
    <definedName name="solver_adj" localSheetId="3" hidden="1">with_charges_and_LJ!$AW$51</definedName>
    <definedName name="solver_cvg" localSheetId="1" hidden="1">0.00001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1" hidden="1">sheet1!$AC$11</definedName>
    <definedName name="solver_opt" localSheetId="2" hidden="1">with_charges!$AO$61</definedName>
    <definedName name="solver_opt" localSheetId="3" hidden="1">with_charges_and_LJ!$AX$61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1" hidden="1">3</definedName>
    <definedName name="solver_ver" localSheetId="2" hidden="1">3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59" i="5" l="1"/>
  <c r="AP59" i="5" s="1"/>
  <c r="AO58" i="5"/>
  <c r="AP58" i="5" s="1"/>
  <c r="AO57" i="5"/>
  <c r="AP57" i="5" s="1"/>
  <c r="AO56" i="5"/>
  <c r="AP56" i="5" s="1"/>
  <c r="AO55" i="5"/>
  <c r="AP55" i="5" s="1"/>
  <c r="AO42" i="5"/>
  <c r="AP42" i="5" s="1"/>
  <c r="AO41" i="5"/>
  <c r="AP41" i="5" s="1"/>
  <c r="AO40" i="5"/>
  <c r="AP40" i="5" s="1"/>
  <c r="AO39" i="5"/>
  <c r="AP39" i="5" s="1"/>
  <c r="AO38" i="5"/>
  <c r="AP38" i="5" s="1"/>
  <c r="AO26" i="5"/>
  <c r="AO25" i="5"/>
  <c r="AO24" i="5"/>
  <c r="AO23" i="5"/>
  <c r="AO22" i="5"/>
  <c r="AO10" i="5"/>
  <c r="AO9" i="5"/>
  <c r="AO8" i="5"/>
  <c r="AO7" i="5"/>
  <c r="AO6" i="5"/>
  <c r="S59" i="5"/>
  <c r="T59" i="5" s="1"/>
  <c r="S58" i="5"/>
  <c r="T58" i="5" s="1"/>
  <c r="S57" i="5"/>
  <c r="T57" i="5" s="1"/>
  <c r="S56" i="5"/>
  <c r="T56" i="5" s="1"/>
  <c r="S55" i="5"/>
  <c r="T55" i="5" s="1"/>
  <c r="S42" i="5"/>
  <c r="T42" i="5" s="1"/>
  <c r="S41" i="5"/>
  <c r="T41" i="5" s="1"/>
  <c r="S40" i="5"/>
  <c r="T40" i="5" s="1"/>
  <c r="S39" i="5"/>
  <c r="T39" i="5" s="1"/>
  <c r="S38" i="5"/>
  <c r="T38" i="5" s="1"/>
  <c r="S26" i="5"/>
  <c r="S25" i="5"/>
  <c r="S24" i="5"/>
  <c r="S23" i="5"/>
  <c r="S22" i="5"/>
  <c r="S10" i="5"/>
  <c r="S9" i="5"/>
  <c r="S8" i="5"/>
  <c r="S7" i="5"/>
  <c r="S6" i="5"/>
  <c r="E6" i="3"/>
  <c r="C6" i="3"/>
  <c r="F5" i="3"/>
  <c r="F4" i="3"/>
  <c r="AW59" i="5"/>
  <c r="AX59" i="5" s="1"/>
  <c r="AS59" i="5"/>
  <c r="AT59" i="5" s="1"/>
  <c r="AA59" i="5"/>
  <c r="W59" i="5"/>
  <c r="X59" i="5" s="1"/>
  <c r="AW58" i="5"/>
  <c r="AX58" i="5" s="1"/>
  <c r="AS58" i="5"/>
  <c r="AA58" i="5"/>
  <c r="W58" i="5"/>
  <c r="AW57" i="5"/>
  <c r="AX57" i="5" s="1"/>
  <c r="AS57" i="5"/>
  <c r="AT57" i="5" s="1"/>
  <c r="AA57" i="5"/>
  <c r="AB57" i="5" s="1"/>
  <c r="W57" i="5"/>
  <c r="X57" i="5" s="1"/>
  <c r="AW56" i="5"/>
  <c r="AX56" i="5" s="1"/>
  <c r="AS56" i="5"/>
  <c r="AA56" i="5"/>
  <c r="AB56" i="5" s="1"/>
  <c r="W56" i="5"/>
  <c r="X56" i="5" s="1"/>
  <c r="AW55" i="5"/>
  <c r="AS55" i="5"/>
  <c r="AT55" i="5" s="1"/>
  <c r="AA55" i="5"/>
  <c r="AB55" i="5" s="1"/>
  <c r="W55" i="5"/>
  <c r="X55" i="5" s="1"/>
  <c r="AW42" i="5"/>
  <c r="AX42" i="5" s="1"/>
  <c r="AS42" i="5"/>
  <c r="AT42" i="5" s="1"/>
  <c r="AA42" i="5"/>
  <c r="AB42" i="5" s="1"/>
  <c r="W42" i="5"/>
  <c r="X42" i="5" s="1"/>
  <c r="AW41" i="5"/>
  <c r="AX41" i="5" s="1"/>
  <c r="AS41" i="5"/>
  <c r="AT41" i="5" s="1"/>
  <c r="AA41" i="5"/>
  <c r="AB41" i="5" s="1"/>
  <c r="W41" i="5"/>
  <c r="X41" i="5" s="1"/>
  <c r="AW40" i="5"/>
  <c r="AX40" i="5" s="1"/>
  <c r="AS40" i="5"/>
  <c r="AT40" i="5" s="1"/>
  <c r="AA40" i="5"/>
  <c r="AB40" i="5" s="1"/>
  <c r="W40" i="5"/>
  <c r="X40" i="5" s="1"/>
  <c r="AW39" i="5"/>
  <c r="AX39" i="5" s="1"/>
  <c r="AS39" i="5"/>
  <c r="AT39" i="5" s="1"/>
  <c r="AA39" i="5"/>
  <c r="AB39" i="5" s="1"/>
  <c r="W39" i="5"/>
  <c r="X39" i="5" s="1"/>
  <c r="AW38" i="5"/>
  <c r="AX38" i="5" s="1"/>
  <c r="AS38" i="5"/>
  <c r="AT38" i="5" s="1"/>
  <c r="AA38" i="5"/>
  <c r="AB38" i="5" s="1"/>
  <c r="W38" i="5"/>
  <c r="X38" i="5" s="1"/>
  <c r="AW26" i="5"/>
  <c r="AS26" i="5"/>
  <c r="AA26" i="5"/>
  <c r="W26" i="5"/>
  <c r="H26" i="5"/>
  <c r="G26" i="5"/>
  <c r="F26" i="5"/>
  <c r="E26" i="5"/>
  <c r="D26" i="5"/>
  <c r="AW25" i="5"/>
  <c r="AS25" i="5"/>
  <c r="AA25" i="5"/>
  <c r="W25" i="5"/>
  <c r="H25" i="5"/>
  <c r="G25" i="5"/>
  <c r="F25" i="5"/>
  <c r="E25" i="5"/>
  <c r="D25" i="5"/>
  <c r="AW24" i="5"/>
  <c r="AS24" i="5"/>
  <c r="AA24" i="5"/>
  <c r="W24" i="5"/>
  <c r="H24" i="5"/>
  <c r="G24" i="5"/>
  <c r="F24" i="5"/>
  <c r="E24" i="5"/>
  <c r="D24" i="5"/>
  <c r="AW23" i="5"/>
  <c r="AS23" i="5"/>
  <c r="AA23" i="5"/>
  <c r="W23" i="5"/>
  <c r="H23" i="5"/>
  <c r="G23" i="5"/>
  <c r="F23" i="5"/>
  <c r="E23" i="5"/>
  <c r="D23" i="5"/>
  <c r="AW22" i="5"/>
  <c r="AS22" i="5"/>
  <c r="AA22" i="5"/>
  <c r="W22" i="5"/>
  <c r="H22" i="5"/>
  <c r="G22" i="5"/>
  <c r="F22" i="5"/>
  <c r="E22" i="5"/>
  <c r="D22" i="5"/>
  <c r="AW10" i="5"/>
  <c r="AS10" i="5"/>
  <c r="AE10" i="5"/>
  <c r="AF10" i="5" s="1"/>
  <c r="AA10" i="5"/>
  <c r="W10" i="5"/>
  <c r="J10" i="5"/>
  <c r="K10" i="5" s="1"/>
  <c r="AW9" i="5"/>
  <c r="AS9" i="5"/>
  <c r="AE9" i="5"/>
  <c r="AF9" i="5" s="1"/>
  <c r="AA9" i="5"/>
  <c r="W9" i="5"/>
  <c r="J9" i="5"/>
  <c r="K9" i="5" s="1"/>
  <c r="AW8" i="5"/>
  <c r="AS8" i="5"/>
  <c r="AE8" i="5"/>
  <c r="AF8" i="5" s="1"/>
  <c r="AA8" i="5"/>
  <c r="W8" i="5"/>
  <c r="J8" i="5"/>
  <c r="K8" i="5" s="1"/>
  <c r="AW7" i="5"/>
  <c r="AS7" i="5"/>
  <c r="AE7" i="5"/>
  <c r="AF7" i="5" s="1"/>
  <c r="AA7" i="5"/>
  <c r="W7" i="5"/>
  <c r="J7" i="5"/>
  <c r="K7" i="5" s="1"/>
  <c r="AW6" i="5"/>
  <c r="AS6" i="5"/>
  <c r="AE6" i="5"/>
  <c r="AF6" i="5" s="1"/>
  <c r="AA6" i="5"/>
  <c r="W6" i="5"/>
  <c r="J6" i="5"/>
  <c r="K6" i="5" s="1"/>
  <c r="AX55" i="5" l="1"/>
  <c r="AX61" i="5" s="1"/>
  <c r="AX62" i="5" s="1"/>
  <c r="AT56" i="5"/>
  <c r="AT58" i="5"/>
  <c r="AP61" i="5"/>
  <c r="AP62" i="5" s="1"/>
  <c r="X58" i="5"/>
  <c r="X61" i="5" s="1"/>
  <c r="X62" i="5" s="1"/>
  <c r="AB59" i="5"/>
  <c r="AB58" i="5"/>
  <c r="AE22" i="5"/>
  <c r="AF22" i="5" s="1"/>
  <c r="AH22" i="5" s="1"/>
  <c r="AP44" i="5"/>
  <c r="AP45" i="5" s="1"/>
  <c r="AX44" i="5"/>
  <c r="AX45" i="5" s="1"/>
  <c r="X44" i="5"/>
  <c r="X45" i="5" s="1"/>
  <c r="AB44" i="5"/>
  <c r="AB45" i="5" s="1"/>
  <c r="T61" i="5"/>
  <c r="T62" i="5" s="1"/>
  <c r="AE26" i="5"/>
  <c r="AF26" i="5" s="1"/>
  <c r="AH26" i="5" s="1"/>
  <c r="AE25" i="5"/>
  <c r="AF25" i="5" s="1"/>
  <c r="AH25" i="5" s="1"/>
  <c r="J24" i="5"/>
  <c r="K24" i="5" s="1"/>
  <c r="M24" i="5" s="1"/>
  <c r="F6" i="3"/>
  <c r="J23" i="5"/>
  <c r="K23" i="5" s="1"/>
  <c r="M23" i="5" s="1"/>
  <c r="AE23" i="5"/>
  <c r="AF23" i="5" s="1"/>
  <c r="AG23" i="5" s="1"/>
  <c r="J25" i="5"/>
  <c r="K25" i="5" s="1"/>
  <c r="M25" i="5" s="1"/>
  <c r="AE24" i="5"/>
  <c r="AF24" i="5" s="1"/>
  <c r="AH24" i="5" s="1"/>
  <c r="J26" i="5"/>
  <c r="K26" i="5" s="1"/>
  <c r="M26" i="5" s="1"/>
  <c r="J22" i="5"/>
  <c r="K22" i="5" s="1"/>
  <c r="M22" i="5" s="1"/>
  <c r="AT44" i="5"/>
  <c r="AT45" i="5" s="1"/>
  <c r="AH10" i="5"/>
  <c r="AG10" i="5"/>
  <c r="AH9" i="5"/>
  <c r="AG9" i="5"/>
  <c r="M7" i="5"/>
  <c r="L7" i="5"/>
  <c r="AH8" i="5"/>
  <c r="AG8" i="5"/>
  <c r="M6" i="5"/>
  <c r="L6" i="5"/>
  <c r="M10" i="5"/>
  <c r="L10" i="5"/>
  <c r="AH7" i="5"/>
  <c r="AG7" i="5"/>
  <c r="M9" i="5"/>
  <c r="L9" i="5"/>
  <c r="AH6" i="5"/>
  <c r="AG6" i="5"/>
  <c r="M8" i="5"/>
  <c r="L8" i="5"/>
  <c r="AT61" i="5"/>
  <c r="AT62" i="5" s="1"/>
  <c r="AG22" i="5"/>
  <c r="AN56" i="4"/>
  <c r="AN57" i="4"/>
  <c r="AO57" i="4" s="1"/>
  <c r="AN58" i="4"/>
  <c r="AO58" i="4" s="1"/>
  <c r="AN59" i="4"/>
  <c r="AO59" i="4" s="1"/>
  <c r="AN55" i="4"/>
  <c r="AO55" i="4" s="1"/>
  <c r="AJ56" i="4"/>
  <c r="AJ57" i="4"/>
  <c r="AK57" i="4" s="1"/>
  <c r="AJ58" i="4"/>
  <c r="AK58" i="4" s="1"/>
  <c r="AJ59" i="4"/>
  <c r="AK59" i="4" s="1"/>
  <c r="AJ55" i="4"/>
  <c r="W56" i="4"/>
  <c r="X56" i="4" s="1"/>
  <c r="W57" i="4"/>
  <c r="W58" i="4"/>
  <c r="W59" i="4"/>
  <c r="X59" i="4" s="1"/>
  <c r="W55" i="4"/>
  <c r="X55" i="4" s="1"/>
  <c r="S56" i="4"/>
  <c r="S57" i="4"/>
  <c r="S58" i="4"/>
  <c r="S59" i="4"/>
  <c r="T59" i="4" s="1"/>
  <c r="S55" i="4"/>
  <c r="T55" i="4" s="1"/>
  <c r="AN39" i="4"/>
  <c r="AO39" i="4" s="1"/>
  <c r="AN40" i="4"/>
  <c r="AN41" i="4"/>
  <c r="AO41" i="4" s="1"/>
  <c r="AN42" i="4"/>
  <c r="AO42" i="4" s="1"/>
  <c r="AN38" i="4"/>
  <c r="AJ39" i="4"/>
  <c r="AJ40" i="4"/>
  <c r="AJ41" i="4"/>
  <c r="AJ42" i="4"/>
  <c r="AK42" i="4" s="1"/>
  <c r="AJ38" i="4"/>
  <c r="AK38" i="4" s="1"/>
  <c r="W38" i="4"/>
  <c r="X38" i="4" s="1"/>
  <c r="W39" i="4"/>
  <c r="X39" i="4" s="1"/>
  <c r="W40" i="4"/>
  <c r="X40" i="4" s="1"/>
  <c r="W41" i="4"/>
  <c r="X41" i="4" s="1"/>
  <c r="W42" i="4"/>
  <c r="X42" i="4" s="1"/>
  <c r="S39" i="4"/>
  <c r="S40" i="4"/>
  <c r="S41" i="4"/>
  <c r="S42" i="4"/>
  <c r="T42" i="4" s="1"/>
  <c r="S38" i="4"/>
  <c r="T38" i="4" s="1"/>
  <c r="L24" i="5" l="1"/>
  <c r="AB61" i="5"/>
  <c r="AB62" i="5" s="1"/>
  <c r="T44" i="5"/>
  <c r="T45" i="5" s="1"/>
  <c r="AH23" i="5"/>
  <c r="AG25" i="5"/>
  <c r="AG26" i="5"/>
  <c r="L23" i="5"/>
  <c r="L25" i="5"/>
  <c r="L22" i="5"/>
  <c r="L26" i="5"/>
  <c r="AG24" i="5"/>
  <c r="AK55" i="4"/>
  <c r="AK56" i="4"/>
  <c r="AO56" i="4"/>
  <c r="AO61" i="4" s="1"/>
  <c r="AO62" i="4" s="1"/>
  <c r="T57" i="4"/>
  <c r="T56" i="4"/>
  <c r="X57" i="4"/>
  <c r="T58" i="4"/>
  <c r="X58" i="4"/>
  <c r="X61" i="4" s="1"/>
  <c r="X62" i="4" s="1"/>
  <c r="T40" i="4"/>
  <c r="T39" i="4"/>
  <c r="T41" i="4"/>
  <c r="AK39" i="4"/>
  <c r="AO40" i="4"/>
  <c r="AK40" i="4"/>
  <c r="AK41" i="4"/>
  <c r="AO38" i="4"/>
  <c r="AO44" i="4" s="1"/>
  <c r="AO45" i="4" s="1"/>
  <c r="X44" i="4"/>
  <c r="X45" i="4" s="1"/>
  <c r="AN26" i="4"/>
  <c r="AJ26" i="4"/>
  <c r="AN25" i="4"/>
  <c r="AJ25" i="4"/>
  <c r="AN24" i="4"/>
  <c r="AJ24" i="4"/>
  <c r="AN23" i="4"/>
  <c r="AJ23" i="4"/>
  <c r="AN22" i="4"/>
  <c r="AJ22" i="4"/>
  <c r="W23" i="4"/>
  <c r="W24" i="4"/>
  <c r="W25" i="4"/>
  <c r="W26" i="4"/>
  <c r="W22" i="4"/>
  <c r="S23" i="4"/>
  <c r="S24" i="4"/>
  <c r="S25" i="4"/>
  <c r="S26" i="4"/>
  <c r="S22" i="4"/>
  <c r="D23" i="4"/>
  <c r="E23" i="4"/>
  <c r="F23" i="4"/>
  <c r="G23" i="4"/>
  <c r="H23" i="4"/>
  <c r="D24" i="4"/>
  <c r="E24" i="4"/>
  <c r="F24" i="4"/>
  <c r="G24" i="4"/>
  <c r="H24" i="4"/>
  <c r="D25" i="4"/>
  <c r="E25" i="4"/>
  <c r="F25" i="4"/>
  <c r="G25" i="4"/>
  <c r="H25" i="4"/>
  <c r="D26" i="4"/>
  <c r="E26" i="4"/>
  <c r="F26" i="4"/>
  <c r="G26" i="4"/>
  <c r="H26" i="4"/>
  <c r="E22" i="4"/>
  <c r="F22" i="4"/>
  <c r="G22" i="4"/>
  <c r="H22" i="4"/>
  <c r="D22" i="4"/>
  <c r="AN7" i="4"/>
  <c r="AN8" i="4"/>
  <c r="AN9" i="4"/>
  <c r="AN10" i="4"/>
  <c r="AJ7" i="4"/>
  <c r="AJ8" i="4"/>
  <c r="AJ9" i="4"/>
  <c r="AJ10" i="4"/>
  <c r="AN6" i="4"/>
  <c r="AJ6" i="4"/>
  <c r="W10" i="4"/>
  <c r="W9" i="4"/>
  <c r="W8" i="4"/>
  <c r="W7" i="4"/>
  <c r="W6" i="4"/>
  <c r="S7" i="4"/>
  <c r="S8" i="4"/>
  <c r="S9" i="4"/>
  <c r="S10" i="4"/>
  <c r="S6" i="4"/>
  <c r="AA7" i="4"/>
  <c r="AB7" i="4" s="1"/>
  <c r="AA8" i="4"/>
  <c r="AB8" i="4" s="1"/>
  <c r="AC8" i="4" s="1"/>
  <c r="AA9" i="4"/>
  <c r="AB9" i="4" s="1"/>
  <c r="AA10" i="4"/>
  <c r="AB10" i="4" s="1"/>
  <c r="AD10" i="4" s="1"/>
  <c r="AA6" i="4"/>
  <c r="AB6" i="4" s="1"/>
  <c r="J7" i="4"/>
  <c r="K7" i="4" s="1"/>
  <c r="J8" i="4"/>
  <c r="K8" i="4" s="1"/>
  <c r="J9" i="4"/>
  <c r="K9" i="4" s="1"/>
  <c r="L9" i="4" s="1"/>
  <c r="J10" i="4"/>
  <c r="K10" i="4" s="1"/>
  <c r="L10" i="4" s="1"/>
  <c r="J6" i="4"/>
  <c r="K6" i="4" s="1"/>
  <c r="L6" i="4" s="1"/>
  <c r="AA23" i="4" l="1"/>
  <c r="AB23" i="4" s="1"/>
  <c r="J25" i="4"/>
  <c r="K25" i="4" s="1"/>
  <c r="M25" i="4" s="1"/>
  <c r="AK61" i="4"/>
  <c r="AK62" i="4" s="1"/>
  <c r="T61" i="4"/>
  <c r="T62" i="4" s="1"/>
  <c r="AA24" i="4"/>
  <c r="AB24" i="4" s="1"/>
  <c r="AD24" i="4" s="1"/>
  <c r="AD7" i="4"/>
  <c r="AC7" i="4"/>
  <c r="AA26" i="4"/>
  <c r="AB26" i="4" s="1"/>
  <c r="J22" i="4"/>
  <c r="K22" i="4" s="1"/>
  <c r="M22" i="4" s="1"/>
  <c r="J23" i="4"/>
  <c r="K23" i="4" s="1"/>
  <c r="J26" i="4"/>
  <c r="K26" i="4" s="1"/>
  <c r="L26" i="4" s="1"/>
  <c r="AA22" i="4"/>
  <c r="AB22" i="4" s="1"/>
  <c r="AC22" i="4" s="1"/>
  <c r="J24" i="4"/>
  <c r="K24" i="4" s="1"/>
  <c r="M24" i="4" s="1"/>
  <c r="AA25" i="4"/>
  <c r="AB25" i="4" s="1"/>
  <c r="AD25" i="4" s="1"/>
  <c r="AD23" i="4"/>
  <c r="AC23" i="4"/>
  <c r="M7" i="4"/>
  <c r="L7" i="4"/>
  <c r="M26" i="4"/>
  <c r="AD26" i="4"/>
  <c r="AC26" i="4"/>
  <c r="M23" i="4"/>
  <c r="L23" i="4"/>
  <c r="AC9" i="4"/>
  <c r="AD9" i="4"/>
  <c r="M8" i="4"/>
  <c r="L8" i="4"/>
  <c r="T44" i="4"/>
  <c r="T45" i="4" s="1"/>
  <c r="AK44" i="4"/>
  <c r="AK45" i="4" s="1"/>
  <c r="AD6" i="4"/>
  <c r="AC6" i="4"/>
  <c r="M6" i="4"/>
  <c r="AD8" i="4"/>
  <c r="M10" i="4"/>
  <c r="M9" i="4"/>
  <c r="AC10" i="4"/>
  <c r="T3" i="1"/>
  <c r="AC24" i="4" l="1"/>
  <c r="L25" i="4"/>
  <c r="AD22" i="4"/>
  <c r="L22" i="4"/>
  <c r="L24" i="4"/>
  <c r="AC25" i="4"/>
  <c r="L6" i="1" l="1"/>
  <c r="L7" i="1"/>
  <c r="L8" i="1"/>
  <c r="L9" i="1"/>
  <c r="L5" i="1"/>
  <c r="A6" i="1"/>
  <c r="A7" i="1"/>
  <c r="AB7" i="1" s="1"/>
  <c r="AC7" i="1" s="1"/>
  <c r="A8" i="1"/>
  <c r="A9" i="1"/>
  <c r="A5" i="1"/>
  <c r="D4" i="3"/>
  <c r="A1" i="3"/>
  <c r="D5" i="3" s="1"/>
  <c r="E6" i="1"/>
  <c r="E7" i="1"/>
  <c r="E8" i="1"/>
  <c r="E9" i="1"/>
  <c r="E5" i="1"/>
  <c r="H16" i="5" l="1"/>
  <c r="H18" i="5"/>
  <c r="D17" i="5"/>
  <c r="H19" i="5"/>
  <c r="H15" i="5"/>
  <c r="H29" i="5" s="1"/>
  <c r="F15" i="5"/>
  <c r="D16" i="5"/>
  <c r="F16" i="5"/>
  <c r="D18" i="5"/>
  <c r="F17" i="5"/>
  <c r="D19" i="5"/>
  <c r="F18" i="5"/>
  <c r="D15" i="5"/>
  <c r="F19" i="5"/>
  <c r="H17" i="5"/>
  <c r="H31" i="5" s="1"/>
  <c r="AB5" i="1"/>
  <c r="AC5" i="1" s="1"/>
  <c r="AB9" i="1"/>
  <c r="AC9" i="1" s="1"/>
  <c r="AB6" i="1"/>
  <c r="AC6" i="1" s="1"/>
  <c r="F9" i="1"/>
  <c r="O10" i="5"/>
  <c r="AJ10" i="5"/>
  <c r="AL10" i="5" s="1"/>
  <c r="AI10" i="5"/>
  <c r="AK10" i="5" s="1"/>
  <c r="N10" i="5"/>
  <c r="P10" i="5" s="1"/>
  <c r="N10" i="4"/>
  <c r="P10" i="4" s="1"/>
  <c r="T10" i="4" s="1"/>
  <c r="AF10" i="4"/>
  <c r="P26" i="4"/>
  <c r="T26" i="4" s="1"/>
  <c r="AE10" i="4"/>
  <c r="O10" i="4"/>
  <c r="Q10" i="4" s="1"/>
  <c r="X10" i="4" s="1"/>
  <c r="Q26" i="4"/>
  <c r="X26" i="4" s="1"/>
  <c r="AG26" i="4"/>
  <c r="AK26" i="4" s="1"/>
  <c r="AH26" i="4"/>
  <c r="AO26" i="4" s="1"/>
  <c r="F8" i="1"/>
  <c r="O9" i="5"/>
  <c r="AJ9" i="5"/>
  <c r="AL9" i="5" s="1"/>
  <c r="N9" i="5"/>
  <c r="P9" i="5" s="1"/>
  <c r="AI9" i="5"/>
  <c r="AK9" i="5" s="1"/>
  <c r="N9" i="4"/>
  <c r="AH25" i="4"/>
  <c r="AO25" i="4" s="1"/>
  <c r="Q25" i="4"/>
  <c r="X25" i="4" s="1"/>
  <c r="O9" i="4"/>
  <c r="Q9" i="4" s="1"/>
  <c r="X9" i="4" s="1"/>
  <c r="AE9" i="4"/>
  <c r="AF9" i="4"/>
  <c r="AG25" i="4"/>
  <c r="AK25" i="4" s="1"/>
  <c r="P25" i="4"/>
  <c r="T25" i="4" s="1"/>
  <c r="D6" i="3"/>
  <c r="AB8" i="1"/>
  <c r="AC8" i="1" s="1"/>
  <c r="F5" i="1"/>
  <c r="F11" i="1" s="1"/>
  <c r="AI6" i="5"/>
  <c r="AK6" i="5" s="1"/>
  <c r="O6" i="5"/>
  <c r="N6" i="5"/>
  <c r="AJ6" i="5"/>
  <c r="AL6" i="5" s="1"/>
  <c r="N6" i="4"/>
  <c r="AE6" i="4"/>
  <c r="Q22" i="4"/>
  <c r="O6" i="4"/>
  <c r="Q6" i="4" s="1"/>
  <c r="AG22" i="4"/>
  <c r="AF6" i="4"/>
  <c r="AH6" i="4" s="1"/>
  <c r="P22" i="4"/>
  <c r="AH22" i="4"/>
  <c r="F7" i="1"/>
  <c r="AI8" i="5"/>
  <c r="AK8" i="5" s="1"/>
  <c r="AJ8" i="5"/>
  <c r="AL8" i="5" s="1"/>
  <c r="N8" i="5"/>
  <c r="P8" i="5" s="1"/>
  <c r="O8" i="5"/>
  <c r="Q8" i="5" s="1"/>
  <c r="AE8" i="4"/>
  <c r="AG8" i="4" s="1"/>
  <c r="AK8" i="4" s="1"/>
  <c r="O8" i="4"/>
  <c r="AH24" i="4"/>
  <c r="AO24" i="4" s="1"/>
  <c r="AF8" i="4"/>
  <c r="AH8" i="4" s="1"/>
  <c r="AO8" i="4" s="1"/>
  <c r="N8" i="4"/>
  <c r="P8" i="4" s="1"/>
  <c r="T8" i="4" s="1"/>
  <c r="Q24" i="4"/>
  <c r="X24" i="4" s="1"/>
  <c r="AG24" i="4"/>
  <c r="AK24" i="4" s="1"/>
  <c r="P24" i="4"/>
  <c r="T24" i="4" s="1"/>
  <c r="F6" i="1"/>
  <c r="N7" i="5"/>
  <c r="AI7" i="5"/>
  <c r="AK7" i="5" s="1"/>
  <c r="O7" i="5"/>
  <c r="AJ7" i="5"/>
  <c r="AL7" i="5" s="1"/>
  <c r="P23" i="4"/>
  <c r="T23" i="4" s="1"/>
  <c r="AH23" i="4"/>
  <c r="AO23" i="4" s="1"/>
  <c r="N7" i="4"/>
  <c r="AF7" i="4"/>
  <c r="AH7" i="4" s="1"/>
  <c r="AO7" i="4" s="1"/>
  <c r="Q23" i="4"/>
  <c r="X23" i="4" s="1"/>
  <c r="AE7" i="4"/>
  <c r="AG7" i="4" s="1"/>
  <c r="AK7" i="4" s="1"/>
  <c r="O7" i="4"/>
  <c r="AG23" i="4"/>
  <c r="AK23" i="4" s="1"/>
  <c r="C5" i="1"/>
  <c r="C8" i="1"/>
  <c r="C7" i="1"/>
  <c r="C6" i="1"/>
  <c r="C9" i="1"/>
  <c r="M5" i="1"/>
  <c r="M9" i="1"/>
  <c r="M8" i="1"/>
  <c r="M7" i="1"/>
  <c r="M6" i="1"/>
  <c r="G18" i="5" l="1"/>
  <c r="G15" i="5"/>
  <c r="E19" i="5"/>
  <c r="E16" i="5"/>
  <c r="E17" i="5"/>
  <c r="E31" i="5" s="1"/>
  <c r="E18" i="5"/>
  <c r="E32" i="5" s="1"/>
  <c r="E15" i="5"/>
  <c r="E29" i="5" s="1"/>
  <c r="G16" i="5"/>
  <c r="G17" i="5"/>
  <c r="G31" i="5" s="1"/>
  <c r="G19" i="5"/>
  <c r="G33" i="5" s="1"/>
  <c r="Q9" i="5"/>
  <c r="D32" i="5"/>
  <c r="H9" i="1"/>
  <c r="I9" i="1" s="1"/>
  <c r="X9" i="1"/>
  <c r="Y9" i="1" s="1"/>
  <c r="T9" i="1"/>
  <c r="U9" i="1" s="1"/>
  <c r="Q10" i="5"/>
  <c r="F30" i="5"/>
  <c r="AE16" i="5"/>
  <c r="AK16" i="5" s="1"/>
  <c r="AT7" i="5" s="1"/>
  <c r="F31" i="5"/>
  <c r="AE17" i="5"/>
  <c r="P7" i="4"/>
  <c r="T7" i="4" s="1"/>
  <c r="AK22" i="4"/>
  <c r="AK28" i="4" s="1"/>
  <c r="AG28" i="4"/>
  <c r="X6" i="4"/>
  <c r="H6" i="1"/>
  <c r="I6" i="1" s="1"/>
  <c r="X6" i="1"/>
  <c r="Y6" i="1" s="1"/>
  <c r="T6" i="1"/>
  <c r="U6" i="1" s="1"/>
  <c r="Q7" i="4"/>
  <c r="X7" i="4" s="1"/>
  <c r="Q8" i="4"/>
  <c r="X8" i="4" s="1"/>
  <c r="X22" i="4"/>
  <c r="X28" i="4" s="1"/>
  <c r="Q28" i="4"/>
  <c r="AH9" i="4"/>
  <c r="AO9" i="4" s="1"/>
  <c r="D30" i="5"/>
  <c r="AO22" i="4"/>
  <c r="AO28" i="4" s="1"/>
  <c r="AO29" i="4" s="1"/>
  <c r="AH28" i="4"/>
  <c r="X7" i="1"/>
  <c r="Y7" i="1" s="1"/>
  <c r="T7" i="1"/>
  <c r="U7" i="1" s="1"/>
  <c r="AG6" i="4"/>
  <c r="AG9" i="4"/>
  <c r="AK9" i="4" s="1"/>
  <c r="AE15" i="5"/>
  <c r="F29" i="5"/>
  <c r="P6" i="4"/>
  <c r="AE18" i="5"/>
  <c r="F32" i="5"/>
  <c r="T22" i="4"/>
  <c r="T28" i="4" s="1"/>
  <c r="T29" i="4" s="1"/>
  <c r="P28" i="4"/>
  <c r="AO6" i="4"/>
  <c r="AC11" i="1"/>
  <c r="AC12" i="1" s="1"/>
  <c r="H33" i="5"/>
  <c r="AL11" i="5"/>
  <c r="P7" i="5"/>
  <c r="P6" i="5"/>
  <c r="AG10" i="4"/>
  <c r="AK10" i="4" s="1"/>
  <c r="D31" i="5"/>
  <c r="D33" i="5"/>
  <c r="X8" i="1"/>
  <c r="Y8" i="1" s="1"/>
  <c r="T8" i="1"/>
  <c r="U8" i="1" s="1"/>
  <c r="Q7" i="5"/>
  <c r="X12" i="4"/>
  <c r="X5" i="1"/>
  <c r="Y5" i="1" s="1"/>
  <c r="T5" i="1"/>
  <c r="U5" i="1" s="1"/>
  <c r="Q6" i="5"/>
  <c r="P9" i="4"/>
  <c r="T9" i="4" s="1"/>
  <c r="F33" i="5"/>
  <c r="H32" i="5"/>
  <c r="AK11" i="5"/>
  <c r="AH10" i="4"/>
  <c r="AO10" i="4" s="1"/>
  <c r="D29" i="5"/>
  <c r="J15" i="5"/>
  <c r="H30" i="5"/>
  <c r="M11" i="1"/>
  <c r="M12" i="1" s="1"/>
  <c r="H5" i="1"/>
  <c r="I5" i="1" s="1"/>
  <c r="H8" i="1"/>
  <c r="I8" i="1" s="1"/>
  <c r="P7" i="1"/>
  <c r="Q7" i="1" s="1"/>
  <c r="H7" i="1"/>
  <c r="I7" i="1" s="1"/>
  <c r="P5" i="1"/>
  <c r="Q5" i="1" s="1"/>
  <c r="P8" i="1"/>
  <c r="Q8" i="1" s="1"/>
  <c r="P9" i="1"/>
  <c r="Q9" i="1" s="1"/>
  <c r="P6" i="1"/>
  <c r="Q6" i="1" s="1"/>
  <c r="U11" i="1" l="1"/>
  <c r="U12" i="1" s="1"/>
  <c r="P11" i="5"/>
  <c r="AL18" i="5"/>
  <c r="AX9" i="5" s="1"/>
  <c r="AJ18" i="5"/>
  <c r="AP9" i="5" s="1"/>
  <c r="AJ17" i="5"/>
  <c r="AP8" i="5" s="1"/>
  <c r="AL17" i="5"/>
  <c r="AX8" i="5" s="1"/>
  <c r="AK17" i="5"/>
  <c r="AT8" i="5" s="1"/>
  <c r="AE31" i="5"/>
  <c r="P15" i="5"/>
  <c r="AK15" i="5"/>
  <c r="AJ15" i="5"/>
  <c r="AK6" i="4"/>
  <c r="AK12" i="4" s="1"/>
  <c r="AG12" i="4"/>
  <c r="AL15" i="5"/>
  <c r="AJ16" i="5"/>
  <c r="AP7" i="5" s="1"/>
  <c r="J19" i="5"/>
  <c r="AO12" i="4"/>
  <c r="E30" i="5"/>
  <c r="J30" i="5" s="1"/>
  <c r="J33" i="5"/>
  <c r="AH12" i="4"/>
  <c r="Q12" i="4"/>
  <c r="X13" i="4" s="1"/>
  <c r="E33" i="5"/>
  <c r="T6" i="4"/>
  <c r="T12" i="4" s="1"/>
  <c r="P12" i="4"/>
  <c r="X29" i="4"/>
  <c r="G30" i="5"/>
  <c r="AE30" i="5" s="1"/>
  <c r="Y11" i="1"/>
  <c r="Y12" i="1" s="1"/>
  <c r="AL16" i="5"/>
  <c r="AX7" i="5" s="1"/>
  <c r="AE33" i="5"/>
  <c r="AE19" i="5"/>
  <c r="J17" i="5"/>
  <c r="O15" i="5" s="1"/>
  <c r="J18" i="5"/>
  <c r="G29" i="5"/>
  <c r="J29" i="5" s="1"/>
  <c r="J16" i="5"/>
  <c r="J32" i="5"/>
  <c r="G32" i="5"/>
  <c r="J31" i="5"/>
  <c r="Q11" i="5"/>
  <c r="AE32" i="5"/>
  <c r="AK29" i="4"/>
  <c r="AK18" i="5"/>
  <c r="AT9" i="5" s="1"/>
  <c r="Q11" i="1"/>
  <c r="I11" i="1"/>
  <c r="I12" i="1"/>
  <c r="Q12" i="1"/>
  <c r="O22" i="5" l="1"/>
  <c r="T22" i="5" s="1"/>
  <c r="Q22" i="5"/>
  <c r="P22" i="5"/>
  <c r="O23" i="5"/>
  <c r="T23" i="5" s="1"/>
  <c r="Q23" i="5"/>
  <c r="AB23" i="5" s="1"/>
  <c r="P23" i="5"/>
  <c r="X23" i="5" s="1"/>
  <c r="T6" i="5"/>
  <c r="AL23" i="5"/>
  <c r="AX23" i="5" s="1"/>
  <c r="AK23" i="5"/>
  <c r="AT23" i="5" s="1"/>
  <c r="AJ23" i="5"/>
  <c r="AP23" i="5" s="1"/>
  <c r="AJ24" i="5"/>
  <c r="AP24" i="5" s="1"/>
  <c r="AL24" i="5"/>
  <c r="AX24" i="5" s="1"/>
  <c r="AK24" i="5"/>
  <c r="AT24" i="5" s="1"/>
  <c r="AJ19" i="5"/>
  <c r="AP10" i="5" s="1"/>
  <c r="AL19" i="5"/>
  <c r="AX10" i="5" s="1"/>
  <c r="AK19" i="5"/>
  <c r="AT10" i="5" s="1"/>
  <c r="AO13" i="4"/>
  <c r="X6" i="5"/>
  <c r="Q24" i="5"/>
  <c r="AB24" i="5" s="1"/>
  <c r="O24" i="5"/>
  <c r="T24" i="5" s="1"/>
  <c r="P24" i="5"/>
  <c r="X24" i="5" s="1"/>
  <c r="P17" i="5"/>
  <c r="X8" i="5" s="1"/>
  <c r="Q17" i="5"/>
  <c r="AB8" i="5" s="1"/>
  <c r="O17" i="5"/>
  <c r="T8" i="5" s="1"/>
  <c r="AJ26" i="5"/>
  <c r="AP26" i="5" s="1"/>
  <c r="AL26" i="5"/>
  <c r="AX26" i="5" s="1"/>
  <c r="AK26" i="5"/>
  <c r="AT26" i="5" s="1"/>
  <c r="AX6" i="5"/>
  <c r="AX12" i="5" s="1"/>
  <c r="AL20" i="5"/>
  <c r="Q15" i="5"/>
  <c r="AE29" i="5"/>
  <c r="AT6" i="5"/>
  <c r="AT12" i="5" s="1"/>
  <c r="AK20" i="5"/>
  <c r="AL25" i="5"/>
  <c r="AX25" i="5" s="1"/>
  <c r="AK25" i="5"/>
  <c r="AT25" i="5" s="1"/>
  <c r="AJ25" i="5"/>
  <c r="AP25" i="5" s="1"/>
  <c r="Q25" i="5"/>
  <c r="AB25" i="5" s="1"/>
  <c r="O25" i="5"/>
  <c r="P25" i="5"/>
  <c r="X25" i="5" s="1"/>
  <c r="T13" i="4"/>
  <c r="AK13" i="4"/>
  <c r="O18" i="5"/>
  <c r="T9" i="5" s="1"/>
  <c r="P18" i="5"/>
  <c r="X9" i="5" s="1"/>
  <c r="Q18" i="5"/>
  <c r="AB9" i="5" s="1"/>
  <c r="O26" i="5"/>
  <c r="T26" i="5" s="1"/>
  <c r="Q26" i="5"/>
  <c r="AB26" i="5" s="1"/>
  <c r="P26" i="5"/>
  <c r="X26" i="5" s="1"/>
  <c r="O19" i="5"/>
  <c r="T10" i="5" s="1"/>
  <c r="P19" i="5"/>
  <c r="X10" i="5" s="1"/>
  <c r="Q19" i="5"/>
  <c r="AB10" i="5" s="1"/>
  <c r="O16" i="5"/>
  <c r="T7" i="5" s="1"/>
  <c r="P16" i="5"/>
  <c r="X7" i="5" s="1"/>
  <c r="Q16" i="5"/>
  <c r="AB7" i="5" s="1"/>
  <c r="AJ20" i="5"/>
  <c r="AP6" i="5"/>
  <c r="AP12" i="5" s="1"/>
  <c r="AP13" i="5" s="1"/>
  <c r="X12" i="5" l="1"/>
  <c r="AT13" i="5"/>
  <c r="AJ22" i="5"/>
  <c r="AL22" i="5"/>
  <c r="AK22" i="5"/>
  <c r="Q20" i="5"/>
  <c r="AB6" i="5"/>
  <c r="AB12" i="5" s="1"/>
  <c r="AB13" i="5" s="1"/>
  <c r="O27" i="5"/>
  <c r="T25" i="5"/>
  <c r="T28" i="5" s="1"/>
  <c r="T29" i="5" s="1"/>
  <c r="P20" i="5"/>
  <c r="O20" i="5"/>
  <c r="P27" i="5"/>
  <c r="X22" i="5"/>
  <c r="X28" i="5" s="1"/>
  <c r="AX13" i="5"/>
  <c r="AB22" i="5"/>
  <c r="Q27" i="5"/>
  <c r="T12" i="5"/>
  <c r="AB28" i="5"/>
  <c r="AB29" i="5" s="1"/>
  <c r="T13" i="5" l="1"/>
  <c r="AT22" i="5"/>
  <c r="AT28" i="5" s="1"/>
  <c r="AT29" i="5" s="1"/>
  <c r="AK27" i="5"/>
  <c r="AX22" i="5"/>
  <c r="AX28" i="5" s="1"/>
  <c r="AL27" i="5"/>
  <c r="AJ27" i="5"/>
  <c r="AP22" i="5"/>
  <c r="AP28" i="5" s="1"/>
  <c r="X29" i="5"/>
  <c r="X13" i="5"/>
  <c r="AP29" i="5" l="1"/>
  <c r="AX29" i="5"/>
</calcChain>
</file>

<file path=xl/sharedStrings.xml><?xml version="1.0" encoding="utf-8"?>
<sst xmlns="http://schemas.openxmlformats.org/spreadsheetml/2006/main" count="628" uniqueCount="65">
  <si>
    <t>E (hartree)</t>
  </si>
  <si>
    <t>E (eV)</t>
  </si>
  <si>
    <t>opt</t>
  </si>
  <si>
    <t>eV per hartree</t>
  </si>
  <si>
    <t>kcal per mole in 1 eV</t>
  </si>
  <si>
    <t>UFF</t>
  </si>
  <si>
    <t>welldepth (kcal/mol)</t>
  </si>
  <si>
    <t>welldepth (eV)</t>
  </si>
  <si>
    <t>C</t>
  </si>
  <si>
    <t>F</t>
  </si>
  <si>
    <t>equil C-F bond length (angstroms)</t>
  </si>
  <si>
    <t>squared</t>
  </si>
  <si>
    <t>k</t>
  </si>
  <si>
    <t>Morse potential using predicted exponent</t>
  </si>
  <si>
    <t>Morse stretch potential</t>
  </si>
  <si>
    <t>Manz stretch potential</t>
  </si>
  <si>
    <t>gamma</t>
  </si>
  <si>
    <t>SSE</t>
  </si>
  <si>
    <t>R-squared</t>
  </si>
  <si>
    <t>harmonic stretch potential</t>
  </si>
  <si>
    <t>SST</t>
  </si>
  <si>
    <t>(DE)^2</t>
  </si>
  <si>
    <t>distance (bohr)</t>
  </si>
  <si>
    <t>distance (angstroms)</t>
  </si>
  <si>
    <t>bond elongation</t>
  </si>
  <si>
    <t>(angstroms)</t>
  </si>
  <si>
    <t>bohrperangstrom</t>
  </si>
  <si>
    <t>E_model</t>
  </si>
  <si>
    <t>gamma_predicted</t>
  </si>
  <si>
    <t>harmonic stretch (old scheme)</t>
  </si>
  <si>
    <t>eV/ bohr^2</t>
  </si>
  <si>
    <t>d_resting</t>
  </si>
  <si>
    <t>angstroms</t>
  </si>
  <si>
    <t>d_resting (angstroms)</t>
  </si>
  <si>
    <t>Manz stretch (old scheme)</t>
  </si>
  <si>
    <t>1-4(F)</t>
  </si>
  <si>
    <t>1-4(C)</t>
  </si>
  <si>
    <t>1-5(F)</t>
  </si>
  <si>
    <t>1-5(C)</t>
  </si>
  <si>
    <t>1-6(F)</t>
  </si>
  <si>
    <t>distances (angstroms)</t>
  </si>
  <si>
    <t>eV</t>
  </si>
  <si>
    <t>q=</t>
  </si>
  <si>
    <t>with 1-4 interactions</t>
  </si>
  <si>
    <t>without 1-4 interactions</t>
  </si>
  <si>
    <t>electrostatic energy (eV)</t>
  </si>
  <si>
    <t>total energy (eV)</t>
  </si>
  <si>
    <t>total relative energy (eV)</t>
  </si>
  <si>
    <t>q=0.1</t>
  </si>
  <si>
    <t>q=0.62</t>
  </si>
  <si>
    <t>new scheme damped 1/d term</t>
  </si>
  <si>
    <t>d_eq</t>
  </si>
  <si>
    <t>harmonic stretch (new scheme)</t>
  </si>
  <si>
    <t>per bohr</t>
  </si>
  <si>
    <t>Manz stretch (new scheme)</t>
  </si>
  <si>
    <t>X (dist, angstroms)</t>
  </si>
  <si>
    <t>X (dist, bohr)</t>
  </si>
  <si>
    <t>CF</t>
  </si>
  <si>
    <t>LJ contribution</t>
  </si>
  <si>
    <t>Sum LJ terms (eV)</t>
  </si>
  <si>
    <t>q=0</t>
  </si>
  <si>
    <t>new scheme damped LJ contribution</t>
  </si>
  <si>
    <t>old scheme</t>
  </si>
  <si>
    <t>new scheme</t>
  </si>
  <si>
    <t>Sum(±1/d) terms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</si>
</sst>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165" fontId="1" fillId="0" borderId="0" xfId="0" applyNumberFormat="1" applyFont="1"/>
    <xf numFmtId="165" fontId="2" fillId="0" borderId="0" xfId="0" applyNumberFormat="1" applyFont="1"/>
    <xf numFmtId="166" fontId="1" fillId="2" borderId="0" xfId="0" applyNumberFormat="1" applyFont="1" applyFill="1"/>
    <xf numFmtId="2" fontId="1" fillId="2" borderId="0" xfId="0" applyNumberFormat="1" applyFont="1" applyFill="1"/>
    <xf numFmtId="11" fontId="1" fillId="2" borderId="0" xfId="0" applyNumberFormat="1" applyFont="1" applyFill="1"/>
    <xf numFmtId="164" fontId="1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2" fillId="0" borderId="0" xfId="0" quotePrefix="1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QM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sheet1!$B$5:$B$9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-7.0000000000000007E-2</c:v>
                </c:pt>
                <c:pt idx="2">
                  <c:v>0</c:v>
                </c:pt>
                <c:pt idx="3">
                  <c:v>7.0000000000000007E-2</c:v>
                </c:pt>
                <c:pt idx="4">
                  <c:v>0.14000000000000001</c:v>
                </c:pt>
              </c:numCache>
            </c:numRef>
          </c:xVal>
          <c:yVal>
            <c:numRef>
              <c:f>sheet1!$E$5:$E$9</c:f>
              <c:numCache>
                <c:formatCode>General</c:formatCode>
                <c:ptCount val="5"/>
                <c:pt idx="0">
                  <c:v>0.56544064687116868</c:v>
                </c:pt>
                <c:pt idx="1">
                  <c:v>0.12097453732317318</c:v>
                </c:pt>
                <c:pt idx="2">
                  <c:v>0</c:v>
                </c:pt>
                <c:pt idx="3">
                  <c:v>9.0667568457361528E-2</c:v>
                </c:pt>
                <c:pt idx="4">
                  <c:v>0.31726723659160605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43-4905-8A33-354E4C2B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859136"/>
        <c:axId val="686857960"/>
      </c:scatterChart>
      <c:scatterChart>
        <c:scatterStyle val="smoothMarker"/>
        <c:varyColors val="0"/>
        <c:ser>
          <c:idx val="1"/>
          <c:order val="1"/>
          <c:tx>
            <c:v>harmonic_stretch</c:v>
          </c:tx>
          <c:spPr>
            <a:ln w="254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sheet1!$B$5:$B$9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-7.0000000000000007E-2</c:v>
                </c:pt>
                <c:pt idx="2">
                  <c:v>0</c:v>
                </c:pt>
                <c:pt idx="3">
                  <c:v>7.0000000000000007E-2</c:v>
                </c:pt>
                <c:pt idx="4">
                  <c:v>0.14000000000000001</c:v>
                </c:pt>
              </c:numCache>
            </c:numRef>
          </c:xVal>
          <c:yVal>
            <c:numRef>
              <c:f>sheet1!$H$5:$H$9</c:f>
              <c:numCache>
                <c:formatCode>0.0000</c:formatCode>
                <c:ptCount val="5"/>
                <c:pt idx="0">
                  <c:v>0.44029101642708551</c:v>
                </c:pt>
                <c:pt idx="1">
                  <c:v>0.11007275410677138</c:v>
                </c:pt>
                <c:pt idx="2">
                  <c:v>0</c:v>
                </c:pt>
                <c:pt idx="3">
                  <c:v>0.11007275410677211</c:v>
                </c:pt>
                <c:pt idx="4">
                  <c:v>0.44029101642708696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35-4409-9262-E174B6B84A11}"/>
            </c:ext>
          </c:extLst>
        </c:ser>
        <c:ser>
          <c:idx val="2"/>
          <c:order val="2"/>
          <c:tx>
            <c:v>Manz_stretch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sheet1!$B$5:$B$9</c:f>
              <c:numCache>
                <c:formatCode>General</c:formatCode>
                <c:ptCount val="5"/>
                <c:pt idx="0">
                  <c:v>-0.14000000000000001</c:v>
                </c:pt>
                <c:pt idx="1">
                  <c:v>-7.0000000000000007E-2</c:v>
                </c:pt>
                <c:pt idx="2">
                  <c:v>0</c:v>
                </c:pt>
                <c:pt idx="3">
                  <c:v>7.0000000000000007E-2</c:v>
                </c:pt>
                <c:pt idx="4">
                  <c:v>0.14000000000000001</c:v>
                </c:pt>
              </c:numCache>
            </c:numRef>
          </c:xVal>
          <c:yVal>
            <c:numRef>
              <c:f>sheet1!$L$5:$L$9</c:f>
              <c:numCache>
                <c:formatCode>0.0000</c:formatCode>
                <c:ptCount val="5"/>
                <c:pt idx="0">
                  <c:v>0.56378719443567693</c:v>
                </c:pt>
                <c:pt idx="1">
                  <c:v>0.12175545144948546</c:v>
                </c:pt>
                <c:pt idx="2">
                  <c:v>0</c:v>
                </c:pt>
                <c:pt idx="3">
                  <c:v>9.1668527366300323E-2</c:v>
                </c:pt>
                <c:pt idx="4">
                  <c:v>0.31959940089808742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35-4409-9262-E174B6B84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859136"/>
        <c:axId val="686857960"/>
      </c:scatterChart>
      <c:valAx>
        <c:axId val="686859136"/>
        <c:scaling>
          <c:orientation val="minMax"/>
          <c:max val="0.15000000000000002"/>
          <c:min val="-0.1500000000000000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C-F</a:t>
                </a:r>
                <a:r>
                  <a:rPr lang="en-US" sz="2800" baseline="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 bond elongation (Å)</a:t>
                </a:r>
                <a:endParaRPr lang="en-US" sz="2800">
                  <a:solidFill>
                    <a:schemeClr val="tx1"/>
                  </a:solidFill>
                  <a:latin typeface="Calibri" panose="020F0502020204030204" pitchFamily="34" charset="0"/>
                  <a:cs typeface="Calibri" panose="020F0502020204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7535247647617703"/>
              <c:y val="0.929177607993498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686857960"/>
        <c:crosses val="autoZero"/>
        <c:crossBetween val="midCat"/>
      </c:valAx>
      <c:valAx>
        <c:axId val="686857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Calibri" panose="020F0502020204030204" pitchFamily="34" charset="0"/>
                    <a:ea typeface="+mn-ea"/>
                    <a:cs typeface="Calibri" panose="020F0502020204030204" pitchFamily="34" charset="0"/>
                  </a:defRPr>
                </a:pPr>
                <a:r>
                  <a:rPr lang="en-US" sz="2800">
                    <a:solidFill>
                      <a:schemeClr val="tx1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relative energy (eV)</a:t>
                </a:r>
              </a:p>
            </c:rich>
          </c:tx>
          <c:layout>
            <c:manualLayout>
              <c:xMode val="edge"/>
              <c:yMode val="edge"/>
              <c:x val="5.8630664668607481E-3"/>
              <c:y val="0.280716895919948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/>
                  </a:solidFill>
                  <a:latin typeface="Calibri" panose="020F0502020204030204" pitchFamily="34" charset="0"/>
                  <a:ea typeface="+mn-ea"/>
                  <a:cs typeface="Calibr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US"/>
          </a:p>
        </c:txPr>
        <c:crossAx val="686859136"/>
        <c:crossesAt val="-0.15000000000000002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101" workbookViewId="0" zoomToFit="1"/>
  </sheetViews>
  <pageMargins left="0.7" right="0.7" top="0.75" bottom="0.75" header="0.3" footer="0.3"/>
  <pageSetup orientation="landscape" verticalDpi="4294967295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07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8312F-7A50-EABC-3119-84CB0BE9558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0.23344</cdr:x>
      <cdr:y>0.05854</cdr:y>
    </cdr:from>
    <cdr:to>
      <cdr:x>0.9104</cdr:x>
      <cdr:y>0.42895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E37CDDA-1679-C24B-CB5A-D43BC755F807}"/>
            </a:ext>
          </a:extLst>
        </cdr:cNvPr>
        <cdr:cNvSpPr txBox="1"/>
      </cdr:nvSpPr>
      <cdr:spPr>
        <a:xfrm xmlns:a="http://schemas.openxmlformats.org/drawingml/2006/main">
          <a:off x="2022619" y="368305"/>
          <a:ext cx="5865458" cy="2330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2200">
              <a:solidFill>
                <a:srgbClr val="0070C0"/>
              </a:solidFill>
              <a:latin typeface="Calibri" panose="020F0502020204030204" pitchFamily="34" charset="0"/>
              <a:cs typeface="Calibri" panose="020F0502020204030204" pitchFamily="34" charset="0"/>
            </a:rPr>
            <a:t>Blue</a:t>
          </a:r>
          <a:r>
            <a:rPr lang="en-US" sz="2200" baseline="0">
              <a:solidFill>
                <a:srgbClr val="0070C0"/>
              </a:solidFill>
              <a:latin typeface="Calibri" panose="020F0502020204030204" pitchFamily="34" charset="0"/>
              <a:cs typeface="Calibri" panose="020F0502020204030204" pitchFamily="34" charset="0"/>
            </a:rPr>
            <a:t> data points are QM calculations</a:t>
          </a:r>
        </a:p>
        <a:p xmlns:a="http://schemas.openxmlformats.org/drawingml/2006/main">
          <a:pPr algn="ctr"/>
          <a:endParaRPr lang="en-US" sz="2200" baseline="0">
            <a:solidFill>
              <a:srgbClr val="00B050"/>
            </a:solidFill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pPr algn="ctr"/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Green line is fitted Manz stretch model potential</a:t>
          </a:r>
        </a:p>
        <a:p xmlns:a="http://schemas.openxmlformats.org/drawingml/2006/main">
          <a:pPr algn="ctr"/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force constant k = 12.06 eV/bohr</a:t>
          </a:r>
          <a:r>
            <a:rPr lang="en-US" sz="2200" baseline="3000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2</a:t>
          </a:r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 </a:t>
          </a:r>
        </a:p>
        <a:p xmlns:a="http://schemas.openxmlformats.org/drawingml/2006/main">
          <a:pPr algn="ctr"/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Symbol" panose="05050102010706020507" pitchFamily="18" charset="2"/>
              <a:cs typeface="Calibri" panose="020F0502020204030204" pitchFamily="34" charset="0"/>
            </a:rPr>
            <a:t>g</a:t>
          </a:r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°</a:t>
          </a:r>
          <a:r>
            <a:rPr lang="en-US" sz="2200" baseline="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 = 1.207 bohr</a:t>
          </a:r>
          <a:r>
            <a:rPr lang="en-US" sz="2200" baseline="3000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-1</a:t>
          </a:r>
        </a:p>
        <a:p xmlns:a="http://schemas.openxmlformats.org/drawingml/2006/main">
          <a:pPr algn="ctr"/>
          <a:r>
            <a:rPr lang="en-US" sz="2200">
              <a:solidFill>
                <a:schemeClr val="accent6">
                  <a:lumMod val="50000"/>
                </a:schemeClr>
              </a:solidFill>
              <a:latin typeface="Calibri" panose="020F0502020204030204" pitchFamily="34" charset="0"/>
              <a:cs typeface="Calibri" panose="020F0502020204030204" pitchFamily="34" charset="0"/>
            </a:rPr>
            <a:t>R-squared = 1.0000</a:t>
          </a:r>
        </a:p>
        <a:p xmlns:a="http://schemas.openxmlformats.org/drawingml/2006/main">
          <a:pPr algn="ctr"/>
          <a:endParaRPr lang="en-US" sz="2200">
            <a:solidFill>
              <a:srgbClr val="C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pPr algn="ctr"/>
          <a:r>
            <a:rPr lang="en-US" sz="220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Purple</a:t>
          </a:r>
          <a:r>
            <a:rPr lang="en-US" sz="2200" baseline="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 dotted line is the fitted</a:t>
          </a:r>
        </a:p>
        <a:p xmlns:a="http://schemas.openxmlformats.org/drawingml/2006/main">
          <a:pPr algn="ctr"/>
          <a:r>
            <a:rPr lang="en-US" sz="2200" baseline="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harmonic stretch with </a:t>
          </a:r>
        </a:p>
        <a:p xmlns:a="http://schemas.openxmlformats.org/drawingml/2006/main">
          <a:pPr algn="ctr"/>
          <a:r>
            <a:rPr lang="en-US" sz="2200" baseline="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k = 12.58 eV/bohr</a:t>
          </a:r>
          <a:r>
            <a:rPr lang="en-US" sz="2200" baseline="3000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2</a:t>
          </a:r>
          <a:endParaRPr lang="en-US" sz="2200" baseline="0">
            <a:solidFill>
              <a:schemeClr val="accent5"/>
            </a:solidFill>
            <a:latin typeface="Calibri" panose="020F0502020204030204" pitchFamily="34" charset="0"/>
            <a:cs typeface="Calibri" panose="020F0502020204030204" pitchFamily="34" charset="0"/>
          </a:endParaRPr>
        </a:p>
        <a:p xmlns:a="http://schemas.openxmlformats.org/drawingml/2006/main">
          <a:pPr algn="ctr"/>
          <a:r>
            <a:rPr lang="en-US" sz="2200" baseline="0">
              <a:solidFill>
                <a:schemeClr val="accent5"/>
              </a:solidFill>
              <a:latin typeface="Calibri" panose="020F0502020204030204" pitchFamily="34" charset="0"/>
              <a:cs typeface="Calibri" panose="020F0502020204030204" pitchFamily="34" charset="0"/>
            </a:rPr>
            <a:t>R-squared = 0.9294</a:t>
          </a:r>
          <a:endParaRPr lang="en-US" sz="2200" baseline="30000">
            <a:solidFill>
              <a:schemeClr val="accent5"/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2"/>
  <sheetViews>
    <sheetView workbookViewId="0">
      <selection activeCell="AF25" sqref="AF25"/>
    </sheetView>
  </sheetViews>
  <sheetFormatPr defaultRowHeight="15" x14ac:dyDescent="0.25"/>
  <cols>
    <col min="1" max="1" width="17.5703125" style="1" customWidth="1"/>
    <col min="2" max="3" width="13.42578125" style="1" customWidth="1"/>
    <col min="4" max="4" width="15.42578125" style="1" customWidth="1"/>
    <col min="5" max="6" width="9.140625" style="1"/>
    <col min="7" max="7" width="11" style="1" customWidth="1"/>
    <col min="8" max="8" width="9.140625" style="1"/>
    <col min="9" max="9" width="11.85546875" style="1" customWidth="1"/>
    <col min="10" max="11" width="9" style="1"/>
    <col min="12" max="12" width="9.140625" style="1"/>
    <col min="13" max="14" width="11.5703125" style="1" customWidth="1"/>
    <col min="15" max="15" width="9" style="1"/>
    <col min="16" max="16" width="9.140625" style="1"/>
    <col min="17" max="18" width="12.42578125" style="1" customWidth="1"/>
    <col min="19" max="20" width="9.140625" style="1"/>
    <col min="21" max="21" width="15.28515625" style="1" customWidth="1"/>
    <col min="22" max="33" width="9.140625" style="1"/>
    <col min="36" max="36" width="12" bestFit="1" customWidth="1"/>
  </cols>
  <sheetData>
    <row r="1" spans="1:31" x14ac:dyDescent="0.25">
      <c r="B1" s="1">
        <v>1.8897299999999999</v>
      </c>
      <c r="C1" s="1" t="s">
        <v>26</v>
      </c>
      <c r="D1" s="1">
        <v>27.211400000000001</v>
      </c>
      <c r="E1" s="1" t="s">
        <v>3</v>
      </c>
      <c r="H1" s="3" t="s">
        <v>19</v>
      </c>
      <c r="I1" s="4"/>
      <c r="L1" s="3" t="s">
        <v>15</v>
      </c>
      <c r="M1" s="4"/>
      <c r="P1" s="3" t="s">
        <v>14</v>
      </c>
      <c r="Q1" s="4"/>
      <c r="T1" s="3" t="s">
        <v>13</v>
      </c>
      <c r="U1" s="4"/>
      <c r="X1" s="3" t="s">
        <v>29</v>
      </c>
      <c r="Y1" s="4"/>
      <c r="AB1" s="3" t="s">
        <v>34</v>
      </c>
      <c r="AC1" s="4"/>
    </row>
    <row r="2" spans="1:31" x14ac:dyDescent="0.25">
      <c r="D2" s="1">
        <v>1.3320000000000001</v>
      </c>
      <c r="E2" s="1" t="s">
        <v>10</v>
      </c>
      <c r="H2" s="9">
        <v>12.580973086262087</v>
      </c>
      <c r="I2" s="4" t="s">
        <v>12</v>
      </c>
      <c r="J2" s="4" t="s">
        <v>30</v>
      </c>
      <c r="L2" s="9">
        <v>12.05700929173943</v>
      </c>
      <c r="M2" s="4" t="s">
        <v>12</v>
      </c>
      <c r="N2" s="1" t="s">
        <v>30</v>
      </c>
      <c r="P2" s="9">
        <v>12.0140968770194</v>
      </c>
      <c r="Q2" s="4" t="s">
        <v>12</v>
      </c>
      <c r="R2" s="1" t="s">
        <v>30</v>
      </c>
      <c r="T2" s="9">
        <v>11.998144697475091</v>
      </c>
      <c r="U2" s="4" t="s">
        <v>12</v>
      </c>
      <c r="V2" s="1" t="s">
        <v>30</v>
      </c>
      <c r="X2" s="9">
        <v>12.581094479173837</v>
      </c>
      <c r="Y2" s="4" t="s">
        <v>12</v>
      </c>
      <c r="Z2" s="1" t="s">
        <v>30</v>
      </c>
      <c r="AB2" s="9">
        <v>12.023706842954871</v>
      </c>
      <c r="AC2" s="4" t="s">
        <v>12</v>
      </c>
      <c r="AD2" s="1" t="s">
        <v>30</v>
      </c>
    </row>
    <row r="3" spans="1:31" x14ac:dyDescent="0.25">
      <c r="A3" s="2"/>
      <c r="B3" s="2" t="s">
        <v>24</v>
      </c>
      <c r="C3" s="2"/>
      <c r="H3" s="4"/>
      <c r="L3" s="8">
        <v>1.2070000000000001</v>
      </c>
      <c r="M3" s="4" t="s">
        <v>16</v>
      </c>
      <c r="P3" s="8">
        <v>1.0927119775944849</v>
      </c>
      <c r="Q3" s="4" t="s">
        <v>16</v>
      </c>
      <c r="T3" s="8">
        <f>L3*SQRT(5/6)</f>
        <v>1.1018352115145593</v>
      </c>
      <c r="U3" s="4" t="s">
        <v>28</v>
      </c>
      <c r="X3" s="8">
        <v>1.3487457360859822</v>
      </c>
      <c r="Y3" s="4" t="s">
        <v>31</v>
      </c>
      <c r="Z3" s="1" t="s">
        <v>32</v>
      </c>
      <c r="AB3" s="8">
        <v>1.2070000000000001</v>
      </c>
      <c r="AC3" s="4" t="s">
        <v>16</v>
      </c>
      <c r="AD3" s="11">
        <v>1.3322935191418037</v>
      </c>
      <c r="AE3" s="1" t="s">
        <v>33</v>
      </c>
    </row>
    <row r="4" spans="1:31" x14ac:dyDescent="0.25">
      <c r="A4" s="2" t="s">
        <v>23</v>
      </c>
      <c r="B4" s="2" t="s">
        <v>25</v>
      </c>
      <c r="C4" s="2" t="s">
        <v>22</v>
      </c>
      <c r="D4" s="2" t="s">
        <v>0</v>
      </c>
      <c r="E4" s="2" t="s">
        <v>1</v>
      </c>
      <c r="F4" s="2" t="s">
        <v>11</v>
      </c>
      <c r="H4" s="3" t="s">
        <v>27</v>
      </c>
      <c r="I4" s="3" t="s">
        <v>21</v>
      </c>
      <c r="L4" s="3" t="s">
        <v>27</v>
      </c>
      <c r="M4" s="3" t="s">
        <v>21</v>
      </c>
      <c r="P4" s="3" t="s">
        <v>27</v>
      </c>
      <c r="Q4" s="3" t="s">
        <v>21</v>
      </c>
      <c r="T4" s="3" t="s">
        <v>27</v>
      </c>
      <c r="U4" s="3" t="s">
        <v>21</v>
      </c>
      <c r="X4" s="3" t="s">
        <v>27</v>
      </c>
      <c r="Y4" s="3" t="s">
        <v>21</v>
      </c>
      <c r="AB4" s="3" t="s">
        <v>27</v>
      </c>
      <c r="AC4" s="3" t="s">
        <v>21</v>
      </c>
    </row>
    <row r="5" spans="1:31" x14ac:dyDescent="0.25">
      <c r="A5" s="1">
        <f>$D$2+B5</f>
        <v>1.1920000000000002</v>
      </c>
      <c r="B5" s="1">
        <v>-0.14000000000000001</v>
      </c>
      <c r="C5" s="1">
        <f>A5*$B$1</f>
        <v>2.2525581600000004</v>
      </c>
      <c r="D5" s="1">
        <v>-827.96006599999998</v>
      </c>
      <c r="E5" s="1">
        <f>(D5-$D$7)*$D$1</f>
        <v>0.56544064687116868</v>
      </c>
      <c r="F5" s="6">
        <f>E5^2</f>
        <v>0.31972312513408568</v>
      </c>
      <c r="H5" s="5">
        <f>($H$2/2)*(C5-$C$7)^2</f>
        <v>0.44029101642708551</v>
      </c>
      <c r="I5" s="10">
        <f>(E5-H5)^2</f>
        <v>1.5662430000290588E-2</v>
      </c>
      <c r="L5" s="5">
        <f>($L$2*3/(5*$L$3^2))*(1-2.5*EXP(-$L$3*B5*$B$1)+1.5*EXP(-(5/3)*$L$3*B5*$B$1))</f>
        <v>0.56378719443567693</v>
      </c>
      <c r="M5" s="10">
        <f>(E5-L5)^2</f>
        <v>2.733904956433611E-6</v>
      </c>
      <c r="P5" s="5">
        <f>($P$2/(2*$P$3^2))*(1-EXP(-$P$3*(C5-$C$7)))^2</f>
        <v>0.56531374775125354</v>
      </c>
      <c r="Q5" s="10">
        <f>(P5-E5)^2</f>
        <v>1.6103386635238863E-8</v>
      </c>
      <c r="T5" s="5">
        <f>(T$2/(2*T$3^2))*(1-EXP(-T$3*($C5-$C$7)))^2</f>
        <v>0.56599344169688592</v>
      </c>
      <c r="U5" s="10">
        <f>(T5-$E5)^2</f>
        <v>3.0558211933975367E-7</v>
      </c>
      <c r="X5" s="5">
        <f>(X$2/2)*(($C5-X$3*$B$1)^2-($C$7-X$3*$B$1)^2)</f>
        <v>0.54562481195855594</v>
      </c>
      <c r="Y5" s="10">
        <f>($E5-X5)^2</f>
        <v>3.9266731328392194E-4</v>
      </c>
      <c r="AB5" s="5">
        <f>(AB$2*3/(5*AB$3^2))*((1-2.5*EXP(-AB$3*($A5-AD$3)*$B$1)+1.5*EXP(-(5/3)*AB$3*($A5-AD$3)*$B$1))-(1-2.5*EXP(-AB$3*($A$7-AD$3)*$B$1)+1.5*EXP(-(5/3)*AB$3*($A$7-AD$3)*$B$1)))</f>
        <v>0.56493819547265267</v>
      </c>
      <c r="AC5" s="10">
        <f>($E5-AB5)^2</f>
        <v>2.5245740787069713E-7</v>
      </c>
    </row>
    <row r="6" spans="1:31" x14ac:dyDescent="0.25">
      <c r="A6" s="1">
        <f>$D$2+B6</f>
        <v>1.262</v>
      </c>
      <c r="B6" s="1">
        <v>-7.0000000000000007E-2</v>
      </c>
      <c r="C6" s="1">
        <f t="shared" ref="C6:C9" si="0">A6*$B$1</f>
        <v>2.3848392600000001</v>
      </c>
      <c r="D6" s="1">
        <v>-827.97639981999998</v>
      </c>
      <c r="E6" s="1">
        <f t="shared" ref="E6:E9" si="1">(D6-$D$7)*$D$1</f>
        <v>0.12097453732317318</v>
      </c>
      <c r="F6" s="6">
        <f t="shared" ref="F6:F9" si="2">E6^2</f>
        <v>1.4634838680555819E-2</v>
      </c>
      <c r="H6" s="5">
        <f t="shared" ref="H6:H9" si="3">($H$2/2)*(C6-$C$7)^2</f>
        <v>0.11007275410677138</v>
      </c>
      <c r="I6" s="10">
        <f t="shared" ref="I6:I9" si="4">(E6-H6)^2</f>
        <v>1.1884887729741992E-4</v>
      </c>
      <c r="L6" s="5">
        <f>($L$2*3/(5*$L$3^2))*(1-2.5*EXP(-$L$3*B6*$B$1)+1.5*EXP(-(5/3)*$L$3*B6*$B$1))</f>
        <v>0.12175545144948546</v>
      </c>
      <c r="M6" s="10">
        <f>(E6-L6)^2</f>
        <v>6.0982687267408347E-7</v>
      </c>
      <c r="P6" s="5">
        <f>($P$2/(2*$P$3^2))*(1-EXP(-$P$3*(C6-$C$7)))^2</f>
        <v>0.12167123298491003</v>
      </c>
      <c r="Q6" s="10">
        <f t="shared" ref="Q6:Q9" si="5">(P6-E6)^2</f>
        <v>4.8538484508295695E-7</v>
      </c>
      <c r="T6" s="5">
        <f t="shared" ref="T6:T9" si="6">(T$2/(2*T$3^2))*(1-EXP(-T$3*($C6-$C$7)))^2</f>
        <v>0.12165996010333256</v>
      </c>
      <c r="U6" s="10">
        <f t="shared" ref="U6:U9" si="7">(T6-$E6)^2</f>
        <v>4.6980438756142272E-7</v>
      </c>
      <c r="X6" s="5">
        <f t="shared" ref="X6:X9" si="8">(X$2/2)*(($C6-X$3*$B$1)^2-($C$7-X$3*$B$1)^2)</f>
        <v>0.16273858978835509</v>
      </c>
      <c r="Y6" s="10">
        <f t="shared" ref="Y6:Y9" si="9">($E6-X6)^2</f>
        <v>1.7442360783144677E-3</v>
      </c>
      <c r="AB6" s="5">
        <f t="shared" ref="AB6:AB9" si="10">(AB$2*3/(5*AB$3^2))*((1-2.5*EXP(-AB$3*($A6-AD$3)*$B$1)+1.5*EXP(-(5/3)*AB$3*($A6-AD$3)*$B$1))-(1-2.5*EXP(-AB$3*($A$7-AD$3)*$B$1)+1.5*EXP(-(5/3)*AB$3*($A$7-AD$3)*$B$1)))</f>
        <v>0.12251210600178888</v>
      </c>
      <c r="AC6" s="10">
        <f t="shared" ref="AC6:AC9" si="11">($E6-AB6)^2</f>
        <v>2.3641174414600554E-6</v>
      </c>
    </row>
    <row r="7" spans="1:31" x14ac:dyDescent="0.25">
      <c r="A7" s="1">
        <f>$D$2+B7</f>
        <v>1.3320000000000001</v>
      </c>
      <c r="B7" s="1">
        <v>0</v>
      </c>
      <c r="C7" s="1">
        <f t="shared" si="0"/>
        <v>2.5171203599999998</v>
      </c>
      <c r="D7" s="1">
        <v>-827.98084555000003</v>
      </c>
      <c r="E7" s="1">
        <f t="shared" si="1"/>
        <v>0</v>
      </c>
      <c r="F7" s="6">
        <f t="shared" si="2"/>
        <v>0</v>
      </c>
      <c r="G7" s="1" t="s">
        <v>2</v>
      </c>
      <c r="H7" s="5">
        <f t="shared" si="3"/>
        <v>0</v>
      </c>
      <c r="I7" s="10">
        <f t="shared" si="4"/>
        <v>0</v>
      </c>
      <c r="L7" s="5">
        <f>($L$2*3/(5*$L$3^2))*(1-2.5*EXP(-$L$3*B7*$B$1)+1.5*EXP(-(5/3)*$L$3*B7*$B$1))</f>
        <v>0</v>
      </c>
      <c r="M7" s="10">
        <f>(E7-L7)^2</f>
        <v>0</v>
      </c>
      <c r="P7" s="5">
        <f>($P$2/(2*$P$3^2))*(1-EXP(-$P$3*(C7-$C$7)))^2</f>
        <v>0</v>
      </c>
      <c r="Q7" s="10">
        <f t="shared" si="5"/>
        <v>0</v>
      </c>
      <c r="T7" s="5">
        <f t="shared" si="6"/>
        <v>0</v>
      </c>
      <c r="U7" s="10">
        <f t="shared" si="7"/>
        <v>0</v>
      </c>
      <c r="X7" s="5">
        <f t="shared" si="8"/>
        <v>0</v>
      </c>
      <c r="Y7" s="10">
        <f t="shared" si="9"/>
        <v>0</v>
      </c>
      <c r="AB7" s="5">
        <f t="shared" si="10"/>
        <v>0</v>
      </c>
      <c r="AC7" s="10">
        <f t="shared" si="11"/>
        <v>0</v>
      </c>
    </row>
    <row r="8" spans="1:31" x14ac:dyDescent="0.25">
      <c r="A8" s="1">
        <f>$D$2+B8</f>
        <v>1.4020000000000001</v>
      </c>
      <c r="B8" s="1">
        <v>7.0000000000000007E-2</v>
      </c>
      <c r="C8" s="1">
        <f t="shared" si="0"/>
        <v>2.64940146</v>
      </c>
      <c r="D8" s="1">
        <v>-827.97751358000005</v>
      </c>
      <c r="E8" s="1">
        <f t="shared" si="1"/>
        <v>9.0667568457361528E-2</v>
      </c>
      <c r="F8" s="6">
        <f t="shared" si="2"/>
        <v>8.2206079699703397E-3</v>
      </c>
      <c r="H8" s="5">
        <f t="shared" si="3"/>
        <v>0.11007275410677211</v>
      </c>
      <c r="I8" s="10">
        <f t="shared" si="4"/>
        <v>3.7656123008809054E-4</v>
      </c>
      <c r="L8" s="5">
        <f>($L$2*3/(5*$L$3^2))*(1-2.5*EXP(-$L$3*B8*$B$1)+1.5*EXP(-(5/3)*$L$3*B8*$B$1))</f>
        <v>9.1668527366300323E-2</v>
      </c>
      <c r="M8" s="10">
        <f>(E8-L8)^2</f>
        <v>1.0019187373839439E-6</v>
      </c>
      <c r="P8" s="5">
        <f>($P$2/(2*$P$3^2))*(1-EXP(-$P$3*(C8-$C$7)))^2</f>
        <v>9.1125010981051233E-2</v>
      </c>
      <c r="Q8" s="10">
        <f t="shared" si="5"/>
        <v>2.0925366247960638E-7</v>
      </c>
      <c r="T8" s="5">
        <f t="shared" si="6"/>
        <v>9.0896908741502178E-2</v>
      </c>
      <c r="U8" s="10">
        <f t="shared" si="7"/>
        <v>5.259696592971408E-8</v>
      </c>
      <c r="X8" s="5">
        <f t="shared" si="8"/>
        <v>5.7409042593491222E-2</v>
      </c>
      <c r="Y8" s="10">
        <f t="shared" si="9"/>
        <v>1.1061295426377301E-3</v>
      </c>
      <c r="AB8" s="5">
        <f t="shared" si="10"/>
        <v>9.0701276955776178E-2</v>
      </c>
      <c r="AC8" s="10">
        <f t="shared" si="11"/>
        <v>1.1362628653704735E-9</v>
      </c>
    </row>
    <row r="9" spans="1:31" x14ac:dyDescent="0.25">
      <c r="A9" s="1">
        <f>$D$2+B9</f>
        <v>1.472</v>
      </c>
      <c r="B9" s="1">
        <v>0.14000000000000001</v>
      </c>
      <c r="C9" s="1">
        <f t="shared" si="0"/>
        <v>2.7816825599999997</v>
      </c>
      <c r="D9" s="1">
        <v>-827.96918619999997</v>
      </c>
      <c r="E9" s="1">
        <f t="shared" si="1"/>
        <v>0.31726723659160605</v>
      </c>
      <c r="F9" s="6">
        <f t="shared" si="2"/>
        <v>0.10065849941447413</v>
      </c>
      <c r="H9" s="5">
        <f t="shared" si="3"/>
        <v>0.44029101642708696</v>
      </c>
      <c r="I9" s="10">
        <f t="shared" si="4"/>
        <v>1.5134850405008879E-2</v>
      </c>
      <c r="L9" s="5">
        <f>($L$2*3/(5*$L$3^2))*(1-2.5*EXP(-$L$3*B9*$B$1)+1.5*EXP(-(5/3)*$L$3*B9*$B$1))</f>
        <v>0.31959940089808742</v>
      </c>
      <c r="M9" s="10">
        <f>(E9-L9)^2</f>
        <v>5.43899035242571E-6</v>
      </c>
      <c r="P9" s="5">
        <f>($P$2/(2*$P$3^2))*(1-EXP(-$P$3*(C9-$C$7)))^2</f>
        <v>0.3170946511115893</v>
      </c>
      <c r="Q9" s="10">
        <f t="shared" si="5"/>
        <v>2.9785747912612513E-8</v>
      </c>
      <c r="T9" s="5">
        <f t="shared" si="6"/>
        <v>0.3159470372297648</v>
      </c>
      <c r="U9" s="10">
        <f t="shared" si="7"/>
        <v>1.742926355006032E-6</v>
      </c>
      <c r="X9" s="5">
        <f t="shared" si="8"/>
        <v>0.33496571756882837</v>
      </c>
      <c r="Y9" s="10">
        <f t="shared" si="9"/>
        <v>3.1323622890110033E-4</v>
      </c>
      <c r="AB9" s="5">
        <f t="shared" si="10"/>
        <v>0.31756067384985631</v>
      </c>
      <c r="AC9" s="10">
        <f t="shared" si="11"/>
        <v>8.6105424529430961E-8</v>
      </c>
    </row>
    <row r="10" spans="1:31" x14ac:dyDescent="0.25">
      <c r="F10" s="6"/>
      <c r="H10" s="4"/>
      <c r="I10" s="4"/>
      <c r="L10" s="4"/>
      <c r="M10" s="4"/>
      <c r="P10" s="4"/>
      <c r="Q10" s="4"/>
      <c r="T10" s="4"/>
      <c r="U10" s="4"/>
      <c r="X10" s="4"/>
      <c r="Y10" s="4"/>
      <c r="AB10" s="4"/>
      <c r="AC10" s="4"/>
    </row>
    <row r="11" spans="1:31" x14ac:dyDescent="0.25">
      <c r="F11" s="7">
        <f>SUM(F5:F9)</f>
        <v>0.44323707119908595</v>
      </c>
      <c r="H11" s="4"/>
      <c r="I11" s="5">
        <f>SUM(I5:I9)</f>
        <v>3.1292690512684976E-2</v>
      </c>
      <c r="J11" s="2" t="s">
        <v>17</v>
      </c>
      <c r="L11" s="4"/>
      <c r="M11" s="10">
        <f>SUM(M5:M9)</f>
        <v>9.7846409189173476E-6</v>
      </c>
      <c r="N11" s="2" t="s">
        <v>17</v>
      </c>
      <c r="P11" s="4"/>
      <c r="Q11" s="10">
        <f>SUM(Q5:Q9)</f>
        <v>7.4052764211041471E-7</v>
      </c>
      <c r="R11" s="2" t="s">
        <v>17</v>
      </c>
      <c r="T11" s="4"/>
      <c r="U11" s="10">
        <f>SUM(U5:U9)</f>
        <v>2.5709098278369223E-6</v>
      </c>
      <c r="V11" s="2" t="s">
        <v>17</v>
      </c>
      <c r="X11" s="4"/>
      <c r="Y11" s="5">
        <f>SUM(Y5:Y9)</f>
        <v>3.5562691631372202E-3</v>
      </c>
      <c r="Z11" s="2" t="s">
        <v>17</v>
      </c>
      <c r="AB11" s="4"/>
      <c r="AC11" s="10">
        <f>SUM(AC5:AC9)</f>
        <v>2.7038165367255537E-6</v>
      </c>
      <c r="AD11" s="2" t="s">
        <v>17</v>
      </c>
    </row>
    <row r="12" spans="1:31" x14ac:dyDescent="0.25">
      <c r="F12" s="7" t="s">
        <v>20</v>
      </c>
      <c r="H12" s="4"/>
      <c r="I12" s="5">
        <f>1-I11/$F$11</f>
        <v>0.92939965416694703</v>
      </c>
      <c r="J12" s="2" t="s">
        <v>18</v>
      </c>
      <c r="L12" s="4"/>
      <c r="M12" s="5">
        <f>1-M11/$F$11</f>
        <v>0.99997792458809354</v>
      </c>
      <c r="N12" s="2" t="s">
        <v>18</v>
      </c>
      <c r="P12" s="4"/>
      <c r="Q12" s="5">
        <f>1-Q11/F11</f>
        <v>0.99999832927412835</v>
      </c>
      <c r="R12" s="2" t="s">
        <v>18</v>
      </c>
      <c r="T12" s="4"/>
      <c r="U12" s="5">
        <f>1-U11/$F11</f>
        <v>0.99999419969584025</v>
      </c>
      <c r="V12" s="2" t="s">
        <v>18</v>
      </c>
      <c r="X12" s="4"/>
      <c r="Y12" s="5">
        <f>1-Y11/$F$11</f>
        <v>0.99197659809113781</v>
      </c>
      <c r="Z12" s="2" t="s">
        <v>18</v>
      </c>
      <c r="AB12" s="4"/>
      <c r="AC12" s="5">
        <f>1-AC11/$F$11</f>
        <v>0.99999389984116305</v>
      </c>
      <c r="AD12" s="2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62"/>
  <sheetViews>
    <sheetView workbookViewId="0">
      <selection activeCell="P17" sqref="P17"/>
    </sheetView>
  </sheetViews>
  <sheetFormatPr defaultRowHeight="15" x14ac:dyDescent="0.25"/>
  <cols>
    <col min="1" max="1" width="20.42578125" style="1" customWidth="1"/>
    <col min="2" max="2" width="15.28515625" style="1" customWidth="1"/>
    <col min="3" max="3" width="15" style="1" customWidth="1"/>
    <col min="4" max="4" width="10.7109375" style="1" customWidth="1"/>
    <col min="5" max="5" width="12.7109375" style="1" bestFit="1" customWidth="1"/>
    <col min="6" max="6" width="12" style="1" bestFit="1" customWidth="1"/>
    <col min="7" max="8" width="12.7109375" style="1" bestFit="1" customWidth="1"/>
    <col min="9" max="9" width="9.140625" style="1"/>
    <col min="10" max="10" width="16" style="11" customWidth="1"/>
    <col min="11" max="12" width="9.28515625" style="1" bestFit="1" customWidth="1"/>
    <col min="13" max="13" width="14.7109375" style="1" customWidth="1"/>
    <col min="14" max="15" width="9.28515625" style="1" bestFit="1" customWidth="1"/>
    <col min="16" max="16" width="9.85546875" style="11" customWidth="1"/>
    <col min="17" max="17" width="9.140625" style="11" bestFit="1"/>
    <col min="18" max="18" width="9.140625" style="1"/>
    <col min="19" max="20" width="9.28515625" style="1" bestFit="1" customWidth="1"/>
    <col min="21" max="22" width="9.140625" style="1"/>
    <col min="23" max="24" width="9.28515625" style="1" bestFit="1" customWidth="1"/>
    <col min="25" max="26" width="9.140625" style="1"/>
    <col min="27" max="27" width="16.7109375" style="1" customWidth="1"/>
    <col min="28" max="28" width="9.42578125" style="1" customWidth="1"/>
    <col min="29" max="29" width="9.28515625" style="1" bestFit="1" customWidth="1"/>
    <col min="30" max="30" width="14.42578125" style="11" customWidth="1"/>
    <col min="31" max="34" width="9.28515625" style="1" bestFit="1" customWidth="1"/>
    <col min="35" max="35" width="9.140625" style="1"/>
    <col min="36" max="37" width="9.28515625" style="1" bestFit="1" customWidth="1"/>
    <col min="38" max="39" width="9.140625" style="1"/>
    <col min="40" max="41" width="9.28515625" style="1" bestFit="1" customWidth="1"/>
    <col min="42" max="43" width="9.140625" style="1"/>
  </cols>
  <sheetData>
    <row r="1" spans="1:42" x14ac:dyDescent="0.25">
      <c r="S1" s="1" t="s">
        <v>48</v>
      </c>
      <c r="W1" s="1" t="s">
        <v>49</v>
      </c>
      <c r="AJ1" s="1" t="s">
        <v>48</v>
      </c>
      <c r="AN1" s="1" t="s">
        <v>49</v>
      </c>
    </row>
    <row r="2" spans="1:42" x14ac:dyDescent="0.25">
      <c r="B2" s="1">
        <v>1.8897299999999999</v>
      </c>
      <c r="C2" s="1" t="s">
        <v>26</v>
      </c>
      <c r="E2" s="1">
        <v>27.211400000000001</v>
      </c>
      <c r="F2" s="1" t="s">
        <v>3</v>
      </c>
      <c r="S2" s="3" t="s">
        <v>29</v>
      </c>
      <c r="T2" s="4"/>
      <c r="W2" s="3" t="s">
        <v>29</v>
      </c>
      <c r="X2" s="4"/>
      <c r="AJ2" s="3" t="s">
        <v>29</v>
      </c>
      <c r="AK2" s="4"/>
      <c r="AN2" s="3" t="s">
        <v>29</v>
      </c>
      <c r="AO2" s="4"/>
    </row>
    <row r="3" spans="1:42" x14ac:dyDescent="0.25">
      <c r="J3" s="13" t="s">
        <v>43</v>
      </c>
      <c r="L3" s="2" t="s">
        <v>45</v>
      </c>
      <c r="M3" s="2"/>
      <c r="N3" s="2" t="s">
        <v>46</v>
      </c>
      <c r="P3" s="13" t="s">
        <v>47</v>
      </c>
      <c r="S3" s="9">
        <v>12.616291051592725</v>
      </c>
      <c r="T3" s="4" t="s">
        <v>12</v>
      </c>
      <c r="U3" s="1" t="s">
        <v>30</v>
      </c>
      <c r="W3" s="9">
        <v>12.800196628788768</v>
      </c>
      <c r="X3" s="4" t="s">
        <v>12</v>
      </c>
      <c r="Y3" s="1" t="s">
        <v>30</v>
      </c>
      <c r="AA3" s="2" t="s">
        <v>44</v>
      </c>
      <c r="AC3" s="2" t="s">
        <v>45</v>
      </c>
      <c r="AE3" s="2" t="s">
        <v>46</v>
      </c>
      <c r="AG3" s="2" t="s">
        <v>47</v>
      </c>
      <c r="AJ3" s="9">
        <v>12.577977743159524</v>
      </c>
      <c r="AK3" s="4" t="s">
        <v>12</v>
      </c>
      <c r="AL3" s="1" t="s">
        <v>30</v>
      </c>
      <c r="AN3" s="9">
        <v>12.562301006082281</v>
      </c>
      <c r="AO3" s="4" t="s">
        <v>12</v>
      </c>
      <c r="AP3" s="1" t="s">
        <v>30</v>
      </c>
    </row>
    <row r="4" spans="1:42" x14ac:dyDescent="0.25">
      <c r="A4" s="2"/>
      <c r="B4" s="2" t="s">
        <v>24</v>
      </c>
      <c r="C4" s="2"/>
      <c r="D4" s="2" t="s">
        <v>40</v>
      </c>
      <c r="F4" s="2"/>
      <c r="G4" s="2"/>
      <c r="H4" s="2"/>
      <c r="L4" s="2" t="s">
        <v>42</v>
      </c>
      <c r="N4" s="2" t="s">
        <v>42</v>
      </c>
      <c r="P4" s="13" t="s">
        <v>42</v>
      </c>
      <c r="S4" s="8">
        <v>1.3473133361570517</v>
      </c>
      <c r="T4" s="4" t="s">
        <v>31</v>
      </c>
      <c r="U4" s="1" t="s">
        <v>32</v>
      </c>
      <c r="W4" s="8">
        <v>1.339990834997181</v>
      </c>
      <c r="X4" s="4" t="s">
        <v>31</v>
      </c>
      <c r="Y4" s="1" t="s">
        <v>32</v>
      </c>
      <c r="AC4" s="2" t="s">
        <v>42</v>
      </c>
      <c r="AE4" s="2" t="s">
        <v>42</v>
      </c>
      <c r="AG4" s="2" t="s">
        <v>42</v>
      </c>
      <c r="AJ4" s="8">
        <v>1.3470651246615353</v>
      </c>
      <c r="AK4" s="4" t="s">
        <v>31</v>
      </c>
      <c r="AL4" s="1" t="s">
        <v>32</v>
      </c>
      <c r="AN4" s="8">
        <v>1.3383112324746436</v>
      </c>
      <c r="AO4" s="4" t="s">
        <v>31</v>
      </c>
      <c r="AP4" s="1" t="s">
        <v>32</v>
      </c>
    </row>
    <row r="5" spans="1:42" x14ac:dyDescent="0.25">
      <c r="A5" s="2" t="s">
        <v>23</v>
      </c>
      <c r="B5" s="2" t="s">
        <v>25</v>
      </c>
      <c r="C5" s="2" t="s">
        <v>22</v>
      </c>
      <c r="D5" s="14" t="s">
        <v>35</v>
      </c>
      <c r="E5" s="14" t="s">
        <v>36</v>
      </c>
      <c r="F5" s="14" t="s">
        <v>37</v>
      </c>
      <c r="G5" s="14" t="s">
        <v>38</v>
      </c>
      <c r="H5" s="14" t="s">
        <v>39</v>
      </c>
      <c r="J5" s="13" t="s">
        <v>64</v>
      </c>
      <c r="K5" s="2" t="s">
        <v>41</v>
      </c>
      <c r="L5" s="2">
        <v>0.1</v>
      </c>
      <c r="M5" s="2">
        <v>0.62</v>
      </c>
      <c r="N5" s="2">
        <v>0.1</v>
      </c>
      <c r="O5" s="2">
        <v>0.62</v>
      </c>
      <c r="P5" s="13">
        <v>0.1</v>
      </c>
      <c r="Q5" s="13">
        <v>0.62</v>
      </c>
      <c r="S5" s="3" t="s">
        <v>27</v>
      </c>
      <c r="T5" s="3" t="s">
        <v>21</v>
      </c>
      <c r="W5" s="3" t="s">
        <v>27</v>
      </c>
      <c r="X5" s="3" t="s">
        <v>21</v>
      </c>
      <c r="AA5" s="2" t="s">
        <v>64</v>
      </c>
      <c r="AB5" s="2" t="s">
        <v>41</v>
      </c>
      <c r="AC5" s="2">
        <v>0.1</v>
      </c>
      <c r="AD5" s="13">
        <v>0.62</v>
      </c>
      <c r="AE5" s="2">
        <v>0.1</v>
      </c>
      <c r="AF5" s="2">
        <v>0.62</v>
      </c>
      <c r="AG5" s="2">
        <v>0.1</v>
      </c>
      <c r="AH5" s="2">
        <v>0.62</v>
      </c>
      <c r="AJ5" s="3" t="s">
        <v>27</v>
      </c>
      <c r="AK5" s="3" t="s">
        <v>21</v>
      </c>
      <c r="AN5" s="3" t="s">
        <v>27</v>
      </c>
      <c r="AO5" s="3" t="s">
        <v>21</v>
      </c>
    </row>
    <row r="6" spans="1:42" x14ac:dyDescent="0.25">
      <c r="A6" s="1">
        <v>1.1920000000000002</v>
      </c>
      <c r="B6" s="1">
        <v>-0.14000000000000001</v>
      </c>
      <c r="C6" s="1">
        <v>2.2525581600000004</v>
      </c>
      <c r="D6" s="11">
        <v>2.65307</v>
      </c>
      <c r="E6" s="11">
        <v>3.4885199999999998</v>
      </c>
      <c r="F6" s="11">
        <v>4.5909700000000004</v>
      </c>
      <c r="G6" s="11">
        <v>3.9690099999999999</v>
      </c>
      <c r="H6" s="11">
        <v>5.3005800000000001</v>
      </c>
      <c r="I6" s="11"/>
      <c r="J6" s="11">
        <f>(-2/D6+2/E6-2/F6+1/G6-1/H6)/$B$2</f>
        <v>-0.2925703785513491</v>
      </c>
      <c r="K6" s="11">
        <f>$E$2*J6</f>
        <v>-7.9612495989121808</v>
      </c>
      <c r="L6" s="11">
        <f>K6*L$5</f>
        <v>-0.79612495989121812</v>
      </c>
      <c r="M6" s="11">
        <f>K6*M$5</f>
        <v>-4.9359747513255519</v>
      </c>
      <c r="N6" s="11">
        <f>L6+sheet1!$E5</f>
        <v>-0.23068431302004944</v>
      </c>
      <c r="O6" s="11">
        <f>M6+sheet1!$E5</f>
        <v>-4.3705341044543831</v>
      </c>
      <c r="P6" s="11">
        <f t="shared" ref="P6:Q10" si="0">N6-N$8</f>
        <v>0.55795186977796196</v>
      </c>
      <c r="Q6" s="11">
        <f t="shared" si="0"/>
        <v>0.51901022889328718</v>
      </c>
      <c r="R6" s="11"/>
      <c r="S6" s="5">
        <f>(S$3/2)*(($C6-S$4*$B$2)^2-($C$8-S$4*$B$2)^2)</f>
        <v>0.53811633505406642</v>
      </c>
      <c r="T6" s="10">
        <f>($P6-S6)^2</f>
        <v>3.934484377828658E-4</v>
      </c>
      <c r="V6" s="11"/>
      <c r="W6" s="5">
        <f>(W$3/2)*(($C6-W$4*$B$2)^2-($C$8-W$4*$B$2)^2)</f>
        <v>0.49910022099172935</v>
      </c>
      <c r="X6" s="10">
        <f>($Q6-W6)^2</f>
        <v>3.9640841464009543E-4</v>
      </c>
      <c r="Z6" s="11"/>
      <c r="AA6" s="11">
        <f>(-2/F6+1/G6-1/H6)/$B$2</f>
        <v>-0.19703575967319978</v>
      </c>
      <c r="AB6" s="11">
        <f>$E$2*AA6</f>
        <v>-5.3616188707713084</v>
      </c>
      <c r="AC6" s="11">
        <f>AB6*AC$5</f>
        <v>-0.53616188707713086</v>
      </c>
      <c r="AD6" s="11">
        <f>AB6*AD$5</f>
        <v>-3.3242036998782112</v>
      </c>
      <c r="AE6" s="11">
        <f>AC6+sheet1!$E5</f>
        <v>2.9278759794037823E-2</v>
      </c>
      <c r="AF6" s="11">
        <f>AD6+sheet1!$E5</f>
        <v>-2.7587630530070424</v>
      </c>
      <c r="AG6" s="11">
        <f>AE6-AE$8</f>
        <v>0.55474023932066219</v>
      </c>
      <c r="AH6" s="11">
        <f>AF6-AF$8</f>
        <v>0.49909812005802845</v>
      </c>
      <c r="AJ6" s="5">
        <f>(AJ$3/2)*(($C6-AJ$4*$B$2)^2-($C$8-AJ$4*$B$2)^2)</f>
        <v>0.53492132997470976</v>
      </c>
      <c r="AK6" s="10">
        <f>($AG6-AJ6)^2</f>
        <v>3.9278916766308052E-4</v>
      </c>
      <c r="AM6" s="11"/>
      <c r="AN6" s="5">
        <f>(AN$3/2)*(($C6-AN$4*$B$2)^2-($C$8-AN$4*$B$2)^2)</f>
        <v>0.47927548364355288</v>
      </c>
      <c r="AO6" s="10">
        <f>(AH6-AN6)^2</f>
        <v>3.9293691442049286E-4</v>
      </c>
    </row>
    <row r="7" spans="1:42" x14ac:dyDescent="0.25">
      <c r="A7" s="1">
        <v>1.262</v>
      </c>
      <c r="B7" s="1">
        <v>-7.0000000000000007E-2</v>
      </c>
      <c r="C7" s="1">
        <v>2.3848392600000001</v>
      </c>
      <c r="D7" s="11">
        <v>2.6859999999999999</v>
      </c>
      <c r="E7" s="11">
        <v>3.5543100000000001</v>
      </c>
      <c r="F7" s="11">
        <v>4.6511899999999997</v>
      </c>
      <c r="G7" s="11">
        <v>4.0390100000000002</v>
      </c>
      <c r="H7" s="11">
        <v>5.3705800000000004</v>
      </c>
      <c r="I7" s="11"/>
      <c r="J7" s="11">
        <f t="shared" ref="J7:J10" si="1">(-2/D7+2/E7-2/F7+1/G7-1/H7)/$B$2</f>
        <v>-0.29132003407282692</v>
      </c>
      <c r="K7" s="11">
        <f t="shared" ref="K7:K10" si="2">$E$2*J7</f>
        <v>-7.927225975169323</v>
      </c>
      <c r="L7" s="11">
        <f t="shared" ref="L7:L10" si="3">K7*L$5</f>
        <v>-0.7927225975169323</v>
      </c>
      <c r="M7" s="11">
        <f t="shared" ref="M7:M10" si="4">K7*M$5</f>
        <v>-4.9148801046049799</v>
      </c>
      <c r="N7" s="11">
        <f>L7+sheet1!$E6</f>
        <v>-0.6717480601937591</v>
      </c>
      <c r="O7" s="11">
        <f>M7+sheet1!$E6</f>
        <v>-4.7939055672818069</v>
      </c>
      <c r="P7" s="11">
        <f t="shared" si="0"/>
        <v>0.1168881226042523</v>
      </c>
      <c r="Q7" s="11">
        <f t="shared" si="0"/>
        <v>9.5638766065863301E-2</v>
      </c>
      <c r="R7" s="11"/>
      <c r="S7" s="5">
        <f t="shared" ref="S7:S10" si="5">(S$3/2)*(($C7-S$4*$B$2)^2-($C$8-S$4*$B$2)^2)</f>
        <v>0.1586764114307706</v>
      </c>
      <c r="T7" s="10">
        <f>($P7-S7)^2</f>
        <v>1.7462610830485147E-3</v>
      </c>
      <c r="V7" s="11"/>
      <c r="W7" s="5">
        <f t="shared" ref="W7:W10" si="6">(W$3/2)*(($C7-W$4*$B$2)^2-($C$8-W$4*$B$2)^2)</f>
        <v>0.13755933789199434</v>
      </c>
      <c r="X7" s="10">
        <f>($Q7-W7)^2</f>
        <v>1.7573343422298117E-3</v>
      </c>
      <c r="Z7" s="11"/>
      <c r="AA7" s="11">
        <f>(-2/F7+1/G7-1/H7)/$B$2</f>
        <v>-0.19506050583926351</v>
      </c>
      <c r="AB7" s="11">
        <f t="shared" ref="AB7:AB10" si="7">$E$2*AA7</f>
        <v>-5.307869448594535</v>
      </c>
      <c r="AC7" s="11">
        <f t="shared" ref="AC7:AC10" si="8">AB7*AC$5</f>
        <v>-0.53078694485945355</v>
      </c>
      <c r="AD7" s="11">
        <f t="shared" ref="AD7:AD10" si="9">AB7*AD$5</f>
        <v>-3.2908790581286116</v>
      </c>
      <c r="AE7" s="11">
        <f>AC7+sheet1!$E6</f>
        <v>-0.40981240753628034</v>
      </c>
      <c r="AF7" s="11">
        <f>AD7+sheet1!$E6</f>
        <v>-3.1699045208054386</v>
      </c>
      <c r="AG7" s="11">
        <f t="shared" ref="AG7:AH10" si="10">AE7-AE$8</f>
        <v>0.11564907199034402</v>
      </c>
      <c r="AH7" s="11">
        <f t="shared" si="10"/>
        <v>8.7956652259632229E-2</v>
      </c>
      <c r="AJ7" s="5">
        <f t="shared" ref="AJ7:AJ10" si="11">(AJ$3/2)*(($C7-AJ$4*$B$2)^2-($C$8-AJ$4*$B$2)^2)</f>
        <v>0.15741411757083976</v>
      </c>
      <c r="AK7" s="10">
        <f t="shared" ref="AK7:AK10" si="12">($AG7-AJ7)^2</f>
        <v>1.7443190323408863E-3</v>
      </c>
      <c r="AM7" s="11"/>
      <c r="AN7" s="5">
        <f t="shared" ref="AN7:AN10" si="13">(AN$3/2)*(($C7-AN$4*$B$2)^2-($C$8-AN$4*$B$2)^2)</f>
        <v>0.12972835244650888</v>
      </c>
      <c r="AO7" s="10">
        <f t="shared" ref="AO7:AO10" si="14">(AH7-AN7)^2</f>
        <v>1.7448749365023106E-3</v>
      </c>
    </row>
    <row r="8" spans="1:42" x14ac:dyDescent="0.25">
      <c r="A8" s="1">
        <v>1.3320000000000001</v>
      </c>
      <c r="B8" s="1">
        <v>0</v>
      </c>
      <c r="C8" s="1">
        <v>2.5171203599999998</v>
      </c>
      <c r="D8" s="11">
        <v>2.7202999999999999</v>
      </c>
      <c r="E8" s="11">
        <v>3.62025</v>
      </c>
      <c r="F8" s="11">
        <v>4.7116800000000003</v>
      </c>
      <c r="G8" s="11">
        <v>4.1090099999999996</v>
      </c>
      <c r="H8" s="11">
        <v>5.4405799999999997</v>
      </c>
      <c r="I8" s="11"/>
      <c r="J8" s="11">
        <f t="shared" si="1"/>
        <v>-0.28981830512138712</v>
      </c>
      <c r="K8" s="11">
        <f t="shared" si="2"/>
        <v>-7.8863618279801138</v>
      </c>
      <c r="L8" s="11">
        <f t="shared" si="3"/>
        <v>-0.7886361827980114</v>
      </c>
      <c r="M8" s="11">
        <f t="shared" si="4"/>
        <v>-4.8895443333476702</v>
      </c>
      <c r="N8" s="11">
        <f>L8+sheet1!$E7</f>
        <v>-0.7886361827980114</v>
      </c>
      <c r="O8" s="11">
        <f>M8+sheet1!$E7</f>
        <v>-4.8895443333476702</v>
      </c>
      <c r="P8" s="11">
        <f t="shared" si="0"/>
        <v>0</v>
      </c>
      <c r="Q8" s="11">
        <f t="shared" si="0"/>
        <v>0</v>
      </c>
      <c r="R8" s="11"/>
      <c r="S8" s="5">
        <f t="shared" si="5"/>
        <v>0</v>
      </c>
      <c r="T8" s="10">
        <f>($P8-S8)^2</f>
        <v>0</v>
      </c>
      <c r="V8" s="11"/>
      <c r="W8" s="5">
        <f t="shared" si="6"/>
        <v>0</v>
      </c>
      <c r="X8" s="10">
        <f>($Q8-W8)^2</f>
        <v>0</v>
      </c>
      <c r="Z8" s="11"/>
      <c r="AA8" s="11">
        <f>(-2/F8+1/G8-1/H8)/$B$2</f>
        <v>-0.19310343441595224</v>
      </c>
      <c r="AB8" s="11">
        <f t="shared" si="7"/>
        <v>-5.2546147952662432</v>
      </c>
      <c r="AC8" s="11">
        <f t="shared" si="8"/>
        <v>-0.52546147952662436</v>
      </c>
      <c r="AD8" s="11">
        <f t="shared" si="9"/>
        <v>-3.2578611730650708</v>
      </c>
      <c r="AE8" s="11">
        <f>AC8+sheet1!$E7</f>
        <v>-0.52546147952662436</v>
      </c>
      <c r="AF8" s="11">
        <f>AD8+sheet1!$E7</f>
        <v>-3.2578611730650708</v>
      </c>
      <c r="AG8" s="11">
        <f t="shared" si="10"/>
        <v>0</v>
      </c>
      <c r="AH8" s="11">
        <f t="shared" si="10"/>
        <v>0</v>
      </c>
      <c r="AJ8" s="5">
        <f t="shared" si="11"/>
        <v>0</v>
      </c>
      <c r="AK8" s="10">
        <f t="shared" si="12"/>
        <v>0</v>
      </c>
      <c r="AM8" s="11"/>
      <c r="AN8" s="5">
        <f t="shared" si="13"/>
        <v>0</v>
      </c>
      <c r="AO8" s="10">
        <f t="shared" si="14"/>
        <v>0</v>
      </c>
    </row>
    <row r="9" spans="1:42" x14ac:dyDescent="0.25">
      <c r="A9" s="1">
        <v>1.4020000000000001</v>
      </c>
      <c r="B9" s="1">
        <v>7.0000000000000007E-2</v>
      </c>
      <c r="C9" s="1">
        <v>2.64940146</v>
      </c>
      <c r="D9" s="11">
        <v>2.7559999999999998</v>
      </c>
      <c r="E9" s="11">
        <v>3.6863600000000001</v>
      </c>
      <c r="F9" s="11">
        <v>4.7724299999999999</v>
      </c>
      <c r="G9" s="11">
        <v>4.1790099999999999</v>
      </c>
      <c r="H9" s="11">
        <v>5.51058</v>
      </c>
      <c r="I9" s="11"/>
      <c r="J9" s="11">
        <f t="shared" si="1"/>
        <v>-0.28808374445321533</v>
      </c>
      <c r="K9" s="11">
        <f t="shared" si="2"/>
        <v>-7.8391620038142236</v>
      </c>
      <c r="L9" s="11">
        <f t="shared" si="3"/>
        <v>-0.7839162003814224</v>
      </c>
      <c r="M9" s="11">
        <f t="shared" si="4"/>
        <v>-4.8602804423648189</v>
      </c>
      <c r="N9" s="11">
        <f>L9+sheet1!$E8</f>
        <v>-0.69324863192406083</v>
      </c>
      <c r="O9" s="11">
        <f>M9+sheet1!$E8</f>
        <v>-4.769612873907457</v>
      </c>
      <c r="P9" s="11">
        <f t="shared" si="0"/>
        <v>9.5387550873950566E-2</v>
      </c>
      <c r="Q9" s="11">
        <f t="shared" si="0"/>
        <v>0.11993145944021322</v>
      </c>
      <c r="R9" s="11"/>
      <c r="S9" s="5">
        <f t="shared" si="5"/>
        <v>6.2087100761755193E-2</v>
      </c>
      <c r="T9" s="10">
        <f>($P9-S9)^2</f>
        <v>1.1089199776748129E-3</v>
      </c>
      <c r="V9" s="11"/>
      <c r="W9" s="5">
        <f t="shared" si="6"/>
        <v>8.6422207315746957E-2</v>
      </c>
      <c r="X9" s="10">
        <f>($Q9-W9)^2</f>
        <v>1.1228699779410466E-3</v>
      </c>
      <c r="Z9" s="11"/>
      <c r="AA9" s="11">
        <f>(-2/F9+1/G9-1/H9)/$B$2</f>
        <v>-0.19116577428282483</v>
      </c>
      <c r="AB9" s="11">
        <f t="shared" si="7"/>
        <v>-5.2018883503196598</v>
      </c>
      <c r="AC9" s="11">
        <f t="shared" si="8"/>
        <v>-0.520188835031966</v>
      </c>
      <c r="AD9" s="11">
        <f t="shared" si="9"/>
        <v>-3.2251707771981892</v>
      </c>
      <c r="AE9" s="11">
        <f>AC9+sheet1!$E8</f>
        <v>-0.42952126657460449</v>
      </c>
      <c r="AF9" s="11">
        <f>AD9+sheet1!$E8</f>
        <v>-3.1345032087408278</v>
      </c>
      <c r="AG9" s="11">
        <f t="shared" si="10"/>
        <v>9.5940212952019877E-2</v>
      </c>
      <c r="AH9" s="11">
        <f t="shared" si="10"/>
        <v>0.12335796432424306</v>
      </c>
      <c r="AJ9" s="5">
        <f t="shared" si="11"/>
        <v>6.2678977262191071E-2</v>
      </c>
      <c r="AK9" s="10">
        <f t="shared" si="12"/>
        <v>1.1063097996143415E-3</v>
      </c>
      <c r="AM9" s="11"/>
      <c r="AN9" s="5">
        <f t="shared" si="13"/>
        <v>9.009042630402693E-2</v>
      </c>
      <c r="AO9" s="10">
        <f t="shared" si="14"/>
        <v>1.106729085926526E-3</v>
      </c>
    </row>
    <row r="10" spans="1:42" x14ac:dyDescent="0.25">
      <c r="A10" s="1">
        <v>1.472</v>
      </c>
      <c r="B10" s="1">
        <v>0.14000000000000001</v>
      </c>
      <c r="C10" s="1">
        <v>2.7816825599999997</v>
      </c>
      <c r="D10" s="11">
        <v>2.7929200000000001</v>
      </c>
      <c r="E10" s="11">
        <v>3.7526000000000002</v>
      </c>
      <c r="F10" s="11">
        <v>4.8334299999999999</v>
      </c>
      <c r="G10" s="11">
        <v>4.2490100000000002</v>
      </c>
      <c r="H10" s="11">
        <v>5.5805800000000003</v>
      </c>
      <c r="I10" s="11"/>
      <c r="J10" s="11">
        <f t="shared" si="1"/>
        <v>-0.28615798810646392</v>
      </c>
      <c r="K10" s="11">
        <f t="shared" si="2"/>
        <v>-7.7867594775602331</v>
      </c>
      <c r="L10" s="11">
        <f t="shared" si="3"/>
        <v>-0.77867594775602333</v>
      </c>
      <c r="M10" s="11">
        <f t="shared" si="4"/>
        <v>-4.8277908760873443</v>
      </c>
      <c r="N10" s="11">
        <f>L10+sheet1!$E9</f>
        <v>-0.46140871116441728</v>
      </c>
      <c r="O10" s="11">
        <f>M10+sheet1!$E9</f>
        <v>-4.5105236394957382</v>
      </c>
      <c r="P10" s="11">
        <f t="shared" si="0"/>
        <v>0.32722747163359411</v>
      </c>
      <c r="Q10" s="11">
        <f t="shared" si="0"/>
        <v>0.37902069385193204</v>
      </c>
      <c r="R10" s="11"/>
      <c r="S10" s="5">
        <f t="shared" si="5"/>
        <v>0.34493771371603582</v>
      </c>
      <c r="T10" s="10">
        <f>($P10-S10)^2</f>
        <v>3.1365267461868918E-4</v>
      </c>
      <c r="V10" s="11"/>
      <c r="W10" s="5">
        <f t="shared" si="6"/>
        <v>0.39682595983923463</v>
      </c>
      <c r="X10" s="10">
        <f>($Q10-W10)^2</f>
        <v>3.1702749687859437E-4</v>
      </c>
      <c r="Z10" s="11"/>
      <c r="AA10" s="11">
        <f>(-2/F10+1/G10-1/H10)/$B$2</f>
        <v>-0.18924858651779058</v>
      </c>
      <c r="AB10" s="11">
        <f t="shared" si="7"/>
        <v>-5.1497189871702069</v>
      </c>
      <c r="AC10" s="11">
        <f t="shared" si="8"/>
        <v>-0.51497189871702076</v>
      </c>
      <c r="AD10" s="11">
        <f t="shared" si="9"/>
        <v>-3.1928257720455284</v>
      </c>
      <c r="AE10" s="11">
        <f>AC10+sheet1!$E9</f>
        <v>-0.19770466212541471</v>
      </c>
      <c r="AF10" s="11">
        <f>AD10+sheet1!$E9</f>
        <v>-2.8755585354539224</v>
      </c>
      <c r="AG10" s="11">
        <f t="shared" si="10"/>
        <v>0.32775681740120965</v>
      </c>
      <c r="AH10" s="11">
        <f t="shared" si="10"/>
        <v>0.38230263761114847</v>
      </c>
      <c r="AJ10" s="5">
        <f t="shared" si="11"/>
        <v>0.34545104935741255</v>
      </c>
      <c r="AK10" s="10">
        <f t="shared" si="12"/>
        <v>3.130858445199119E-4</v>
      </c>
      <c r="AM10" s="11"/>
      <c r="AN10" s="5">
        <f t="shared" si="13"/>
        <v>0.39999963135858901</v>
      </c>
      <c r="AO10" s="10">
        <f t="shared" si="14"/>
        <v>3.1318358769694983E-4</v>
      </c>
    </row>
    <row r="11" spans="1:42" x14ac:dyDescent="0.25">
      <c r="S11" s="4"/>
      <c r="T11" s="4"/>
      <c r="W11" s="4"/>
      <c r="X11" s="4"/>
      <c r="AJ11" s="4"/>
      <c r="AK11" s="4"/>
      <c r="AN11" s="4"/>
      <c r="AO11" s="4"/>
    </row>
    <row r="12" spans="1:42" x14ac:dyDescent="0.25">
      <c r="O12" s="2" t="s">
        <v>20</v>
      </c>
      <c r="P12" s="11">
        <f>P6^2+P7^2+P8^2+P9^2+P10^2</f>
        <v>0.44114972524811569</v>
      </c>
      <c r="Q12" s="11">
        <f>Q6^2+Q7^2+Q8^2+Q9^2+Q10^2</f>
        <v>0.43655863260192279</v>
      </c>
      <c r="S12" s="4"/>
      <c r="T12" s="5">
        <f>SUM(T6:T10)</f>
        <v>3.5622821731248829E-3</v>
      </c>
      <c r="U12" s="2" t="s">
        <v>17</v>
      </c>
      <c r="W12" s="4"/>
      <c r="X12" s="5">
        <f>SUM(X6:X10)</f>
        <v>3.5936402316895481E-3</v>
      </c>
      <c r="Y12" s="2" t="s">
        <v>17</v>
      </c>
      <c r="AF12" s="2" t="s">
        <v>20</v>
      </c>
      <c r="AG12" s="11">
        <f>AG6^2+AG7^2+AG8^2+AG9^2+AG10^2</f>
        <v>0.43774049678802207</v>
      </c>
      <c r="AH12" s="11">
        <f>AH6^2+AH7^2+AH8^2+AH9^2+AH10^2</f>
        <v>0.41820780020884241</v>
      </c>
      <c r="AJ12" s="4"/>
      <c r="AK12" s="5">
        <f>SUM(AK6:AK10)</f>
        <v>3.5565038441382202E-3</v>
      </c>
      <c r="AL12" s="2" t="s">
        <v>17</v>
      </c>
      <c r="AN12" s="4"/>
      <c r="AO12" s="5">
        <f>SUM(AO6:AO10)</f>
        <v>3.5577245245462796E-3</v>
      </c>
      <c r="AP12" s="2" t="s">
        <v>17</v>
      </c>
    </row>
    <row r="13" spans="1:42" x14ac:dyDescent="0.25">
      <c r="S13" s="4"/>
      <c r="T13" s="5">
        <f>1-T12/P12</f>
        <v>0.99192500421229701</v>
      </c>
      <c r="U13" s="2" t="s">
        <v>18</v>
      </c>
      <c r="W13" s="4"/>
      <c r="X13" s="5">
        <f>1-X12/Q12</f>
        <v>0.99176825296004067</v>
      </c>
      <c r="Y13" s="2" t="s">
        <v>18</v>
      </c>
      <c r="AJ13" s="4"/>
      <c r="AK13" s="5">
        <f>1-AK12/AG12</f>
        <v>0.9918753145522643</v>
      </c>
      <c r="AL13" s="2" t="s">
        <v>18</v>
      </c>
      <c r="AN13" s="4"/>
      <c r="AO13" s="5">
        <f>1-AO12/AH12</f>
        <v>0.99149292642851317</v>
      </c>
      <c r="AP13" s="2" t="s">
        <v>18</v>
      </c>
    </row>
    <row r="17" spans="4:42" x14ac:dyDescent="0.25">
      <c r="S17" s="1" t="s">
        <v>48</v>
      </c>
      <c r="W17" s="1" t="s">
        <v>49</v>
      </c>
      <c r="AJ17" s="1" t="s">
        <v>48</v>
      </c>
      <c r="AN17" s="1" t="s">
        <v>49</v>
      </c>
    </row>
    <row r="18" spans="4:42" x14ac:dyDescent="0.25">
      <c r="S18" s="3" t="s">
        <v>52</v>
      </c>
      <c r="T18" s="4"/>
      <c r="W18" s="3" t="s">
        <v>52</v>
      </c>
      <c r="X18" s="4"/>
      <c r="AJ18" s="3" t="s">
        <v>52</v>
      </c>
      <c r="AK18" s="4"/>
      <c r="AN18" s="3" t="s">
        <v>52</v>
      </c>
      <c r="AO18" s="4"/>
    </row>
    <row r="19" spans="4:42" x14ac:dyDescent="0.25">
      <c r="S19" s="9">
        <v>12.581798421133691</v>
      </c>
      <c r="T19" s="4" t="s">
        <v>12</v>
      </c>
      <c r="U19" s="1" t="s">
        <v>30</v>
      </c>
      <c r="W19" s="9">
        <v>12.586090341123946</v>
      </c>
      <c r="X19" s="4" t="s">
        <v>12</v>
      </c>
      <c r="Y19" s="1" t="s">
        <v>30</v>
      </c>
      <c r="AJ19" s="9">
        <v>12.581037016699153</v>
      </c>
      <c r="AK19" s="4" t="s">
        <v>12</v>
      </c>
      <c r="AL19" s="1" t="s">
        <v>30</v>
      </c>
      <c r="AN19" s="9">
        <v>12.581369512667605</v>
      </c>
      <c r="AO19" s="4" t="s">
        <v>12</v>
      </c>
      <c r="AP19" s="1" t="s">
        <v>30</v>
      </c>
    </row>
    <row r="20" spans="4:42" x14ac:dyDescent="0.25">
      <c r="S20" s="8">
        <v>1.3320000000000001</v>
      </c>
      <c r="T20" s="4" t="s">
        <v>51</v>
      </c>
      <c r="U20" s="1" t="s">
        <v>32</v>
      </c>
      <c r="W20" s="8">
        <v>1.3320000000000001</v>
      </c>
      <c r="X20" s="4" t="s">
        <v>51</v>
      </c>
      <c r="Y20" s="1" t="s">
        <v>32</v>
      </c>
      <c r="AJ20" s="8">
        <v>1.3320000000000001</v>
      </c>
      <c r="AK20" s="4" t="s">
        <v>51</v>
      </c>
      <c r="AL20" s="1" t="s">
        <v>32</v>
      </c>
      <c r="AN20" s="8">
        <v>1.3320000000000001</v>
      </c>
      <c r="AO20" s="4" t="s">
        <v>51</v>
      </c>
      <c r="AP20" s="1" t="s">
        <v>32</v>
      </c>
    </row>
    <row r="21" spans="4:42" x14ac:dyDescent="0.25">
      <c r="D21" s="2" t="s">
        <v>50</v>
      </c>
      <c r="S21" s="3" t="s">
        <v>27</v>
      </c>
      <c r="T21" s="3" t="s">
        <v>21</v>
      </c>
      <c r="W21" s="3" t="s">
        <v>27</v>
      </c>
      <c r="X21" s="3" t="s">
        <v>21</v>
      </c>
      <c r="AJ21" s="3" t="s">
        <v>27</v>
      </c>
      <c r="AK21" s="3" t="s">
        <v>21</v>
      </c>
      <c r="AN21" s="3" t="s">
        <v>27</v>
      </c>
      <c r="AO21" s="3" t="s">
        <v>21</v>
      </c>
    </row>
    <row r="22" spans="4:42" x14ac:dyDescent="0.25">
      <c r="D22" s="15">
        <f t="shared" ref="D22:H26" si="15">(TANH(D6/D$8 - D$8/D6))^2*(1/D6-1/D$8)</f>
        <v>2.3300289238885935E-5</v>
      </c>
      <c r="E22" s="1">
        <f t="shared" si="15"/>
        <v>5.7136533810352898E-5</v>
      </c>
      <c r="F22" s="1">
        <f t="shared" si="15"/>
        <v>1.5011449501200155E-5</v>
      </c>
      <c r="G22" s="1">
        <f t="shared" si="15"/>
        <v>4.1147654236228002E-5</v>
      </c>
      <c r="H22" s="1">
        <f t="shared" si="15"/>
        <v>1.3176314192358314E-5</v>
      </c>
      <c r="J22" s="15">
        <f>-2*D22+2*E22-2*F22+G22-H22</f>
        <v>6.5620930184403324E-5</v>
      </c>
      <c r="K22" s="15">
        <f>J22*$E$2</f>
        <v>1.7856373796198727E-3</v>
      </c>
      <c r="L22" s="15">
        <f>K22*L$5</f>
        <v>1.7856373796198727E-4</v>
      </c>
      <c r="M22" s="15">
        <f>K22*M$5</f>
        <v>1.1070951753643212E-3</v>
      </c>
      <c r="P22" s="11">
        <f>L22+sheet1!$E5</f>
        <v>0.56561921060913067</v>
      </c>
      <c r="Q22" s="11">
        <f>M22+sheet1!$E5</f>
        <v>0.56654774204653302</v>
      </c>
      <c r="S22" s="5">
        <f>(S$19/2)*($C6-$C$8)^2</f>
        <v>0.44031990032398438</v>
      </c>
      <c r="T22" s="10">
        <f>($P22-S22)^2</f>
        <v>1.5699917157933369E-2</v>
      </c>
      <c r="W22" s="5">
        <f>(W$19/2)*($C6-$C$8)^2</f>
        <v>0.44047010284027432</v>
      </c>
      <c r="X22" s="10">
        <f>($Q22-W22)^2</f>
        <v>1.5895571107823539E-2</v>
      </c>
      <c r="AA22" s="15">
        <f>-2*F22+G22-H22</f>
        <v>-2.0515589585306208E-6</v>
      </c>
      <c r="AB22" s="15">
        <f>AA22*$E$2</f>
        <v>-5.5825791444160136E-5</v>
      </c>
      <c r="AC22" s="15">
        <f>$AB22*AC$5</f>
        <v>-5.5825791444160137E-6</v>
      </c>
      <c r="AD22" s="15">
        <f>$AB22*AD$5</f>
        <v>-3.4611990695379287E-5</v>
      </c>
      <c r="AG22" s="15">
        <f>AC22+sheet1!$E5</f>
        <v>0.56543506429202428</v>
      </c>
      <c r="AH22" s="15">
        <f>AD22+sheet1!$E5</f>
        <v>0.56540603488047325</v>
      </c>
      <c r="AJ22" s="5">
        <f>(AJ$19/2)*($C6-$C$8)^2</f>
        <v>0.44029325377366618</v>
      </c>
      <c r="AK22" s="10">
        <f>($AG22-AJ22)^2</f>
        <v>1.5660472739812643E-2</v>
      </c>
      <c r="AN22" s="5">
        <f>(AN$19/2)*($C6-$C$8)^2</f>
        <v>0.44030488999503825</v>
      </c>
      <c r="AO22" s="10">
        <f>($AH22-AN22)^2</f>
        <v>1.56502964516466E-2</v>
      </c>
    </row>
    <row r="23" spans="4:42" x14ac:dyDescent="0.25">
      <c r="D23" s="15">
        <f t="shared" si="15"/>
        <v>3.0222317224498458E-6</v>
      </c>
      <c r="E23" s="1">
        <f t="shared" si="15"/>
        <v>6.9209310574214603E-6</v>
      </c>
      <c r="F23" s="1">
        <f t="shared" si="15"/>
        <v>1.8427049094147925E-6</v>
      </c>
      <c r="G23" s="1">
        <f t="shared" si="15"/>
        <v>4.9776006675599154E-6</v>
      </c>
      <c r="H23" s="1">
        <f t="shared" si="15"/>
        <v>1.6063691097725547E-6</v>
      </c>
      <c r="J23" s="15">
        <f t="shared" ref="J23:J26" si="16">-2*D23+2*E23-2*F23+G23-H23</f>
        <v>7.4832204089010043E-6</v>
      </c>
      <c r="K23" s="15">
        <f t="shared" ref="K23:K26" si="17">J23*$E$2</f>
        <v>2.036289038347688E-4</v>
      </c>
      <c r="L23" s="15">
        <f t="shared" ref="L23:L26" si="18">K23*L$5</f>
        <v>2.0362890383476881E-5</v>
      </c>
      <c r="M23" s="15">
        <f t="shared" ref="M23:M26" si="19">K23*M$5</f>
        <v>1.2624992037755666E-4</v>
      </c>
      <c r="P23" s="11">
        <f>L23+sheet1!$E6</f>
        <v>0.12099490021355665</v>
      </c>
      <c r="Q23" s="11">
        <f>M23+sheet1!$E6</f>
        <v>0.12110078724355074</v>
      </c>
      <c r="S23" s="5">
        <f t="shared" ref="S23:S26" si="20">(S$19/2)*($C7-$C$8)^2</f>
        <v>0.1100799750809961</v>
      </c>
      <c r="T23" s="10">
        <f t="shared" ref="T23:T26" si="21">($P23-S23)^2</f>
        <v>1.1913559064940198E-4</v>
      </c>
      <c r="W23" s="5">
        <f t="shared" ref="W23:W26" si="22">(W$19/2)*($C7-$C$8)^2</f>
        <v>0.11011752571006858</v>
      </c>
      <c r="X23" s="10">
        <f t="shared" ref="X23:X26" si="23">($Q23-W23)^2</f>
        <v>1.2063203391286879E-4</v>
      </c>
      <c r="AA23" s="15">
        <f t="shared" ref="AA23:AA26" si="24">-2*F23+G23-H23</f>
        <v>-3.1417826104222429E-7</v>
      </c>
      <c r="AB23" s="15">
        <f t="shared" ref="AB23:AB26" si="25">AA23*$E$2</f>
        <v>-8.5492303325243826E-6</v>
      </c>
      <c r="AC23" s="15">
        <f t="shared" ref="AC23:AD26" si="26">$AB23*AC$5</f>
        <v>-8.5492303325243834E-7</v>
      </c>
      <c r="AD23" s="15">
        <f t="shared" si="26"/>
        <v>-5.3005228061651175E-6</v>
      </c>
      <c r="AG23" s="15">
        <f>AC23+sheet1!$E6</f>
        <v>0.12097368240013992</v>
      </c>
      <c r="AH23" s="15">
        <f>AD23+sheet1!$E6</f>
        <v>0.12096923680036702</v>
      </c>
      <c r="AJ23" s="5">
        <f t="shared" ref="AJ23:AJ26" si="27">(AJ$19/2)*($C7-$C$8)^2</f>
        <v>0.11007331344341655</v>
      </c>
      <c r="AK23" s="10">
        <f t="shared" ref="AK23:AK26" si="28">($AG23-AJ23)^2</f>
        <v>1.1881804339269863E-4</v>
      </c>
      <c r="AN23" s="5">
        <f t="shared" ref="AN23:AN26" si="29">(AN$19/2)*($C7-$C$8)^2</f>
        <v>0.11007622249875956</v>
      </c>
      <c r="AO23" s="10">
        <f t="shared" ref="AO23:AO26" si="30">($AH23-AN23)^2</f>
        <v>1.1865776057502452E-4</v>
      </c>
    </row>
    <row r="24" spans="4:42" x14ac:dyDescent="0.25">
      <c r="D24" s="15">
        <f t="shared" si="15"/>
        <v>0</v>
      </c>
      <c r="E24" s="1">
        <f t="shared" si="15"/>
        <v>0</v>
      </c>
      <c r="F24" s="1">
        <f t="shared" si="15"/>
        <v>0</v>
      </c>
      <c r="G24" s="1">
        <f t="shared" si="15"/>
        <v>0</v>
      </c>
      <c r="H24" s="1">
        <f t="shared" si="15"/>
        <v>0</v>
      </c>
      <c r="J24" s="15">
        <f t="shared" si="16"/>
        <v>0</v>
      </c>
      <c r="K24" s="15">
        <f t="shared" si="17"/>
        <v>0</v>
      </c>
      <c r="L24" s="15">
        <f t="shared" si="18"/>
        <v>0</v>
      </c>
      <c r="M24" s="15">
        <f t="shared" si="19"/>
        <v>0</v>
      </c>
      <c r="P24" s="11">
        <f>L24+sheet1!$E7</f>
        <v>0</v>
      </c>
      <c r="Q24" s="11">
        <f>M24+sheet1!$E7</f>
        <v>0</v>
      </c>
      <c r="S24" s="5">
        <f t="shared" si="20"/>
        <v>0</v>
      </c>
      <c r="T24" s="10">
        <f t="shared" si="21"/>
        <v>0</v>
      </c>
      <c r="W24" s="5">
        <f t="shared" si="22"/>
        <v>0</v>
      </c>
      <c r="X24" s="10">
        <f t="shared" si="23"/>
        <v>0</v>
      </c>
      <c r="AA24" s="15">
        <f t="shared" si="24"/>
        <v>0</v>
      </c>
      <c r="AB24" s="15">
        <f t="shared" si="25"/>
        <v>0</v>
      </c>
      <c r="AC24" s="15">
        <f t="shared" si="26"/>
        <v>0</v>
      </c>
      <c r="AD24" s="15">
        <f t="shared" si="26"/>
        <v>0</v>
      </c>
      <c r="AG24" s="15">
        <f>AC24+sheet1!$E7</f>
        <v>0</v>
      </c>
      <c r="AH24" s="15">
        <f>AD24+sheet1!$E7</f>
        <v>0</v>
      </c>
      <c r="AJ24" s="5">
        <f t="shared" si="27"/>
        <v>0</v>
      </c>
      <c r="AK24" s="10">
        <f t="shared" si="28"/>
        <v>0</v>
      </c>
      <c r="AN24" s="5">
        <f t="shared" si="29"/>
        <v>0</v>
      </c>
      <c r="AO24" s="10">
        <f t="shared" si="30"/>
        <v>0</v>
      </c>
    </row>
    <row r="25" spans="4:42" x14ac:dyDescent="0.25">
      <c r="D25" s="15">
        <f t="shared" si="15"/>
        <v>-3.2366386318492938E-6</v>
      </c>
      <c r="E25" s="1">
        <f t="shared" si="15"/>
        <v>-6.4840329979472169E-6</v>
      </c>
      <c r="F25" s="1">
        <f t="shared" si="15"/>
        <v>-1.7729475719668592E-6</v>
      </c>
      <c r="G25" s="1">
        <f t="shared" si="15"/>
        <v>-4.6497913437049605E-6</v>
      </c>
      <c r="H25" s="1">
        <f t="shared" si="15"/>
        <v>-1.525799863546337E-6</v>
      </c>
      <c r="J25" s="15">
        <f t="shared" si="16"/>
        <v>-6.0728850684207513E-6</v>
      </c>
      <c r="K25" s="15">
        <f t="shared" si="17"/>
        <v>-1.6525170475082445E-4</v>
      </c>
      <c r="L25" s="15">
        <f t="shared" si="18"/>
        <v>-1.6525170475082447E-5</v>
      </c>
      <c r="M25" s="15">
        <f t="shared" si="19"/>
        <v>-1.0245605694551116E-4</v>
      </c>
      <c r="P25" s="11">
        <f>L25+sheet1!$E8</f>
        <v>9.0651043286886446E-2</v>
      </c>
      <c r="Q25" s="11">
        <f>M25+sheet1!$E8</f>
        <v>9.0565112400416023E-2</v>
      </c>
      <c r="S25" s="5">
        <f t="shared" si="20"/>
        <v>0.11007997508099683</v>
      </c>
      <c r="T25" s="10">
        <f t="shared" si="21"/>
        <v>3.7748339066019339E-4</v>
      </c>
      <c r="W25" s="5">
        <f t="shared" si="22"/>
        <v>0.11011752571006933</v>
      </c>
      <c r="X25" s="10">
        <f t="shared" si="23"/>
        <v>3.8229686623150782E-4</v>
      </c>
      <c r="AA25" s="15">
        <f t="shared" si="24"/>
        <v>4.2190366377509485E-7</v>
      </c>
      <c r="AB25" s="15">
        <f t="shared" si="25"/>
        <v>1.1480589356449616E-5</v>
      </c>
      <c r="AC25" s="15">
        <f t="shared" si="26"/>
        <v>1.1480589356449617E-6</v>
      </c>
      <c r="AD25" s="15">
        <f t="shared" si="26"/>
        <v>7.1179654009987621E-6</v>
      </c>
      <c r="AG25" s="15">
        <f>AC25+sheet1!$E8</f>
        <v>9.0668716516297168E-2</v>
      </c>
      <c r="AH25" s="15">
        <f>AD25+sheet1!$E8</f>
        <v>9.0674686422762524E-2</v>
      </c>
      <c r="AJ25" s="5">
        <f t="shared" si="27"/>
        <v>0.11007331344341728</v>
      </c>
      <c r="AK25" s="10">
        <f t="shared" si="28"/>
        <v>3.7653838190399936E-4</v>
      </c>
      <c r="AN25" s="5">
        <f t="shared" si="29"/>
        <v>0.1100762224987603</v>
      </c>
      <c r="AO25" s="10">
        <f t="shared" si="30"/>
        <v>3.7641960210824311E-4</v>
      </c>
    </row>
    <row r="26" spans="4:42" x14ac:dyDescent="0.25">
      <c r="D26" s="15">
        <f t="shared" si="15"/>
        <v>-2.6494149947528211E-5</v>
      </c>
      <c r="E26" s="1">
        <f t="shared" si="15"/>
        <v>-5.0088519684411368E-5</v>
      </c>
      <c r="F26" s="1">
        <f t="shared" si="15"/>
        <v>-1.3897019040254761E-5</v>
      </c>
      <c r="G26" s="1">
        <f t="shared" si="15"/>
        <v>-3.5910126842772403E-5</v>
      </c>
      <c r="H26" s="1">
        <f t="shared" si="15"/>
        <v>-1.1888246677441684E-5</v>
      </c>
      <c r="J26" s="15">
        <f t="shared" si="16"/>
        <v>-4.3416581558587514E-5</v>
      </c>
      <c r="K26" s="15">
        <f t="shared" si="17"/>
        <v>-1.1814259674233483E-3</v>
      </c>
      <c r="L26" s="15">
        <f t="shared" si="18"/>
        <v>-1.1814259674233484E-4</v>
      </c>
      <c r="M26" s="15">
        <f t="shared" si="19"/>
        <v>-7.324840998024759E-4</v>
      </c>
      <c r="P26" s="11">
        <f>L26+sheet1!$E9</f>
        <v>0.31714909399486374</v>
      </c>
      <c r="Q26" s="11">
        <f>M26+sheet1!$E9</f>
        <v>0.31653475249180357</v>
      </c>
      <c r="S26" s="5">
        <f t="shared" si="20"/>
        <v>0.44031990032398582</v>
      </c>
      <c r="T26" s="10">
        <f t="shared" si="21"/>
        <v>1.5171047531766102E-2</v>
      </c>
      <c r="W26" s="5">
        <f t="shared" si="22"/>
        <v>0.44047010284027582</v>
      </c>
      <c r="X26" s="10">
        <f t="shared" si="23"/>
        <v>1.5359971065998561E-2</v>
      </c>
      <c r="AA26" s="15">
        <f t="shared" si="24"/>
        <v>3.7721579151788027E-6</v>
      </c>
      <c r="AB26" s="15">
        <f t="shared" si="25"/>
        <v>1.0264569789309648E-4</v>
      </c>
      <c r="AC26" s="15">
        <f t="shared" si="26"/>
        <v>1.0264569789309649E-5</v>
      </c>
      <c r="AD26" s="15">
        <f t="shared" si="26"/>
        <v>6.3640332693719816E-5</v>
      </c>
      <c r="AG26" s="15">
        <f>AC26+sheet1!$E9</f>
        <v>0.31727750116139536</v>
      </c>
      <c r="AH26" s="15">
        <f>AD26+sheet1!$E9</f>
        <v>0.31733087692429979</v>
      </c>
      <c r="AJ26" s="5">
        <f t="shared" si="27"/>
        <v>0.44029325377366763</v>
      </c>
      <c r="AK26" s="10">
        <f t="shared" si="28"/>
        <v>1.5132875390763771E-2</v>
      </c>
      <c r="AN26" s="5">
        <f t="shared" si="29"/>
        <v>0.44030488999503969</v>
      </c>
      <c r="AO26" s="10">
        <f t="shared" si="30"/>
        <v>1.5122607890722509E-2</v>
      </c>
    </row>
    <row r="27" spans="4:42" x14ac:dyDescent="0.25">
      <c r="S27" s="4"/>
      <c r="T27" s="4"/>
      <c r="W27" s="4"/>
      <c r="X27" s="4"/>
      <c r="AJ27" s="4"/>
      <c r="AK27" s="4"/>
      <c r="AN27" s="4"/>
      <c r="AO27" s="10"/>
    </row>
    <row r="28" spans="4:42" x14ac:dyDescent="0.25">
      <c r="O28" s="2" t="s">
        <v>20</v>
      </c>
      <c r="P28" s="11">
        <f>P22^2+P23^2+P24^2+P25^2+P26^2</f>
        <v>0.44336601675854853</v>
      </c>
      <c r="Q28" s="11">
        <f>Q22^2+Q23^2+Q24^2+Q25^2+Q26^2</f>
        <v>0.44403803380818002</v>
      </c>
      <c r="S28" s="4"/>
      <c r="T28" s="5">
        <f>SUM(T22:T26)</f>
        <v>3.1367583671009065E-2</v>
      </c>
      <c r="U28" s="2" t="s">
        <v>17</v>
      </c>
      <c r="W28" s="4"/>
      <c r="X28" s="5">
        <f>SUM(X22:X26)</f>
        <v>3.1758471073966475E-2</v>
      </c>
      <c r="Y28" s="2" t="s">
        <v>17</v>
      </c>
      <c r="AF28" s="2" t="s">
        <v>20</v>
      </c>
      <c r="AG28" s="11">
        <f>AG22^2+AG23^2+AG24^2+AG25^2+AG26^2</f>
        <v>0.4432372726623075</v>
      </c>
      <c r="AH28" s="11">
        <f>AH22^2+AH23^2+AH24^2+AH25^2+AH26^2</f>
        <v>0.44323832473873359</v>
      </c>
      <c r="AJ28" s="4"/>
      <c r="AK28" s="5">
        <f>SUM(AK22:AK26)</f>
        <v>3.1288704555873112E-2</v>
      </c>
      <c r="AL28" s="2" t="s">
        <v>17</v>
      </c>
      <c r="AN28" s="4"/>
      <c r="AO28" s="5">
        <f>SUM(AO22:AO26)</f>
        <v>3.1267981705052378E-2</v>
      </c>
      <c r="AP28" s="2" t="s">
        <v>17</v>
      </c>
    </row>
    <row r="29" spans="4:42" x14ac:dyDescent="0.25">
      <c r="S29" s="4"/>
      <c r="T29" s="5">
        <f>1-T28/P28</f>
        <v>0.92925126760878596</v>
      </c>
      <c r="U29" s="2" t="s">
        <v>18</v>
      </c>
      <c r="W29" s="4"/>
      <c r="X29" s="5">
        <f>1-X28/Q28</f>
        <v>0.92847803869051948</v>
      </c>
      <c r="Y29" s="2" t="s">
        <v>18</v>
      </c>
      <c r="AJ29" s="4"/>
      <c r="AK29" s="5">
        <f>1-AK28/AG28</f>
        <v>0.92940867908527347</v>
      </c>
      <c r="AL29" s="2" t="s">
        <v>18</v>
      </c>
      <c r="AN29" s="4"/>
      <c r="AO29" s="5">
        <f>1-AO28/AH28</f>
        <v>0.92945559993377547</v>
      </c>
      <c r="AP29" s="2" t="s">
        <v>18</v>
      </c>
    </row>
    <row r="32" spans="4:42" x14ac:dyDescent="0.25">
      <c r="S32" s="1" t="s">
        <v>48</v>
      </c>
      <c r="W32" s="1" t="s">
        <v>49</v>
      </c>
      <c r="AJ32" s="1" t="s">
        <v>48</v>
      </c>
      <c r="AN32" s="1" t="s">
        <v>49</v>
      </c>
    </row>
    <row r="33" spans="15:42" x14ac:dyDescent="0.25">
      <c r="S33" s="3" t="s">
        <v>34</v>
      </c>
      <c r="T33" s="4"/>
      <c r="W33" s="3" t="s">
        <v>34</v>
      </c>
      <c r="X33" s="4"/>
      <c r="AJ33" s="3" t="s">
        <v>34</v>
      </c>
      <c r="AK33" s="4"/>
      <c r="AN33" s="3" t="s">
        <v>34</v>
      </c>
      <c r="AO33" s="4"/>
    </row>
    <row r="34" spans="15:42" x14ac:dyDescent="0.25">
      <c r="S34" s="9">
        <v>12.168123924108029</v>
      </c>
      <c r="T34" s="4" t="s">
        <v>12</v>
      </c>
      <c r="U34" s="1" t="s">
        <v>30</v>
      </c>
      <c r="W34" s="9">
        <v>12.923100724596789</v>
      </c>
      <c r="X34" s="4" t="s">
        <v>12</v>
      </c>
      <c r="Y34" s="1" t="s">
        <v>30</v>
      </c>
      <c r="AJ34" s="9">
        <v>12.150540115569697</v>
      </c>
      <c r="AK34" s="4" t="s">
        <v>12</v>
      </c>
      <c r="AL34" s="1" t="s">
        <v>30</v>
      </c>
      <c r="AN34" s="9">
        <v>12.815916433636437</v>
      </c>
      <c r="AO34" s="4" t="s">
        <v>12</v>
      </c>
      <c r="AP34" s="1" t="s">
        <v>30</v>
      </c>
    </row>
    <row r="35" spans="15:42" x14ac:dyDescent="0.25">
      <c r="P35" s="11" t="s">
        <v>47</v>
      </c>
      <c r="S35" s="4">
        <v>1.2070000000000001</v>
      </c>
      <c r="T35" s="4" t="s">
        <v>16</v>
      </c>
      <c r="U35" s="1" t="s">
        <v>53</v>
      </c>
      <c r="W35" s="4">
        <v>1.2070000000000001</v>
      </c>
      <c r="X35" s="4" t="s">
        <v>16</v>
      </c>
      <c r="Y35" s="1" t="s">
        <v>53</v>
      </c>
      <c r="AG35" s="1" t="s">
        <v>47</v>
      </c>
      <c r="AJ35" s="4">
        <v>1.2070000000000001</v>
      </c>
      <c r="AK35" s="4" t="s">
        <v>16</v>
      </c>
      <c r="AL35" s="1" t="s">
        <v>53</v>
      </c>
      <c r="AN35" s="4">
        <v>1.2070000000000001</v>
      </c>
      <c r="AO35" s="4" t="s">
        <v>16</v>
      </c>
      <c r="AP35" s="1" t="s">
        <v>53</v>
      </c>
    </row>
    <row r="36" spans="15:42" x14ac:dyDescent="0.25">
      <c r="P36" s="11" t="s">
        <v>42</v>
      </c>
      <c r="S36" s="8">
        <v>1.3307677093608483</v>
      </c>
      <c r="T36" s="4" t="s">
        <v>31</v>
      </c>
      <c r="U36" s="1" t="s">
        <v>32</v>
      </c>
      <c r="W36" s="8">
        <v>1.3231707910121362</v>
      </c>
      <c r="X36" s="4" t="s">
        <v>31</v>
      </c>
      <c r="Y36" s="1" t="s">
        <v>32</v>
      </c>
      <c r="AG36" s="1" t="s">
        <v>42</v>
      </c>
      <c r="AJ36" s="8">
        <v>1.3305040755265058</v>
      </c>
      <c r="AK36" s="4" t="s">
        <v>31</v>
      </c>
      <c r="AL36" s="1" t="s">
        <v>32</v>
      </c>
      <c r="AN36" s="8">
        <v>1.3214735431598452</v>
      </c>
      <c r="AO36" s="4" t="s">
        <v>31</v>
      </c>
      <c r="AP36" s="1" t="s">
        <v>32</v>
      </c>
    </row>
    <row r="37" spans="15:42" x14ac:dyDescent="0.25">
      <c r="P37" s="11">
        <v>0.1</v>
      </c>
      <c r="Q37" s="11">
        <v>0.62</v>
      </c>
      <c r="S37" s="3" t="s">
        <v>27</v>
      </c>
      <c r="T37" s="3" t="s">
        <v>21</v>
      </c>
      <c r="W37" s="3" t="s">
        <v>27</v>
      </c>
      <c r="X37" s="3" t="s">
        <v>21</v>
      </c>
      <c r="AG37" s="1">
        <v>0.1</v>
      </c>
      <c r="AH37" s="1">
        <v>0.62</v>
      </c>
      <c r="AJ37" s="3" t="s">
        <v>27</v>
      </c>
      <c r="AK37" s="3" t="s">
        <v>21</v>
      </c>
      <c r="AN37" s="3" t="s">
        <v>27</v>
      </c>
      <c r="AO37" s="3" t="s">
        <v>21</v>
      </c>
    </row>
    <row r="38" spans="15:42" x14ac:dyDescent="0.25">
      <c r="P38" s="11">
        <v>0.55795186977796196</v>
      </c>
      <c r="Q38" s="11">
        <v>0.51901022889328718</v>
      </c>
      <c r="S38" s="5">
        <f>(3*S$34/(5*S$35^2))*((1-2.5*EXP(-$S$35*($A6-S$36)*$B$2)+1.5*EXP(-(5/3)*$S$35*($A6-S$36)*$B$2))-(1-2.5*EXP(-$S$35*($A$8-S$36)*$B$2)+1.5*EXP(-(5/3)*$S$35*($A$8-S$36)*$B$2)))</f>
        <v>0.5575249689801699</v>
      </c>
      <c r="T38" s="10">
        <f>($P38-S38)^2</f>
        <v>1.8224429115549942E-7</v>
      </c>
      <c r="W38" s="5">
        <f>(3*W$34/(5*W$35^2))*((1-2.5*EXP(-$W$35*($A6-W$36)*$B$2)+1.5*EXP(-(5/3)*$W$35*($A6-W$36)*$B$2))-(1-2.5*EXP(-$W$35*($A$8-W$36)*$B$2)+1.5*EXP(-(5/3)*$W$35*($A$8-W$36)*$B$2)))</f>
        <v>0.51891510952032771</v>
      </c>
      <c r="X38" s="10">
        <f>($Q38-W38)^2</f>
        <v>9.0476951122034152E-9</v>
      </c>
      <c r="AG38" s="1">
        <v>0.55474023932066219</v>
      </c>
      <c r="AH38" s="1">
        <v>0.49909812005802845</v>
      </c>
      <c r="AJ38" s="5">
        <f>(3*AJ$34/(5*AJ$35^2))*((1-2.5*EXP(-$AJ$35*($A6-AJ$36)*$B$2)+1.5*EXP(-(5/3)*$AJ$35*($A6-AJ$36)*$B$2))-(1-2.5*EXP(-$AJ$35*($A$8-AJ$36)*$B$2)+1.5*EXP(-(5/3)*$AJ$35*($A$8-AJ$36)*$B$2)))</f>
        <v>0.55428171536957394</v>
      </c>
      <c r="AK38" s="10">
        <f>($AG38-AJ38)^2</f>
        <v>2.1024421372158188E-7</v>
      </c>
      <c r="AN38" s="5">
        <f>(3*AN$34/(5*AN$35^2))*((1-2.5*EXP(-$AN$35*($A6-AN$36)*$B$2)+1.5*EXP(-(5/3)*$AN$35*($A6-AN$36)*$B$2))-(1-2.5*EXP(-$AN$35*($A$8-AN$36)*$B$2)+1.5*EXP(-(5/3)*$AN$35*($A$8-AN$36)*$B$2)))</f>
        <v>0.49880995244728993</v>
      </c>
      <c r="AO38" s="10">
        <f>(AH38-AN38)^2</f>
        <v>8.3040571878747847E-8</v>
      </c>
    </row>
    <row r="39" spans="15:42" x14ac:dyDescent="0.25">
      <c r="P39" s="11">
        <v>0.1168881226042523</v>
      </c>
      <c r="Q39" s="11">
        <v>9.5638766065863301E-2</v>
      </c>
      <c r="S39" s="5">
        <f t="shared" ref="S39:S42" si="31">(3*S$34/(5*S$35^2))*((1-2.5*EXP(-$S$35*($A7-S$36)*$B$2)+1.5*EXP(-(5/3)*$S$35*($A7-S$36)*$B$2))-(1-2.5*EXP(-$S$35*($A$8-S$36)*$B$2)+1.5*EXP(-(5/3)*$S$35*($A$8-S$36)*$B$2)))</f>
        <v>0.11825432758272358</v>
      </c>
      <c r="T39" s="10">
        <f>($P39-S39)^2</f>
        <v>1.8665160431997269E-6</v>
      </c>
      <c r="W39" s="5">
        <f t="shared" ref="W39:W42" si="32">(3*W$34/(5*W$35^2))*((1-2.5*EXP(-$W$35*($A7-W$36)*$B$2)+1.5*EXP(-(5/3)*$W$35*($A7-W$36)*$B$2))-(1-2.5*EXP(-$W$35*($A$8-W$36)*$B$2)+1.5*EXP(-(5/3)*$W$35*($A$8-W$36)*$B$2)))</f>
        <v>9.6087564897076594E-2</v>
      </c>
      <c r="X39" s="10">
        <f>($Q39-W39)^2</f>
        <v>2.0142039089841778E-7</v>
      </c>
      <c r="AG39" s="1">
        <v>0.11564907199034402</v>
      </c>
      <c r="AH39" s="1">
        <v>8.7956652259632229E-2</v>
      </c>
      <c r="AJ39" s="5">
        <f t="shared" ref="AJ39:AJ42" si="33">(3*AJ$34/(5*AJ$35^2))*((1-2.5*EXP(-$AJ$35*($A7-AJ$36)*$B$2)+1.5*EXP(-(5/3)*$AJ$35*($A7-AJ$36)*$B$2))-(1-2.5*EXP(-$AJ$35*($A$8-AJ$36)*$B$2)+1.5*EXP(-(5/3)*$AJ$35*($A$8-AJ$36)*$B$2)))</f>
        <v>0.1171000754627632</v>
      </c>
      <c r="AK39" s="10">
        <f>($AG39-AJ39)^2</f>
        <v>2.1054110769725164E-6</v>
      </c>
      <c r="AN39" s="5">
        <f t="shared" ref="AN39:AN42" si="34">(3*AN$34/(5*AN$35^2))*((1-2.5*EXP(-$AN$35*($A7-AN$36)*$B$2)+1.5*EXP(-(5/3)*$AN$35*($A7-AN$36)*$B$2))-(1-2.5*EXP(-$AN$35*($A$8-AN$36)*$B$2)+1.5*EXP(-(5/3)*$AN$35*($A$8-AN$36)*$B$2)))</f>
        <v>8.8929507454047679E-2</v>
      </c>
      <c r="AO39" s="10">
        <f>(AH39-AN39)^2</f>
        <v>9.464472293011243E-7</v>
      </c>
    </row>
    <row r="40" spans="15:42" x14ac:dyDescent="0.25">
      <c r="P40" s="11">
        <v>0</v>
      </c>
      <c r="Q40" s="11">
        <v>0</v>
      </c>
      <c r="S40" s="5">
        <f t="shared" si="31"/>
        <v>0</v>
      </c>
      <c r="T40" s="10">
        <f>($P40-S40)^2</f>
        <v>0</v>
      </c>
      <c r="W40" s="5">
        <f t="shared" si="32"/>
        <v>0</v>
      </c>
      <c r="X40" s="10">
        <f>($Q40-W40)^2</f>
        <v>0</v>
      </c>
      <c r="AG40" s="1">
        <v>0</v>
      </c>
      <c r="AH40" s="1">
        <v>0</v>
      </c>
      <c r="AJ40" s="5">
        <f t="shared" si="33"/>
        <v>0</v>
      </c>
      <c r="AK40" s="10">
        <f>($AG40-AJ40)^2</f>
        <v>0</v>
      </c>
      <c r="AN40" s="5">
        <f t="shared" si="34"/>
        <v>0</v>
      </c>
      <c r="AO40" s="10">
        <f>(AH40-AN40)^2</f>
        <v>0</v>
      </c>
    </row>
    <row r="41" spans="15:42" x14ac:dyDescent="0.25">
      <c r="P41" s="11">
        <v>9.5387550873950566E-2</v>
      </c>
      <c r="Q41" s="11">
        <v>0.11993145944021322</v>
      </c>
      <c r="S41" s="5">
        <f t="shared" si="31"/>
        <v>9.5532370749081177E-2</v>
      </c>
      <c r="T41" s="10">
        <f>($P41-S41)^2</f>
        <v>2.097279623284583E-8</v>
      </c>
      <c r="W41" s="5">
        <f t="shared" si="32"/>
        <v>0.12067394474539932</v>
      </c>
      <c r="X41" s="10">
        <f>($Q41-W41)^2</f>
        <v>5.5128442841729562E-7</v>
      </c>
      <c r="AG41" s="1">
        <v>9.5940212952019877E-2</v>
      </c>
      <c r="AH41" s="1">
        <v>0.12335796432424306</v>
      </c>
      <c r="AJ41" s="5">
        <f t="shared" si="33"/>
        <v>9.6036184911214226E-2</v>
      </c>
      <c r="AK41" s="10">
        <f>($AG41-AJ41)^2</f>
        <v>9.210616951601827E-9</v>
      </c>
      <c r="AN41" s="5">
        <f t="shared" si="34"/>
        <v>0.12380341189956941</v>
      </c>
      <c r="AO41" s="10">
        <f>(AH41-AN41)^2</f>
        <v>1.9842354236411867E-7</v>
      </c>
    </row>
    <row r="42" spans="15:42" x14ac:dyDescent="0.25">
      <c r="P42" s="11">
        <v>0.32722747163359411</v>
      </c>
      <c r="Q42" s="11">
        <v>0.37902069385193204</v>
      </c>
      <c r="S42" s="5">
        <f t="shared" si="31"/>
        <v>0.32743082162958914</v>
      </c>
      <c r="T42" s="10">
        <f>($P42-S42)^2</f>
        <v>4.1351220871177907E-8</v>
      </c>
      <c r="W42" s="5">
        <f t="shared" si="32"/>
        <v>0.37879047736327265</v>
      </c>
      <c r="X42" s="10">
        <f>($Q42-W42)^2</f>
        <v>5.2999631650661821E-8</v>
      </c>
      <c r="AG42" s="1">
        <v>0.32775681740120965</v>
      </c>
      <c r="AH42" s="1">
        <v>0.38230263761114847</v>
      </c>
      <c r="AJ42" s="5">
        <f t="shared" si="33"/>
        <v>0.32799616938198523</v>
      </c>
      <c r="AK42" s="10">
        <f>($AG42-AJ42)^2</f>
        <v>5.728937070118913E-8</v>
      </c>
      <c r="AN42" s="5">
        <f t="shared" si="34"/>
        <v>0.3823097662450074</v>
      </c>
      <c r="AO42" s="10">
        <f>(AH42-AN42)^2</f>
        <v>5.0817420694721689E-11</v>
      </c>
    </row>
    <row r="43" spans="15:42" x14ac:dyDescent="0.25">
      <c r="S43" s="4"/>
      <c r="T43" s="4"/>
      <c r="W43" s="4"/>
      <c r="X43" s="4"/>
      <c r="AJ43" s="4"/>
      <c r="AK43" s="4"/>
      <c r="AN43" s="4"/>
      <c r="AO43" s="4"/>
    </row>
    <row r="44" spans="15:42" x14ac:dyDescent="0.25">
      <c r="O44" s="2" t="s">
        <v>20</v>
      </c>
      <c r="P44" s="11">
        <v>0.44114972524811569</v>
      </c>
      <c r="Q44" s="11">
        <v>0.43655863260192279</v>
      </c>
      <c r="S44" s="4"/>
      <c r="T44" s="5">
        <f>SUM(T38:T42)</f>
        <v>2.1110843514592499E-6</v>
      </c>
      <c r="U44" s="2" t="s">
        <v>17</v>
      </c>
      <c r="W44" s="4"/>
      <c r="X44" s="5">
        <f>SUM(X38:X42)</f>
        <v>8.1475214607857857E-7</v>
      </c>
      <c r="Y44" s="2" t="s">
        <v>17</v>
      </c>
      <c r="AF44" s="2" t="s">
        <v>20</v>
      </c>
      <c r="AG44" s="1">
        <v>0.43774049678802207</v>
      </c>
      <c r="AH44" s="1">
        <v>0.41820780020884241</v>
      </c>
      <c r="AJ44" s="4"/>
      <c r="AK44" s="5">
        <f>SUM(AK38:AK42)</f>
        <v>2.3821552783468892E-6</v>
      </c>
      <c r="AL44" s="2" t="s">
        <v>17</v>
      </c>
      <c r="AN44" s="4"/>
      <c r="AO44" s="5">
        <f>SUM(AO38:AO42)</f>
        <v>1.2279621609646855E-6</v>
      </c>
      <c r="AP44" s="2" t="s">
        <v>17</v>
      </c>
    </row>
    <row r="45" spans="15:42" x14ac:dyDescent="0.25">
      <c r="S45" s="4"/>
      <c r="T45" s="5">
        <f>1-T44/P44</f>
        <v>0.99999521458536489</v>
      </c>
      <c r="U45" s="2" t="s">
        <v>18</v>
      </c>
      <c r="W45" s="4"/>
      <c r="X45" s="5">
        <f>1-X44/Q44</f>
        <v>0.99999813369365476</v>
      </c>
      <c r="Y45" s="2" t="s">
        <v>18</v>
      </c>
      <c r="AJ45" s="4"/>
      <c r="AK45" s="5">
        <f>1-AK44/AG44</f>
        <v>0.99999455806511883</v>
      </c>
      <c r="AL45" s="2" t="s">
        <v>18</v>
      </c>
      <c r="AN45" s="4"/>
      <c r="AO45" s="5">
        <f>1-AO44/AH44</f>
        <v>0.99999706375117736</v>
      </c>
      <c r="AP45" s="2" t="s">
        <v>18</v>
      </c>
    </row>
    <row r="49" spans="15:42" x14ac:dyDescent="0.25">
      <c r="S49" s="1" t="s">
        <v>48</v>
      </c>
      <c r="W49" s="1" t="s">
        <v>49</v>
      </c>
      <c r="AJ49" s="1" t="s">
        <v>48</v>
      </c>
      <c r="AN49" s="1" t="s">
        <v>49</v>
      </c>
    </row>
    <row r="50" spans="15:42" x14ac:dyDescent="0.25">
      <c r="S50" s="3" t="s">
        <v>54</v>
      </c>
      <c r="T50" s="4"/>
      <c r="W50" s="3" t="s">
        <v>54</v>
      </c>
      <c r="X50" s="4"/>
      <c r="AJ50" s="3" t="s">
        <v>54</v>
      </c>
      <c r="AK50" s="4"/>
      <c r="AN50" s="3" t="s">
        <v>54</v>
      </c>
      <c r="AO50" s="4"/>
    </row>
    <row r="51" spans="15:42" x14ac:dyDescent="0.25">
      <c r="S51" s="9">
        <v>12.058746953291427</v>
      </c>
      <c r="T51" s="4" t="s">
        <v>12</v>
      </c>
      <c r="U51" s="1" t="s">
        <v>30</v>
      </c>
      <c r="W51" s="9">
        <v>12.067782791089353</v>
      </c>
      <c r="X51" s="4" t="s">
        <v>12</v>
      </c>
      <c r="Y51" s="1" t="s">
        <v>30</v>
      </c>
      <c r="AJ51" s="9">
        <v>12.057012945421773</v>
      </c>
      <c r="AK51" s="4" t="s">
        <v>12</v>
      </c>
      <c r="AL51" s="1" t="s">
        <v>30</v>
      </c>
      <c r="AN51" s="9">
        <v>12.057031944964525</v>
      </c>
      <c r="AO51" s="4" t="s">
        <v>12</v>
      </c>
      <c r="AP51" s="1" t="s">
        <v>30</v>
      </c>
    </row>
    <row r="52" spans="15:42" x14ac:dyDescent="0.25">
      <c r="S52" s="4">
        <v>1.2070000000000001</v>
      </c>
      <c r="T52" s="4" t="s">
        <v>16</v>
      </c>
      <c r="U52" s="1" t="s">
        <v>53</v>
      </c>
      <c r="W52" s="4">
        <v>1.2070000000000001</v>
      </c>
      <c r="X52" s="4" t="s">
        <v>16</v>
      </c>
      <c r="Y52" s="1" t="s">
        <v>53</v>
      </c>
      <c r="AJ52" s="4">
        <v>1.2070000000000001</v>
      </c>
      <c r="AK52" s="4" t="s">
        <v>16</v>
      </c>
      <c r="AL52" s="1" t="s">
        <v>53</v>
      </c>
      <c r="AN52" s="4">
        <v>1.2070000000000001</v>
      </c>
      <c r="AO52" s="4" t="s">
        <v>16</v>
      </c>
      <c r="AP52" s="1" t="s">
        <v>53</v>
      </c>
    </row>
    <row r="53" spans="15:42" x14ac:dyDescent="0.25">
      <c r="S53" s="8">
        <v>1.3320000000000001</v>
      </c>
      <c r="T53" s="4" t="s">
        <v>51</v>
      </c>
      <c r="U53" s="1" t="s">
        <v>32</v>
      </c>
      <c r="W53" s="8">
        <v>1.3320000000000001</v>
      </c>
      <c r="X53" s="4" t="s">
        <v>51</v>
      </c>
      <c r="Y53" s="1" t="s">
        <v>32</v>
      </c>
      <c r="AJ53" s="8">
        <v>1.3320000000000001</v>
      </c>
      <c r="AK53" s="4" t="s">
        <v>51</v>
      </c>
      <c r="AL53" s="1" t="s">
        <v>32</v>
      </c>
      <c r="AN53" s="8">
        <v>1.3320000000000001</v>
      </c>
      <c r="AO53" s="4" t="s">
        <v>51</v>
      </c>
      <c r="AP53" s="1" t="s">
        <v>32</v>
      </c>
    </row>
    <row r="54" spans="15:42" x14ac:dyDescent="0.25">
      <c r="S54" s="3" t="s">
        <v>27</v>
      </c>
      <c r="T54" s="3" t="s">
        <v>21</v>
      </c>
      <c r="W54" s="3" t="s">
        <v>27</v>
      </c>
      <c r="X54" s="3" t="s">
        <v>21</v>
      </c>
      <c r="AJ54" s="3" t="s">
        <v>27</v>
      </c>
      <c r="AK54" s="3" t="s">
        <v>21</v>
      </c>
      <c r="AN54" s="3" t="s">
        <v>27</v>
      </c>
      <c r="AO54" s="3" t="s">
        <v>21</v>
      </c>
    </row>
    <row r="55" spans="15:42" x14ac:dyDescent="0.25">
      <c r="P55" s="11">
        <v>0.56561921060913067</v>
      </c>
      <c r="Q55" s="11">
        <v>0.56654774204653302</v>
      </c>
      <c r="S55" s="5">
        <f>(3*S$51/(5*S$52^2))*((1-2.5*EXP(-$S$52*($A6-S$53)*$B$2)+1.5*EXP(-(5/3)*$S$52*($A6-S$53)*$B$2))-(1-2.5*EXP(-$S$52*($A$8-S$53)*$B$2)+1.5*EXP(-(5/3)*$S$52*($A$8-S$53)*$B$2)))</f>
        <v>0.56386844769737521</v>
      </c>
      <c r="T55" s="10">
        <f>($P55-S55)^2</f>
        <v>3.0651707731784767E-6</v>
      </c>
      <c r="W55" s="5">
        <f>(3*W$51/(5*W$52^2))*((1-2.5*EXP(-$W$52*($A6-W$53)*$B$2)+1.5*EXP(-(5/3)*$W$52*($A6-W$53)*$B$2))-(1-2.5*EXP(-$W$52*($A$8-W$53)*$B$2)+1.5*EXP(-(5/3)*$W$52*($A$8-W$53)*$B$2)))</f>
        <v>0.56429096455194527</v>
      </c>
      <c r="X55" s="10">
        <f>($Q55-W55)^2</f>
        <v>5.0930446600777491E-6</v>
      </c>
      <c r="AG55" s="1">
        <v>0.56543506429202428</v>
      </c>
      <c r="AH55" s="1">
        <v>0.56540603488047325</v>
      </c>
      <c r="AJ55" s="5">
        <f>(3*AJ$51/(5*AJ$52^2))*((1-2.5*EXP(-$AJ$52*($A6-AJ$53)*$B$2)+1.5*EXP(-(5/3)*$AJ$52*($A6-AJ$53)*$B$2))-(1-2.5*EXP(-$AJ$52*($A$8-AJ$53)*$B$2)+1.5*EXP(-(5/3)*$AJ$52*($A$8-AJ$53)*$B$2)))</f>
        <v>0.56378736528229978</v>
      </c>
      <c r="AK55" s="10">
        <f>($AG55-AJ55)^2</f>
        <v>2.7149120266471029E-6</v>
      </c>
      <c r="AN55" s="5">
        <f>(3*AN$51/(5*AN$52^2))*((1-2.5*EXP(-$AN$52*($A6-AN$53)*$B$2)+1.5*EXP(-(5/3)*$AN$52*($A6-AN$53)*$B$2))-(1-2.5*EXP(-$AN$52*($A$8-AN$53)*$B$2)+1.5*EXP(-(5/3)*$AN$52*($A$8-AN$53)*$B$2)))</f>
        <v>0.56378825370318797</v>
      </c>
      <c r="AO55" s="10">
        <f>(AH55-AN55)^2</f>
        <v>2.6172159375785542E-6</v>
      </c>
    </row>
    <row r="56" spans="15:42" x14ac:dyDescent="0.25">
      <c r="P56" s="11">
        <v>0.12099490021355665</v>
      </c>
      <c r="Q56" s="11">
        <v>0.12110078724355074</v>
      </c>
      <c r="S56" s="5">
        <f t="shared" ref="S56:S59" si="35">(3*S$51/(5*S$52^2))*((1-2.5*EXP(-$S$52*($A7-S$53)*$B$2)+1.5*EXP(-(5/3)*$S$52*($A7-S$53)*$B$2))-(1-2.5*EXP(-$S$52*($A$8-S$53)*$B$2)+1.5*EXP(-(5/3)*$S$52*($A$8-S$53)*$B$2)))</f>
        <v>0.12177299889940202</v>
      </c>
      <c r="T56" s="10">
        <f>($P56-S56)^2</f>
        <v>6.0543756491429409E-7</v>
      </c>
      <c r="W56" s="5">
        <f t="shared" ref="W56:W59" si="36">(3*W$51/(5*W$52^2))*((1-2.5*EXP(-$W$52*($A7-W$53)*$B$2)+1.5*EXP(-(5/3)*$W$52*($A7-W$53)*$B$2))-(1-2.5*EXP(-$W$52*($A$8-W$53)*$B$2)+1.5*EXP(-(5/3)*$W$52*($A$8-W$53)*$B$2)))</f>
        <v>0.12186424561603716</v>
      </c>
      <c r="X56" s="10">
        <f>($Q56-W56)^2</f>
        <v>5.8286868651962123E-7</v>
      </c>
      <c r="AG56" s="1">
        <v>0.12097368240013992</v>
      </c>
      <c r="AH56" s="1">
        <v>0.12096923680036702</v>
      </c>
      <c r="AJ56" s="5">
        <f t="shared" ref="AJ56:AJ59" si="37">(3*AJ$51/(5*AJ$52^2))*((1-2.5*EXP(-$AJ$52*($A7-AJ$53)*$B$2)+1.5*EXP(-(5/3)*$AJ$52*($A7-AJ$53)*$B$2))-(1-2.5*EXP(-$AJ$52*($A$8-AJ$53)*$B$2)+1.5*EXP(-(5/3)*$AJ$52*($A$8-AJ$53)*$B$2)))</f>
        <v>0.12175548834550941</v>
      </c>
      <c r="AK56" s="10">
        <f>($AG56-AJ56)^2</f>
        <v>6.1122053621507811E-7</v>
      </c>
      <c r="AN56" s="5">
        <f t="shared" ref="AN56:AN59" si="38">(3*AN$51/(5*AN$52^2))*((1-2.5*EXP(-$AN$52*($A7-AN$53)*$B$2)+1.5*EXP(-(5/3)*$AN$52*($A7-AN$53)*$B$2))-(1-2.5*EXP(-$AN$52*($A$8-AN$53)*$B$2)+1.5*EXP(-(5/3)*$AN$52*($A$8-AN$53)*$B$2)))</f>
        <v>0.12175568020883548</v>
      </c>
      <c r="AO56" s="10">
        <f>(AH56-AN56)^2</f>
        <v>6.1849323472349712E-7</v>
      </c>
    </row>
    <row r="57" spans="15:42" x14ac:dyDescent="0.25">
      <c r="P57" s="11">
        <v>0</v>
      </c>
      <c r="Q57" s="11">
        <v>0</v>
      </c>
      <c r="S57" s="5">
        <f t="shared" si="35"/>
        <v>0</v>
      </c>
      <c r="T57" s="10">
        <f>($P57-S57)^2</f>
        <v>0</v>
      </c>
      <c r="W57" s="5">
        <f t="shared" si="36"/>
        <v>0</v>
      </c>
      <c r="X57" s="10">
        <f>($Q57-W57)^2</f>
        <v>0</v>
      </c>
      <c r="AG57" s="1">
        <v>0</v>
      </c>
      <c r="AH57" s="1">
        <v>0</v>
      </c>
      <c r="AJ57" s="5">
        <f t="shared" si="37"/>
        <v>0</v>
      </c>
      <c r="AK57" s="10">
        <f>($AG57-AJ57)^2</f>
        <v>0</v>
      </c>
      <c r="AN57" s="5">
        <f t="shared" si="38"/>
        <v>0</v>
      </c>
      <c r="AO57" s="10">
        <f>(AH57-AN57)^2</f>
        <v>0</v>
      </c>
    </row>
    <row r="58" spans="15:42" x14ac:dyDescent="0.25">
      <c r="P58" s="11">
        <v>9.0651043286886446E-2</v>
      </c>
      <c r="Q58" s="11">
        <v>9.0565112400416023E-2</v>
      </c>
      <c r="S58" s="5">
        <f t="shared" si="35"/>
        <v>9.1681738675312804E-2</v>
      </c>
      <c r="T58" s="10">
        <f>($P58-S58)^2</f>
        <v>1.0623329837233624E-6</v>
      </c>
      <c r="W58" s="5">
        <f t="shared" si="36"/>
        <v>9.1750437464906007E-2</v>
      </c>
      <c r="X58" s="10">
        <f>($Q58-W58)^2</f>
        <v>1.4049955085081841E-6</v>
      </c>
      <c r="AG58" s="1">
        <v>9.0668716516297168E-2</v>
      </c>
      <c r="AH58" s="1">
        <v>9.0674686422762524E-2</v>
      </c>
      <c r="AJ58" s="5">
        <f t="shared" si="37"/>
        <v>9.1668555144969036E-2</v>
      </c>
      <c r="AK58" s="10">
        <f>($AG58-AJ58)^2</f>
        <v>9.9967728338444052E-7</v>
      </c>
      <c r="AN58" s="5">
        <f t="shared" si="38"/>
        <v>9.1668699597051859E-2</v>
      </c>
      <c r="AO58" s="10">
        <f>(AH58-AN58)^2</f>
        <v>9.8806219066075957E-7</v>
      </c>
    </row>
    <row r="59" spans="15:42" x14ac:dyDescent="0.25">
      <c r="P59" s="11">
        <v>0.31714909399486374</v>
      </c>
      <c r="Q59" s="11">
        <v>0.31653475249180357</v>
      </c>
      <c r="S59" s="5">
        <f t="shared" si="35"/>
        <v>0.31964546170616442</v>
      </c>
      <c r="T59" s="10">
        <f>($P59-S59)^2</f>
        <v>6.2318517500246166E-6</v>
      </c>
      <c r="W59" s="5">
        <f t="shared" si="36"/>
        <v>0.31988497784793329</v>
      </c>
      <c r="X59" s="10">
        <f>($Q59-W59)^2</f>
        <v>1.1224009936854517E-5</v>
      </c>
      <c r="AG59" s="1">
        <v>0.31727750116139536</v>
      </c>
      <c r="AH59" s="1">
        <v>0.31733087692429979</v>
      </c>
      <c r="AJ59" s="5">
        <f t="shared" si="37"/>
        <v>0.31959949774753382</v>
      </c>
      <c r="AK59" s="10">
        <f>($AG59-AJ59)^2</f>
        <v>5.3916681460386813E-6</v>
      </c>
      <c r="AN59" s="5">
        <f t="shared" si="38"/>
        <v>0.31960000137511962</v>
      </c>
      <c r="AO59" s="10">
        <f>(AH59-AN59)^2</f>
        <v>5.1489257733084277E-6</v>
      </c>
    </row>
    <row r="60" spans="15:42" x14ac:dyDescent="0.25">
      <c r="S60" s="4"/>
      <c r="T60" s="4"/>
      <c r="W60" s="4"/>
      <c r="X60" s="4"/>
      <c r="AJ60" s="4"/>
      <c r="AK60" s="4"/>
      <c r="AN60" s="4"/>
      <c r="AO60" s="4"/>
    </row>
    <row r="61" spans="15:42" x14ac:dyDescent="0.25">
      <c r="O61" s="2" t="s">
        <v>20</v>
      </c>
      <c r="P61" s="11">
        <v>0.44336601675854853</v>
      </c>
      <c r="Q61" s="11">
        <v>0.44403803380818002</v>
      </c>
      <c r="S61" s="4"/>
      <c r="T61" s="5">
        <f>SUM(T55:T59)</f>
        <v>1.096479307184075E-5</v>
      </c>
      <c r="U61" s="2" t="s">
        <v>17</v>
      </c>
      <c r="W61" s="4"/>
      <c r="X61" s="5">
        <f>SUM(X55:X59)</f>
        <v>1.8304918791960072E-5</v>
      </c>
      <c r="Y61" s="2" t="s">
        <v>17</v>
      </c>
      <c r="AF61" s="2" t="s">
        <v>20</v>
      </c>
      <c r="AG61" s="1">
        <v>0.4432372726623075</v>
      </c>
      <c r="AH61" s="1">
        <v>0.44323832473873359</v>
      </c>
      <c r="AJ61" s="4"/>
      <c r="AK61" s="5">
        <f>SUM(AK55:AK59)</f>
        <v>9.7174779922853014E-6</v>
      </c>
      <c r="AL61" s="2" t="s">
        <v>17</v>
      </c>
      <c r="AN61" s="4"/>
      <c r="AO61" s="5">
        <f>SUM(AO55:AO59)</f>
        <v>9.3726971362712376E-6</v>
      </c>
      <c r="AP61" s="2" t="s">
        <v>17</v>
      </c>
    </row>
    <row r="62" spans="15:42" x14ac:dyDescent="0.25">
      <c r="S62" s="4"/>
      <c r="T62" s="5">
        <f>1-T61/P61</f>
        <v>0.99997526920725233</v>
      </c>
      <c r="U62" s="2" t="s">
        <v>18</v>
      </c>
      <c r="W62" s="4"/>
      <c r="X62" s="5">
        <f>1-X61/Q61</f>
        <v>0.99995877623672236</v>
      </c>
      <c r="Y62" s="2" t="s">
        <v>18</v>
      </c>
      <c r="AJ62" s="4"/>
      <c r="AK62" s="5">
        <f>1-AK61/AG61</f>
        <v>0.99997807612628353</v>
      </c>
      <c r="AL62" s="2" t="s">
        <v>18</v>
      </c>
      <c r="AN62" s="4"/>
      <c r="AO62" s="5">
        <f>1-AO61/AH61</f>
        <v>0.99997885404620235</v>
      </c>
      <c r="AP62" s="2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62"/>
  <sheetViews>
    <sheetView workbookViewId="0">
      <selection activeCell="AH1" sqref="AH1"/>
    </sheetView>
  </sheetViews>
  <sheetFormatPr defaultRowHeight="15" x14ac:dyDescent="0.25"/>
  <cols>
    <col min="1" max="1" width="20.42578125" style="1" customWidth="1"/>
    <col min="2" max="2" width="15.28515625" style="1" customWidth="1"/>
    <col min="3" max="3" width="15" style="1" customWidth="1"/>
    <col min="4" max="4" width="10" style="1" customWidth="1"/>
    <col min="5" max="5" width="9.28515625" style="1" bestFit="1" customWidth="1"/>
    <col min="6" max="8" width="12" style="1" bestFit="1" customWidth="1"/>
    <col min="9" max="9" width="9.140625" style="1"/>
    <col min="10" max="10" width="17.28515625" style="11" customWidth="1"/>
    <col min="11" max="12" width="9.28515625" style="1" bestFit="1" customWidth="1"/>
    <col min="13" max="13" width="14" style="1" customWidth="1"/>
    <col min="14" max="14" width="12.42578125" style="1" customWidth="1"/>
    <col min="15" max="15" width="10.42578125" style="1" customWidth="1"/>
    <col min="16" max="16" width="9.85546875" style="11" customWidth="1"/>
    <col min="17" max="17" width="9.140625" style="11" bestFit="1"/>
    <col min="18" max="18" width="9.140625" style="1"/>
    <col min="19" max="20" width="9.28515625" style="1" bestFit="1" customWidth="1"/>
    <col min="21" max="22" width="9.140625" style="1"/>
    <col min="23" max="24" width="9.28515625" style="1" bestFit="1" customWidth="1"/>
    <col min="25" max="26" width="9.140625" style="1"/>
    <col min="27" max="28" width="9.28515625" style="1" bestFit="1" customWidth="1"/>
    <col min="29" max="30" width="9.140625" style="1"/>
    <col min="31" max="31" width="16.7109375" style="1" customWidth="1"/>
    <col min="32" max="32" width="9.42578125" style="1" customWidth="1"/>
    <col min="33" max="33" width="9.28515625" style="1" bestFit="1" customWidth="1"/>
    <col min="34" max="34" width="13.5703125" style="11" customWidth="1"/>
    <col min="35" max="35" width="12.5703125" style="1" customWidth="1"/>
    <col min="36" max="38" width="9.28515625" style="1" bestFit="1" customWidth="1"/>
    <col min="39" max="40" width="9.140625" style="1"/>
    <col min="41" max="42" width="9.28515625" style="1" bestFit="1" customWidth="1"/>
    <col min="43" max="44" width="9.140625" style="1"/>
    <col min="45" max="46" width="9.28515625" style="1" bestFit="1" customWidth="1"/>
    <col min="47" max="48" width="9.140625" style="1"/>
    <col min="49" max="50" width="9.28515625" style="1" bestFit="1" customWidth="1"/>
    <col min="51" max="52" width="9.140625" style="1"/>
  </cols>
  <sheetData>
    <row r="1" spans="1:51" x14ac:dyDescent="0.25">
      <c r="S1" s="1" t="s">
        <v>60</v>
      </c>
      <c r="W1" s="1" t="s">
        <v>48</v>
      </c>
      <c r="AA1" s="1" t="s">
        <v>49</v>
      </c>
      <c r="AO1" s="1" t="s">
        <v>60</v>
      </c>
      <c r="AS1" s="1" t="s">
        <v>48</v>
      </c>
      <c r="AW1" s="1" t="s">
        <v>49</v>
      </c>
    </row>
    <row r="2" spans="1:51" x14ac:dyDescent="0.25">
      <c r="B2" s="1">
        <v>1.8897299999999999</v>
      </c>
      <c r="C2" s="1" t="s">
        <v>26</v>
      </c>
      <c r="E2" s="1">
        <v>27.211400000000001</v>
      </c>
      <c r="F2" s="1" t="s">
        <v>3</v>
      </c>
      <c r="S2" s="3" t="s">
        <v>29</v>
      </c>
      <c r="T2" s="4"/>
      <c r="W2" s="3" t="s">
        <v>29</v>
      </c>
      <c r="X2" s="4"/>
      <c r="AA2" s="3" t="s">
        <v>29</v>
      </c>
      <c r="AB2" s="4"/>
      <c r="AO2" s="3" t="s">
        <v>29</v>
      </c>
      <c r="AP2" s="4"/>
      <c r="AS2" s="3" t="s">
        <v>29</v>
      </c>
      <c r="AT2" s="4"/>
      <c r="AW2" s="3" t="s">
        <v>29</v>
      </c>
      <c r="AX2" s="4"/>
    </row>
    <row r="3" spans="1:51" x14ac:dyDescent="0.25">
      <c r="J3" s="13" t="s">
        <v>43</v>
      </c>
      <c r="L3" s="2" t="s">
        <v>45</v>
      </c>
      <c r="M3" s="2"/>
      <c r="N3" s="2" t="s">
        <v>46</v>
      </c>
      <c r="P3" s="13" t="s">
        <v>47</v>
      </c>
      <c r="S3" s="9">
        <v>12.612303030902295</v>
      </c>
      <c r="T3" s="4" t="s">
        <v>12</v>
      </c>
      <c r="U3" s="1" t="s">
        <v>30</v>
      </c>
      <c r="W3" s="9">
        <v>12.647689336123056</v>
      </c>
      <c r="X3" s="4" t="s">
        <v>12</v>
      </c>
      <c r="Y3" s="1" t="s">
        <v>30</v>
      </c>
      <c r="AA3" s="9">
        <v>12.831558180615673</v>
      </c>
      <c r="AB3" s="4" t="s">
        <v>12</v>
      </c>
      <c r="AC3" s="1" t="s">
        <v>30</v>
      </c>
      <c r="AE3" s="2" t="s">
        <v>44</v>
      </c>
      <c r="AG3" s="2" t="s">
        <v>45</v>
      </c>
      <c r="AI3" s="2" t="s">
        <v>46</v>
      </c>
      <c r="AK3" s="2" t="s">
        <v>47</v>
      </c>
      <c r="AO3" s="9">
        <v>12.580429690584173</v>
      </c>
      <c r="AP3" s="4" t="s">
        <v>12</v>
      </c>
      <c r="AQ3" s="1" t="s">
        <v>30</v>
      </c>
      <c r="AS3" s="9">
        <v>12.577412083936103</v>
      </c>
      <c r="AT3" s="4" t="s">
        <v>12</v>
      </c>
      <c r="AU3" s="1" t="s">
        <v>30</v>
      </c>
      <c r="AW3" s="9">
        <v>12.561747142431146</v>
      </c>
      <c r="AX3" s="4" t="s">
        <v>12</v>
      </c>
      <c r="AY3" s="1" t="s">
        <v>30</v>
      </c>
    </row>
    <row r="4" spans="1:51" x14ac:dyDescent="0.25">
      <c r="A4" s="2"/>
      <c r="B4" s="2" t="s">
        <v>24</v>
      </c>
      <c r="C4" s="2"/>
      <c r="D4" s="2" t="s">
        <v>40</v>
      </c>
      <c r="F4" s="2"/>
      <c r="G4" s="2"/>
      <c r="H4" s="2"/>
      <c r="L4" s="2" t="s">
        <v>42</v>
      </c>
      <c r="N4" s="2" t="s">
        <v>42</v>
      </c>
      <c r="P4" s="13" t="s">
        <v>42</v>
      </c>
      <c r="S4" s="8">
        <v>1.3496190689571725</v>
      </c>
      <c r="T4" s="4" t="s">
        <v>31</v>
      </c>
      <c r="U4" s="1" t="s">
        <v>32</v>
      </c>
      <c r="W4" s="8">
        <v>1.3481883697837491</v>
      </c>
      <c r="X4" s="4" t="s">
        <v>31</v>
      </c>
      <c r="Y4" s="1" t="s">
        <v>32</v>
      </c>
      <c r="AA4" s="8">
        <v>1.340871195061764</v>
      </c>
      <c r="AB4" s="4" t="s">
        <v>31</v>
      </c>
      <c r="AC4" s="1" t="s">
        <v>32</v>
      </c>
      <c r="AG4" s="2" t="s">
        <v>42</v>
      </c>
      <c r="AI4" s="2" t="s">
        <v>42</v>
      </c>
      <c r="AK4" s="2" t="s">
        <v>42</v>
      </c>
      <c r="AO4" s="8">
        <v>1.3486787355623384</v>
      </c>
      <c r="AP4" s="4" t="s">
        <v>31</v>
      </c>
      <c r="AQ4" s="1" t="s">
        <v>32</v>
      </c>
      <c r="AS4" s="8">
        <v>1.3469976990470551</v>
      </c>
      <c r="AT4" s="4" t="s">
        <v>31</v>
      </c>
      <c r="AU4" s="1" t="s">
        <v>32</v>
      </c>
      <c r="AW4" s="8">
        <v>1.3382433240672489</v>
      </c>
      <c r="AX4" s="4" t="s">
        <v>31</v>
      </c>
      <c r="AY4" s="1" t="s">
        <v>32</v>
      </c>
    </row>
    <row r="5" spans="1:51" x14ac:dyDescent="0.25">
      <c r="A5" s="2" t="s">
        <v>23</v>
      </c>
      <c r="B5" s="2" t="s">
        <v>25</v>
      </c>
      <c r="C5" s="2" t="s">
        <v>22</v>
      </c>
      <c r="D5" s="14" t="s">
        <v>35</v>
      </c>
      <c r="E5" s="14" t="s">
        <v>36</v>
      </c>
      <c r="F5" s="14" t="s">
        <v>37</v>
      </c>
      <c r="G5" s="14" t="s">
        <v>38</v>
      </c>
      <c r="H5" s="14" t="s">
        <v>39</v>
      </c>
      <c r="J5" s="13" t="s">
        <v>64</v>
      </c>
      <c r="K5" s="2" t="s">
        <v>41</v>
      </c>
      <c r="L5" s="2">
        <v>0.1</v>
      </c>
      <c r="M5" s="2">
        <v>0.62</v>
      </c>
      <c r="N5" s="2">
        <v>0.1</v>
      </c>
      <c r="O5" s="2">
        <v>0.62</v>
      </c>
      <c r="P5" s="13">
        <v>0.1</v>
      </c>
      <c r="Q5" s="13">
        <v>0.62</v>
      </c>
      <c r="S5" s="3" t="s">
        <v>27</v>
      </c>
      <c r="T5" s="3" t="s">
        <v>21</v>
      </c>
      <c r="W5" s="3" t="s">
        <v>27</v>
      </c>
      <c r="X5" s="3" t="s">
        <v>21</v>
      </c>
      <c r="AA5" s="3" t="s">
        <v>27</v>
      </c>
      <c r="AB5" s="3" t="s">
        <v>21</v>
      </c>
      <c r="AE5" s="2" t="s">
        <v>64</v>
      </c>
      <c r="AF5" s="2" t="s">
        <v>41</v>
      </c>
      <c r="AG5" s="2">
        <v>0.1</v>
      </c>
      <c r="AH5" s="13">
        <v>0.62</v>
      </c>
      <c r="AI5" s="2">
        <v>0.1</v>
      </c>
      <c r="AJ5" s="2">
        <v>0.62</v>
      </c>
      <c r="AK5" s="2">
        <v>0.1</v>
      </c>
      <c r="AL5" s="2">
        <v>0.62</v>
      </c>
      <c r="AO5" s="3" t="s">
        <v>27</v>
      </c>
      <c r="AP5" s="3" t="s">
        <v>21</v>
      </c>
      <c r="AS5" s="3" t="s">
        <v>27</v>
      </c>
      <c r="AT5" s="3" t="s">
        <v>21</v>
      </c>
      <c r="AW5" s="3" t="s">
        <v>27</v>
      </c>
      <c r="AX5" s="3" t="s">
        <v>21</v>
      </c>
    </row>
    <row r="6" spans="1:51" x14ac:dyDescent="0.25">
      <c r="A6" s="1">
        <v>1.1920000000000002</v>
      </c>
      <c r="B6" s="1">
        <v>-0.14000000000000001</v>
      </c>
      <c r="C6" s="1">
        <v>2.2525581600000004</v>
      </c>
      <c r="D6" s="11">
        <v>2.65307</v>
      </c>
      <c r="E6" s="11">
        <v>3.4885199999999998</v>
      </c>
      <c r="F6" s="11">
        <v>4.5909700000000004</v>
      </c>
      <c r="G6" s="11">
        <v>3.9690099999999999</v>
      </c>
      <c r="H6" s="11">
        <v>5.3005800000000001</v>
      </c>
      <c r="I6" s="11"/>
      <c r="J6" s="11">
        <f>(-2/D6+2/E6-2/F6+1/G6-1/H6)/$B$2</f>
        <v>-0.2925703785513491</v>
      </c>
      <c r="K6" s="11">
        <f>$E$2*J6</f>
        <v>-7.9612495989121808</v>
      </c>
      <c r="L6" s="11">
        <f>K6*L$5</f>
        <v>-0.79612495989121812</v>
      </c>
      <c r="M6" s="11">
        <f>K6*M$5</f>
        <v>-4.9359747513255519</v>
      </c>
      <c r="N6" s="11">
        <f>L6+sheet1!$E5</f>
        <v>-0.23068431302004944</v>
      </c>
      <c r="O6" s="11">
        <f>M6+sheet1!$E5</f>
        <v>-4.3705341044543831</v>
      </c>
      <c r="P6" s="11">
        <f t="shared" ref="P6:Q10" si="0">N6-N$8</f>
        <v>0.55795186977796196</v>
      </c>
      <c r="Q6" s="11">
        <f t="shared" si="0"/>
        <v>0.51901022889328718</v>
      </c>
      <c r="R6" s="11"/>
      <c r="S6" s="5">
        <f>(S$3/2)*(($C6-S$4*$B$2)^2-($C$8-S$4*$B$2)^2)</f>
        <v>0.55248511511999565</v>
      </c>
      <c r="T6" s="10">
        <f>(O15-S6)^2</f>
        <v>3.9359042492639434E-4</v>
      </c>
      <c r="V6" s="11"/>
      <c r="W6" s="5">
        <f>(W$3/2)*(($C6-W$4*$B$2)^2-($C$8-W$4*$B$2)^2)</f>
        <v>0.54498858617843682</v>
      </c>
      <c r="X6" s="10">
        <f>(P15-W6)^2</f>
        <v>3.9389806461631176E-4</v>
      </c>
      <c r="Z6" s="11"/>
      <c r="AA6" s="5">
        <f>(AA$3/2)*(($C6-AA$4*$B$2)^2-($C$8-AA$4*$B$2)^2)</f>
        <v>0.50597070185433379</v>
      </c>
      <c r="AB6" s="10">
        <f>(Q15-AA6)^2</f>
        <v>3.9693026423219275E-4</v>
      </c>
      <c r="AD6" s="11"/>
      <c r="AE6" s="11">
        <f>(-2/F6+1/G6-1/H6)/$B$2</f>
        <v>-0.19703575967319978</v>
      </c>
      <c r="AF6" s="11">
        <f>$E$2*AE6</f>
        <v>-5.3616188707713084</v>
      </c>
      <c r="AG6" s="11">
        <f>AF6*AG$5</f>
        <v>-0.53616188707713086</v>
      </c>
      <c r="AH6" s="11">
        <f>AF6*AH$5</f>
        <v>-3.3242036998782112</v>
      </c>
      <c r="AI6" s="11">
        <f>AG6+sheet1!$E5</f>
        <v>2.9278759794037823E-2</v>
      </c>
      <c r="AJ6" s="11">
        <f>AH6+sheet1!$E5</f>
        <v>-2.7587630530070424</v>
      </c>
      <c r="AK6" s="11">
        <f>AI6-AI$8</f>
        <v>0.55474023932066219</v>
      </c>
      <c r="AL6" s="11">
        <f>AJ6-AJ$8</f>
        <v>0.49909812005802845</v>
      </c>
      <c r="AO6" s="5">
        <f>(AO$3/2)*(($C6-AO$4*$B$2)^2-($C$8-AO$4*$B$2)^2)</f>
        <v>0.54517457449624085</v>
      </c>
      <c r="AP6" s="10">
        <f>(AJ15-AO6)^2</f>
        <v>3.9279619956359584E-4</v>
      </c>
      <c r="AS6" s="5">
        <f>(AS$3/2)*(($C6-AS$4*$B$2)^2-($C$8-AS$4*$B$2)^2)</f>
        <v>0.53447329496798957</v>
      </c>
      <c r="AT6" s="10">
        <f>(AK15-AS6)^2</f>
        <v>3.9283076392907526E-4</v>
      </c>
      <c r="AV6" s="11"/>
      <c r="AW6" s="5">
        <f>(AW$3/2)*(($C6-AW$4*$B$2)^2-($C$8-AW$4*$B$2)^2)</f>
        <v>0.47882787027076762</v>
      </c>
      <c r="AX6" s="10">
        <f>(AL15-AW6)^2</f>
        <v>3.9296180200919521E-4</v>
      </c>
    </row>
    <row r="7" spans="1:51" x14ac:dyDescent="0.25">
      <c r="A7" s="1">
        <v>1.262</v>
      </c>
      <c r="B7" s="1">
        <v>-7.0000000000000007E-2</v>
      </c>
      <c r="C7" s="1">
        <v>2.3848392600000001</v>
      </c>
      <c r="D7" s="11">
        <v>2.6859999999999999</v>
      </c>
      <c r="E7" s="11">
        <v>3.5543100000000001</v>
      </c>
      <c r="F7" s="11">
        <v>4.6511899999999997</v>
      </c>
      <c r="G7" s="11">
        <v>4.0390100000000002</v>
      </c>
      <c r="H7" s="11">
        <v>5.3705800000000004</v>
      </c>
      <c r="I7" s="11"/>
      <c r="J7" s="11">
        <f t="shared" ref="J7:J10" si="1">(-2/D7+2/E7-2/F7+1/G7-1/H7)/$B$2</f>
        <v>-0.29132003407282692</v>
      </c>
      <c r="K7" s="11">
        <f t="shared" ref="K7:K10" si="2">$E$2*J7</f>
        <v>-7.927225975169323</v>
      </c>
      <c r="L7" s="11">
        <f t="shared" ref="L7:L10" si="3">K7*L$5</f>
        <v>-0.7927225975169323</v>
      </c>
      <c r="M7" s="11">
        <f t="shared" ref="M7:M10" si="4">K7*M$5</f>
        <v>-4.9148801046049799</v>
      </c>
      <c r="N7" s="11">
        <f>L7+sheet1!$E6</f>
        <v>-0.6717480601937591</v>
      </c>
      <c r="O7" s="11">
        <f>M7+sheet1!$E6</f>
        <v>-4.7939055672818069</v>
      </c>
      <c r="P7" s="11">
        <f t="shared" si="0"/>
        <v>0.1168881226042523</v>
      </c>
      <c r="Q7" s="11">
        <f t="shared" si="0"/>
        <v>9.5638766065863301E-2</v>
      </c>
      <c r="R7" s="11"/>
      <c r="S7" s="5">
        <f t="shared" ref="S7:S10" si="5">(S$3/2)*(($C7-S$4*$B$2)^2-($C$8-S$4*$B$2)^2)</f>
        <v>0.16589569323385669</v>
      </c>
      <c r="T7" s="10">
        <f t="shared" ref="T7:T10" si="6">(O16-S7)^2</f>
        <v>1.7465039905421162E-3</v>
      </c>
      <c r="V7" s="11"/>
      <c r="W7" s="5">
        <f t="shared" ref="W7:W10" si="7">(W$3/2)*(($C7-W$4*$B$2)^2-($C$8-W$4*$B$2)^2)</f>
        <v>0.16183782885799797</v>
      </c>
      <c r="X7" s="10">
        <f t="shared" ref="X7:X10" si="8">(P16-W7)^2</f>
        <v>1.7488911115801841E-3</v>
      </c>
      <c r="Z7" s="11"/>
      <c r="AA7" s="5">
        <f t="shared" ref="AA7:AA10" si="9">(AA$3/2)*(($C7-AA$4*$B$2)^2-($C$8-AA$4*$B$2)^2)</f>
        <v>0.14072019156807658</v>
      </c>
      <c r="AB7" s="10">
        <f t="shared" ref="AB7:AB10" si="10">(Q16-AA7)^2</f>
        <v>1.7599253924307056E-3</v>
      </c>
      <c r="AD7" s="11"/>
      <c r="AE7" s="11">
        <f>(-2/F7+1/G7-1/H7)/$B$2</f>
        <v>-0.19506050583926351</v>
      </c>
      <c r="AF7" s="11">
        <f t="shared" ref="AF7:AF10" si="11">$E$2*AE7</f>
        <v>-5.307869448594535</v>
      </c>
      <c r="AG7" s="11">
        <f t="shared" ref="AG7:AG10" si="12">AF7*AG$5</f>
        <v>-0.53078694485945355</v>
      </c>
      <c r="AH7" s="11">
        <f t="shared" ref="AH7:AH10" si="13">AF7*AH$5</f>
        <v>-3.2908790581286116</v>
      </c>
      <c r="AI7" s="11">
        <f>AG7+sheet1!$E6</f>
        <v>-0.40981240753628034</v>
      </c>
      <c r="AJ7" s="11">
        <f>AH7+sheet1!$E6</f>
        <v>-3.1699045208054386</v>
      </c>
      <c r="AK7" s="11">
        <f t="shared" ref="AK7:AL10" si="14">AI7-AI$8</f>
        <v>0.11564907199034402</v>
      </c>
      <c r="AL7" s="11">
        <f t="shared" si="14"/>
        <v>8.7956652259632229E-2</v>
      </c>
      <c r="AO7" s="5">
        <f t="shared" ref="AO7:AO10" si="15">(AO$3/2)*(($C7-AO$4*$B$2)^2-($C$8-AO$4*$B$2)^2)</f>
        <v>0.16251928738876911</v>
      </c>
      <c r="AP7" s="10">
        <f t="shared" ref="AP7:AP10" si="16">(AJ16-AO7)^2</f>
        <v>1.7442789596374439E-3</v>
      </c>
      <c r="AS7" s="5">
        <f t="shared" ref="AS7:AS10" si="17">(AS$3/2)*(($C7-AS$4*$B$2)^2-($C$8-AS$4*$B$2)^2)</f>
        <v>0.15719504910188112</v>
      </c>
      <c r="AT7" s="10">
        <f t="shared" ref="AT7:AT10" si="18">(AK16-AS7)^2</f>
        <v>1.7443814552250774E-3</v>
      </c>
      <c r="AV7" s="11"/>
      <c r="AW7" s="5">
        <f t="shared" ref="AW7:AW10" si="19">(AW$3/2)*(($C7-AW$4*$B$2)^2-($C$8-AW$4*$B$2)^2)</f>
        <v>0.12950939159334884</v>
      </c>
      <c r="AX7" s="10">
        <f t="shared" ref="AX7:AX10" si="20">(AL16-AW7)^2</f>
        <v>1.7449463600946963E-3</v>
      </c>
    </row>
    <row r="8" spans="1:51" x14ac:dyDescent="0.25">
      <c r="A8" s="1">
        <v>1.3320000000000001</v>
      </c>
      <c r="B8" s="1">
        <v>0</v>
      </c>
      <c r="C8" s="1">
        <v>2.5171203599999998</v>
      </c>
      <c r="D8" s="11">
        <v>2.7202999999999999</v>
      </c>
      <c r="E8" s="11">
        <v>3.62025</v>
      </c>
      <c r="F8" s="11">
        <v>4.7116800000000003</v>
      </c>
      <c r="G8" s="11">
        <v>4.1090099999999996</v>
      </c>
      <c r="H8" s="11">
        <v>5.4405799999999997</v>
      </c>
      <c r="I8" s="11"/>
      <c r="J8" s="11">
        <f t="shared" si="1"/>
        <v>-0.28981830512138712</v>
      </c>
      <c r="K8" s="11">
        <f t="shared" si="2"/>
        <v>-7.8863618279801138</v>
      </c>
      <c r="L8" s="11">
        <f t="shared" si="3"/>
        <v>-0.7886361827980114</v>
      </c>
      <c r="M8" s="11">
        <f t="shared" si="4"/>
        <v>-4.8895443333476702</v>
      </c>
      <c r="N8" s="11">
        <f>L8+sheet1!$E7</f>
        <v>-0.7886361827980114</v>
      </c>
      <c r="O8" s="11">
        <f>M8+sheet1!$E7</f>
        <v>-4.8895443333476702</v>
      </c>
      <c r="P8" s="11">
        <f t="shared" si="0"/>
        <v>0</v>
      </c>
      <c r="Q8" s="11">
        <f t="shared" si="0"/>
        <v>0</v>
      </c>
      <c r="R8" s="11"/>
      <c r="S8" s="5">
        <f t="shared" si="5"/>
        <v>0</v>
      </c>
      <c r="T8" s="10">
        <f t="shared" si="6"/>
        <v>0</v>
      </c>
      <c r="V8" s="11"/>
      <c r="W8" s="5">
        <f t="shared" si="7"/>
        <v>0</v>
      </c>
      <c r="X8" s="10">
        <f t="shared" si="8"/>
        <v>0</v>
      </c>
      <c r="Z8" s="11"/>
      <c r="AA8" s="5">
        <f t="shared" si="9"/>
        <v>0</v>
      </c>
      <c r="AB8" s="10">
        <f t="shared" si="10"/>
        <v>0</v>
      </c>
      <c r="AD8" s="11"/>
      <c r="AE8" s="11">
        <f>(-2/F8+1/G8-1/H8)/$B$2</f>
        <v>-0.19310343441595224</v>
      </c>
      <c r="AF8" s="11">
        <f t="shared" si="11"/>
        <v>-5.2546147952662432</v>
      </c>
      <c r="AG8" s="11">
        <f t="shared" si="12"/>
        <v>-0.52546147952662436</v>
      </c>
      <c r="AH8" s="11">
        <f t="shared" si="13"/>
        <v>-3.2578611730650708</v>
      </c>
      <c r="AI8" s="11">
        <f>AG8+sheet1!$E7</f>
        <v>-0.52546147952662436</v>
      </c>
      <c r="AJ8" s="11">
        <f>AH8+sheet1!$E7</f>
        <v>-3.2578611730650708</v>
      </c>
      <c r="AK8" s="11">
        <f t="shared" si="14"/>
        <v>0</v>
      </c>
      <c r="AL8" s="11">
        <f t="shared" si="14"/>
        <v>0</v>
      </c>
      <c r="AO8" s="5">
        <f t="shared" si="15"/>
        <v>0</v>
      </c>
      <c r="AP8" s="10">
        <f t="shared" si="16"/>
        <v>0</v>
      </c>
      <c r="AS8" s="5">
        <f t="shared" si="17"/>
        <v>0</v>
      </c>
      <c r="AT8" s="10">
        <f t="shared" si="18"/>
        <v>0</v>
      </c>
      <c r="AV8" s="11"/>
      <c r="AW8" s="5">
        <f t="shared" si="19"/>
        <v>0</v>
      </c>
      <c r="AX8" s="10">
        <f t="shared" si="20"/>
        <v>0</v>
      </c>
    </row>
    <row r="9" spans="1:51" x14ac:dyDescent="0.25">
      <c r="A9" s="1">
        <v>1.4020000000000001</v>
      </c>
      <c r="B9" s="1">
        <v>7.0000000000000007E-2</v>
      </c>
      <c r="C9" s="1">
        <v>2.64940146</v>
      </c>
      <c r="D9" s="11">
        <v>2.7559999999999998</v>
      </c>
      <c r="E9" s="11">
        <v>3.6863600000000001</v>
      </c>
      <c r="F9" s="11">
        <v>4.7724299999999999</v>
      </c>
      <c r="G9" s="11">
        <v>4.1790099999999999</v>
      </c>
      <c r="H9" s="11">
        <v>5.51058</v>
      </c>
      <c r="I9" s="11"/>
      <c r="J9" s="11">
        <f t="shared" si="1"/>
        <v>-0.28808374445321533</v>
      </c>
      <c r="K9" s="11">
        <f t="shared" si="2"/>
        <v>-7.8391620038142236</v>
      </c>
      <c r="L9" s="11">
        <f t="shared" si="3"/>
        <v>-0.7839162003814224</v>
      </c>
      <c r="M9" s="11">
        <f t="shared" si="4"/>
        <v>-4.8602804423648189</v>
      </c>
      <c r="N9" s="11">
        <f>L9+sheet1!$E8</f>
        <v>-0.69324863192406083</v>
      </c>
      <c r="O9" s="11">
        <f>M9+sheet1!$E8</f>
        <v>-4.769612873907457</v>
      </c>
      <c r="P9" s="11">
        <f t="shared" si="0"/>
        <v>9.5387550873950566E-2</v>
      </c>
      <c r="Q9" s="11">
        <f t="shared" si="0"/>
        <v>0.11993145944021322</v>
      </c>
      <c r="R9" s="11"/>
      <c r="S9" s="5">
        <f t="shared" si="5"/>
        <v>5.4798035418426115E-2</v>
      </c>
      <c r="T9" s="10">
        <f t="shared" si="6"/>
        <v>1.1077266069879292E-3</v>
      </c>
      <c r="V9" s="11"/>
      <c r="W9" s="5">
        <f t="shared" si="7"/>
        <v>5.9475099604443471E-2</v>
      </c>
      <c r="X9" s="10">
        <f t="shared" si="8"/>
        <v>1.1105853033025234E-3</v>
      </c>
      <c r="Z9" s="11"/>
      <c r="AA9" s="5">
        <f t="shared" si="9"/>
        <v>8.3810127150104705E-2</v>
      </c>
      <c r="AB9" s="10">
        <f t="shared" si="10"/>
        <v>1.124551040628662E-3</v>
      </c>
      <c r="AD9" s="11"/>
      <c r="AE9" s="11">
        <f>(-2/F9+1/G9-1/H9)/$B$2</f>
        <v>-0.19116577428282483</v>
      </c>
      <c r="AF9" s="11">
        <f t="shared" si="11"/>
        <v>-5.2018883503196598</v>
      </c>
      <c r="AG9" s="11">
        <f t="shared" si="12"/>
        <v>-0.520188835031966</v>
      </c>
      <c r="AH9" s="11">
        <f t="shared" si="13"/>
        <v>-3.2251707771981892</v>
      </c>
      <c r="AI9" s="11">
        <f>AG9+sheet1!$E8</f>
        <v>-0.42952126657460449</v>
      </c>
      <c r="AJ9" s="11">
        <f>AH9+sheet1!$E8</f>
        <v>-3.1345032087408278</v>
      </c>
      <c r="AK9" s="11">
        <f t="shared" si="14"/>
        <v>9.5940212952019877E-2</v>
      </c>
      <c r="AL9" s="11">
        <f t="shared" si="14"/>
        <v>0.12335796432424306</v>
      </c>
      <c r="AO9" s="5">
        <f t="shared" si="15"/>
        <v>5.7616712329933983E-2</v>
      </c>
      <c r="AP9" s="10">
        <f t="shared" si="16"/>
        <v>1.1062826598354006E-3</v>
      </c>
      <c r="AS9" s="5">
        <f t="shared" si="17"/>
        <v>6.288814766234678E-2</v>
      </c>
      <c r="AT9" s="10">
        <f t="shared" si="18"/>
        <v>1.1063630967717152E-3</v>
      </c>
      <c r="AV9" s="11"/>
      <c r="AW9" s="5">
        <f t="shared" si="19"/>
        <v>9.0299695490721726E-2</v>
      </c>
      <c r="AX9" s="10">
        <f t="shared" si="20"/>
        <v>1.1067758202640869E-3</v>
      </c>
    </row>
    <row r="10" spans="1:51" x14ac:dyDescent="0.25">
      <c r="A10" s="1">
        <v>1.472</v>
      </c>
      <c r="B10" s="1">
        <v>0.14000000000000001</v>
      </c>
      <c r="C10" s="1">
        <v>2.7816825599999997</v>
      </c>
      <c r="D10" s="11">
        <v>2.7929200000000001</v>
      </c>
      <c r="E10" s="11">
        <v>3.7526000000000002</v>
      </c>
      <c r="F10" s="11">
        <v>4.8334299999999999</v>
      </c>
      <c r="G10" s="11">
        <v>4.2490100000000002</v>
      </c>
      <c r="H10" s="11">
        <v>5.5805800000000003</v>
      </c>
      <c r="I10" s="11"/>
      <c r="J10" s="11">
        <f t="shared" si="1"/>
        <v>-0.28615798810646392</v>
      </c>
      <c r="K10" s="11">
        <f t="shared" si="2"/>
        <v>-7.7867594775602331</v>
      </c>
      <c r="L10" s="11">
        <f t="shared" si="3"/>
        <v>-0.77867594775602333</v>
      </c>
      <c r="M10" s="11">
        <f t="shared" si="4"/>
        <v>-4.8277908760873443</v>
      </c>
      <c r="N10" s="11">
        <f>L10+sheet1!$E9</f>
        <v>-0.46140871116441728</v>
      </c>
      <c r="O10" s="11">
        <f>M10+sheet1!$E9</f>
        <v>-4.5105236394957382</v>
      </c>
      <c r="P10" s="11">
        <f t="shared" si="0"/>
        <v>0.32722747163359411</v>
      </c>
      <c r="Q10" s="11">
        <f t="shared" si="0"/>
        <v>0.37902069385193204</v>
      </c>
      <c r="R10" s="11"/>
      <c r="S10" s="5">
        <f t="shared" si="5"/>
        <v>0.33028979948913467</v>
      </c>
      <c r="T10" s="10">
        <f t="shared" si="6"/>
        <v>3.1373010589923146E-4</v>
      </c>
      <c r="V10" s="11"/>
      <c r="W10" s="5">
        <f t="shared" si="7"/>
        <v>0.34026312767132794</v>
      </c>
      <c r="X10" s="10">
        <f t="shared" si="8"/>
        <v>3.1419409993608931E-4</v>
      </c>
      <c r="Z10" s="11"/>
      <c r="AA10" s="5">
        <f t="shared" si="9"/>
        <v>0.39215057301839018</v>
      </c>
      <c r="AB10" s="10">
        <f t="shared" si="10"/>
        <v>3.1754328605557234E-4</v>
      </c>
      <c r="AD10" s="11"/>
      <c r="AE10" s="11">
        <f>(-2/F10+1/G10-1/H10)/$B$2</f>
        <v>-0.18924858651779058</v>
      </c>
      <c r="AF10" s="11">
        <f t="shared" si="11"/>
        <v>-5.1497189871702069</v>
      </c>
      <c r="AG10" s="11">
        <f t="shared" si="12"/>
        <v>-0.51497189871702076</v>
      </c>
      <c r="AH10" s="11">
        <f t="shared" si="13"/>
        <v>-3.1928257720455284</v>
      </c>
      <c r="AI10" s="11">
        <f>AG10+sheet1!$E9</f>
        <v>-0.19770466212541471</v>
      </c>
      <c r="AJ10" s="11">
        <f>AH10+sheet1!$E9</f>
        <v>-2.8755585354539224</v>
      </c>
      <c r="AK10" s="11">
        <f t="shared" si="14"/>
        <v>0.32775681740120965</v>
      </c>
      <c r="AL10" s="11">
        <f t="shared" si="14"/>
        <v>0.38230263761114847</v>
      </c>
      <c r="AO10" s="5">
        <f t="shared" si="15"/>
        <v>0.33536942437857065</v>
      </c>
      <c r="AP10" s="10">
        <f t="shared" si="16"/>
        <v>3.1306110493190301E-4</v>
      </c>
      <c r="AS10" s="5">
        <f t="shared" si="17"/>
        <v>0.34585949208892103</v>
      </c>
      <c r="AT10" s="10">
        <f t="shared" si="18"/>
        <v>3.130783351576969E-4</v>
      </c>
      <c r="AV10" s="11"/>
      <c r="AW10" s="5">
        <f t="shared" si="19"/>
        <v>0.4004084780655135</v>
      </c>
      <c r="AX10" s="10">
        <f t="shared" si="20"/>
        <v>3.131903754552065E-4</v>
      </c>
    </row>
    <row r="11" spans="1:51" x14ac:dyDescent="0.25">
      <c r="O11" s="2" t="s">
        <v>20</v>
      </c>
      <c r="P11" s="11">
        <f>P6^2+P7^2+P8^2+P9^2+P10^2</f>
        <v>0.44114972524811569</v>
      </c>
      <c r="Q11" s="11">
        <f>Q6^2+Q7^2+Q8^2+Q9^2+Q10^2</f>
        <v>0.43655863260192279</v>
      </c>
      <c r="S11" s="4"/>
      <c r="T11" s="4"/>
      <c r="W11" s="4"/>
      <c r="X11" s="4"/>
      <c r="AA11" s="4"/>
      <c r="AB11" s="4"/>
      <c r="AJ11" s="2" t="s">
        <v>20</v>
      </c>
      <c r="AK11" s="11">
        <f>AK6^2+AK7^2+AK8^2+AK9^2+AK10^2</f>
        <v>0.43774049678802207</v>
      </c>
      <c r="AL11" s="11">
        <f>AL6^2+AL7^2+AL8^2+AL9^2+AL10^2</f>
        <v>0.41820780020884241</v>
      </c>
      <c r="AO11" s="4"/>
      <c r="AP11" s="4"/>
      <c r="AS11" s="4"/>
      <c r="AT11" s="4"/>
      <c r="AW11" s="4"/>
      <c r="AX11" s="4"/>
    </row>
    <row r="12" spans="1:51" x14ac:dyDescent="0.25">
      <c r="S12" s="4"/>
      <c r="T12" s="5">
        <f>SUM(T6:T10)</f>
        <v>3.5615511283556716E-3</v>
      </c>
      <c r="U12" s="2" t="s">
        <v>17</v>
      </c>
      <c r="W12" s="4"/>
      <c r="X12" s="5">
        <f>SUM(X6:X10)</f>
        <v>3.5675685794351085E-3</v>
      </c>
      <c r="Y12" s="2" t="s">
        <v>17</v>
      </c>
      <c r="AA12" s="4"/>
      <c r="AB12" s="5">
        <f>SUM(AB6:AB10)</f>
        <v>3.598949983347133E-3</v>
      </c>
      <c r="AC12" s="2" t="s">
        <v>17</v>
      </c>
      <c r="AO12" s="4"/>
      <c r="AP12" s="5">
        <f>SUM(AP6:AP10)</f>
        <v>3.5564189239683437E-3</v>
      </c>
      <c r="AQ12" s="2" t="s">
        <v>17</v>
      </c>
      <c r="AS12" s="4"/>
      <c r="AT12" s="5">
        <f>SUM(AT6:AT10)</f>
        <v>3.5566536510835646E-3</v>
      </c>
      <c r="AU12" s="2" t="s">
        <v>17</v>
      </c>
      <c r="AW12" s="4"/>
      <c r="AX12" s="5">
        <f>SUM(AX6:AX10)</f>
        <v>3.5578743578231851E-3</v>
      </c>
      <c r="AY12" s="2" t="s">
        <v>17</v>
      </c>
    </row>
    <row r="13" spans="1:51" x14ac:dyDescent="0.25">
      <c r="L13" s="2"/>
      <c r="N13" s="2" t="s">
        <v>62</v>
      </c>
      <c r="O13" s="2" t="s">
        <v>47</v>
      </c>
      <c r="S13" s="4"/>
      <c r="T13" s="5">
        <f>1-T12/O20</f>
        <v>0.99205755066314327</v>
      </c>
      <c r="U13" s="2" t="s">
        <v>18</v>
      </c>
      <c r="W13" s="4"/>
      <c r="X13" s="5">
        <f>1-X12/P20</f>
        <v>0.99200250721191274</v>
      </c>
      <c r="Y13" s="2" t="s">
        <v>18</v>
      </c>
      <c r="AA13" s="4"/>
      <c r="AB13" s="5">
        <f>1-AB12/Q20</f>
        <v>0.99182452313613889</v>
      </c>
      <c r="AC13" s="2" t="s">
        <v>18</v>
      </c>
      <c r="AI13" s="2" t="s">
        <v>62</v>
      </c>
      <c r="AJ13" s="2" t="s">
        <v>47</v>
      </c>
      <c r="AK13" s="11"/>
      <c r="AL13" s="11"/>
      <c r="AO13" s="4"/>
      <c r="AP13" s="5">
        <f>1-AP12/AJ20</f>
        <v>0.99197153569886665</v>
      </c>
      <c r="AQ13" s="2" t="s">
        <v>18</v>
      </c>
      <c r="AS13" s="4"/>
      <c r="AT13" s="5">
        <f>1-AT12/AK20</f>
        <v>0.99187054978364986</v>
      </c>
      <c r="AU13" s="2" t="s">
        <v>18</v>
      </c>
      <c r="AW13" s="4"/>
      <c r="AX13" s="5">
        <f>1-AX12/AL20</f>
        <v>0.99149012378448809</v>
      </c>
      <c r="AY13" s="2" t="s">
        <v>18</v>
      </c>
    </row>
    <row r="14" spans="1:51" x14ac:dyDescent="0.25">
      <c r="D14" s="2" t="s">
        <v>58</v>
      </c>
      <c r="J14" s="13" t="s">
        <v>59</v>
      </c>
      <c r="L14" s="2"/>
      <c r="M14" s="2"/>
      <c r="N14" s="2" t="s">
        <v>42</v>
      </c>
      <c r="O14" s="2">
        <v>0</v>
      </c>
      <c r="P14" s="2">
        <v>0.1</v>
      </c>
      <c r="Q14" s="2">
        <v>0.62</v>
      </c>
      <c r="AE14" s="13" t="s">
        <v>59</v>
      </c>
      <c r="AI14" s="2" t="s">
        <v>42</v>
      </c>
      <c r="AJ14" s="2">
        <v>0</v>
      </c>
      <c r="AK14" s="2">
        <v>0.1</v>
      </c>
      <c r="AL14" s="2">
        <v>0.62</v>
      </c>
    </row>
    <row r="15" spans="1:51" x14ac:dyDescent="0.25">
      <c r="D15" s="1">
        <f>LJ_parameters!$D$5*(-2*(LJ_parameters!$E$5/D6)^6+(LJ_parameters!$E$5/D6)^12)</f>
        <v>1.9423377210181815E-2</v>
      </c>
      <c r="E15" s="1">
        <f>LJ_parameters!$D$6*(-2*(LJ_parameters!$E$6/E6)^6+(LJ_parameters!$E$6/E6)^12)</f>
        <v>-3.0083090020099515E-3</v>
      </c>
      <c r="F15" s="1">
        <f>LJ_parameters!$D$5*(-2*(LJ_parameters!$E$5/F6)^6+(LJ_parameters!$E$5/F6)^12)</f>
        <v>-6.1922940672012514E-4</v>
      </c>
      <c r="G15" s="1">
        <f>LJ_parameters!$D$6*(-2*(LJ_parameters!$E$6/G6)^6+(LJ_parameters!$E$6/G6)^12)</f>
        <v>-2.5230131768762829E-3</v>
      </c>
      <c r="H15" s="1">
        <f>LJ_parameters!$D$5*(-2*(LJ_parameters!$E$5/H6)^6+(LJ_parameters!$E$5/H6)^12)</f>
        <v>-2.7409013874476503E-4</v>
      </c>
      <c r="J15" s="11">
        <f>SUM(D15:H15)</f>
        <v>1.2998735485830691E-2</v>
      </c>
      <c r="L15" s="11"/>
      <c r="O15" s="11">
        <f>J15-$J$17+sheet1!$E5</f>
        <v>0.57232422863160182</v>
      </c>
      <c r="P15" s="11">
        <f>J15-$J$17+P6</f>
        <v>0.56483545153839509</v>
      </c>
      <c r="Q15" s="11">
        <f>J15-$J$17+Q6</f>
        <v>0.52589381065372032</v>
      </c>
      <c r="AE15" s="11">
        <f>SUM(F15:H15)</f>
        <v>-3.4163327223411732E-3</v>
      </c>
      <c r="AJ15" s="11">
        <f>AE15-$AE$17+sheet1!$E5</f>
        <v>0.56499366124522088</v>
      </c>
      <c r="AK15" s="11">
        <f>AE15-$AE$17+AK6</f>
        <v>0.55429325369471438</v>
      </c>
      <c r="AL15" s="11">
        <f>AE15-$AE$17+AL6</f>
        <v>0.49865113443208059</v>
      </c>
    </row>
    <row r="16" spans="1:51" x14ac:dyDescent="0.25">
      <c r="D16" s="1">
        <f>LJ_parameters!$D$5*(-2*(LJ_parameters!$E$5/D7)^6+(LJ_parameters!$E$5/D7)^12)</f>
        <v>1.5556973230532558E-2</v>
      </c>
      <c r="E16" s="1">
        <f>LJ_parameters!$D$6*(-2*(LJ_parameters!$E$6/E7)^6+(LJ_parameters!$E$6/E7)^12)</f>
        <v>-3.122695857419709E-3</v>
      </c>
      <c r="F16" s="1">
        <f>LJ_parameters!$D$5*(-2*(LJ_parameters!$E$5/F7)^6+(LJ_parameters!$E$5/F7)^12)</f>
        <v>-5.762687765890588E-4</v>
      </c>
      <c r="G16" s="1">
        <f>LJ_parameters!$D$6*(-2*(LJ_parameters!$E$6/G7)^6+(LJ_parameters!$E$6/G7)^12)</f>
        <v>-2.3589046960706258E-3</v>
      </c>
      <c r="H16" s="1">
        <f>LJ_parameters!$D$5*(-2*(LJ_parameters!$E$5/H7)^6+(LJ_parameters!$E$5/H7)^12)</f>
        <v>-2.5398939614735346E-4</v>
      </c>
      <c r="J16" s="11">
        <f t="shared" ref="J16:J19" si="21">SUM(D16:H16)</f>
        <v>9.2451145043058111E-3</v>
      </c>
      <c r="O16" s="11">
        <f>J16-$J$17+sheet1!$E6</f>
        <v>0.12410449810208143</v>
      </c>
      <c r="P16" s="11">
        <f t="shared" ref="P16:P19" si="22">J16-$J$17+P7</f>
        <v>0.12001808338316056</v>
      </c>
      <c r="Q16" s="11">
        <f t="shared" ref="Q16:Q19" si="23">J16-$J$17+Q7</f>
        <v>9.8768726844771559E-2</v>
      </c>
      <c r="AE16" s="11">
        <f t="shared" ref="AE16:AE19" si="24">SUM(F16:H16)</f>
        <v>-3.1891628688070382E-3</v>
      </c>
      <c r="AJ16" s="11">
        <f>AE16-$AE$17+sheet1!$E6</f>
        <v>0.12075472155075945</v>
      </c>
      <c r="AK16" s="11">
        <f t="shared" ref="AK16:AK19" si="25">AE16-$AE$17+AK7</f>
        <v>0.11542925621793029</v>
      </c>
      <c r="AL16" s="11">
        <f t="shared" ref="AL16:AL19" si="26">AE16-$AE$17+AL7</f>
        <v>8.77368364872185E-2</v>
      </c>
    </row>
    <row r="17" spans="4:51" x14ac:dyDescent="0.25">
      <c r="D17" s="1">
        <f>LJ_parameters!$D$5*(-2*(LJ_parameters!$E$5/D8)^6+(LJ_parameters!$E$5/D8)^12)</f>
        <v>1.2222791334159195E-2</v>
      </c>
      <c r="E17" s="1">
        <f>LJ_parameters!$D$6*(-2*(LJ_parameters!$E$6/E8)^6+(LJ_parameters!$E$6/E8)^12)</f>
        <v>-3.1382905123683242E-3</v>
      </c>
      <c r="F17" s="1">
        <f>LJ_parameters!$D$5*(-2*(LJ_parameters!$E$5/F8)^6+(LJ_parameters!$E$5/F8)^12)</f>
        <v>-5.3634608681655735E-4</v>
      </c>
      <c r="G17" s="1">
        <f>LJ_parameters!$D$6*(-2*(LJ_parameters!$E$6/G8)^6+(LJ_parameters!$E$6/G8)^12)</f>
        <v>-2.197451990867572E-3</v>
      </c>
      <c r="H17" s="1">
        <f>LJ_parameters!$D$5*(-2*(LJ_parameters!$E$5/H8)^6+(LJ_parameters!$E$5/H8)^12)</f>
        <v>-2.3554901870918727E-4</v>
      </c>
      <c r="J17" s="11">
        <f t="shared" si="21"/>
        <v>6.1151537253975536E-3</v>
      </c>
      <c r="O17" s="11">
        <f>J17-$J$17+sheet1!$E7</f>
        <v>0</v>
      </c>
      <c r="P17" s="11">
        <f t="shared" si="22"/>
        <v>0</v>
      </c>
      <c r="Q17" s="11">
        <f t="shared" si="23"/>
        <v>0</v>
      </c>
      <c r="S17" s="1" t="s">
        <v>60</v>
      </c>
      <c r="W17" s="1" t="s">
        <v>48</v>
      </c>
      <c r="AA17" s="1" t="s">
        <v>49</v>
      </c>
      <c r="AE17" s="11">
        <f t="shared" si="24"/>
        <v>-2.9693470963933167E-3</v>
      </c>
      <c r="AJ17" s="11">
        <f>AE17-$AE$17+sheet1!$E7</f>
        <v>0</v>
      </c>
      <c r="AK17" s="11">
        <f t="shared" si="25"/>
        <v>0</v>
      </c>
      <c r="AL17" s="11">
        <f t="shared" si="26"/>
        <v>0</v>
      </c>
      <c r="AO17" s="1" t="s">
        <v>60</v>
      </c>
      <c r="AS17" s="1" t="s">
        <v>48</v>
      </c>
      <c r="AW17" s="1" t="s">
        <v>49</v>
      </c>
    </row>
    <row r="18" spans="4:51" x14ac:dyDescent="0.25">
      <c r="D18" s="1">
        <f>LJ_parameters!$D$5*(-2*(LJ_parameters!$E$5/D9)^6+(LJ_parameters!$E$5/D9)^12)</f>
        <v>9.3733945935864788E-3</v>
      </c>
      <c r="E18" s="1">
        <f>LJ_parameters!$D$6*(-2*(LJ_parameters!$E$6/E9)^6+(LJ_parameters!$E$6/E9)^12)</f>
        <v>-3.0858713392033113E-3</v>
      </c>
      <c r="F18" s="1">
        <f>LJ_parameters!$D$5*(-2*(LJ_parameters!$E$5/F9)^6+(LJ_parameters!$E$5/F9)^12)</f>
        <v>-4.9927002855977218E-4</v>
      </c>
      <c r="G18" s="1">
        <f>LJ_parameters!$D$6*(-2*(LJ_parameters!$E$6/G9)^6+(LJ_parameters!$E$6/G9)^12)</f>
        <v>-2.0414857428222408E-3</v>
      </c>
      <c r="H18" s="1">
        <f>LJ_parameters!$D$5*(-2*(LJ_parameters!$E$5/H9)^6+(LJ_parameters!$E$5/H9)^12)</f>
        <v>-2.1861974422627894E-4</v>
      </c>
      <c r="J18" s="11">
        <f t="shared" si="21"/>
        <v>3.5281477387748752E-3</v>
      </c>
      <c r="O18" s="11">
        <f>J18-$J$17+sheet1!$E8</f>
        <v>8.8080562470738852E-2</v>
      </c>
      <c r="P18" s="11">
        <f t="shared" si="22"/>
        <v>9.280054488732789E-2</v>
      </c>
      <c r="Q18" s="11">
        <f t="shared" si="23"/>
        <v>0.11734445345359054</v>
      </c>
      <c r="S18" s="3" t="s">
        <v>52</v>
      </c>
      <c r="T18" s="4"/>
      <c r="W18" s="3" t="s">
        <v>52</v>
      </c>
      <c r="X18" s="4"/>
      <c r="AA18" s="3" t="s">
        <v>52</v>
      </c>
      <c r="AB18" s="4"/>
      <c r="AE18" s="11">
        <f t="shared" si="24"/>
        <v>-2.7593755156082918E-3</v>
      </c>
      <c r="AJ18" s="11">
        <f>AE18-$AE$17+sheet1!$E8</f>
        <v>9.0877540038146548E-2</v>
      </c>
      <c r="AK18" s="11">
        <f t="shared" si="25"/>
        <v>9.6150184532804897E-2</v>
      </c>
      <c r="AL18" s="11">
        <f t="shared" si="26"/>
        <v>0.12356793590502808</v>
      </c>
      <c r="AO18" s="3" t="s">
        <v>52</v>
      </c>
      <c r="AP18" s="4"/>
      <c r="AS18" s="3" t="s">
        <v>52</v>
      </c>
      <c r="AT18" s="4"/>
      <c r="AW18" s="3" t="s">
        <v>52</v>
      </c>
      <c r="AX18" s="4"/>
    </row>
    <row r="19" spans="4:51" x14ac:dyDescent="0.25">
      <c r="D19" s="1">
        <f>LJ_parameters!$D$5*(-2*(LJ_parameters!$E$5/D10)^6+(LJ_parameters!$E$5/D10)^12)</f>
        <v>6.9738985046772896E-3</v>
      </c>
      <c r="E19" s="1">
        <f>LJ_parameters!$D$6*(-2*(LJ_parameters!$E$6/E10)^6+(LJ_parameters!$E$6/E10)^12)</f>
        <v>-2.9879177230546583E-3</v>
      </c>
      <c r="F19" s="1">
        <f>LJ_parameters!$D$5*(-2*(LJ_parameters!$E$5/F10)^6+(LJ_parameters!$E$5/F10)^12)</f>
        <v>-4.6485478908908238E-4</v>
      </c>
      <c r="G19" s="1">
        <f>LJ_parameters!$D$6*(-2*(LJ_parameters!$E$6/G10)^6+(LJ_parameters!$E$6/G10)^12)</f>
        <v>-1.8927710481692426E-3</v>
      </c>
      <c r="H19" s="1">
        <f>LJ_parameters!$D$5*(-2*(LJ_parameters!$E$5/H10)^6+(LJ_parameters!$E$5/H10)^12)</f>
        <v>-2.0306632832727074E-4</v>
      </c>
      <c r="J19" s="11">
        <f t="shared" si="21"/>
        <v>1.4252886160370354E-3</v>
      </c>
      <c r="O19" s="11">
        <f>J19-$J$17+sheet1!$E9</f>
        <v>0.31257737148224551</v>
      </c>
      <c r="P19" s="11">
        <f t="shared" si="22"/>
        <v>0.32253760652423358</v>
      </c>
      <c r="Q19" s="11">
        <f t="shared" si="23"/>
        <v>0.37433082874257151</v>
      </c>
      <c r="S19" s="9">
        <v>12.58103712773678</v>
      </c>
      <c r="T19" s="4" t="s">
        <v>12</v>
      </c>
      <c r="U19" s="1" t="s">
        <v>30</v>
      </c>
      <c r="W19" s="9">
        <v>12.581862505674925</v>
      </c>
      <c r="X19" s="4" t="s">
        <v>12</v>
      </c>
      <c r="Y19" s="1" t="s">
        <v>30</v>
      </c>
      <c r="AA19" s="9">
        <v>12.586154394853105</v>
      </c>
      <c r="AB19" s="4" t="s">
        <v>12</v>
      </c>
      <c r="AC19" s="1" t="s">
        <v>30</v>
      </c>
      <c r="AE19" s="11">
        <f t="shared" si="24"/>
        <v>-2.5606921655855958E-3</v>
      </c>
      <c r="AJ19" s="11">
        <f>AE19-$AE$17+sheet1!$E9</f>
        <v>0.31767589152241377</v>
      </c>
      <c r="AK19" s="11">
        <f t="shared" si="25"/>
        <v>0.32816547233201737</v>
      </c>
      <c r="AL19" s="11">
        <f t="shared" si="26"/>
        <v>0.38271129254195618</v>
      </c>
      <c r="AO19" s="9">
        <v>12.580969615656176</v>
      </c>
      <c r="AP19" s="4" t="s">
        <v>12</v>
      </c>
      <c r="AQ19" s="1" t="s">
        <v>30</v>
      </c>
      <c r="AS19" s="9">
        <v>12.581033556317644</v>
      </c>
      <c r="AT19" s="4" t="s">
        <v>12</v>
      </c>
      <c r="AU19" s="1" t="s">
        <v>30</v>
      </c>
      <c r="AW19" s="9">
        <v>12.581366057706411</v>
      </c>
      <c r="AX19" s="4" t="s">
        <v>12</v>
      </c>
      <c r="AY19" s="1" t="s">
        <v>30</v>
      </c>
    </row>
    <row r="20" spans="4:51" x14ac:dyDescent="0.25">
      <c r="L20" s="2" t="s">
        <v>42</v>
      </c>
      <c r="N20" s="2" t="s">
        <v>20</v>
      </c>
      <c r="O20" s="11">
        <f>O15^2+O16^2+O17^2+O18^2+O19^2</f>
        <v>0.44841974777583898</v>
      </c>
      <c r="P20" s="11">
        <f t="shared" ref="P20:Q20" si="27">P15^2+P16^2+P17^2+P18^2+P19^2</f>
        <v>0.44608587640731623</v>
      </c>
      <c r="Q20" s="11">
        <f t="shared" si="27"/>
        <v>0.44021285158985041</v>
      </c>
      <c r="S20" s="8">
        <v>1.3320000000000001</v>
      </c>
      <c r="T20" s="4" t="s">
        <v>51</v>
      </c>
      <c r="U20" s="1" t="s">
        <v>32</v>
      </c>
      <c r="W20" s="8">
        <v>1.3320000000000001</v>
      </c>
      <c r="X20" s="4" t="s">
        <v>51</v>
      </c>
      <c r="Y20" s="1" t="s">
        <v>32</v>
      </c>
      <c r="AA20" s="8">
        <v>1.3320000000000001</v>
      </c>
      <c r="AB20" s="4" t="s">
        <v>51</v>
      </c>
      <c r="AC20" s="1" t="s">
        <v>32</v>
      </c>
      <c r="AG20" s="2" t="s">
        <v>42</v>
      </c>
      <c r="AH20" s="1"/>
      <c r="AI20" s="2" t="s">
        <v>20</v>
      </c>
      <c r="AJ20" s="11">
        <f>AJ15^2+AJ16^2+AJ17^2+AJ18^2+AJ19^2</f>
        <v>0.44297623936202618</v>
      </c>
      <c r="AK20" s="11">
        <f t="shared" ref="AK20:AL20" si="28">AK15^2+AK16^2+AK17^2+AK18^2+AK19^2</f>
        <v>0.43750235949908611</v>
      </c>
      <c r="AL20" s="11">
        <f t="shared" si="28"/>
        <v>0.41808767457014973</v>
      </c>
      <c r="AO20" s="8">
        <v>1.3320000000000001</v>
      </c>
      <c r="AP20" s="4" t="s">
        <v>51</v>
      </c>
      <c r="AQ20" s="1" t="s">
        <v>32</v>
      </c>
      <c r="AS20" s="8">
        <v>1.3320000000000001</v>
      </c>
      <c r="AT20" s="4" t="s">
        <v>51</v>
      </c>
      <c r="AU20" s="1" t="s">
        <v>32</v>
      </c>
      <c r="AW20" s="8">
        <v>1.3320000000000001</v>
      </c>
      <c r="AX20" s="4" t="s">
        <v>51</v>
      </c>
      <c r="AY20" s="1" t="s">
        <v>32</v>
      </c>
    </row>
    <row r="21" spans="4:51" x14ac:dyDescent="0.25">
      <c r="D21" s="2" t="s">
        <v>50</v>
      </c>
      <c r="J21" s="13" t="s">
        <v>64</v>
      </c>
      <c r="K21" s="2" t="s">
        <v>41</v>
      </c>
      <c r="L21" s="2">
        <v>0.1</v>
      </c>
      <c r="M21" s="2">
        <v>0.62</v>
      </c>
      <c r="N21" s="2" t="s">
        <v>63</v>
      </c>
      <c r="O21" s="2" t="s">
        <v>47</v>
      </c>
      <c r="P21" s="2"/>
      <c r="Q21" s="2"/>
      <c r="S21" s="3" t="s">
        <v>27</v>
      </c>
      <c r="T21" s="3" t="s">
        <v>21</v>
      </c>
      <c r="W21" s="3" t="s">
        <v>27</v>
      </c>
      <c r="X21" s="3" t="s">
        <v>21</v>
      </c>
      <c r="AA21" s="3" t="s">
        <v>27</v>
      </c>
      <c r="AB21" s="3" t="s">
        <v>21</v>
      </c>
      <c r="AE21" s="13" t="s">
        <v>64</v>
      </c>
      <c r="AF21" s="2" t="s">
        <v>41</v>
      </c>
      <c r="AG21" s="2">
        <v>0.1</v>
      </c>
      <c r="AH21" s="2">
        <v>0.62</v>
      </c>
      <c r="AI21" s="2" t="s">
        <v>63</v>
      </c>
      <c r="AJ21" s="2" t="s">
        <v>47</v>
      </c>
      <c r="AO21" s="3" t="s">
        <v>27</v>
      </c>
      <c r="AP21" s="3" t="s">
        <v>21</v>
      </c>
      <c r="AS21" s="3" t="s">
        <v>27</v>
      </c>
      <c r="AT21" s="3" t="s">
        <v>21</v>
      </c>
      <c r="AW21" s="3" t="s">
        <v>27</v>
      </c>
      <c r="AX21" s="3" t="s">
        <v>21</v>
      </c>
    </row>
    <row r="22" spans="4:51" x14ac:dyDescent="0.25">
      <c r="D22" s="15">
        <f t="shared" ref="D22:H26" si="29">(TANH(D6/D$8 - D$8/D6))^2*(1/D6-1/D$8)</f>
        <v>2.3300289238885935E-5</v>
      </c>
      <c r="E22" s="1">
        <f t="shared" si="29"/>
        <v>5.7136533810352898E-5</v>
      </c>
      <c r="F22" s="1">
        <f t="shared" si="29"/>
        <v>1.5011449501200155E-5</v>
      </c>
      <c r="G22" s="1">
        <f t="shared" si="29"/>
        <v>4.1147654236228002E-5</v>
      </c>
      <c r="H22" s="1">
        <f t="shared" si="29"/>
        <v>1.3176314192358314E-5</v>
      </c>
      <c r="J22" s="15">
        <f>-2*D22+2*E22-2*F22+G22-H22</f>
        <v>6.5620930184403324E-5</v>
      </c>
      <c r="K22" s="15">
        <f>J22*$E$2</f>
        <v>1.7856373796198727E-3</v>
      </c>
      <c r="L22" s="15">
        <f>K22*L$5</f>
        <v>1.7856373796198727E-4</v>
      </c>
      <c r="M22" s="15">
        <f>K22*M$5</f>
        <v>1.1070951753643212E-3</v>
      </c>
      <c r="O22" s="11">
        <f>J29+sheet1!$E5</f>
        <v>0.56545748154258213</v>
      </c>
      <c r="P22" s="11">
        <f>J29+L22+sheet1!$E5</f>
        <v>0.56563604528054412</v>
      </c>
      <c r="Q22" s="11">
        <f>J29+M22+sheet1!$E5</f>
        <v>0.56656457671794647</v>
      </c>
      <c r="S22" s="5">
        <f>(S$19/2)*($C6-$C$8)^2</f>
        <v>0.44029325765960325</v>
      </c>
      <c r="T22" s="10">
        <f>(O22-S22)^2</f>
        <v>1.5666082940228459E-2</v>
      </c>
      <c r="W22" s="5">
        <f>(W$19/2)*($C6-$C$8)^2</f>
        <v>0.44032214306368372</v>
      </c>
      <c r="X22" s="10">
        <f>(P22-W22)^2</f>
        <v>1.5703574088816848E-2</v>
      </c>
      <c r="AA22" s="5">
        <f>(AA$19/2)*($C6-$C$8)^2</f>
        <v>0.44047234450165651</v>
      </c>
      <c r="AB22" s="10">
        <f>($Q22-AA22)^2</f>
        <v>1.589925102528679E-2</v>
      </c>
      <c r="AE22" s="15">
        <f>-2*F22+G22-H22</f>
        <v>-2.0515589585306208E-6</v>
      </c>
      <c r="AF22" s="15">
        <f>AE22*$E$2</f>
        <v>-5.5825791444160136E-5</v>
      </c>
      <c r="AG22" s="15">
        <f>$AF22*AG$5</f>
        <v>-5.5825791444160137E-6</v>
      </c>
      <c r="AH22" s="15">
        <f>$AF22*AH$5</f>
        <v>-3.4611990695379287E-5</v>
      </c>
      <c r="AJ22" s="11">
        <f>AE29+sheet1!$E5</f>
        <v>0.56543875878573535</v>
      </c>
      <c r="AK22" s="11">
        <f>AE29+AG22+sheet1!$E5</f>
        <v>0.56543317620659095</v>
      </c>
      <c r="AL22" s="11">
        <f>AE29+AH22+sheet1!$E5</f>
        <v>0.56540414679503992</v>
      </c>
      <c r="AO22" s="5">
        <f>(AO$19/2)*($C6-$C$8)^2</f>
        <v>0.44029089496775214</v>
      </c>
      <c r="AP22" s="10">
        <f>(AJ22-AO22)^2</f>
        <v>1.5661987818204472E-2</v>
      </c>
      <c r="AS22" s="5">
        <f>(AS$19/2)*($C6-$C$8)^2</f>
        <v>0.44029313267215192</v>
      </c>
      <c r="AT22" s="10">
        <f>($AK22-AS22)^2</f>
        <v>1.5660030495801294E-2</v>
      </c>
      <c r="AW22" s="5">
        <f>(AW$19/2)*($C6-$C$8)^2</f>
        <v>0.44030476908321647</v>
      </c>
      <c r="AX22" s="10">
        <f>($AL22-AW22)^2</f>
        <v>1.564985430388547E-2</v>
      </c>
    </row>
    <row r="23" spans="4:51" x14ac:dyDescent="0.25">
      <c r="D23" s="15">
        <f t="shared" si="29"/>
        <v>3.0222317224498458E-6</v>
      </c>
      <c r="E23" s="1">
        <f t="shared" si="29"/>
        <v>6.9209310574214603E-6</v>
      </c>
      <c r="F23" s="1">
        <f t="shared" si="29"/>
        <v>1.8427049094147925E-6</v>
      </c>
      <c r="G23" s="1">
        <f t="shared" si="29"/>
        <v>4.9776006675599154E-6</v>
      </c>
      <c r="H23" s="1">
        <f t="shared" si="29"/>
        <v>1.6063691097725547E-6</v>
      </c>
      <c r="J23" s="15">
        <f t="shared" ref="J23:J26" si="30">-2*D23+2*E23-2*F23+G23-H23</f>
        <v>7.4832204089010043E-6</v>
      </c>
      <c r="K23" s="15">
        <f t="shared" ref="K23:K26" si="31">J23*$E$2</f>
        <v>2.036289038347688E-4</v>
      </c>
      <c r="L23" s="15">
        <f t="shared" ref="L23:L26" si="32">K23*L$5</f>
        <v>2.0362890383476881E-5</v>
      </c>
      <c r="M23" s="15">
        <f t="shared" ref="M23:M26" si="33">K23*M$5</f>
        <v>1.2624992037755666E-4</v>
      </c>
      <c r="O23" s="11">
        <f>J30+sheet1!$E6</f>
        <v>0.12097647540396544</v>
      </c>
      <c r="P23" s="11">
        <f>J30+L23+sheet1!$E6</f>
        <v>0.12099683829434893</v>
      </c>
      <c r="Q23" s="11">
        <f>J30+M23+sheet1!$E6</f>
        <v>0.12110272532434301</v>
      </c>
      <c r="S23" s="5">
        <f t="shared" ref="S23:S26" si="34">(S$19/2)*($C7-$C$8)^2</f>
        <v>0.11007331441490081</v>
      </c>
      <c r="T23" s="10">
        <f t="shared" ref="T23:T26" si="35">(O23-S23)^2</f>
        <v>1.1887891955346082E-4</v>
      </c>
      <c r="W23" s="5">
        <f t="shared" ref="W23:W26" si="36">(W$19/2)*($C7-$C$8)^2</f>
        <v>0.11008053576592093</v>
      </c>
      <c r="X23" s="10">
        <f t="shared" ref="X23:X26" si="37">(P23-W23)^2</f>
        <v>1.1916566089216352E-4</v>
      </c>
      <c r="AA23" s="5">
        <f t="shared" ref="AA23:AA26" si="38">(AA$19/2)*($C7-$C$8)^2</f>
        <v>0.11011808612541413</v>
      </c>
      <c r="AB23" s="10">
        <f t="shared" ref="AB23:AB25" si="39">($Q23-AA23)^2</f>
        <v>1.2066229833064486E-4</v>
      </c>
      <c r="AE23" s="15">
        <f t="shared" ref="AE23:AE26" si="40">-2*F23+G23-H23</f>
        <v>-3.1417826104222429E-7</v>
      </c>
      <c r="AF23" s="15">
        <f t="shared" ref="AF23:AF26" si="41">AE23*$E$2</f>
        <v>-8.5492303325243826E-6</v>
      </c>
      <c r="AG23" s="15">
        <f t="shared" ref="AG23:AH26" si="42">$AF23*AG$5</f>
        <v>-8.5492303325243834E-7</v>
      </c>
      <c r="AH23" s="15">
        <f t="shared" si="42"/>
        <v>-5.3005228061651175E-6</v>
      </c>
      <c r="AJ23" s="11">
        <f>AE30+sheet1!$E6</f>
        <v>0.12097430776928655</v>
      </c>
      <c r="AK23" s="11">
        <f>AE30+AG23+sheet1!$E6</f>
        <v>0.1209734528462533</v>
      </c>
      <c r="AL23" s="11">
        <f>AE30+AH23+sheet1!$E6</f>
        <v>0.12096900724648038</v>
      </c>
      <c r="AO23" s="5">
        <f t="shared" ref="AO23:AO26" si="43">(AO$19/2)*($C7-$C$8)^2</f>
        <v>0.11007272374193804</v>
      </c>
      <c r="AP23" s="10">
        <f t="shared" ref="AP23:AP26" si="44">(AJ23-AO23)^2</f>
        <v>1.1884453430534033E-4</v>
      </c>
      <c r="AS23" s="5">
        <f t="shared" ref="AS23:AS26" si="45">(AS$19/2)*($C7-$C$8)^2</f>
        <v>0.11007328316803798</v>
      </c>
      <c r="AT23" s="10">
        <f t="shared" ref="AT23:AT26" si="46">($AK23-AS23)^2</f>
        <v>1.1881369901388463E-4</v>
      </c>
      <c r="AW23" s="5">
        <f t="shared" ref="AW23:AW26" si="47">(AW$19/2)*($C7-$C$8)^2</f>
        <v>0.11007619227080412</v>
      </c>
      <c r="AX23" s="10">
        <f t="shared" ref="AX23:AX26" si="48">($AL23-AW23)^2</f>
        <v>1.1865341809431707E-4</v>
      </c>
    </row>
    <row r="24" spans="4:51" x14ac:dyDescent="0.25">
      <c r="D24" s="15">
        <f t="shared" si="29"/>
        <v>0</v>
      </c>
      <c r="E24" s="1">
        <f t="shared" si="29"/>
        <v>0</v>
      </c>
      <c r="F24" s="1">
        <f t="shared" si="29"/>
        <v>0</v>
      </c>
      <c r="G24" s="1">
        <f t="shared" si="29"/>
        <v>0</v>
      </c>
      <c r="H24" s="1">
        <f t="shared" si="29"/>
        <v>0</v>
      </c>
      <c r="J24" s="15">
        <f t="shared" si="30"/>
        <v>0</v>
      </c>
      <c r="K24" s="15">
        <f t="shared" si="31"/>
        <v>0</v>
      </c>
      <c r="L24" s="15">
        <f t="shared" si="32"/>
        <v>0</v>
      </c>
      <c r="M24" s="15">
        <f t="shared" si="33"/>
        <v>0</v>
      </c>
      <c r="O24" s="11">
        <f>J31+sheet1!$E7</f>
        <v>0</v>
      </c>
      <c r="P24" s="11">
        <f>J31+L24+sheet1!$E7</f>
        <v>0</v>
      </c>
      <c r="Q24" s="11">
        <f>J31+M24+sheet1!$E7</f>
        <v>0</v>
      </c>
      <c r="S24" s="5">
        <f t="shared" si="34"/>
        <v>0</v>
      </c>
      <c r="T24" s="10">
        <f t="shared" si="35"/>
        <v>0</v>
      </c>
      <c r="W24" s="5">
        <f t="shared" si="36"/>
        <v>0</v>
      </c>
      <c r="X24" s="10">
        <f t="shared" si="37"/>
        <v>0</v>
      </c>
      <c r="AA24" s="5">
        <f t="shared" si="38"/>
        <v>0</v>
      </c>
      <c r="AB24" s="10">
        <f t="shared" si="39"/>
        <v>0</v>
      </c>
      <c r="AE24" s="15">
        <f t="shared" si="40"/>
        <v>0</v>
      </c>
      <c r="AF24" s="15">
        <f t="shared" si="41"/>
        <v>0</v>
      </c>
      <c r="AG24" s="15">
        <f t="shared" si="42"/>
        <v>0</v>
      </c>
      <c r="AH24" s="15">
        <f t="shared" si="42"/>
        <v>0</v>
      </c>
      <c r="AJ24" s="11">
        <f>AE31+sheet1!$E7</f>
        <v>0</v>
      </c>
      <c r="AK24" s="11">
        <f>AE31+AG24+sheet1!$E7</f>
        <v>0</v>
      </c>
      <c r="AL24" s="11">
        <f>AE31+AH24+sheet1!$E7</f>
        <v>0</v>
      </c>
      <c r="AO24" s="5">
        <f t="shared" si="43"/>
        <v>0</v>
      </c>
      <c r="AP24" s="10">
        <f t="shared" si="44"/>
        <v>0</v>
      </c>
      <c r="AS24" s="5">
        <f t="shared" si="45"/>
        <v>0</v>
      </c>
      <c r="AT24" s="10">
        <f t="shared" si="46"/>
        <v>0</v>
      </c>
      <c r="AW24" s="5">
        <f t="shared" si="47"/>
        <v>0</v>
      </c>
      <c r="AX24" s="10">
        <f t="shared" si="48"/>
        <v>0</v>
      </c>
    </row>
    <row r="25" spans="4:51" x14ac:dyDescent="0.25">
      <c r="D25" s="15">
        <f t="shared" si="29"/>
        <v>-3.2366386318492938E-6</v>
      </c>
      <c r="E25" s="1">
        <f t="shared" si="29"/>
        <v>-6.4840329979472169E-6</v>
      </c>
      <c r="F25" s="1">
        <f t="shared" si="29"/>
        <v>-1.7729475719668592E-6</v>
      </c>
      <c r="G25" s="1">
        <f t="shared" si="29"/>
        <v>-4.6497913437049605E-6</v>
      </c>
      <c r="H25" s="1">
        <f t="shared" si="29"/>
        <v>-1.525799863546337E-6</v>
      </c>
      <c r="J25" s="15">
        <f t="shared" si="30"/>
        <v>-6.0728850684207513E-6</v>
      </c>
      <c r="K25" s="15">
        <f t="shared" si="31"/>
        <v>-1.6525170475082445E-4</v>
      </c>
      <c r="L25" s="15">
        <f t="shared" si="32"/>
        <v>-1.6525170475082447E-5</v>
      </c>
      <c r="M25" s="15">
        <f t="shared" si="33"/>
        <v>-1.0245605694551116E-4</v>
      </c>
      <c r="O25" s="11">
        <f>J32+sheet1!$E8</f>
        <v>9.0665913608353438E-2</v>
      </c>
      <c r="P25" s="11">
        <f>J32+L25+sheet1!$E8</f>
        <v>9.0649388437878356E-2</v>
      </c>
      <c r="Q25" s="11">
        <f>J32+M25+sheet1!$E8</f>
        <v>9.0563457551407919E-2</v>
      </c>
      <c r="S25" s="5">
        <f t="shared" si="34"/>
        <v>0.11007331441490155</v>
      </c>
      <c r="T25" s="10">
        <f t="shared" si="35"/>
        <v>3.7664720606600429E-4</v>
      </c>
      <c r="W25" s="5">
        <f t="shared" si="36"/>
        <v>0.11008053576592168</v>
      </c>
      <c r="X25" s="10">
        <f t="shared" si="37"/>
        <v>3.7756948648412524E-4</v>
      </c>
      <c r="AA25" s="5">
        <f t="shared" si="38"/>
        <v>0.11011808612541488</v>
      </c>
      <c r="AB25" s="10">
        <f t="shared" si="39"/>
        <v>3.8238349866736936E-4</v>
      </c>
      <c r="AE25" s="15">
        <f t="shared" si="40"/>
        <v>4.2190366377509485E-7</v>
      </c>
      <c r="AF25" s="15">
        <f t="shared" si="41"/>
        <v>1.1480589356449616E-5</v>
      </c>
      <c r="AG25" s="15">
        <f t="shared" si="42"/>
        <v>1.1480589356449617E-6</v>
      </c>
      <c r="AH25" s="15">
        <f t="shared" si="42"/>
        <v>7.1179654009987621E-6</v>
      </c>
      <c r="AJ25" s="11">
        <f>AE32+sheet1!$E8</f>
        <v>9.066778175176228E-2</v>
      </c>
      <c r="AK25" s="11">
        <f>AE32+AG25+sheet1!$E8</f>
        <v>9.0668929810697935E-2</v>
      </c>
      <c r="AL25" s="11">
        <f>AE32+AH25+sheet1!$E8</f>
        <v>9.0674899717163276E-2</v>
      </c>
      <c r="AO25" s="5">
        <f t="shared" si="43"/>
        <v>0.11007272374193877</v>
      </c>
      <c r="AP25" s="10">
        <f t="shared" si="44"/>
        <v>3.7655177364211476E-4</v>
      </c>
      <c r="AS25" s="5">
        <f t="shared" si="45"/>
        <v>0.11007328316803872</v>
      </c>
      <c r="AT25" s="10">
        <f t="shared" si="46"/>
        <v>3.7652892921654247E-4</v>
      </c>
      <c r="AW25" s="5">
        <f t="shared" si="47"/>
        <v>0.11007619227080485</v>
      </c>
      <c r="AX25" s="10">
        <f t="shared" si="48"/>
        <v>3.7641015275198812E-4</v>
      </c>
    </row>
    <row r="26" spans="4:51" x14ac:dyDescent="0.25">
      <c r="D26" s="15">
        <f t="shared" si="29"/>
        <v>-2.6494149947528211E-5</v>
      </c>
      <c r="E26" s="1">
        <f t="shared" si="29"/>
        <v>-5.0088519684411368E-5</v>
      </c>
      <c r="F26" s="1">
        <f t="shared" si="29"/>
        <v>-1.3897019040254761E-5</v>
      </c>
      <c r="G26" s="1">
        <f t="shared" si="29"/>
        <v>-3.5910126842772403E-5</v>
      </c>
      <c r="H26" s="1">
        <f t="shared" si="29"/>
        <v>-1.1888246677441684E-5</v>
      </c>
      <c r="J26" s="15">
        <f t="shared" si="30"/>
        <v>-4.3416581558587514E-5</v>
      </c>
      <c r="K26" s="15">
        <f t="shared" si="31"/>
        <v>-1.1814259674233483E-3</v>
      </c>
      <c r="L26" s="15">
        <f t="shared" si="32"/>
        <v>-1.1814259674233484E-4</v>
      </c>
      <c r="M26" s="15">
        <f t="shared" si="33"/>
        <v>-7.324840998024759E-4</v>
      </c>
      <c r="O26" s="11">
        <f>J33+sheet1!$E9</f>
        <v>0.31725509464438834</v>
      </c>
      <c r="P26" s="11">
        <f>J33+L26+sheet1!$E9</f>
        <v>0.31713695204764597</v>
      </c>
      <c r="Q26" s="11">
        <f>J33+M26+sheet1!$E9</f>
        <v>0.31652261054458586</v>
      </c>
      <c r="S26" s="5">
        <f t="shared" si="34"/>
        <v>0.4402932576596047</v>
      </c>
      <c r="T26" s="10">
        <f t="shared" si="35"/>
        <v>1.5138389558158955E-2</v>
      </c>
      <c r="W26" s="5">
        <f t="shared" si="36"/>
        <v>0.44032214306368522</v>
      </c>
      <c r="X26" s="10">
        <f t="shared" si="37"/>
        <v>1.5174591285658078E-2</v>
      </c>
      <c r="AA26" s="5">
        <f t="shared" si="38"/>
        <v>0.44047234450165801</v>
      </c>
      <c r="AB26" s="10">
        <f>($Q26-AA26)^2</f>
        <v>1.5363536548028965E-2</v>
      </c>
      <c r="AE26" s="15">
        <f t="shared" si="40"/>
        <v>3.7721579151788027E-6</v>
      </c>
      <c r="AF26" s="15">
        <f t="shared" si="41"/>
        <v>1.0264569789309648E-4</v>
      </c>
      <c r="AG26" s="15">
        <f t="shared" si="42"/>
        <v>1.0264569789309649E-5</v>
      </c>
      <c r="AH26" s="15">
        <f t="shared" si="42"/>
        <v>6.3640332693719816E-5</v>
      </c>
      <c r="AJ26" s="11">
        <f>AE33+sheet1!$E9</f>
        <v>0.31726887063190706</v>
      </c>
      <c r="AK26" s="11">
        <f>AE33+AG26+sheet1!$E9</f>
        <v>0.31727913520169637</v>
      </c>
      <c r="AL26" s="11">
        <f>AE33+AH26+sheet1!$E9</f>
        <v>0.3173325109646008</v>
      </c>
      <c r="AO26" s="5">
        <f t="shared" si="43"/>
        <v>0.44029089496775359</v>
      </c>
      <c r="AP26" s="10">
        <f t="shared" si="44"/>
        <v>1.5134418471689615E-2</v>
      </c>
      <c r="AS26" s="5">
        <f t="shared" si="45"/>
        <v>0.44029313267215342</v>
      </c>
      <c r="AT26" s="10">
        <f t="shared" si="46"/>
        <v>1.5132443573661614E-2</v>
      </c>
      <c r="AW26" s="5">
        <f t="shared" si="47"/>
        <v>0.44030476908321792</v>
      </c>
      <c r="AX26" s="10">
        <f t="shared" si="48"/>
        <v>1.5122176266791793E-2</v>
      </c>
    </row>
    <row r="27" spans="4:51" x14ac:dyDescent="0.25">
      <c r="N27" s="2" t="s">
        <v>20</v>
      </c>
      <c r="O27" s="11">
        <f>O22^2+O23^2+O24^2+O25^2+O26^2</f>
        <v>0.44324857400190315</v>
      </c>
      <c r="P27" s="11">
        <f>P22^2+P23^2+P24^2+P25^2+P26^2</f>
        <v>0.44337752857607482</v>
      </c>
      <c r="Q27" s="11">
        <f>Q22^2+Q23^2+Q24^2+Q25^2+Q26^2</f>
        <v>0.44404959250219433</v>
      </c>
      <c r="S27" s="4"/>
      <c r="T27" s="4"/>
      <c r="W27" s="4"/>
      <c r="X27" s="4"/>
      <c r="AA27" s="4"/>
      <c r="AB27" s="4"/>
      <c r="AI27" s="2" t="s">
        <v>20</v>
      </c>
      <c r="AJ27" s="11">
        <f>AJ22^2+AJ23^2+AJ24^2+AJ25^2+AJ26^2</f>
        <v>0.44323595599724208</v>
      </c>
      <c r="AK27" s="11">
        <f>AK22^2+AK23^2+AK24^2+AK25^2+AK26^2</f>
        <v>0.44323615751597201</v>
      </c>
      <c r="AL27" s="11">
        <f>AL22^2+AL23^2+AL24^2+AL25^2+AL26^2</f>
        <v>0.4432372098810422</v>
      </c>
      <c r="AO27" s="4"/>
      <c r="AP27" s="4"/>
      <c r="AS27" s="4"/>
      <c r="AT27" s="4"/>
      <c r="AW27" s="4"/>
      <c r="AX27" s="10"/>
    </row>
    <row r="28" spans="4:51" x14ac:dyDescent="0.25">
      <c r="D28" s="2" t="s">
        <v>61</v>
      </c>
      <c r="J28" s="13" t="s">
        <v>59</v>
      </c>
      <c r="S28" s="4"/>
      <c r="T28" s="5">
        <f>SUM(T22:T26)</f>
        <v>3.1299998624006883E-2</v>
      </c>
      <c r="U28" s="2" t="s">
        <v>17</v>
      </c>
      <c r="W28" s="4"/>
      <c r="X28" s="5">
        <f>SUM(X22:X26)</f>
        <v>3.1374900521851212E-2</v>
      </c>
      <c r="Y28" s="2" t="s">
        <v>17</v>
      </c>
      <c r="AA28" s="4"/>
      <c r="AB28" s="5">
        <f>SUM(AB22:AB26)</f>
        <v>3.1765833370313766E-2</v>
      </c>
      <c r="AC28" s="2" t="s">
        <v>17</v>
      </c>
      <c r="AE28" s="13" t="s">
        <v>59</v>
      </c>
      <c r="AO28" s="4"/>
      <c r="AP28" s="5">
        <f>SUM(AP22:AP26)</f>
        <v>3.1291802597841541E-2</v>
      </c>
      <c r="AQ28" s="2" t="s">
        <v>17</v>
      </c>
      <c r="AS28" s="4"/>
      <c r="AT28" s="5">
        <f>SUM(AT22:AT26)</f>
        <v>3.128781669769333E-2</v>
      </c>
      <c r="AU28" s="2" t="s">
        <v>17</v>
      </c>
      <c r="AW28" s="4"/>
      <c r="AX28" s="5">
        <f>SUM(AX22:AX26)</f>
        <v>3.1267094141523566E-2</v>
      </c>
      <c r="AY28" s="2" t="s">
        <v>17</v>
      </c>
    </row>
    <row r="29" spans="4:51" x14ac:dyDescent="0.25">
      <c r="D29" s="1">
        <f>(TANH(D6/D$8 - D$8/D6))^2*(D15-D$17)</f>
        <v>1.8010739528630613E-5</v>
      </c>
      <c r="E29" s="1">
        <f t="shared" ref="E29:H29" si="49">(TANH(E6/E$8 - E$8/E6))^2*(E15-E$17)</f>
        <v>7.1201731819741273E-7</v>
      </c>
      <c r="F29" s="1">
        <f t="shared" si="49"/>
        <v>-2.2295989958790933E-7</v>
      </c>
      <c r="G29" s="1">
        <f t="shared" si="49"/>
        <v>-1.5605189950214891E-6</v>
      </c>
      <c r="H29" s="1">
        <f t="shared" si="49"/>
        <v>-1.0460653872171103E-7</v>
      </c>
      <c r="J29" s="15">
        <f>SUM(D29:H29)</f>
        <v>1.6834671413496918E-5</v>
      </c>
      <c r="S29" s="4"/>
      <c r="T29" s="5">
        <f>1-T28/O27</f>
        <v>0.92938499871209401</v>
      </c>
      <c r="U29" s="2" t="s">
        <v>18</v>
      </c>
      <c r="W29" s="4"/>
      <c r="X29" s="5">
        <f>1-X28/P27</f>
        <v>0.92923660199331026</v>
      </c>
      <c r="Y29" s="2" t="s">
        <v>18</v>
      </c>
      <c r="AA29" s="4"/>
      <c r="AB29" s="5">
        <f>1-AB28/Q27</f>
        <v>0.92846332052391922</v>
      </c>
      <c r="AC29" s="2" t="s">
        <v>18</v>
      </c>
      <c r="AE29" s="15">
        <f>SUM(F29:H29)</f>
        <v>-1.8880854333311096E-6</v>
      </c>
      <c r="AO29" s="4"/>
      <c r="AP29" s="5">
        <f>1-AP28/AJ27</f>
        <v>0.92940147978871046</v>
      </c>
      <c r="AQ29" s="2" t="s">
        <v>18</v>
      </c>
      <c r="AS29" s="4"/>
      <c r="AT29" s="5">
        <f>1-AT28/AK27</f>
        <v>0.92941050460991359</v>
      </c>
      <c r="AU29" s="2" t="s">
        <v>18</v>
      </c>
      <c r="AW29" s="4"/>
      <c r="AX29" s="5">
        <f>1-AX28/AL27</f>
        <v>0.92945742495329953</v>
      </c>
      <c r="AY29" s="2" t="s">
        <v>18</v>
      </c>
    </row>
    <row r="30" spans="4:51" x14ac:dyDescent="0.25">
      <c r="D30" s="1">
        <f t="shared" ref="D30:H30" si="50">(TANH(D7/D$8 - D$8/D7))^2*(D16-D$17)</f>
        <v>2.1465733768871343E-6</v>
      </c>
      <c r="E30" s="1">
        <f t="shared" si="50"/>
        <v>2.1061302010745615E-8</v>
      </c>
      <c r="F30" s="1">
        <f t="shared" si="50"/>
        <v>-2.6652126762452452E-8</v>
      </c>
      <c r="G30" s="1">
        <f t="shared" si="50"/>
        <v>-1.9053706221973201E-7</v>
      </c>
      <c r="H30" s="1">
        <f t="shared" si="50"/>
        <v>-1.2364697644433887E-8</v>
      </c>
      <c r="J30" s="15">
        <f t="shared" ref="J30:J33" si="51">SUM(D30:H30)</f>
        <v>1.9380807922712618E-6</v>
      </c>
      <c r="AE30" s="15">
        <f t="shared" ref="AE30:AE33" si="52">SUM(F30:H30)</f>
        <v>-2.2955388662661835E-7</v>
      </c>
    </row>
    <row r="31" spans="4:51" x14ac:dyDescent="0.25">
      <c r="D31" s="1">
        <f t="shared" ref="D31:H31" si="53">(TANH(D8/D$8 - D$8/D8))^2*(D17-D$17)</f>
        <v>0</v>
      </c>
      <c r="E31" s="1">
        <f t="shared" si="53"/>
        <v>0</v>
      </c>
      <c r="F31" s="1">
        <f t="shared" si="53"/>
        <v>0</v>
      </c>
      <c r="G31" s="1">
        <f t="shared" si="53"/>
        <v>0</v>
      </c>
      <c r="H31" s="1">
        <f t="shared" si="53"/>
        <v>0</v>
      </c>
      <c r="J31" s="15">
        <f t="shared" si="51"/>
        <v>0</v>
      </c>
      <c r="AE31" s="15">
        <f t="shared" si="52"/>
        <v>0</v>
      </c>
    </row>
    <row r="32" spans="4:51" x14ac:dyDescent="0.25">
      <c r="D32" s="1">
        <f t="shared" ref="D32:H32" si="54">(TANH(D9/D$8 - D$8/D9))^2*(D18-D$17)</f>
        <v>-1.9367561124806301E-6</v>
      </c>
      <c r="E32" s="1">
        <f t="shared" si="54"/>
        <v>6.8612703630094669E-8</v>
      </c>
      <c r="F32" s="1">
        <f t="shared" si="54"/>
        <v>2.4330919452116163E-8</v>
      </c>
      <c r="G32" s="1">
        <f t="shared" si="54"/>
        <v>1.7790029080749889E-7</v>
      </c>
      <c r="H32" s="1">
        <f t="shared" si="54"/>
        <v>1.1063190495978876E-8</v>
      </c>
      <c r="J32" s="15">
        <f t="shared" si="51"/>
        <v>-1.6548490080949413E-6</v>
      </c>
      <c r="S32" s="1" t="s">
        <v>60</v>
      </c>
      <c r="W32" s="1" t="s">
        <v>48</v>
      </c>
      <c r="AA32" s="1" t="s">
        <v>49</v>
      </c>
      <c r="AE32" s="15">
        <f t="shared" si="52"/>
        <v>2.1329440075559391E-7</v>
      </c>
      <c r="AO32" s="1" t="s">
        <v>60</v>
      </c>
      <c r="AS32" s="1" t="s">
        <v>48</v>
      </c>
      <c r="AW32" s="1" t="s">
        <v>49</v>
      </c>
    </row>
    <row r="33" spans="4:51" x14ac:dyDescent="0.25">
      <c r="D33" s="1">
        <f t="shared" ref="D33:H33" si="55">(TANH(D10/D$8 - D$8/D10))^2*(D19-D$17)</f>
        <v>-1.4549120754382875E-5</v>
      </c>
      <c r="E33" s="1">
        <f t="shared" si="55"/>
        <v>7.7313323562284717E-7</v>
      </c>
      <c r="F33" s="1">
        <f t="shared" si="55"/>
        <v>1.8583909575143059E-7</v>
      </c>
      <c r="G33" s="1">
        <f t="shared" si="55"/>
        <v>1.3644547750526822E-6</v>
      </c>
      <c r="H33" s="1">
        <f t="shared" si="55"/>
        <v>8.3746430220699105E-8</v>
      </c>
      <c r="J33" s="15">
        <f t="shared" si="51"/>
        <v>-1.2141947217735215E-5</v>
      </c>
      <c r="S33" s="3" t="s">
        <v>34</v>
      </c>
      <c r="T33" s="4"/>
      <c r="W33" s="3" t="s">
        <v>34</v>
      </c>
      <c r="X33" s="4"/>
      <c r="AA33" s="3" t="s">
        <v>34</v>
      </c>
      <c r="AB33" s="4"/>
      <c r="AE33" s="15">
        <f t="shared" si="52"/>
        <v>1.6340403010248118E-6</v>
      </c>
      <c r="AO33" s="3" t="s">
        <v>34</v>
      </c>
      <c r="AP33" s="4"/>
      <c r="AS33" s="3" t="s">
        <v>34</v>
      </c>
      <c r="AT33" s="4"/>
      <c r="AW33" s="3" t="s">
        <v>34</v>
      </c>
      <c r="AX33" s="4"/>
    </row>
    <row r="34" spans="4:51" x14ac:dyDescent="0.25">
      <c r="S34" s="9">
        <v>11.985976735451697</v>
      </c>
      <c r="T34" s="4" t="s">
        <v>12</v>
      </c>
      <c r="U34" s="1" t="s">
        <v>30</v>
      </c>
      <c r="W34" s="9">
        <v>12.130242913081322</v>
      </c>
      <c r="X34" s="4" t="s">
        <v>12</v>
      </c>
      <c r="Y34" s="1" t="s">
        <v>30</v>
      </c>
      <c r="AA34" s="9">
        <v>12.884613924881378</v>
      </c>
      <c r="AB34" s="4" t="s">
        <v>12</v>
      </c>
      <c r="AC34" s="1" t="s">
        <v>30</v>
      </c>
      <c r="AO34" s="9">
        <v>12.028408896250399</v>
      </c>
      <c r="AP34" s="4" t="s">
        <v>12</v>
      </c>
      <c r="AQ34" s="1" t="s">
        <v>30</v>
      </c>
      <c r="AS34" s="9">
        <v>12.155285286434202</v>
      </c>
      <c r="AT34" s="4" t="s">
        <v>12</v>
      </c>
      <c r="AU34" s="1" t="s">
        <v>30</v>
      </c>
      <c r="AW34" s="9">
        <v>12.820699241048226</v>
      </c>
      <c r="AX34" s="4" t="s">
        <v>12</v>
      </c>
      <c r="AY34" s="1" t="s">
        <v>30</v>
      </c>
    </row>
    <row r="35" spans="4:51" x14ac:dyDescent="0.25">
      <c r="S35" s="4">
        <v>1.2070000000000001</v>
      </c>
      <c r="T35" s="4" t="s">
        <v>16</v>
      </c>
      <c r="U35" s="1" t="s">
        <v>53</v>
      </c>
      <c r="W35" s="4">
        <v>1.2070000000000001</v>
      </c>
      <c r="X35" s="4" t="s">
        <v>16</v>
      </c>
      <c r="Y35" s="1" t="s">
        <v>53</v>
      </c>
      <c r="AA35" s="4">
        <v>1.2070000000000001</v>
      </c>
      <c r="AB35" s="4" t="s">
        <v>16</v>
      </c>
      <c r="AC35" s="1" t="s">
        <v>53</v>
      </c>
      <c r="AO35" s="4">
        <v>1.2070000000000001</v>
      </c>
      <c r="AP35" s="4" t="s">
        <v>16</v>
      </c>
      <c r="AQ35" s="1" t="s">
        <v>53</v>
      </c>
      <c r="AS35" s="4">
        <v>1.2070000000000001</v>
      </c>
      <c r="AT35" s="4" t="s">
        <v>16</v>
      </c>
      <c r="AU35" s="1" t="s">
        <v>53</v>
      </c>
      <c r="AW35" s="4">
        <v>1.2070000000000001</v>
      </c>
      <c r="AX35" s="4" t="s">
        <v>16</v>
      </c>
      <c r="AY35" s="1" t="s">
        <v>53</v>
      </c>
    </row>
    <row r="36" spans="4:51" x14ac:dyDescent="0.25">
      <c r="N36" s="2" t="s">
        <v>62</v>
      </c>
      <c r="O36" s="2" t="s">
        <v>47</v>
      </c>
      <c r="P36" s="13"/>
      <c r="Q36" s="13"/>
      <c r="S36" s="8">
        <v>1.3332329042486597</v>
      </c>
      <c r="T36" s="4" t="s">
        <v>31</v>
      </c>
      <c r="U36" s="1" t="s">
        <v>32</v>
      </c>
      <c r="W36" s="8">
        <v>1.3316992197348549</v>
      </c>
      <c r="X36" s="4" t="s">
        <v>31</v>
      </c>
      <c r="Y36" s="1" t="s">
        <v>32</v>
      </c>
      <c r="AA36" s="8">
        <v>1.3240668173137184</v>
      </c>
      <c r="AB36" s="4" t="s">
        <v>31</v>
      </c>
      <c r="AC36" s="1" t="s">
        <v>32</v>
      </c>
      <c r="AI36" s="2" t="s">
        <v>62</v>
      </c>
      <c r="AJ36" s="2" t="s">
        <v>47</v>
      </c>
      <c r="AK36" s="11"/>
      <c r="AL36" s="11"/>
      <c r="AO36" s="8">
        <v>1.3322223139391407</v>
      </c>
      <c r="AP36" s="4" t="s">
        <v>31</v>
      </c>
      <c r="AQ36" s="1" t="s">
        <v>32</v>
      </c>
      <c r="AS36" s="8">
        <v>1.3304311619488769</v>
      </c>
      <c r="AT36" s="4" t="s">
        <v>31</v>
      </c>
      <c r="AU36" s="1" t="s">
        <v>32</v>
      </c>
      <c r="AW36" s="8">
        <v>1.3214053826527068</v>
      </c>
      <c r="AX36" s="4" t="s">
        <v>31</v>
      </c>
      <c r="AY36" s="1" t="s">
        <v>32</v>
      </c>
    </row>
    <row r="37" spans="4:51" x14ac:dyDescent="0.25">
      <c r="N37" s="2" t="s">
        <v>42</v>
      </c>
      <c r="O37" s="2">
        <v>0</v>
      </c>
      <c r="P37" s="13">
        <v>0.1</v>
      </c>
      <c r="Q37" s="13">
        <v>0.62</v>
      </c>
      <c r="S37" s="3" t="s">
        <v>27</v>
      </c>
      <c r="T37" s="3" t="s">
        <v>21</v>
      </c>
      <c r="W37" s="3" t="s">
        <v>27</v>
      </c>
      <c r="X37" s="3" t="s">
        <v>21</v>
      </c>
      <c r="AA37" s="3" t="s">
        <v>27</v>
      </c>
      <c r="AB37" s="3" t="s">
        <v>21</v>
      </c>
      <c r="AI37" s="2" t="s">
        <v>42</v>
      </c>
      <c r="AJ37" s="2">
        <v>0</v>
      </c>
      <c r="AK37" s="2">
        <v>0.1</v>
      </c>
      <c r="AL37" s="2">
        <v>0.62</v>
      </c>
      <c r="AO37" s="3" t="s">
        <v>27</v>
      </c>
      <c r="AP37" s="3" t="s">
        <v>21</v>
      </c>
      <c r="AS37" s="3" t="s">
        <v>27</v>
      </c>
      <c r="AT37" s="3" t="s">
        <v>21</v>
      </c>
      <c r="AW37" s="3" t="s">
        <v>27</v>
      </c>
      <c r="AX37" s="3" t="s">
        <v>21</v>
      </c>
    </row>
    <row r="38" spans="4:51" x14ac:dyDescent="0.25">
      <c r="O38" s="11">
        <v>0.57232422863160182</v>
      </c>
      <c r="P38" s="11">
        <v>0.56483545153839509</v>
      </c>
      <c r="Q38" s="11">
        <v>0.52589381065372032</v>
      </c>
      <c r="S38" s="5">
        <f>(3*S$34/(5*S$35^2))*((1-2.5*EXP(-$W$35*($A6-S$36)*$B$2)+1.5*EXP(-(5/3)*$W$35*($A6-S$36)*$B$2))-(1-2.5*EXP(-$W$35*($A$8-S$36)*$B$2)+1.5*EXP(-(5/3)*$W$35*($A$8-S$36)*$B$2)))</f>
        <v>0.57183532961106043</v>
      </c>
      <c r="T38" s="10">
        <f>(O38-S38)^2</f>
        <v>2.3902225228632953E-7</v>
      </c>
      <c r="W38" s="5">
        <f>(3*W$34/(5*W$35^2))*((1-2.5*EXP(-$W$35*($A6-W$36)*$B$2)+1.5*EXP(-(5/3)*$W$35*($A6-W$36)*$B$2))-(1-2.5*EXP(-$W$35*($A$8-W$36)*$B$2)+1.5*EXP(-(5/3)*$W$35*($A$8-W$36)*$B$2)))</f>
        <v>0.56441640995445919</v>
      </c>
      <c r="X38" s="10">
        <f>(P38-W38)^2</f>
        <v>1.7559584906751505E-7</v>
      </c>
      <c r="AA38" s="5">
        <f>(3*AA$34/(5*AA$35^2))*((1-2.5*EXP(-$AA$35*($A6-AA$36)*$B$2)+1.5*EXP(-(5/3)*$AA$35*($A6-AA$36)*$B$2))-(1-2.5*EXP(-$AA$35*($A$8-AA$36)*$B$2)+1.5*EXP(-(5/3)*$AA$35*($A$8-AA$36)*$B$2)))</f>
        <v>0.5258175445280594</v>
      </c>
      <c r="AB38" s="10">
        <f>(Q38-AA38)^2</f>
        <v>5.8165219233268761E-9</v>
      </c>
      <c r="AJ38" s="11">
        <v>0.56499366124522088</v>
      </c>
      <c r="AK38" s="11">
        <v>0.55429325369471438</v>
      </c>
      <c r="AL38" s="11">
        <v>0.49865113443208059</v>
      </c>
      <c r="AO38" s="5">
        <f>(3*AO$34/(5*AO$35^2))*((1-2.5*EXP(-$AS$35*($A6-AO$36)*$B$2)+1.5*EXP(-(5/3)*$AS$35*($A6-AO$36)*$B$2))-(1-2.5*EXP(-$AS$35*($A$8-AO$36)*$B$2)+1.5*EXP(-(5/3)*$AS$35*($A$8-AO$36)*$B$2)))</f>
        <v>0.56450146794267864</v>
      </c>
      <c r="AP38" s="10">
        <f>(AJ38-AO38)^2</f>
        <v>2.4225424706744006E-7</v>
      </c>
      <c r="AS38" s="5">
        <f>(3*AS$34/(5*AS$35^2))*((1-2.5*EXP(-$AS$35*($A6-AS$36)*$B$2)+1.5*EXP(-(5/3)*$AS$35*($A6-AS$36)*$B$2))-(1-2.5*EXP(-$AS$35*($A$8-AS$36)*$B$2)+1.5*EXP(-(5/3)*$AS$35*($A$8-AS$36)*$B$2)))</f>
        <v>0.55382437990439315</v>
      </c>
      <c r="AT38" s="10">
        <f>(AK38-AS38)^2</f>
        <v>2.198426312502002E-7</v>
      </c>
      <c r="AW38" s="5">
        <f>(3*AW$34/(5*AW$35^2))*((1-2.5*EXP(-$AW$35*($A6-AW$36)*$B$2)+1.5*EXP(-(5/3)*$AW$35*($A6-AW$36)*$B$2))-(1-2.5*EXP(-$AW$35*($A$8-AW$36)*$B$2)+1.5*EXP(-(5/3)*$AW$35*($A$8-AW$36)*$B$2)))</f>
        <v>0.4983644373038581</v>
      </c>
      <c r="AX38" s="10">
        <f>(AL38-AW38)^2</f>
        <v>8.2195243331023213E-8</v>
      </c>
    </row>
    <row r="39" spans="4:51" x14ac:dyDescent="0.25">
      <c r="O39" s="11">
        <v>0.12410449810208143</v>
      </c>
      <c r="P39" s="11">
        <v>0.12001808338316056</v>
      </c>
      <c r="Q39" s="11">
        <v>9.8768726844771559E-2</v>
      </c>
      <c r="S39" s="5">
        <f t="shared" ref="S39:S42" si="56">(3*S$34/(5*S$35^2))*((1-2.5*EXP(-$W$35*($A7-S$36)*$B$2)+1.5*EXP(-(5/3)*$W$35*($A7-S$36)*$B$2))-(1-2.5*EXP(-$W$35*($A$8-S$36)*$B$2)+1.5*EXP(-(5/3)*$W$35*($A$8-S$36)*$B$2)))</f>
        <v>0.12562708519235502</v>
      </c>
      <c r="T39" s="10">
        <f t="shared" ref="T39:T42" si="57">(O39-S39)^2</f>
        <v>2.3182714474677851E-6</v>
      </c>
      <c r="W39" s="5">
        <f t="shared" ref="W39:W42" si="58">(3*W$34/(5*W$35^2))*((1-2.5*EXP(-$W$35*($A7-W$36)*$B$2)+1.5*EXP(-(5/3)*$W$35*($A7-W$36)*$B$2))-(1-2.5*EXP(-$W$35*($A$8-W$36)*$B$2)+1.5*EXP(-(5/3)*$W$35*($A$8-W$36)*$B$2)))</f>
        <v>0.12136701854418146</v>
      </c>
      <c r="X39" s="10">
        <f t="shared" ref="X39:X42" si="59">(P39-W39)^2</f>
        <v>1.8196260686384827E-6</v>
      </c>
      <c r="AA39" s="5">
        <f t="shared" ref="AA39:AA42" si="60">(3*AA$34/(5*AA$35^2))*((1-2.5*EXP(-$AA$35*($A7-AA$36)*$B$2)+1.5*EXP(-(5/3)*$AA$35*($A7-AA$36)*$B$2))-(1-2.5*EXP(-$AA$35*($A$8-AA$36)*$B$2)+1.5*EXP(-(5/3)*$AA$35*($A$8-AA$36)*$B$2)))</f>
        <v>9.9203379361006414E-2</v>
      </c>
      <c r="AB39" s="10">
        <f t="shared" ref="AB39:AB42" si="61">(Q39-AA39)^2</f>
        <v>1.8892280986929014E-7</v>
      </c>
      <c r="AJ39" s="11">
        <v>0.12075472155075945</v>
      </c>
      <c r="AK39" s="11">
        <v>0.11542925621793029</v>
      </c>
      <c r="AL39" s="11">
        <v>8.77368364872185E-2</v>
      </c>
      <c r="AO39" s="5">
        <f t="shared" ref="AO39:AO42" si="62">(3*AO$34/(5*AO$35^2))*((1-2.5*EXP(-$AS$35*($A7-AO$36)*$B$2)+1.5*EXP(-(5/3)*$AS$35*($A7-AO$36)*$B$2))-(1-2.5*EXP(-$AS$35*($A$8-AO$36)*$B$2)+1.5*EXP(-(5/3)*$AS$35*($A$8-AO$36)*$B$2)))</f>
        <v>0.12229460059752648</v>
      </c>
      <c r="AP39" s="10">
        <f t="shared" ref="AP39:AP42" si="63">(AJ39-AO39)^2</f>
        <v>2.3712274786721331E-6</v>
      </c>
      <c r="AS39" s="5">
        <f t="shared" ref="AS39:AS42" si="64">(3*AS$34/(5*AS$35^2))*((1-2.5*EXP(-$AS$35*($A7-AS$36)*$B$2)+1.5*EXP(-(5/3)*$AS$35*($A7-AS$36)*$B$2))-(1-2.5*EXP(-$AS$35*($A$8-AS$36)*$B$2)+1.5*EXP(-(5/3)*$AS$35*($A$8-AS$36)*$B$2)))</f>
        <v>0.11687399546052134</v>
      </c>
      <c r="AT39" s="10">
        <f t="shared" ref="AT39:AT42" si="65">(AK39-AS39)^2</f>
        <v>2.0872714790825462E-6</v>
      </c>
      <c r="AW39" s="5">
        <f t="shared" ref="AW39:AW42" si="66">(3*AW$34/(5*AW$35^2))*((1-2.5*EXP(-$AW$35*($A7-AW$36)*$B$2)+1.5*EXP(-(5/3)*$AW$35*($A7-AW$36)*$B$2))-(1-2.5*EXP(-$AW$35*($A$8-AW$36)*$B$2)+1.5*EXP(-(5/3)*$AW$35*($A$8-AW$36)*$B$2)))</f>
        <v>8.8708463684214048E-2</v>
      </c>
      <c r="AX39" s="10">
        <f t="shared" ref="AX39:AX42" si="67">(AL39-AW39)^2</f>
        <v>9.4405940994142463E-7</v>
      </c>
    </row>
    <row r="40" spans="4:51" x14ac:dyDescent="0.25">
      <c r="O40" s="11">
        <v>0</v>
      </c>
      <c r="P40" s="11">
        <v>0</v>
      </c>
      <c r="Q40" s="11">
        <v>0</v>
      </c>
      <c r="S40" s="5">
        <f t="shared" si="56"/>
        <v>0</v>
      </c>
      <c r="T40" s="10">
        <f t="shared" si="57"/>
        <v>0</v>
      </c>
      <c r="W40" s="5">
        <f t="shared" si="58"/>
        <v>0</v>
      </c>
      <c r="X40" s="10">
        <f t="shared" si="59"/>
        <v>0</v>
      </c>
      <c r="AA40" s="5">
        <f t="shared" si="60"/>
        <v>0</v>
      </c>
      <c r="AB40" s="10">
        <f t="shared" si="61"/>
        <v>0</v>
      </c>
      <c r="AJ40" s="11">
        <v>0</v>
      </c>
      <c r="AK40" s="11">
        <v>0</v>
      </c>
      <c r="AL40" s="11">
        <v>0</v>
      </c>
      <c r="AO40" s="5">
        <f t="shared" si="62"/>
        <v>0</v>
      </c>
      <c r="AP40" s="10">
        <f t="shared" si="63"/>
        <v>0</v>
      </c>
      <c r="AS40" s="5">
        <f t="shared" si="64"/>
        <v>0</v>
      </c>
      <c r="AT40" s="10">
        <f t="shared" si="65"/>
        <v>0</v>
      </c>
      <c r="AW40" s="5">
        <f t="shared" si="66"/>
        <v>0</v>
      </c>
      <c r="AX40" s="10">
        <f t="shared" si="67"/>
        <v>0</v>
      </c>
    </row>
    <row r="41" spans="4:51" x14ac:dyDescent="0.25">
      <c r="O41" s="11">
        <v>8.8080562470738852E-2</v>
      </c>
      <c r="P41" s="11">
        <v>9.280054488732789E-2</v>
      </c>
      <c r="Q41" s="11">
        <v>0.11734445345359054</v>
      </c>
      <c r="S41" s="5">
        <f t="shared" si="56"/>
        <v>8.8129541201851735E-2</v>
      </c>
      <c r="T41" s="10">
        <f t="shared" si="57"/>
        <v>2.3989161014281565E-9</v>
      </c>
      <c r="W41" s="5">
        <f t="shared" si="58"/>
        <v>9.2962114822403782E-2</v>
      </c>
      <c r="X41" s="10">
        <f t="shared" si="59"/>
        <v>2.6104843920427959E-8</v>
      </c>
      <c r="AA41" s="5">
        <f t="shared" si="60"/>
        <v>0.11810377408827437</v>
      </c>
      <c r="AB41" s="10">
        <f t="shared" si="61"/>
        <v>5.7656782625665012E-7</v>
      </c>
      <c r="AJ41" s="11">
        <v>9.0877540038146548E-2</v>
      </c>
      <c r="AK41" s="11">
        <v>9.6150184532804897E-2</v>
      </c>
      <c r="AL41" s="11">
        <v>0.12356793590502808</v>
      </c>
      <c r="AO41" s="5">
        <f t="shared" si="62"/>
        <v>9.0910161659069746E-2</v>
      </c>
      <c r="AP41" s="10">
        <f t="shared" si="63"/>
        <v>1.0641701516568499E-9</v>
      </c>
      <c r="AS41" s="5">
        <f t="shared" si="64"/>
        <v>9.6251089093151027E-2</v>
      </c>
      <c r="AT41" s="10">
        <f t="shared" si="65"/>
        <v>1.0181730298645688E-8</v>
      </c>
      <c r="AW41" s="5">
        <f t="shared" si="66"/>
        <v>0.12401459530789262</v>
      </c>
      <c r="AX41" s="10">
        <f t="shared" si="67"/>
        <v>1.9950462216730337E-7</v>
      </c>
    </row>
    <row r="42" spans="4:51" x14ac:dyDescent="0.25">
      <c r="O42" s="11">
        <v>0.31257737148224551</v>
      </c>
      <c r="P42" s="11">
        <v>0.32253760652423358</v>
      </c>
      <c r="Q42" s="11">
        <v>0.37433082874257151</v>
      </c>
      <c r="S42" s="5">
        <f t="shared" si="56"/>
        <v>0.31286075471024399</v>
      </c>
      <c r="T42" s="10">
        <f t="shared" si="57"/>
        <v>8.0306053910838138E-8</v>
      </c>
      <c r="W42" s="5">
        <f t="shared" si="58"/>
        <v>0.3227332830199367</v>
      </c>
      <c r="X42" s="10">
        <f t="shared" si="59"/>
        <v>3.8289290970654381E-8</v>
      </c>
      <c r="AA42" s="5">
        <f t="shared" si="60"/>
        <v>0.37409520253887474</v>
      </c>
      <c r="AB42" s="10">
        <f t="shared" si="61"/>
        <v>5.5519707868551964E-8</v>
      </c>
      <c r="AJ42" s="11">
        <v>0.31767589152241377</v>
      </c>
      <c r="AK42" s="11">
        <v>0.32816547233201737</v>
      </c>
      <c r="AL42" s="11">
        <v>0.38271129254195618</v>
      </c>
      <c r="AO42" s="5">
        <f t="shared" si="62"/>
        <v>0.3179656096382224</v>
      </c>
      <c r="AP42" s="10">
        <f t="shared" si="63"/>
        <v>8.3936586627705544E-8</v>
      </c>
      <c r="AS42" s="5">
        <f t="shared" si="64"/>
        <v>0.32841126740995152</v>
      </c>
      <c r="AT42" s="10">
        <f t="shared" si="65"/>
        <v>6.0415220336655964E-8</v>
      </c>
      <c r="AW42" s="5">
        <f t="shared" si="66"/>
        <v>0.38271841035812881</v>
      </c>
      <c r="AX42" s="10">
        <f t="shared" si="67"/>
        <v>5.0663307067359003E-11</v>
      </c>
    </row>
    <row r="43" spans="4:51" x14ac:dyDescent="0.25">
      <c r="N43" s="2" t="s">
        <v>20</v>
      </c>
      <c r="O43" s="11">
        <v>0.44841974777583898</v>
      </c>
      <c r="P43" s="11">
        <v>0.44608587640731623</v>
      </c>
      <c r="Q43" s="11">
        <v>0.44021285158985041</v>
      </c>
      <c r="S43" s="4"/>
      <c r="T43" s="4"/>
      <c r="W43" s="4"/>
      <c r="X43" s="4"/>
      <c r="AA43" s="4"/>
      <c r="AB43" s="4"/>
      <c r="AI43" s="2" t="s">
        <v>20</v>
      </c>
      <c r="AJ43" s="11">
        <v>0.44297623936202618</v>
      </c>
      <c r="AK43" s="11">
        <v>0.43750235949908611</v>
      </c>
      <c r="AL43" s="11">
        <v>0.41808767457014973</v>
      </c>
      <c r="AO43" s="4"/>
      <c r="AP43" s="4"/>
      <c r="AS43" s="4"/>
      <c r="AT43" s="4"/>
      <c r="AW43" s="4"/>
      <c r="AX43" s="4"/>
    </row>
    <row r="44" spans="4:51" x14ac:dyDescent="0.25">
      <c r="O44" s="2"/>
      <c r="S44" s="4"/>
      <c r="T44" s="5">
        <f>SUM(T38:T42)</f>
        <v>2.6399986697663804E-6</v>
      </c>
      <c r="U44" s="2" t="s">
        <v>17</v>
      </c>
      <c r="W44" s="4"/>
      <c r="X44" s="5">
        <f>SUM(X38:X42)</f>
        <v>2.0596160525970802E-6</v>
      </c>
      <c r="Y44" s="2" t="s">
        <v>17</v>
      </c>
      <c r="AA44" s="4"/>
      <c r="AB44" s="5">
        <f>SUM(AB38:AB42)</f>
        <v>8.2682686591781908E-7</v>
      </c>
      <c r="AC44" s="2" t="s">
        <v>17</v>
      </c>
      <c r="AJ44" s="2"/>
      <c r="AO44" s="4"/>
      <c r="AP44" s="5">
        <f>SUM(AP38:AP42)</f>
        <v>2.6984824825189359E-6</v>
      </c>
      <c r="AQ44" s="2" t="s">
        <v>17</v>
      </c>
      <c r="AS44" s="4"/>
      <c r="AT44" s="5">
        <f>SUM(AT38:AT42)</f>
        <v>2.3777110609680477E-6</v>
      </c>
      <c r="AU44" s="2" t="s">
        <v>17</v>
      </c>
      <c r="AW44" s="4"/>
      <c r="AX44" s="5">
        <f>SUM(AX38:AX42)</f>
        <v>1.2258099387468186E-6</v>
      </c>
      <c r="AY44" s="2" t="s">
        <v>17</v>
      </c>
    </row>
    <row r="45" spans="4:51" x14ac:dyDescent="0.25">
      <c r="S45" s="4"/>
      <c r="T45" s="5">
        <f>1-T44/O43</f>
        <v>0.99999411266189131</v>
      </c>
      <c r="U45" s="2" t="s">
        <v>18</v>
      </c>
      <c r="W45" s="4"/>
      <c r="X45" s="5">
        <f>1-X44/P43</f>
        <v>0.99999538291579826</v>
      </c>
      <c r="Y45" s="2" t="s">
        <v>18</v>
      </c>
      <c r="AA45" s="4"/>
      <c r="AB45" s="5">
        <f>1-AB44/Q43</f>
        <v>0.99999812175663905</v>
      </c>
      <c r="AC45" s="2" t="s">
        <v>18</v>
      </c>
      <c r="AO45" s="4"/>
      <c r="AP45" s="5">
        <f>1-AP44/AJ43</f>
        <v>0.99999390829068757</v>
      </c>
      <c r="AQ45" s="2" t="s">
        <v>18</v>
      </c>
      <c r="AS45" s="4"/>
      <c r="AT45" s="5">
        <f>1-AT44/AK43</f>
        <v>0.99999456526117092</v>
      </c>
      <c r="AU45" s="2" t="s">
        <v>18</v>
      </c>
      <c r="AW45" s="4"/>
      <c r="AX45" s="5">
        <f>1-AX44/AL43</f>
        <v>0.99999706805530675</v>
      </c>
      <c r="AY45" s="2" t="s">
        <v>18</v>
      </c>
    </row>
    <row r="49" spans="14:51" x14ac:dyDescent="0.25">
      <c r="S49" s="1" t="s">
        <v>60</v>
      </c>
      <c r="W49" s="1" t="s">
        <v>48</v>
      </c>
      <c r="AA49" s="1" t="s">
        <v>49</v>
      </c>
      <c r="AO49" s="1" t="s">
        <v>60</v>
      </c>
      <c r="AS49" s="1" t="s">
        <v>48</v>
      </c>
      <c r="AW49" s="1" t="s">
        <v>49</v>
      </c>
    </row>
    <row r="50" spans="14:51" x14ac:dyDescent="0.25">
      <c r="S50" s="3" t="s">
        <v>54</v>
      </c>
      <c r="T50" s="4"/>
      <c r="W50" s="3" t="s">
        <v>54</v>
      </c>
      <c r="X50" s="4"/>
      <c r="AA50" s="3" t="s">
        <v>54</v>
      </c>
      <c r="AB50" s="4"/>
      <c r="AO50" s="3" t="s">
        <v>54</v>
      </c>
      <c r="AP50" s="4"/>
      <c r="AS50" s="3" t="s">
        <v>54</v>
      </c>
      <c r="AT50" s="4"/>
      <c r="AW50" s="3" t="s">
        <v>54</v>
      </c>
      <c r="AX50" s="4"/>
    </row>
    <row r="51" spans="14:51" x14ac:dyDescent="0.25">
      <c r="S51" s="9">
        <v>12.057164208810596</v>
      </c>
      <c r="T51" s="4" t="s">
        <v>12</v>
      </c>
      <c r="U51" s="1" t="s">
        <v>30</v>
      </c>
      <c r="W51" s="9">
        <v>12.058901869996692</v>
      </c>
      <c r="X51" s="4" t="s">
        <v>12</v>
      </c>
      <c r="Y51" s="1" t="s">
        <v>30</v>
      </c>
      <c r="AA51" s="9">
        <v>12.067937707794457</v>
      </c>
      <c r="AB51" s="4" t="s">
        <v>12</v>
      </c>
      <c r="AC51" s="1" t="s">
        <v>30</v>
      </c>
      <c r="AO51" s="9">
        <v>12.056994313252858</v>
      </c>
      <c r="AP51" s="4" t="s">
        <v>12</v>
      </c>
      <c r="AQ51" s="1" t="s">
        <v>30</v>
      </c>
      <c r="AS51" s="9">
        <v>12.056997966939797</v>
      </c>
      <c r="AT51" s="4" t="s">
        <v>12</v>
      </c>
      <c r="AU51" s="1" t="s">
        <v>30</v>
      </c>
      <c r="AW51" s="9">
        <v>12.057016966110039</v>
      </c>
      <c r="AX51" s="4" t="s">
        <v>12</v>
      </c>
      <c r="AY51" s="1" t="s">
        <v>30</v>
      </c>
    </row>
    <row r="52" spans="14:51" x14ac:dyDescent="0.25">
      <c r="S52" s="4">
        <v>1.2070000000000001</v>
      </c>
      <c r="T52" s="4" t="s">
        <v>16</v>
      </c>
      <c r="U52" s="1" t="s">
        <v>53</v>
      </c>
      <c r="W52" s="4">
        <v>1.2070000000000001</v>
      </c>
      <c r="X52" s="4" t="s">
        <v>16</v>
      </c>
      <c r="Y52" s="1" t="s">
        <v>53</v>
      </c>
      <c r="AA52" s="4">
        <v>1.2070000000000001</v>
      </c>
      <c r="AB52" s="4" t="s">
        <v>16</v>
      </c>
      <c r="AC52" s="1" t="s">
        <v>53</v>
      </c>
      <c r="AO52" s="4">
        <v>1.2070000000000001</v>
      </c>
      <c r="AP52" s="4" t="s">
        <v>16</v>
      </c>
      <c r="AQ52" s="1" t="s">
        <v>53</v>
      </c>
      <c r="AS52" s="4">
        <v>1.2070000000000001</v>
      </c>
      <c r="AT52" s="4" t="s">
        <v>16</v>
      </c>
      <c r="AU52" s="1" t="s">
        <v>53</v>
      </c>
      <c r="AW52" s="4">
        <v>1.2070000000000001</v>
      </c>
      <c r="AX52" s="4" t="s">
        <v>16</v>
      </c>
      <c r="AY52" s="1" t="s">
        <v>53</v>
      </c>
    </row>
    <row r="53" spans="14:51" x14ac:dyDescent="0.25">
      <c r="N53" s="2" t="s">
        <v>63</v>
      </c>
      <c r="O53" s="2" t="s">
        <v>47</v>
      </c>
      <c r="S53" s="8">
        <v>1.3320000000000001</v>
      </c>
      <c r="T53" s="4" t="s">
        <v>51</v>
      </c>
      <c r="U53" s="1" t="s">
        <v>32</v>
      </c>
      <c r="W53" s="8">
        <v>1.3320000000000001</v>
      </c>
      <c r="X53" s="4" t="s">
        <v>51</v>
      </c>
      <c r="Y53" s="1" t="s">
        <v>32</v>
      </c>
      <c r="AA53" s="8">
        <v>1.3320000000000001</v>
      </c>
      <c r="AB53" s="4" t="s">
        <v>51</v>
      </c>
      <c r="AC53" s="1" t="s">
        <v>32</v>
      </c>
      <c r="AI53" s="2" t="s">
        <v>63</v>
      </c>
      <c r="AJ53" s="2" t="s">
        <v>47</v>
      </c>
      <c r="AO53" s="8">
        <v>1.3320000000000001</v>
      </c>
      <c r="AP53" s="4" t="s">
        <v>51</v>
      </c>
      <c r="AQ53" s="1" t="s">
        <v>32</v>
      </c>
      <c r="AS53" s="8">
        <v>1.3320000000000001</v>
      </c>
      <c r="AT53" s="4" t="s">
        <v>51</v>
      </c>
      <c r="AU53" s="1" t="s">
        <v>32</v>
      </c>
      <c r="AW53" s="8">
        <v>1.3320000000000001</v>
      </c>
      <c r="AX53" s="4" t="s">
        <v>51</v>
      </c>
      <c r="AY53" s="1" t="s">
        <v>32</v>
      </c>
    </row>
    <row r="54" spans="14:51" x14ac:dyDescent="0.25">
      <c r="N54" s="2" t="s">
        <v>42</v>
      </c>
      <c r="O54" s="2">
        <v>0</v>
      </c>
      <c r="P54" s="2">
        <v>0.1</v>
      </c>
      <c r="Q54" s="2">
        <v>0.62</v>
      </c>
      <c r="S54" s="3" t="s">
        <v>27</v>
      </c>
      <c r="T54" s="3" t="s">
        <v>21</v>
      </c>
      <c r="W54" s="3" t="s">
        <v>27</v>
      </c>
      <c r="X54" s="3" t="s">
        <v>21</v>
      </c>
      <c r="AA54" s="3" t="s">
        <v>27</v>
      </c>
      <c r="AB54" s="3" t="s">
        <v>21</v>
      </c>
      <c r="AI54" s="2" t="s">
        <v>42</v>
      </c>
      <c r="AJ54" s="2">
        <v>0</v>
      </c>
      <c r="AK54" s="2">
        <v>0.1</v>
      </c>
      <c r="AL54" s="2">
        <v>0.62</v>
      </c>
      <c r="AO54" s="3" t="s">
        <v>27</v>
      </c>
      <c r="AP54" s="3" t="s">
        <v>21</v>
      </c>
      <c r="AS54" s="3" t="s">
        <v>27</v>
      </c>
      <c r="AT54" s="3" t="s">
        <v>21</v>
      </c>
      <c r="AW54" s="3" t="s">
        <v>27</v>
      </c>
      <c r="AX54" s="3" t="s">
        <v>21</v>
      </c>
    </row>
    <row r="55" spans="14:51" x14ac:dyDescent="0.25">
      <c r="O55" s="11">
        <v>0.56545748154258213</v>
      </c>
      <c r="P55" s="11">
        <v>0.56563604528054412</v>
      </c>
      <c r="Q55" s="11">
        <v>0.56656457671794647</v>
      </c>
      <c r="S55" s="5">
        <f>(3*S$51/(5*S$52^2))*((1-2.5*EXP(-$W$52*($A6-S$53)*$B$2)+1.5*EXP(-(5/3)*$W$52*($A6-S$53)*$B$2))-(1-2.5*EXP(-$W$52*($A$8-S$53)*$B$2)+1.5*EXP(-(5/3)*$W$52*($A$8-S$53)*$B$2)))</f>
        <v>0.56379443837642629</v>
      </c>
      <c r="T55" s="10">
        <f>(O55-S55)^2</f>
        <v>2.7657125724976474E-6</v>
      </c>
      <c r="W55" s="5">
        <f>(3*W$51/(5*W$52^2))*((1-2.5*EXP(-$W$52*($A6-W$53)*$B$2)+1.5*EXP(-(5/3)*$W$52*($A6-W$53)*$B$2))-(1-2.5*EXP(-$W$52*($A$8-W$53)*$B$2)+1.5*EXP(-(5/3)*$W$52*($A$8-W$53)*$B$2)))</f>
        <v>0.56387569162101503</v>
      </c>
      <c r="X55" s="10">
        <f>($P55-W55)^2</f>
        <v>3.0988450066174602E-6</v>
      </c>
      <c r="AA55" s="5">
        <f>(3*AA$51/(5*AA$52^2))*((1-2.5*EXP(-$AA$52*($A6-AA$53)*$B$2)+1.5*EXP(-(5/3)*$AA$52*($A6-AA$53)*$B$2))-(1-2.5*EXP(-$AA$52*($A$8-AA$53)*$B$2)+1.5*EXP(-(5/3)*$AA$52*($A$8-AA$53)*$B$2)))</f>
        <v>0.56429820847557755</v>
      </c>
      <c r="AB55" s="10">
        <f>($Q55-AA55)^2</f>
        <v>5.1364250100183937E-6</v>
      </c>
      <c r="AJ55" s="11">
        <v>0.56543875878573535</v>
      </c>
      <c r="AK55" s="11">
        <v>0.56543317620659095</v>
      </c>
      <c r="AL55" s="11">
        <v>0.56540414679503992</v>
      </c>
      <c r="AO55" s="5">
        <f>(3*AO$51/(5*AO$52^2))*((1-2.5*EXP(-$AS$52*($A6-AO$53)*$B$2)+1.5*EXP(-(5/3)*$AS$52*($A6-AO$53)*$B$2))-(1-2.5*EXP(-$AS$52*($A$8-AO$53)*$B$2)+1.5*EXP(-(5/3)*$AS$52*($A$8-AO$53)*$B$2)))</f>
        <v>0.56378649403985603</v>
      </c>
      <c r="AP55" s="10">
        <f>(AJ55-AO55)^2</f>
        <v>2.7299787904756446E-6</v>
      </c>
      <c r="AS55" s="5">
        <f>(3*AS$51/(5*AS$52^2))*((1-2.5*EXP(-$AS$52*($A6-AS$53)*$B$2)+1.5*EXP(-(5/3)*$AS$52*($A6-AS$53)*$B$2))-(1-2.5*EXP(-$AS$52*($A$8-AS$53)*$B$2)+1.5*EXP(-(5/3)*$AS$52*($A$8-AS$53)*$B$2)))</f>
        <v>0.5637866648866936</v>
      </c>
      <c r="AT55" s="10">
        <f>($AK55-AS55)^2</f>
        <v>2.710999526550107E-6</v>
      </c>
      <c r="AW55" s="5">
        <f>(3*AW$51/(5*AW$52^2))*((1-2.5*EXP(-$AW$52*($A6-AW$53)*$B$2)+1.5*EXP(-(5/3)*$AW$52*($A6-AW$53)*$B$2))-(1-2.5*EXP(-$AW$52*($A$8-AW$53)*$B$2)+1.5*EXP(-(5/3)*$AW$52*($A$8-AW$53)*$B$2)))</f>
        <v>0.56378755329016317</v>
      </c>
      <c r="AX55" s="10">
        <f>(AL55-AW55)^2</f>
        <v>2.613374560009698E-6</v>
      </c>
    </row>
    <row r="56" spans="14:51" x14ac:dyDescent="0.25">
      <c r="O56" s="11">
        <v>0.12097647540396544</v>
      </c>
      <c r="P56" s="11">
        <v>0.12099683829434893</v>
      </c>
      <c r="Q56" s="11">
        <v>0.12110272532434301</v>
      </c>
      <c r="S56" s="5">
        <f t="shared" ref="S56:S59" si="68">(3*S$51/(5*S$52^2))*((1-2.5*EXP(-$W$52*($A7-S$53)*$B$2)+1.5*EXP(-(5/3)*$W$52*($A7-S$53)*$B$2))-(1-2.5*EXP(-$W$52*($A$8-S$53)*$B$2)+1.5*EXP(-(5/3)*$W$52*($A$8-S$53)*$B$2)))</f>
        <v>0.1217570158505273</v>
      </c>
      <c r="T56" s="10">
        <f t="shared" ref="T56:T59" si="69">(O56-S56)^2</f>
        <v>6.0924338871897721E-7</v>
      </c>
      <c r="W56" s="5">
        <f t="shared" ref="W56:W59" si="70">(3*W$51/(5*W$52^2))*((1-2.5*EXP(-$W$52*($A7-W$53)*$B$2)+1.5*EXP(-(5/3)*$W$52*($A7-W$53)*$B$2))-(1-2.5*EXP(-$W$52*($A$8-W$53)*$B$2)+1.5*EXP(-(5/3)*$W$52*($A$8-W$53)*$B$2)))</f>
        <v>0.12177456329675218</v>
      </c>
      <c r="X56" s="10">
        <f>($P56-W56)^2</f>
        <v>6.0485617936313699E-7</v>
      </c>
      <c r="AA56" s="5">
        <f t="shared" ref="AA56:AA59" si="71">(3*AA$51/(5*AA$52^2))*((1-2.5*EXP(-$AA$52*($A7-AA$53)*$B$2)+1.5*EXP(-(5/3)*$AA$52*($A7-AA$53)*$B$2))-(1-2.5*EXP(-$AA$52*($A$8-AA$53)*$B$2)+1.5*EXP(-(5/3)*$AA$52*($A$8-AA$53)*$B$2)))</f>
        <v>0.12186581001338569</v>
      </c>
      <c r="AB56" s="10">
        <f>($Q56-AA56)^2</f>
        <v>5.8229824265136547E-7</v>
      </c>
      <c r="AJ56" s="11">
        <v>0.12097430776928655</v>
      </c>
      <c r="AK56" s="11">
        <v>0.1209734528462533</v>
      </c>
      <c r="AL56" s="11">
        <v>0.12096900724648038</v>
      </c>
      <c r="AO56" s="5">
        <f t="shared" ref="AO56:AO59" si="72">(3*AO$51/(5*AO$52^2))*((1-2.5*EXP(-$AS$52*($A7-AO$53)*$B$2)+1.5*EXP(-(5/3)*$AS$52*($A7-AO$53)*$B$2))-(1-2.5*EXP(-$AS$52*($A$8-AO$53)*$B$2)+1.5*EXP(-(5/3)*$AS$52*($A$8-AO$53)*$B$2)))</f>
        <v>0.12175530019203927</v>
      </c>
      <c r="AP56" s="10">
        <f t="shared" ref="AP56:AP59" si="73">(AJ56-AO56)^2</f>
        <v>6.0994916439715704E-7</v>
      </c>
      <c r="AS56" s="5">
        <f t="shared" ref="AS56:AS59" si="74">(3*AS$51/(5*AS$52^2))*((1-2.5*EXP(-$AS$52*($A7-AS$53)*$B$2)+1.5*EXP(-(5/3)*$AS$52*($A7-AS$53)*$B$2))-(1-2.5*EXP(-$AS$52*($A$8-AS$53)*$B$2)+1.5*EXP(-(5/3)*$AS$52*($A$8-AS$53)*$B$2)))</f>
        <v>0.12175533708811291</v>
      </c>
      <c r="AT56" s="10">
        <f>($AK56-AS56)^2</f>
        <v>6.1134296766838066E-7</v>
      </c>
      <c r="AW56" s="5">
        <f t="shared" ref="AW56:AW59" si="75">(3*AW$51/(5*AW$52^2))*((1-2.5*EXP(-$AW$52*($A7-AW$53)*$B$2)+1.5*EXP(-(5/3)*$AW$52*($A7-AW$53)*$B$2))-(1-2.5*EXP(-$AW$52*($A$8-AW$53)*$B$2)+1.5*EXP(-(5/3)*$AW$52*($A$8-AW$53)*$B$2)))</f>
        <v>0.12175552894767724</v>
      </c>
      <c r="AX56" s="10">
        <f>(AL56-AW56)^2</f>
        <v>6.1861638645360714E-7</v>
      </c>
    </row>
    <row r="57" spans="14:51" x14ac:dyDescent="0.25">
      <c r="O57" s="11">
        <v>0</v>
      </c>
      <c r="P57" s="11">
        <v>0</v>
      </c>
      <c r="Q57" s="11">
        <v>0</v>
      </c>
      <c r="S57" s="5">
        <f t="shared" si="68"/>
        <v>0</v>
      </c>
      <c r="T57" s="10">
        <f t="shared" si="69"/>
        <v>0</v>
      </c>
      <c r="W57" s="5">
        <f t="shared" si="70"/>
        <v>0</v>
      </c>
      <c r="X57" s="10">
        <f>($P57-W57)^2</f>
        <v>0</v>
      </c>
      <c r="AA57" s="5">
        <f t="shared" si="71"/>
        <v>0</v>
      </c>
      <c r="AB57" s="10">
        <f>($Q57-AA57)^2</f>
        <v>0</v>
      </c>
      <c r="AJ57" s="11">
        <v>0</v>
      </c>
      <c r="AK57" s="11">
        <v>0</v>
      </c>
      <c r="AL57" s="11">
        <v>0</v>
      </c>
      <c r="AO57" s="5">
        <f t="shared" si="72"/>
        <v>0</v>
      </c>
      <c r="AP57" s="10">
        <f t="shared" si="73"/>
        <v>0</v>
      </c>
      <c r="AS57" s="5">
        <f t="shared" si="74"/>
        <v>0</v>
      </c>
      <c r="AT57" s="10">
        <f>($AK57-AS57)^2</f>
        <v>0</v>
      </c>
      <c r="AW57" s="5">
        <f t="shared" si="75"/>
        <v>0</v>
      </c>
      <c r="AX57" s="10">
        <f>(AL57-AW57)^2</f>
        <v>0</v>
      </c>
    </row>
    <row r="58" spans="14:51" x14ac:dyDescent="0.25">
      <c r="O58" s="11">
        <v>9.0665913608353438E-2</v>
      </c>
      <c r="P58" s="11">
        <v>9.0649388437878356E-2</v>
      </c>
      <c r="Q58" s="11">
        <v>9.0563457551407919E-2</v>
      </c>
      <c r="S58" s="5">
        <f t="shared" si="68"/>
        <v>9.1669705189044007E-2</v>
      </c>
      <c r="T58" s="10">
        <f t="shared" si="69"/>
        <v>1.0075975374652709E-6</v>
      </c>
      <c r="W58" s="5">
        <f t="shared" si="70"/>
        <v>9.1682916495275671E-2</v>
      </c>
      <c r="X58" s="10">
        <f>($P58-W58)^2</f>
        <v>1.0681802454274675E-6</v>
      </c>
      <c r="AA58" s="5">
        <f t="shared" si="71"/>
        <v>9.1751615284867652E-2</v>
      </c>
      <c r="AB58" s="10">
        <f>($Q58-AA58)^2</f>
        <v>1.4117187995801692E-6</v>
      </c>
      <c r="AJ58" s="11">
        <v>9.066778175176228E-2</v>
      </c>
      <c r="AK58" s="11">
        <v>9.0668929810697935E-2</v>
      </c>
      <c r="AL58" s="11">
        <v>9.0674899717163276E-2</v>
      </c>
      <c r="AO58" s="5">
        <f t="shared" si="72"/>
        <v>9.1668413486001646E-2</v>
      </c>
      <c r="AP58" s="10">
        <f t="shared" si="73"/>
        <v>1.0012638675668804E-6</v>
      </c>
      <c r="AS58" s="5">
        <f t="shared" si="74"/>
        <v>9.1668441264706385E-2</v>
      </c>
      <c r="AT58" s="10">
        <f>($AK58-AS58)^2</f>
        <v>9.9902314669408673E-7</v>
      </c>
      <c r="AW58" s="5">
        <f t="shared" si="75"/>
        <v>9.1668585713957029E-2</v>
      </c>
      <c r="AX58" s="10">
        <f>(AL58-AW58)^2</f>
        <v>9.8741186022399415E-7</v>
      </c>
    </row>
    <row r="59" spans="14:51" x14ac:dyDescent="0.25">
      <c r="O59" s="11">
        <v>0.31725509464438834</v>
      </c>
      <c r="P59" s="11">
        <v>0.31713695204764597</v>
      </c>
      <c r="Q59" s="11">
        <v>0.31652261054458586</v>
      </c>
      <c r="S59" s="5">
        <f t="shared" si="68"/>
        <v>0.31960350733957077</v>
      </c>
      <c r="T59" s="10">
        <f t="shared" si="69"/>
        <v>5.5150421868940213E-6</v>
      </c>
      <c r="W59" s="5">
        <f t="shared" si="70"/>
        <v>0.31964956813794981</v>
      </c>
      <c r="X59" s="10">
        <f>($P59-W59)^2</f>
        <v>6.3132396172537702E-6</v>
      </c>
      <c r="AA59" s="5">
        <f t="shared" si="71"/>
        <v>0.31988908427971441</v>
      </c>
      <c r="AB59" s="10">
        <f>($Q59-AA59)^2</f>
        <v>1.133314540931037E-5</v>
      </c>
      <c r="AJ59" s="11">
        <v>0.31726887063190706</v>
      </c>
      <c r="AK59" s="11">
        <v>0.31727913520169637</v>
      </c>
      <c r="AL59" s="11">
        <v>0.3173325109646008</v>
      </c>
      <c r="AO59" s="5">
        <f t="shared" si="72"/>
        <v>0.31959900385805606</v>
      </c>
      <c r="AP59" s="10">
        <f t="shared" si="73"/>
        <v>5.4295208516035489E-6</v>
      </c>
      <c r="AS59" s="5">
        <f t="shared" si="74"/>
        <v>0.31959910070762532</v>
      </c>
      <c r="AT59" s="10">
        <f>($AK59-AS59)^2</f>
        <v>5.3822399487001451E-6</v>
      </c>
      <c r="AW59" s="5">
        <f t="shared" si="75"/>
        <v>0.31959960432533679</v>
      </c>
      <c r="AX59" s="10">
        <f>(AL59-AW59)^2</f>
        <v>5.1397123062932255E-6</v>
      </c>
    </row>
    <row r="60" spans="14:51" x14ac:dyDescent="0.25">
      <c r="N60" s="2" t="s">
        <v>20</v>
      </c>
      <c r="O60" s="11">
        <v>0.44324857400190315</v>
      </c>
      <c r="P60" s="11">
        <v>0.44337752857607482</v>
      </c>
      <c r="Q60" s="11">
        <v>0.44404959250219433</v>
      </c>
      <c r="S60" s="4"/>
      <c r="T60" s="4"/>
      <c r="W60" s="4"/>
      <c r="X60" s="4"/>
      <c r="AA60" s="4"/>
      <c r="AB60" s="4"/>
      <c r="AI60" s="2" t="s">
        <v>20</v>
      </c>
      <c r="AJ60" s="11">
        <v>0.44323595599724208</v>
      </c>
      <c r="AK60" s="11">
        <v>0.44323615751597201</v>
      </c>
      <c r="AL60" s="11">
        <v>0.4432372098810422</v>
      </c>
      <c r="AO60" s="4"/>
      <c r="AP60" s="4"/>
      <c r="AS60" s="4"/>
      <c r="AT60" s="4"/>
      <c r="AW60" s="4"/>
      <c r="AX60" s="4"/>
    </row>
    <row r="61" spans="14:51" x14ac:dyDescent="0.25">
      <c r="S61" s="4"/>
      <c r="T61" s="5">
        <f>SUM(T55:T59)</f>
        <v>9.8975956855759157E-6</v>
      </c>
      <c r="U61" s="2" t="s">
        <v>17</v>
      </c>
      <c r="W61" s="4"/>
      <c r="X61" s="5">
        <f>SUM(X55:X59)</f>
        <v>1.1085121048661835E-5</v>
      </c>
      <c r="Y61" s="2" t="s">
        <v>17</v>
      </c>
      <c r="AA61" s="4"/>
      <c r="AB61" s="5">
        <f>SUM(AB55:AB59)</f>
        <v>1.8463587461560299E-5</v>
      </c>
      <c r="AC61" s="2" t="s">
        <v>17</v>
      </c>
      <c r="AO61" s="4"/>
      <c r="AP61" s="5">
        <f>SUM(AP55:AP59)</f>
        <v>9.7707126740432312E-6</v>
      </c>
      <c r="AQ61" s="2" t="s">
        <v>17</v>
      </c>
      <c r="AS61" s="4"/>
      <c r="AT61" s="5">
        <f>SUM(AT55:AT59)</f>
        <v>9.7036055896127195E-6</v>
      </c>
      <c r="AU61" s="2" t="s">
        <v>17</v>
      </c>
      <c r="AW61" s="4"/>
      <c r="AX61" s="5">
        <f>SUM(AX55:AX59)</f>
        <v>9.359115112980525E-6</v>
      </c>
      <c r="AY61" s="2" t="s">
        <v>17</v>
      </c>
    </row>
    <row r="62" spans="14:51" x14ac:dyDescent="0.25">
      <c r="S62" s="4"/>
      <c r="T62" s="5">
        <f>1-T61/O60</f>
        <v>0.99997767032706675</v>
      </c>
      <c r="U62" s="2" t="s">
        <v>18</v>
      </c>
      <c r="W62" s="4"/>
      <c r="X62" s="5">
        <f>1-X61/P60</f>
        <v>0.99997499845992588</v>
      </c>
      <c r="Y62" s="2" t="s">
        <v>18</v>
      </c>
      <c r="AA62" s="4"/>
      <c r="AB62" s="5">
        <f>1-AB61/Q60</f>
        <v>0.9999584199878272</v>
      </c>
      <c r="AC62" s="2" t="s">
        <v>18</v>
      </c>
      <c r="AO62" s="4"/>
      <c r="AP62" s="5">
        <f>1-AP61/AJ60</f>
        <v>0.9999779559565467</v>
      </c>
      <c r="AQ62" s="2" t="s">
        <v>18</v>
      </c>
      <c r="AS62" s="4"/>
      <c r="AT62" s="5">
        <f>1-AT61/AK60</f>
        <v>0.99997810736911896</v>
      </c>
      <c r="AU62" s="2" t="s">
        <v>18</v>
      </c>
      <c r="AW62" s="4"/>
      <c r="AX62" s="5">
        <f>1-AX61/AL60</f>
        <v>0.99997888463580142</v>
      </c>
      <c r="AY62" s="2" t="s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>
      <selection activeCell="B1" sqref="B1"/>
    </sheetView>
  </sheetViews>
  <sheetFormatPr defaultRowHeight="15" x14ac:dyDescent="0.25"/>
  <cols>
    <col min="1" max="1" width="12" customWidth="1"/>
    <col min="2" max="2" width="24.42578125" customWidth="1"/>
    <col min="3" max="3" width="20.7109375" customWidth="1"/>
    <col min="4" max="4" width="18.7109375" customWidth="1"/>
    <col min="5" max="5" width="18.140625" customWidth="1"/>
    <col min="6" max="6" width="11.42578125" customWidth="1"/>
  </cols>
  <sheetData>
    <row r="1" spans="1:6" x14ac:dyDescent="0.25">
      <c r="A1" s="12">
        <f>23.0609</f>
        <v>23.0609</v>
      </c>
      <c r="B1" s="1" t="s">
        <v>4</v>
      </c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 t="s">
        <v>6</v>
      </c>
      <c r="D3" s="1" t="s">
        <v>7</v>
      </c>
      <c r="E3" s="1" t="s">
        <v>55</v>
      </c>
      <c r="F3" s="1" t="s">
        <v>56</v>
      </c>
    </row>
    <row r="4" spans="1:6" x14ac:dyDescent="0.25">
      <c r="A4" s="1" t="s">
        <v>5</v>
      </c>
      <c r="B4" s="1" t="s">
        <v>8</v>
      </c>
      <c r="C4" s="1">
        <v>0.105</v>
      </c>
      <c r="D4" s="1">
        <f>C4/$A$1</f>
        <v>4.5531614117402183E-3</v>
      </c>
      <c r="E4" s="1">
        <v>3.851</v>
      </c>
      <c r="F4" s="1">
        <f>E4*with_charges_and_LJ!$B$2</f>
        <v>7.2773502299999997</v>
      </c>
    </row>
    <row r="5" spans="1:6" x14ac:dyDescent="0.25">
      <c r="A5" s="1"/>
      <c r="B5" s="1" t="s">
        <v>9</v>
      </c>
      <c r="C5" s="1">
        <v>0.05</v>
      </c>
      <c r="D5" s="1">
        <f>C5/$A$1</f>
        <v>2.1681721008286756E-3</v>
      </c>
      <c r="E5" s="1">
        <v>3.3639999999999999</v>
      </c>
      <c r="F5" s="1">
        <f>E5*with_charges_and_LJ!$B$2</f>
        <v>6.3570517199999994</v>
      </c>
    </row>
    <row r="6" spans="1:6" x14ac:dyDescent="0.25">
      <c r="A6" s="1"/>
      <c r="B6" s="1" t="s">
        <v>57</v>
      </c>
      <c r="C6" s="1">
        <f>SQRT(C4*C5)</f>
        <v>7.2456883730947191E-2</v>
      </c>
      <c r="D6" s="1">
        <f>SQRT(D4*D5)</f>
        <v>3.1419798763685372E-3</v>
      </c>
      <c r="E6" s="1">
        <f>SQRT(E4*E5)</f>
        <v>3.5992727043112471</v>
      </c>
      <c r="F6" s="1">
        <f>SQRT(F4*F5)</f>
        <v>6.8016536075180927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sheet1</vt:lpstr>
      <vt:lpstr>with_charges</vt:lpstr>
      <vt:lpstr>with_charges_and_LJ</vt:lpstr>
      <vt:lpstr>LJ_parameters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Manz</dc:creator>
  <cp:lastModifiedBy>Thomas Manz</cp:lastModifiedBy>
  <cp:lastPrinted>2024-08-27T16:26:56Z</cp:lastPrinted>
  <dcterms:created xsi:type="dcterms:W3CDTF">2024-08-12T22:42:38Z</dcterms:created>
  <dcterms:modified xsi:type="dcterms:W3CDTF">2024-09-08T05:11:50Z</dcterms:modified>
</cp:coreProperties>
</file>