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cdud-my.sharepoint.com/personal/lamberda_tcd_ie/Documents/work/Excelandims/"/>
    </mc:Choice>
  </mc:AlternateContent>
  <xr:revisionPtr revIDLastSave="70" documentId="8_{36F4C704-351A-48C6-9414-1CA44E92EE5C}" xr6:coauthVersionLast="47" xr6:coauthVersionMax="47" xr10:uidLastSave="{8F6BD8BD-09F3-4795-A375-BC9993DC8610}"/>
  <bookViews>
    <workbookView xWindow="-120" yWindow="-120" windowWidth="29040" windowHeight="15720" firstSheet="3" activeTab="9" xr2:uid="{00D6C4C7-B6D7-41FB-A869-BE8DC60D19F0}"/>
  </bookViews>
  <sheets>
    <sheet name="Previous work" sheetId="1" r:id="rId1"/>
    <sheet name="TiO2rawresults" sheetId="4" r:id="rId2"/>
    <sheet name="ZrO2rawresults" sheetId="7" r:id="rId3"/>
    <sheet name="HfO2rawresults" sheetId="13" r:id="rId4"/>
    <sheet name="More Raw results" sheetId="22" r:id="rId5"/>
    <sheet name="Pure cell results" sheetId="3" r:id="rId6"/>
    <sheet name="O references" sheetId="25" r:id="rId7"/>
    <sheet name="summary graphs" sheetId="21" r:id="rId8"/>
    <sheet name="papertables" sheetId="27" r:id="rId9"/>
    <sheet name="papertablepreparation" sheetId="3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2" i="4" l="1"/>
  <c r="X31" i="7"/>
  <c r="Q90" i="13"/>
  <c r="F39" i="30" l="1"/>
  <c r="G39" i="30"/>
  <c r="F40" i="30"/>
  <c r="G40" i="30"/>
  <c r="F41" i="30"/>
  <c r="F58" i="30" s="1"/>
  <c r="G41" i="30"/>
  <c r="F42" i="30"/>
  <c r="G42" i="30"/>
  <c r="F43" i="30"/>
  <c r="G43" i="30"/>
  <c r="F44" i="30"/>
  <c r="G44" i="30"/>
  <c r="F45" i="30"/>
  <c r="G45" i="30"/>
  <c r="F46" i="30"/>
  <c r="G46" i="30"/>
  <c r="F47" i="30"/>
  <c r="G47" i="30"/>
  <c r="F37" i="30"/>
  <c r="G37" i="30"/>
  <c r="F38" i="30"/>
  <c r="G38" i="30"/>
  <c r="F73" i="30"/>
  <c r="G73" i="30"/>
  <c r="F74" i="30"/>
  <c r="G74" i="30"/>
  <c r="F75" i="30"/>
  <c r="G75" i="30"/>
  <c r="F76" i="30"/>
  <c r="G76" i="30"/>
  <c r="F77" i="30"/>
  <c r="G77" i="30"/>
  <c r="F78" i="30"/>
  <c r="G78" i="30"/>
  <c r="I96" i="30"/>
  <c r="G96" i="30"/>
  <c r="F96" i="30"/>
  <c r="I95" i="30"/>
  <c r="G95" i="30"/>
  <c r="F95" i="30"/>
  <c r="I94" i="30"/>
  <c r="G94" i="30"/>
  <c r="F94" i="30"/>
  <c r="E86" i="30"/>
  <c r="E85" i="30"/>
  <c r="E84" i="30"/>
  <c r="E83" i="30"/>
  <c r="E82" i="30"/>
  <c r="E81" i="30"/>
  <c r="I72" i="30"/>
  <c r="G72" i="30"/>
  <c r="F72" i="30"/>
  <c r="F86" i="30" s="1"/>
  <c r="I71" i="30"/>
  <c r="G71" i="30"/>
  <c r="F71" i="30"/>
  <c r="I70" i="30"/>
  <c r="G70" i="30"/>
  <c r="F70" i="30"/>
  <c r="I69" i="30"/>
  <c r="G69" i="30"/>
  <c r="F69" i="30"/>
  <c r="I68" i="30"/>
  <c r="G68" i="30"/>
  <c r="G82" i="30" s="1"/>
  <c r="F68" i="30"/>
  <c r="F82" i="30" s="1"/>
  <c r="I67" i="30"/>
  <c r="G67" i="30"/>
  <c r="F67" i="30"/>
  <c r="E58" i="30"/>
  <c r="E57" i="30"/>
  <c r="E56" i="30"/>
  <c r="E55" i="30"/>
  <c r="E54" i="30"/>
  <c r="E53" i="30"/>
  <c r="I41" i="30"/>
  <c r="I40" i="30"/>
  <c r="I39" i="30"/>
  <c r="I38" i="30"/>
  <c r="I37" i="30"/>
  <c r="I36" i="30"/>
  <c r="G36" i="30"/>
  <c r="F36" i="30"/>
  <c r="I83" i="27"/>
  <c r="I82" i="27"/>
  <c r="I81" i="27"/>
  <c r="I65" i="27"/>
  <c r="I64" i="27"/>
  <c r="I63" i="27"/>
  <c r="I62" i="27"/>
  <c r="I61" i="27"/>
  <c r="I60" i="27"/>
  <c r="I37" i="27"/>
  <c r="I38" i="27"/>
  <c r="I39" i="27"/>
  <c r="I40" i="27"/>
  <c r="I41" i="27"/>
  <c r="I36" i="27"/>
  <c r="G83" i="27"/>
  <c r="F83" i="27"/>
  <c r="G82" i="27"/>
  <c r="F82" i="27"/>
  <c r="G81" i="27"/>
  <c r="F81" i="27"/>
  <c r="E47" i="27"/>
  <c r="E48" i="27"/>
  <c r="E49" i="27"/>
  <c r="E50" i="27"/>
  <c r="E51" i="27"/>
  <c r="E46" i="27"/>
  <c r="E69" i="27"/>
  <c r="E70" i="27"/>
  <c r="E71" i="27"/>
  <c r="E72" i="27"/>
  <c r="E73" i="27"/>
  <c r="E68" i="27"/>
  <c r="K263" i="25"/>
  <c r="K264" i="25" s="1"/>
  <c r="F65" i="27"/>
  <c r="F73" i="27" s="1"/>
  <c r="G65" i="27"/>
  <c r="G73" i="27" s="1"/>
  <c r="F61" i="27"/>
  <c r="F62" i="27"/>
  <c r="F63" i="27"/>
  <c r="F64" i="27"/>
  <c r="F60" i="27"/>
  <c r="G37" i="27"/>
  <c r="G38" i="27"/>
  <c r="G39" i="27"/>
  <c r="G40" i="27"/>
  <c r="G41" i="27"/>
  <c r="G51" i="27" s="1"/>
  <c r="G36" i="27"/>
  <c r="F37" i="27"/>
  <c r="F38" i="27"/>
  <c r="F39" i="27"/>
  <c r="F40" i="27"/>
  <c r="F41" i="27"/>
  <c r="F51" i="27" s="1"/>
  <c r="F36" i="27"/>
  <c r="G60" i="27"/>
  <c r="G61" i="27"/>
  <c r="G69" i="27" s="1"/>
  <c r="G62" i="27"/>
  <c r="G63" i="27"/>
  <c r="G64" i="27"/>
  <c r="K241" i="25"/>
  <c r="K242" i="25" s="1"/>
  <c r="K224" i="25"/>
  <c r="K225" i="25" s="1"/>
  <c r="K206" i="25"/>
  <c r="K207" i="25" s="1"/>
  <c r="L99" i="25"/>
  <c r="L100" i="25" s="1"/>
  <c r="L78" i="25"/>
  <c r="L79" i="25" s="1"/>
  <c r="L24" i="25"/>
  <c r="L25" i="25" s="1"/>
  <c r="L60" i="25"/>
  <c r="L61" i="25" s="1"/>
  <c r="L43" i="25"/>
  <c r="L44" i="25" s="1"/>
  <c r="O12" i="25"/>
  <c r="O13" i="25"/>
  <c r="O14" i="25"/>
  <c r="O15" i="25"/>
  <c r="O16" i="25"/>
  <c r="O17" i="25"/>
  <c r="O18" i="25"/>
  <c r="O19" i="25"/>
  <c r="O20" i="25"/>
  <c r="O21" i="25"/>
  <c r="O11" i="25"/>
  <c r="D8" i="7"/>
  <c r="P192" i="7"/>
  <c r="P190" i="7"/>
  <c r="P189" i="7"/>
  <c r="N190" i="7"/>
  <c r="N189" i="7"/>
  <c r="M190" i="7"/>
  <c r="M189" i="7"/>
  <c r="O49" i="4"/>
  <c r="N49" i="4"/>
  <c r="O47" i="4"/>
  <c r="N47" i="4"/>
  <c r="F200" i="22"/>
  <c r="G200" i="22" s="1"/>
  <c r="F198" i="22"/>
  <c r="H198" i="22" s="1"/>
  <c r="H132" i="22"/>
  <c r="G132" i="22"/>
  <c r="H130" i="22"/>
  <c r="G130" i="22"/>
  <c r="F132" i="22"/>
  <c r="F130" i="22"/>
  <c r="F145" i="22"/>
  <c r="H145" i="22" s="1"/>
  <c r="D148" i="22"/>
  <c r="D147" i="22"/>
  <c r="D146" i="22"/>
  <c r="F167" i="22"/>
  <c r="F169" i="22"/>
  <c r="G169" i="22" s="1"/>
  <c r="D172" i="22"/>
  <c r="D171" i="22"/>
  <c r="D170" i="22"/>
  <c r="G167" i="22"/>
  <c r="F163" i="22"/>
  <c r="G163" i="22" s="1"/>
  <c r="D98" i="22"/>
  <c r="D97" i="22"/>
  <c r="D96" i="22"/>
  <c r="D83" i="22"/>
  <c r="D84" i="22"/>
  <c r="D82" i="22"/>
  <c r="F93" i="22"/>
  <c r="H93" i="22" s="1"/>
  <c r="F89" i="22"/>
  <c r="H89" i="22" s="1"/>
  <c r="F81" i="22"/>
  <c r="H81" i="22" s="1"/>
  <c r="F69" i="22"/>
  <c r="H69" i="22" s="1"/>
  <c r="D72" i="22"/>
  <c r="D71" i="22"/>
  <c r="D70" i="22"/>
  <c r="F44" i="22"/>
  <c r="H44" i="22" s="1"/>
  <c r="F31" i="22"/>
  <c r="F54" i="30" l="1"/>
  <c r="G54" i="30"/>
  <c r="F56" i="30"/>
  <c r="F53" i="30"/>
  <c r="F57" i="30"/>
  <c r="F81" i="30"/>
  <c r="F83" i="30"/>
  <c r="G83" i="30"/>
  <c r="F84" i="30"/>
  <c r="F85" i="30"/>
  <c r="G57" i="30"/>
  <c r="F55" i="30"/>
  <c r="G55" i="30"/>
  <c r="G81" i="30"/>
  <c r="G58" i="30"/>
  <c r="G86" i="30"/>
  <c r="G56" i="30"/>
  <c r="G84" i="30"/>
  <c r="G85" i="30"/>
  <c r="G53" i="30"/>
  <c r="G68" i="27"/>
  <c r="G72" i="27"/>
  <c r="G71" i="27"/>
  <c r="G70" i="27"/>
  <c r="G47" i="27"/>
  <c r="F68" i="27"/>
  <c r="F71" i="27"/>
  <c r="F70" i="27"/>
  <c r="F69" i="27"/>
  <c r="F72" i="27"/>
  <c r="F50" i="27"/>
  <c r="F49" i="27"/>
  <c r="F47" i="27"/>
  <c r="G46" i="27"/>
  <c r="F48" i="27"/>
  <c r="G49" i="27"/>
  <c r="G48" i="27"/>
  <c r="F46" i="27"/>
  <c r="G50" i="27"/>
  <c r="G198" i="22"/>
  <c r="H200" i="22"/>
  <c r="G145" i="22"/>
  <c r="H169" i="22"/>
  <c r="H163" i="22"/>
  <c r="H167" i="22"/>
  <c r="G89" i="22"/>
  <c r="G93" i="22"/>
  <c r="G44" i="22"/>
  <c r="G69" i="22"/>
  <c r="G81" i="22"/>
  <c r="F11" i="22"/>
  <c r="F18" i="22"/>
  <c r="N27" i="22"/>
  <c r="N25" i="22"/>
  <c r="F35" i="22"/>
  <c r="M10" i="22"/>
  <c r="M5" i="22"/>
  <c r="F190" i="22"/>
  <c r="F186" i="22"/>
  <c r="F180" i="22"/>
  <c r="F176" i="22"/>
  <c r="F155" i="22"/>
  <c r="F151" i="22"/>
  <c r="F143" i="22"/>
  <c r="F139" i="22"/>
  <c r="F122" i="22"/>
  <c r="F118" i="22"/>
  <c r="F112" i="22"/>
  <c r="F108" i="22"/>
  <c r="F79" i="22"/>
  <c r="F75" i="22"/>
  <c r="I118" i="22" s="1"/>
  <c r="F67" i="22"/>
  <c r="F63" i="22"/>
  <c r="G19" i="7"/>
  <c r="M21" i="4"/>
  <c r="K58" i="22"/>
  <c r="K53" i="22"/>
  <c r="L60" i="22"/>
  <c r="L61" i="22"/>
  <c r="L62" i="22"/>
  <c r="L63" i="22"/>
  <c r="L64" i="22"/>
  <c r="L65" i="22"/>
  <c r="L66" i="22"/>
  <c r="L67" i="22"/>
  <c r="L68" i="22"/>
  <c r="L69" i="22"/>
  <c r="P122" i="7"/>
  <c r="P130" i="7"/>
  <c r="P131" i="7" s="1"/>
  <c r="P126" i="7"/>
  <c r="P127" i="7" s="1"/>
  <c r="P123" i="7"/>
  <c r="O56" i="13"/>
  <c r="O55" i="13"/>
  <c r="O41" i="13"/>
  <c r="O42" i="13"/>
  <c r="O40" i="13"/>
  <c r="O35" i="13"/>
  <c r="O36" i="13"/>
  <c r="O34" i="13"/>
  <c r="L29" i="13"/>
  <c r="N179" i="7"/>
  <c r="N178" i="7"/>
  <c r="N168" i="7"/>
  <c r="M168" i="7"/>
  <c r="G79" i="13"/>
  <c r="H107" i="13"/>
  <c r="E41" i="13"/>
  <c r="I41" i="13" s="1"/>
  <c r="E35" i="13"/>
  <c r="I35" i="13" s="1"/>
  <c r="E91" i="13"/>
  <c r="E19" i="13"/>
  <c r="I19" i="13" s="1"/>
  <c r="E13" i="13"/>
  <c r="I13" i="13" s="1"/>
  <c r="T167" i="13"/>
  <c r="U167" i="13" s="1"/>
  <c r="T173" i="13"/>
  <c r="U173" i="13" s="1"/>
  <c r="T172" i="13"/>
  <c r="U172" i="13" s="1"/>
  <c r="T169" i="13"/>
  <c r="U169" i="13" s="1"/>
  <c r="T165" i="13"/>
  <c r="U165" i="13" s="1"/>
  <c r="T166" i="13"/>
  <c r="U166" i="13" s="1"/>
  <c r="T168" i="13"/>
  <c r="U168" i="13" s="1"/>
  <c r="T164" i="13"/>
  <c r="U164" i="13" s="1"/>
  <c r="T163" i="13"/>
  <c r="U163" i="13" s="1"/>
  <c r="W184" i="13"/>
  <c r="T184" i="13"/>
  <c r="U184" i="13" s="1"/>
  <c r="W182" i="13"/>
  <c r="T182" i="13"/>
  <c r="U182" i="13" s="1"/>
  <c r="U178" i="13"/>
  <c r="V178" i="13" s="1"/>
  <c r="T177" i="13"/>
  <c r="U176" i="13"/>
  <c r="V176" i="13" s="1"/>
  <c r="E162" i="13"/>
  <c r="F162" i="13" s="1"/>
  <c r="E160" i="13"/>
  <c r="F160" i="13" s="1"/>
  <c r="T150" i="13"/>
  <c r="M163" i="13" s="1"/>
  <c r="N163" i="13" s="1"/>
  <c r="O163" i="13" s="1"/>
  <c r="I135" i="13"/>
  <c r="J135" i="13" s="1"/>
  <c r="K141" i="13"/>
  <c r="L141" i="13" s="1"/>
  <c r="W155" i="13"/>
  <c r="W157" i="13"/>
  <c r="T159" i="13"/>
  <c r="U159" i="13" s="1"/>
  <c r="T157" i="13"/>
  <c r="U157" i="13" s="1"/>
  <c r="T155" i="13"/>
  <c r="U155" i="13" s="1"/>
  <c r="U161" i="13" s="1"/>
  <c r="I52" i="13"/>
  <c r="E74" i="13"/>
  <c r="J71" i="13"/>
  <c r="J72" i="13" s="1"/>
  <c r="V151" i="13"/>
  <c r="U151" i="13"/>
  <c r="U149" i="13"/>
  <c r="V149" i="13" s="1"/>
  <c r="G144" i="13"/>
  <c r="G156" i="13"/>
  <c r="G154" i="13"/>
  <c r="G150" i="13"/>
  <c r="G148" i="13"/>
  <c r="H157" i="13"/>
  <c r="E156" i="13"/>
  <c r="K156" i="13" s="1"/>
  <c r="E154" i="13"/>
  <c r="K154" i="13" s="1"/>
  <c r="M154" i="13" s="1"/>
  <c r="N154" i="13" s="1"/>
  <c r="E150" i="13"/>
  <c r="K150" i="13" s="1"/>
  <c r="E148" i="13"/>
  <c r="K148" i="13" s="1"/>
  <c r="M148" i="13" s="1"/>
  <c r="N148" i="13" s="1"/>
  <c r="I142" i="13"/>
  <c r="G71" i="13"/>
  <c r="I28" i="13"/>
  <c r="I50" i="13"/>
  <c r="I5" i="13"/>
  <c r="F122" i="13"/>
  <c r="E121" i="13"/>
  <c r="I121" i="13" s="1"/>
  <c r="E119" i="13"/>
  <c r="I119" i="13" s="1"/>
  <c r="K119" i="13" s="1"/>
  <c r="L119" i="13" s="1"/>
  <c r="E115" i="13"/>
  <c r="I115" i="13" s="1"/>
  <c r="E113" i="13"/>
  <c r="I113" i="13" s="1"/>
  <c r="K113" i="13" s="1"/>
  <c r="L113" i="13" s="1"/>
  <c r="F94" i="13"/>
  <c r="E93" i="13"/>
  <c r="I93" i="13" s="1"/>
  <c r="I91" i="13"/>
  <c r="K91" i="13" s="1"/>
  <c r="L91" i="13" s="1"/>
  <c r="E87" i="13"/>
  <c r="I87" i="13" s="1"/>
  <c r="K87" i="13" s="1"/>
  <c r="E85" i="13"/>
  <c r="I85" i="13" s="1"/>
  <c r="K85" i="13" s="1"/>
  <c r="L85" i="13" s="1"/>
  <c r="F66" i="13"/>
  <c r="E65" i="13"/>
  <c r="I65" i="13" s="1"/>
  <c r="E63" i="13"/>
  <c r="I63" i="13" s="1"/>
  <c r="K63" i="13" s="1"/>
  <c r="L63" i="13" s="1"/>
  <c r="E59" i="13"/>
  <c r="I59" i="13" s="1"/>
  <c r="E57" i="13"/>
  <c r="I57" i="13" s="1"/>
  <c r="K57" i="13" s="1"/>
  <c r="L57" i="13" s="1"/>
  <c r="T49" i="13"/>
  <c r="T48" i="13"/>
  <c r="F207" i="4"/>
  <c r="E205" i="4"/>
  <c r="I205" i="4" s="1"/>
  <c r="K205" i="4" s="1"/>
  <c r="E204" i="4"/>
  <c r="I204" i="4" s="1"/>
  <c r="K204" i="4" s="1"/>
  <c r="E202" i="4"/>
  <c r="K201" i="4"/>
  <c r="L201" i="4" s="1"/>
  <c r="I201" i="4"/>
  <c r="J199" i="4"/>
  <c r="I156" i="4"/>
  <c r="E164" i="4"/>
  <c r="D162" i="4"/>
  <c r="H162" i="4" s="1"/>
  <c r="J162" i="4" s="1"/>
  <c r="D161" i="4"/>
  <c r="H161" i="4" s="1"/>
  <c r="J161" i="4" s="1"/>
  <c r="D159" i="4"/>
  <c r="J158" i="4"/>
  <c r="K158" i="4" s="1"/>
  <c r="H158" i="4"/>
  <c r="K139" i="4"/>
  <c r="H139" i="4"/>
  <c r="E153" i="4"/>
  <c r="D151" i="4"/>
  <c r="H151" i="4" s="1"/>
  <c r="J151" i="4" s="1"/>
  <c r="D150" i="4"/>
  <c r="H150" i="4" s="1"/>
  <c r="J150" i="4" s="1"/>
  <c r="D145" i="4"/>
  <c r="H145" i="4" s="1"/>
  <c r="D144" i="4"/>
  <c r="Q120" i="4"/>
  <c r="Q122" i="4" s="1"/>
  <c r="O127" i="4"/>
  <c r="P127" i="4" s="1"/>
  <c r="N128" i="4"/>
  <c r="D215" i="7"/>
  <c r="H215" i="7" s="1"/>
  <c r="D219" i="7"/>
  <c r="H219" i="7" s="1"/>
  <c r="D220" i="7"/>
  <c r="H220" i="7" s="1"/>
  <c r="E248" i="7"/>
  <c r="D247" i="7"/>
  <c r="H247" i="7" s="1"/>
  <c r="J247" i="7" s="1"/>
  <c r="K247" i="7" s="1"/>
  <c r="D246" i="7"/>
  <c r="H246" i="7" s="1"/>
  <c r="J246" i="7" s="1"/>
  <c r="K246" i="7" s="1"/>
  <c r="D242" i="7"/>
  <c r="H242" i="7" s="1"/>
  <c r="D241" i="7"/>
  <c r="H241" i="7" s="1"/>
  <c r="J241" i="7" s="1"/>
  <c r="G276" i="7" s="1"/>
  <c r="K236" i="7"/>
  <c r="H234" i="7"/>
  <c r="E221" i="7"/>
  <c r="D214" i="7"/>
  <c r="H214" i="7" s="1"/>
  <c r="J214" i="7" s="1"/>
  <c r="G265" i="7" s="1"/>
  <c r="J265" i="7" s="1"/>
  <c r="K209" i="7"/>
  <c r="H207" i="7"/>
  <c r="D126" i="4"/>
  <c r="H126" i="4" s="1"/>
  <c r="J126" i="4" s="1"/>
  <c r="D127" i="4"/>
  <c r="H127" i="4" s="1"/>
  <c r="J127" i="4" s="1"/>
  <c r="L114" i="4"/>
  <c r="I114" i="4"/>
  <c r="E129" i="4"/>
  <c r="D121" i="4"/>
  <c r="H121" i="4" s="1"/>
  <c r="D120" i="4"/>
  <c r="H120" i="4" s="1"/>
  <c r="J120" i="4" s="1"/>
  <c r="J172" i="4" s="1"/>
  <c r="E42" i="13"/>
  <c r="I42" i="13" s="1"/>
  <c r="E40" i="13"/>
  <c r="I40" i="13" s="1"/>
  <c r="K40" i="13" s="1"/>
  <c r="L40" i="13" s="1"/>
  <c r="E36" i="13"/>
  <c r="I36" i="13" s="1"/>
  <c r="E34" i="13"/>
  <c r="I34" i="13" s="1"/>
  <c r="K34" i="13" s="1"/>
  <c r="L34" i="13" s="1"/>
  <c r="T28" i="13"/>
  <c r="F21" i="13"/>
  <c r="E20" i="13"/>
  <c r="I20" i="13" s="1"/>
  <c r="E18" i="13"/>
  <c r="I18" i="13" s="1"/>
  <c r="K18" i="13" s="1"/>
  <c r="L18" i="13" s="1"/>
  <c r="E14" i="13"/>
  <c r="I14" i="13" s="1"/>
  <c r="E12" i="13"/>
  <c r="I12" i="13" s="1"/>
  <c r="K12" i="13" s="1"/>
  <c r="L12" i="13" s="1"/>
  <c r="J100" i="7"/>
  <c r="I176" i="22" l="1"/>
  <c r="I112" i="22"/>
  <c r="I190" i="22"/>
  <c r="I108" i="22"/>
  <c r="I122" i="22"/>
  <c r="I180" i="22"/>
  <c r="I186" i="22"/>
  <c r="G63" i="22"/>
  <c r="H63" i="22"/>
  <c r="G139" i="22"/>
  <c r="H139" i="22"/>
  <c r="H79" i="22"/>
  <c r="G79" i="22"/>
  <c r="H155" i="22"/>
  <c r="G155" i="22"/>
  <c r="H143" i="22"/>
  <c r="G143" i="22"/>
  <c r="G75" i="22"/>
  <c r="H75" i="22"/>
  <c r="H67" i="22"/>
  <c r="G67" i="22"/>
  <c r="H151" i="22"/>
  <c r="G151" i="22"/>
  <c r="H35" i="22"/>
  <c r="G18" i="22"/>
  <c r="H18" i="22"/>
  <c r="H31" i="22"/>
  <c r="H11" i="22"/>
  <c r="G11" i="22"/>
  <c r="V164" i="13"/>
  <c r="Y157" i="13"/>
  <c r="I66" i="13"/>
  <c r="I67" i="13" s="1"/>
  <c r="I60" i="13"/>
  <c r="I61" i="13" s="1"/>
  <c r="I97" i="13"/>
  <c r="E96" i="13"/>
  <c r="E124" i="13"/>
  <c r="V166" i="13"/>
  <c r="V168" i="13"/>
  <c r="V165" i="13"/>
  <c r="X149" i="13"/>
  <c r="Y155" i="13"/>
  <c r="V167" i="13"/>
  <c r="V153" i="13"/>
  <c r="V169" i="13"/>
  <c r="V180" i="13"/>
  <c r="Y182" i="13"/>
  <c r="X176" i="13"/>
  <c r="Y184" i="13"/>
  <c r="M156" i="13"/>
  <c r="K157" i="13"/>
  <c r="L157" i="13" s="1"/>
  <c r="M150" i="13"/>
  <c r="K151" i="13"/>
  <c r="L87" i="13"/>
  <c r="K88" i="13"/>
  <c r="L88" i="13" s="1"/>
  <c r="I122" i="13"/>
  <c r="K121" i="13"/>
  <c r="I116" i="13"/>
  <c r="I117" i="13" s="1"/>
  <c r="K115" i="13"/>
  <c r="I94" i="13"/>
  <c r="K93" i="13"/>
  <c r="I88" i="13"/>
  <c r="I89" i="13" s="1"/>
  <c r="J66" i="13"/>
  <c r="K59" i="13"/>
  <c r="K65" i="13"/>
  <c r="M172" i="4"/>
  <c r="G280" i="7"/>
  <c r="J276" i="7"/>
  <c r="G282" i="7"/>
  <c r="J185" i="4"/>
  <c r="M185" i="4"/>
  <c r="J183" i="4"/>
  <c r="K207" i="4"/>
  <c r="L207" i="4" s="1"/>
  <c r="J164" i="4"/>
  <c r="K164" i="4" s="1"/>
  <c r="H144" i="4"/>
  <c r="J144" i="4" s="1"/>
  <c r="L144" i="4" s="1"/>
  <c r="J145" i="4"/>
  <c r="J153" i="4"/>
  <c r="K153" i="4" s="1"/>
  <c r="D148" i="4"/>
  <c r="H243" i="7"/>
  <c r="J248" i="7"/>
  <c r="K248" i="7" s="1"/>
  <c r="H248" i="7"/>
  <c r="I248" i="7" s="1"/>
  <c r="K241" i="7"/>
  <c r="J242" i="7"/>
  <c r="G278" i="7" s="1"/>
  <c r="J219" i="7"/>
  <c r="H225" i="7"/>
  <c r="H227" i="7"/>
  <c r="J220" i="7"/>
  <c r="G271" i="7" s="1"/>
  <c r="J271" i="7" s="1"/>
  <c r="H221" i="7"/>
  <c r="I221" i="7" s="1"/>
  <c r="K214" i="7"/>
  <c r="H226" i="7"/>
  <c r="J215" i="7"/>
  <c r="G267" i="7" s="1"/>
  <c r="H216" i="7"/>
  <c r="H217" i="7" s="1"/>
  <c r="J121" i="4"/>
  <c r="J174" i="4" s="1"/>
  <c r="H123" i="4"/>
  <c r="J129" i="4"/>
  <c r="K129" i="4" s="1"/>
  <c r="L120" i="4"/>
  <c r="D124" i="4"/>
  <c r="K42" i="13"/>
  <c r="K43" i="13" s="1"/>
  <c r="L43" i="13" s="1"/>
  <c r="K36" i="13"/>
  <c r="K37" i="13" s="1"/>
  <c r="L37" i="13" s="1"/>
  <c r="I37" i="13"/>
  <c r="I38" i="13" s="1"/>
  <c r="K20" i="13"/>
  <c r="I21" i="13"/>
  <c r="I15" i="13"/>
  <c r="I16" i="13" s="1"/>
  <c r="K14" i="13"/>
  <c r="L14" i="13" s="1"/>
  <c r="E108" i="4"/>
  <c r="D106" i="4"/>
  <c r="H106" i="4" s="1"/>
  <c r="J106" i="4" s="1"/>
  <c r="D105" i="4"/>
  <c r="H105" i="4" s="1"/>
  <c r="J105" i="4" s="1"/>
  <c r="D100" i="4"/>
  <c r="D99" i="4"/>
  <c r="H99" i="4" s="1"/>
  <c r="J99" i="4" s="1"/>
  <c r="K115" i="7"/>
  <c r="D144" i="7"/>
  <c r="D145" i="7"/>
  <c r="H145" i="7" s="1"/>
  <c r="J145" i="7" s="1"/>
  <c r="K145" i="7" s="1"/>
  <c r="E181" i="7"/>
  <c r="F181" i="7" s="1"/>
  <c r="F174" i="7"/>
  <c r="D146" i="7"/>
  <c r="H146" i="7" s="1"/>
  <c r="J146" i="7" s="1"/>
  <c r="K146" i="7" s="1"/>
  <c r="D154" i="7"/>
  <c r="H154" i="7" s="1"/>
  <c r="J154" i="7" s="1"/>
  <c r="K154" i="7" s="1"/>
  <c r="D153" i="7"/>
  <c r="D152" i="7"/>
  <c r="E157" i="7" s="1"/>
  <c r="F175" i="7"/>
  <c r="F176" i="7"/>
  <c r="F169" i="7"/>
  <c r="F170" i="7"/>
  <c r="F168" i="7"/>
  <c r="E176" i="7"/>
  <c r="E175" i="7"/>
  <c r="E174" i="7"/>
  <c r="E170" i="7"/>
  <c r="E169" i="7"/>
  <c r="E168" i="7"/>
  <c r="H153" i="7"/>
  <c r="J153" i="7" s="1"/>
  <c r="K153" i="7" s="1"/>
  <c r="J94" i="13" l="1"/>
  <c r="I95" i="13"/>
  <c r="J122" i="13"/>
  <c r="I123" i="13"/>
  <c r="J21" i="13"/>
  <c r="I22" i="13"/>
  <c r="L20" i="13"/>
  <c r="K21" i="13"/>
  <c r="L21" i="13" s="1"/>
  <c r="M45" i="13"/>
  <c r="M151" i="13"/>
  <c r="N151" i="13" s="1"/>
  <c r="N150" i="13"/>
  <c r="M157" i="13"/>
  <c r="N157" i="13" s="1"/>
  <c r="N156" i="13"/>
  <c r="K94" i="13"/>
  <c r="L94" i="13" s="1"/>
  <c r="L93" i="13"/>
  <c r="K116" i="13"/>
  <c r="L116" i="13" s="1"/>
  <c r="L115" i="13"/>
  <c r="L121" i="13"/>
  <c r="K122" i="13"/>
  <c r="L122" i="13" s="1"/>
  <c r="K66" i="13"/>
  <c r="L66" i="13" s="1"/>
  <c r="L65" i="13"/>
  <c r="K60" i="13"/>
  <c r="L60" i="13" s="1"/>
  <c r="L59" i="13"/>
  <c r="J282" i="7"/>
  <c r="M174" i="4"/>
  <c r="J280" i="7"/>
  <c r="K219" i="7"/>
  <c r="G269" i="7"/>
  <c r="J269" i="7" s="1"/>
  <c r="J267" i="7"/>
  <c r="J278" i="7"/>
  <c r="M183" i="4"/>
  <c r="H147" i="4"/>
  <c r="J147" i="4"/>
  <c r="K147" i="4" s="1"/>
  <c r="L145" i="4"/>
  <c r="J108" i="4"/>
  <c r="K108" i="4" s="1"/>
  <c r="K242" i="7"/>
  <c r="J243" i="7"/>
  <c r="K243" i="7" s="1"/>
  <c r="M144" i="7"/>
  <c r="N144" i="7" s="1"/>
  <c r="H144" i="7"/>
  <c r="J144" i="7" s="1"/>
  <c r="K144" i="7" s="1"/>
  <c r="H152" i="7"/>
  <c r="J152" i="7" s="1"/>
  <c r="K152" i="7" s="1"/>
  <c r="K215" i="7"/>
  <c r="J216" i="7"/>
  <c r="K216" i="7" s="1"/>
  <c r="J221" i="7"/>
  <c r="K221" i="7" s="1"/>
  <c r="K220" i="7"/>
  <c r="J123" i="4"/>
  <c r="K123" i="4" s="1"/>
  <c r="L121" i="4"/>
  <c r="L36" i="13"/>
  <c r="L42" i="13"/>
  <c r="K15" i="13"/>
  <c r="L15" i="13" s="1"/>
  <c r="D103" i="4"/>
  <c r="L99" i="4"/>
  <c r="H100" i="4"/>
  <c r="M24" i="13" l="1"/>
  <c r="J100" i="4"/>
  <c r="J102" i="4" s="1"/>
  <c r="K102" i="4" s="1"/>
  <c r="H102" i="4"/>
  <c r="H113" i="7"/>
  <c r="E129" i="7"/>
  <c r="D128" i="7"/>
  <c r="H128" i="7" s="1"/>
  <c r="D127" i="7"/>
  <c r="H127" i="7" s="1"/>
  <c r="D126" i="7"/>
  <c r="H126" i="7" s="1"/>
  <c r="D122" i="7"/>
  <c r="H122" i="7" s="1"/>
  <c r="J122" i="7" s="1"/>
  <c r="G277" i="7" s="1"/>
  <c r="D121" i="7"/>
  <c r="H121" i="7" s="1"/>
  <c r="J121" i="7" s="1"/>
  <c r="K121" i="7" s="1"/>
  <c r="D120" i="7"/>
  <c r="H120" i="7" s="1"/>
  <c r="J120" i="7" s="1"/>
  <c r="H102" i="7"/>
  <c r="H101" i="7"/>
  <c r="D36" i="7"/>
  <c r="H36" i="7" s="1"/>
  <c r="D42" i="7"/>
  <c r="H42" i="7" s="1"/>
  <c r="D16" i="7"/>
  <c r="H16" i="7" s="1"/>
  <c r="J16" i="7" s="1"/>
  <c r="D22" i="7"/>
  <c r="H22" i="7" s="1"/>
  <c r="J22" i="7" s="1"/>
  <c r="K22" i="7" s="1"/>
  <c r="E83" i="7"/>
  <c r="D81" i="7"/>
  <c r="H81" i="7" s="1"/>
  <c r="D80" i="7"/>
  <c r="H80" i="7" s="1"/>
  <c r="J80" i="7" s="1"/>
  <c r="K80" i="7" s="1"/>
  <c r="D75" i="7"/>
  <c r="H75" i="7" s="1"/>
  <c r="D74" i="7"/>
  <c r="H74" i="7" s="1"/>
  <c r="J74" i="7" s="1"/>
  <c r="G268" i="7" s="1"/>
  <c r="E68" i="7"/>
  <c r="D66" i="7"/>
  <c r="H66" i="7" s="1"/>
  <c r="D65" i="7"/>
  <c r="H65" i="7" s="1"/>
  <c r="J65" i="7" s="1"/>
  <c r="K65" i="7" s="1"/>
  <c r="D60" i="7"/>
  <c r="H60" i="7" s="1"/>
  <c r="D59" i="7"/>
  <c r="H59" i="7" s="1"/>
  <c r="J59" i="7" s="1"/>
  <c r="G264" i="7" s="1"/>
  <c r="L58" i="7"/>
  <c r="K58" i="7"/>
  <c r="J264" i="7" l="1"/>
  <c r="H265" i="7"/>
  <c r="H62" i="7"/>
  <c r="J62" i="7" s="1"/>
  <c r="H269" i="7"/>
  <c r="J268" i="7"/>
  <c r="K120" i="7"/>
  <c r="G275" i="7"/>
  <c r="J277" i="7"/>
  <c r="H278" i="7"/>
  <c r="H48" i="7"/>
  <c r="J36" i="7"/>
  <c r="J42" i="7"/>
  <c r="K42" i="7" s="1"/>
  <c r="H52" i="7"/>
  <c r="K122" i="7"/>
  <c r="J123" i="7"/>
  <c r="K123" i="7" s="1"/>
  <c r="J127" i="7"/>
  <c r="K127" i="7" s="1"/>
  <c r="H134" i="7"/>
  <c r="J126" i="7"/>
  <c r="H133" i="7"/>
  <c r="J128" i="7"/>
  <c r="H135" i="7"/>
  <c r="L100" i="4"/>
  <c r="H129" i="7"/>
  <c r="I129" i="7" s="1"/>
  <c r="H123" i="7"/>
  <c r="H83" i="7"/>
  <c r="J81" i="7"/>
  <c r="K81" i="7" s="1"/>
  <c r="J66" i="7"/>
  <c r="K66" i="7" s="1"/>
  <c r="H68" i="7"/>
  <c r="J68" i="7" s="1"/>
  <c r="J75" i="7"/>
  <c r="G270" i="7" s="1"/>
  <c r="H77" i="7"/>
  <c r="J60" i="7"/>
  <c r="G266" i="7" s="1"/>
  <c r="R68" i="7"/>
  <c r="S68" i="7" s="1"/>
  <c r="T68" i="7" s="1"/>
  <c r="R58" i="7"/>
  <c r="S58" i="7" s="1"/>
  <c r="R55" i="7"/>
  <c r="S55" i="7" s="1"/>
  <c r="D38" i="4"/>
  <c r="H38" i="4" s="1"/>
  <c r="D37" i="4"/>
  <c r="H37" i="4" s="1"/>
  <c r="D32" i="4"/>
  <c r="D31" i="4"/>
  <c r="H31" i="4" s="1"/>
  <c r="J31" i="4" s="1"/>
  <c r="L31" i="4" s="1"/>
  <c r="D61" i="4"/>
  <c r="E61" i="4" s="1"/>
  <c r="O74" i="4"/>
  <c r="P74" i="4" s="1"/>
  <c r="O64" i="4"/>
  <c r="P64" i="4" s="1"/>
  <c r="O61" i="4"/>
  <c r="P61" i="4" s="1"/>
  <c r="I74" i="4"/>
  <c r="J74" i="4" s="1"/>
  <c r="K74" i="4" s="1"/>
  <c r="I64" i="4"/>
  <c r="J64" i="4" s="1"/>
  <c r="I61" i="4"/>
  <c r="J61" i="4" s="1"/>
  <c r="D74" i="4"/>
  <c r="E74" i="4" s="1"/>
  <c r="F74" i="4" s="1"/>
  <c r="D64" i="4"/>
  <c r="E44" i="7"/>
  <c r="D43" i="7"/>
  <c r="H43" i="7" s="1"/>
  <c r="D41" i="7"/>
  <c r="H41" i="7" s="1"/>
  <c r="D37" i="7"/>
  <c r="D35" i="7"/>
  <c r="H35" i="7" s="1"/>
  <c r="F91" i="1"/>
  <c r="F94" i="1" s="1"/>
  <c r="I88" i="1"/>
  <c r="H91" i="1" s="1"/>
  <c r="H94" i="1" s="1"/>
  <c r="J71" i="4" l="1"/>
  <c r="G83" i="4"/>
  <c r="G89" i="4" s="1"/>
  <c r="J77" i="4"/>
  <c r="J78" i="4" s="1"/>
  <c r="D35" i="4"/>
  <c r="K126" i="7"/>
  <c r="G279" i="7"/>
  <c r="S61" i="4"/>
  <c r="H32" i="4"/>
  <c r="J32" i="4" s="1"/>
  <c r="L32" i="4" s="1"/>
  <c r="L61" i="4"/>
  <c r="H271" i="7"/>
  <c r="J270" i="7"/>
  <c r="P77" i="4"/>
  <c r="P78" i="4" s="1"/>
  <c r="J37" i="4"/>
  <c r="K37" i="4" s="1"/>
  <c r="K128" i="7"/>
  <c r="G281" i="7"/>
  <c r="Q74" i="4"/>
  <c r="S74" i="4"/>
  <c r="K83" i="4"/>
  <c r="K89" i="4" s="1"/>
  <c r="J266" i="7"/>
  <c r="H267" i="7"/>
  <c r="J275" i="7"/>
  <c r="H276" i="7"/>
  <c r="J35" i="7"/>
  <c r="J41" i="7"/>
  <c r="K41" i="7" s="1"/>
  <c r="J43" i="7"/>
  <c r="J44" i="7" s="1"/>
  <c r="K44" i="7" s="1"/>
  <c r="J129" i="7"/>
  <c r="K129" i="7" s="1"/>
  <c r="J38" i="4"/>
  <c r="K38" i="4" s="1"/>
  <c r="H37" i="7"/>
  <c r="S71" i="7"/>
  <c r="S72" i="7" s="1"/>
  <c r="S65" i="7"/>
  <c r="T65" i="7" s="1"/>
  <c r="H44" i="7"/>
  <c r="I44" i="7" s="1"/>
  <c r="K71" i="4"/>
  <c r="P71" i="4"/>
  <c r="Q71" i="4" s="1"/>
  <c r="E64" i="4"/>
  <c r="S64" i="4" s="1"/>
  <c r="H95" i="1"/>
  <c r="J94" i="1"/>
  <c r="F95" i="1"/>
  <c r="H34" i="4" l="1"/>
  <c r="J34" i="4" s="1"/>
  <c r="J279" i="7"/>
  <c r="H280" i="7"/>
  <c r="E77" i="4"/>
  <c r="C83" i="4"/>
  <c r="C89" i="4" s="1"/>
  <c r="J281" i="7"/>
  <c r="H282" i="7"/>
  <c r="K43" i="7"/>
  <c r="J37" i="7"/>
  <c r="K38" i="7" s="1"/>
  <c r="L38" i="7" s="1"/>
  <c r="H38" i="7"/>
  <c r="I38" i="7" s="1"/>
  <c r="E71" i="4"/>
  <c r="F71" i="4" s="1"/>
  <c r="E78" i="4"/>
  <c r="J95" i="1"/>
  <c r="H8" i="7" l="1"/>
  <c r="D23" i="7"/>
  <c r="H23" i="7" s="1"/>
  <c r="D21" i="7"/>
  <c r="H21" i="7" s="1"/>
  <c r="D17" i="7"/>
  <c r="H17" i="7" s="1"/>
  <c r="D15" i="7"/>
  <c r="H15" i="7" s="1"/>
  <c r="E24" i="7"/>
  <c r="M9" i="7"/>
  <c r="L14" i="7" s="1"/>
  <c r="M4" i="7"/>
  <c r="K14" i="7" s="1"/>
  <c r="N4" i="4"/>
  <c r="E24" i="4"/>
  <c r="N9" i="4"/>
  <c r="D22" i="4"/>
  <c r="H22" i="4" s="1"/>
  <c r="J22" i="4" s="1"/>
  <c r="D21" i="4"/>
  <c r="H21" i="4" s="1"/>
  <c r="J21" i="4" s="1"/>
  <c r="J182" i="4" s="1"/>
  <c r="D16" i="4"/>
  <c r="D15" i="4"/>
  <c r="H15" i="4" s="1"/>
  <c r="K161" i="4" l="1"/>
  <c r="K126" i="4"/>
  <c r="K162" i="4"/>
  <c r="K151" i="4"/>
  <c r="K127" i="4"/>
  <c r="L204" i="4"/>
  <c r="K150" i="4"/>
  <c r="L205" i="4"/>
  <c r="K105" i="4"/>
  <c r="K106" i="4"/>
  <c r="M182" i="4"/>
  <c r="K183" i="4"/>
  <c r="K120" i="4"/>
  <c r="K99" i="4"/>
  <c r="K121" i="4"/>
  <c r="K145" i="4"/>
  <c r="K144" i="4"/>
  <c r="K100" i="4"/>
  <c r="K31" i="4"/>
  <c r="K32" i="4"/>
  <c r="L241" i="7"/>
  <c r="L242" i="7"/>
  <c r="K22" i="4"/>
  <c r="J184" i="4"/>
  <c r="J15" i="7"/>
  <c r="H47" i="7"/>
  <c r="J23" i="7"/>
  <c r="K23" i="7" s="1"/>
  <c r="H53" i="7"/>
  <c r="K16" i="7"/>
  <c r="K59" i="7"/>
  <c r="K74" i="7"/>
  <c r="K60" i="7"/>
  <c r="K36" i="7"/>
  <c r="K75" i="7"/>
  <c r="K35" i="7"/>
  <c r="K37" i="7"/>
  <c r="J17" i="7"/>
  <c r="H49" i="7"/>
  <c r="L214" i="7"/>
  <c r="L215" i="7"/>
  <c r="L121" i="7"/>
  <c r="L120" i="7"/>
  <c r="L74" i="7"/>
  <c r="L122" i="7"/>
  <c r="L16" i="7"/>
  <c r="L59" i="7"/>
  <c r="L36" i="7"/>
  <c r="L75" i="7"/>
  <c r="L60" i="7"/>
  <c r="L35" i="7"/>
  <c r="L37" i="7"/>
  <c r="J21" i="7"/>
  <c r="K21" i="7" s="1"/>
  <c r="H51" i="7"/>
  <c r="L17" i="7"/>
  <c r="K17" i="7"/>
  <c r="H18" i="7"/>
  <c r="J18" i="7" s="1"/>
  <c r="K14" i="4"/>
  <c r="D19" i="4"/>
  <c r="H16" i="4"/>
  <c r="J16" i="4" s="1"/>
  <c r="J173" i="4" s="1"/>
  <c r="K20" i="4"/>
  <c r="K21" i="4"/>
  <c r="H24" i="7"/>
  <c r="I24" i="7" s="1"/>
  <c r="J15" i="4"/>
  <c r="J171" i="4" s="1"/>
  <c r="H24" i="4"/>
  <c r="J24" i="4" s="1"/>
  <c r="C37" i="3"/>
  <c r="C33" i="3"/>
  <c r="C24" i="3"/>
  <c r="C20" i="3"/>
  <c r="C12" i="3"/>
  <c r="C7" i="3"/>
  <c r="I8" i="4"/>
  <c r="J8" i="4" s="1"/>
  <c r="D8" i="4"/>
  <c r="E8" i="4" s="1"/>
  <c r="M173" i="4" l="1"/>
  <c r="K174" i="4"/>
  <c r="M171" i="4"/>
  <c r="K172" i="4"/>
  <c r="M184" i="4"/>
  <c r="K185" i="4"/>
  <c r="J24" i="7"/>
  <c r="K24" i="7" s="1"/>
  <c r="K15" i="7"/>
  <c r="L15" i="7"/>
  <c r="L16" i="4"/>
  <c r="K16" i="4"/>
  <c r="H18" i="4"/>
  <c r="J18" i="4" s="1"/>
  <c r="K15" i="4"/>
  <c r="L15" i="4"/>
  <c r="I74" i="1"/>
  <c r="F74" i="1"/>
  <c r="E74" i="1"/>
  <c r="I73" i="1"/>
  <c r="F73" i="1"/>
  <c r="E73" i="1"/>
  <c r="I72" i="1"/>
  <c r="F72" i="1"/>
  <c r="E72" i="1"/>
  <c r="I71" i="1"/>
  <c r="F71" i="1"/>
  <c r="E71" i="1"/>
  <c r="I70" i="1"/>
  <c r="F70" i="1"/>
  <c r="E70" i="1"/>
  <c r="I69" i="1"/>
  <c r="F69" i="1"/>
  <c r="E69" i="1"/>
  <c r="I68" i="1"/>
  <c r="F68" i="1"/>
  <c r="E68" i="1"/>
  <c r="I67" i="1"/>
  <c r="F67" i="1"/>
  <c r="E67" i="1"/>
  <c r="I66" i="1"/>
  <c r="F66" i="1"/>
  <c r="E66" i="1"/>
  <c r="I65" i="1"/>
  <c r="E65" i="1"/>
  <c r="H57" i="1"/>
  <c r="C57" i="1"/>
  <c r="H56" i="1"/>
  <c r="E56" i="1"/>
  <c r="E57" i="1" s="1"/>
  <c r="C56" i="1"/>
  <c r="J53" i="1"/>
  <c r="J56" i="1" s="1"/>
  <c r="J57" i="1" s="1"/>
  <c r="I48" i="1"/>
  <c r="G48" i="1"/>
  <c r="M48" i="1" s="1"/>
  <c r="I47" i="1"/>
  <c r="G47" i="1"/>
  <c r="I46" i="1"/>
  <c r="G46" i="1"/>
  <c r="I45" i="1"/>
  <c r="G45" i="1"/>
  <c r="M45" i="1" s="1"/>
  <c r="I44" i="1"/>
  <c r="G44" i="1"/>
  <c r="I43" i="1"/>
  <c r="G43" i="1"/>
  <c r="M43" i="1" s="1"/>
  <c r="I42" i="1"/>
  <c r="G42" i="1"/>
  <c r="J6" i="1"/>
  <c r="L6" i="1" s="1"/>
  <c r="C6" i="1" s="1"/>
  <c r="J32" i="1"/>
  <c r="L32" i="1" s="1"/>
  <c r="C32" i="1" s="1"/>
  <c r="B32" i="1"/>
  <c r="J31" i="1"/>
  <c r="L31" i="1" s="1"/>
  <c r="C31" i="1" s="1"/>
  <c r="B31" i="1"/>
  <c r="J30" i="1"/>
  <c r="L30" i="1" s="1"/>
  <c r="C30" i="1" s="1"/>
  <c r="B30" i="1"/>
  <c r="K25" i="1"/>
  <c r="M25" i="1" s="1"/>
  <c r="C25" i="1" s="1"/>
  <c r="B25" i="1"/>
  <c r="K24" i="1"/>
  <c r="M24" i="1" s="1"/>
  <c r="C24" i="1" s="1"/>
  <c r="B24" i="1"/>
  <c r="K23" i="1"/>
  <c r="M23" i="1" s="1"/>
  <c r="C23" i="1" s="1"/>
  <c r="B23" i="1"/>
  <c r="K22" i="1"/>
  <c r="M22" i="1" s="1"/>
  <c r="C22" i="1" s="1"/>
  <c r="B22" i="1"/>
  <c r="K21" i="1"/>
  <c r="M21" i="1" s="1"/>
  <c r="C21" i="1" s="1"/>
  <c r="B21" i="1"/>
  <c r="K20" i="1"/>
  <c r="M20" i="1" s="1"/>
  <c r="C20" i="1" s="1"/>
  <c r="B20" i="1"/>
  <c r="K19" i="1"/>
  <c r="M19" i="1" s="1"/>
  <c r="C19" i="1" s="1"/>
  <c r="B19" i="1"/>
  <c r="K18" i="1"/>
  <c r="M18" i="1" s="1"/>
  <c r="C18" i="1" s="1"/>
  <c r="B18" i="1"/>
  <c r="L15" i="1"/>
  <c r="C15" i="1"/>
  <c r="B15" i="1"/>
  <c r="L14" i="1"/>
  <c r="C14" i="1"/>
  <c r="B14" i="1"/>
  <c r="L13" i="1"/>
  <c r="C13" i="1"/>
  <c r="B13" i="1"/>
  <c r="J8" i="1"/>
  <c r="L8" i="1" s="1"/>
  <c r="C8" i="1" s="1"/>
  <c r="B8" i="1"/>
  <c r="J7" i="1"/>
  <c r="L7" i="1" s="1"/>
  <c r="C7" i="1" s="1"/>
  <c r="B7" i="1"/>
  <c r="B6" i="1"/>
  <c r="M47" i="1" l="1"/>
  <c r="M42" i="1"/>
  <c r="M44" i="1"/>
  <c r="M46" i="1"/>
</calcChain>
</file>

<file path=xl/sharedStrings.xml><?xml version="1.0" encoding="utf-8"?>
<sst xmlns="http://schemas.openxmlformats.org/spreadsheetml/2006/main" count="2146" uniqueCount="410">
  <si>
    <t>O vacancy</t>
  </si>
  <si>
    <t>E_defect</t>
  </si>
  <si>
    <t>E_perf</t>
  </si>
  <si>
    <t>μ_O</t>
  </si>
  <si>
    <t>VBM E</t>
  </si>
  <si>
    <t xml:space="preserve">form E </t>
  </si>
  <si>
    <t>Charge correction</t>
  </si>
  <si>
    <t xml:space="preserve"> form E final</t>
  </si>
  <si>
    <t>Vacancy site O1</t>
  </si>
  <si>
    <t>charge +1</t>
  </si>
  <si>
    <t xml:space="preserve">charge +2 </t>
  </si>
  <si>
    <t>charge</t>
  </si>
  <si>
    <t>Example calcs:</t>
  </si>
  <si>
    <t>Silicon substitional</t>
  </si>
  <si>
    <t>μ_SiO2</t>
  </si>
  <si>
    <t>μ_1/2O2</t>
  </si>
  <si>
    <t>μ_Mo</t>
  </si>
  <si>
    <t>formation E</t>
  </si>
  <si>
    <t xml:space="preserve">Charge 0 </t>
  </si>
  <si>
    <t>Charge -1:</t>
  </si>
  <si>
    <t>Charge -2:</t>
  </si>
  <si>
    <t>Intersitial silicon:</t>
  </si>
  <si>
    <t>corrected E</t>
  </si>
  <si>
    <t>Intersitial site 1</t>
  </si>
  <si>
    <t>charge -1</t>
  </si>
  <si>
    <t xml:space="preserve">charge -2 </t>
  </si>
  <si>
    <t>charge+1</t>
  </si>
  <si>
    <t>charge+2</t>
  </si>
  <si>
    <t>charge+3</t>
  </si>
  <si>
    <t>charge+4</t>
  </si>
  <si>
    <t>charge-3</t>
  </si>
  <si>
    <t>O interstitial 3</t>
  </si>
  <si>
    <t>charge0</t>
  </si>
  <si>
    <t>charge-1</t>
  </si>
  <si>
    <t>charge-2</t>
  </si>
  <si>
    <t>T (K)</t>
  </si>
  <si>
    <t>po2/po20</t>
  </si>
  <si>
    <t>T0</t>
  </si>
  <si>
    <t>So2 (eV/K)</t>
  </si>
  <si>
    <t>cp (eV/K)</t>
  </si>
  <si>
    <t>Δμ(T)</t>
  </si>
  <si>
    <t>kb (eV/K)</t>
  </si>
  <si>
    <t>pressure term</t>
  </si>
  <si>
    <t>μMoO3</t>
  </si>
  <si>
    <t>μMo(s)</t>
  </si>
  <si>
    <t>ΔGfMoO3</t>
  </si>
  <si>
    <t>μ(1/2)O2 (g)</t>
  </si>
  <si>
    <t>Chem potential:</t>
  </si>
  <si>
    <t>Mo solid</t>
  </si>
  <si>
    <t>O solid</t>
  </si>
  <si>
    <t>oxygen poor</t>
  </si>
  <si>
    <t>mu high</t>
  </si>
  <si>
    <t>oxygen rich</t>
  </si>
  <si>
    <t>O</t>
  </si>
  <si>
    <t>Mo</t>
  </si>
  <si>
    <t>energy</t>
  </si>
  <si>
    <t>energy per electron</t>
  </si>
  <si>
    <t>Pure</t>
  </si>
  <si>
    <t>pure +1</t>
  </si>
  <si>
    <t>pure +2</t>
  </si>
  <si>
    <t>pure +3</t>
  </si>
  <si>
    <t>pure +4</t>
  </si>
  <si>
    <t>pure+10</t>
  </si>
  <si>
    <t>pure -0.1</t>
  </si>
  <si>
    <t>pure-1</t>
  </si>
  <si>
    <t>pure-2</t>
  </si>
  <si>
    <t>pure-5 unf</t>
  </si>
  <si>
    <t>eV</t>
  </si>
  <si>
    <t>PBE</t>
  </si>
  <si>
    <t>UJ</t>
  </si>
  <si>
    <t>TIO2</t>
  </si>
  <si>
    <t>223k222</t>
  </si>
  <si>
    <t>Pure cell results:</t>
  </si>
  <si>
    <t>Total energy (ryd)</t>
  </si>
  <si>
    <t>222k222</t>
  </si>
  <si>
    <t>ZrO2</t>
  </si>
  <si>
    <t>HfO2</t>
  </si>
  <si>
    <t>Pure cell:</t>
  </si>
  <si>
    <t>ch0</t>
  </si>
  <si>
    <t>ch2</t>
  </si>
  <si>
    <t>Edefect</t>
  </si>
  <si>
    <t>ryd</t>
  </si>
  <si>
    <t>Chg transition:</t>
  </si>
  <si>
    <t>Evbm</t>
  </si>
  <si>
    <t>Ecbm</t>
  </si>
  <si>
    <t>gap</t>
  </si>
  <si>
    <t xml:space="preserve"> form E (VBM)</t>
  </si>
  <si>
    <t>form E (CBM)</t>
  </si>
  <si>
    <t>Ovac 3 fold</t>
  </si>
  <si>
    <t>transition</t>
  </si>
  <si>
    <t>Ovac 4 fold</t>
  </si>
  <si>
    <t>Chemical potentials:</t>
  </si>
  <si>
    <t>Ti (crystal)  energy :</t>
  </si>
  <si>
    <t>per form</t>
  </si>
  <si>
    <t>TiO2 sim:</t>
  </si>
  <si>
    <t>DeltaGf (ev/form unit)</t>
  </si>
  <si>
    <t>MuO2 finnis method):</t>
  </si>
  <si>
    <t>MuO2 (simulation method):</t>
  </si>
  <si>
    <t>per form unit</t>
  </si>
  <si>
    <t>per form unit:</t>
  </si>
  <si>
    <t>UJ calc</t>
  </si>
  <si>
    <t xml:space="preserve">UJ calc </t>
  </si>
  <si>
    <t>using crystal reference with no Ti UJ</t>
  </si>
  <si>
    <t>Using crystal reference with Ti UJ</t>
  </si>
  <si>
    <t>muo (Tio2) Opoor:</t>
  </si>
  <si>
    <t xml:space="preserve"> O-poor (Titania)</t>
  </si>
  <si>
    <t>TiO2</t>
  </si>
  <si>
    <t>Difference</t>
  </si>
  <si>
    <t>calculated DeltagF using PBE Tio2, PBE Ti, PBE O</t>
  </si>
  <si>
    <t>Actual deltagF (0K)</t>
  </si>
  <si>
    <t>calculated DeltagF using PBE+U+J Tio2, PBE Ti, PBE O</t>
  </si>
  <si>
    <t>calculated DeltagF using PBE+U+J Tio2, PBE+U+J Ti, PBE+U+J O</t>
  </si>
  <si>
    <t>error (eV):</t>
  </si>
  <si>
    <t>ch1</t>
  </si>
  <si>
    <t>GW</t>
  </si>
  <si>
    <t>3fold</t>
  </si>
  <si>
    <t>4fold</t>
  </si>
  <si>
    <t xml:space="preserve"> O-RICH ( Initial)</t>
  </si>
  <si>
    <t>HSE</t>
  </si>
  <si>
    <t xml:space="preserve">HSE </t>
  </si>
  <si>
    <t>Spin polarised?</t>
  </si>
  <si>
    <t xml:space="preserve">  Hubbard_U(1)</t>
  </si>
  <si>
    <t xml:space="preserve">  Hubbard_J0(1)</t>
  </si>
  <si>
    <t xml:space="preserve">  Hubbard_alpha(1)</t>
  </si>
  <si>
    <t xml:space="preserve">  Hubbard_beta(1)</t>
  </si>
  <si>
    <t xml:space="preserve">  Hubbard_U(2)</t>
  </si>
  <si>
    <t xml:space="preserve">  Hubbard_J0(2)</t>
  </si>
  <si>
    <t xml:space="preserve">  Hubbard_alpha(2)</t>
  </si>
  <si>
    <t xml:space="preserve">  Hubbard_beta(2)</t>
  </si>
  <si>
    <t xml:space="preserve">  Hubbard_U(3)</t>
  </si>
  <si>
    <t xml:space="preserve">  Hubbard_J0(3)</t>
  </si>
  <si>
    <t xml:space="preserve">  Hubbard_alpha(3)</t>
  </si>
  <si>
    <t xml:space="preserve">  Hubbard_beta(3)</t>
  </si>
  <si>
    <t>Ofour</t>
  </si>
  <si>
    <t>Othree</t>
  </si>
  <si>
    <t>OUJ 3 fold</t>
  </si>
  <si>
    <t>Bandgap</t>
  </si>
  <si>
    <t>n/a</t>
  </si>
  <si>
    <t>UJ averaged</t>
  </si>
  <si>
    <t>Material</t>
  </si>
  <si>
    <t>Ti U</t>
  </si>
  <si>
    <t>U</t>
  </si>
  <si>
    <t xml:space="preserve">J </t>
  </si>
  <si>
    <t>UJ, subtracting out the hubbard energies:</t>
  </si>
  <si>
    <t>3vac</t>
  </si>
  <si>
    <t>4vac</t>
  </si>
  <si>
    <t>hubbard energy (ryd):</t>
  </si>
  <si>
    <t>Total energy</t>
  </si>
  <si>
    <t>hubbard energy (eV)</t>
  </si>
  <si>
    <t>Bandgap of zro2 average:</t>
  </si>
  <si>
    <t>AVERAGE O VALUE</t>
  </si>
  <si>
    <t>UJ3fold</t>
  </si>
  <si>
    <t>UJ4fold</t>
  </si>
  <si>
    <t>LARGER SUPERCELL 333</t>
  </si>
  <si>
    <t>335 size</t>
  </si>
  <si>
    <t>Pure cell PBE</t>
  </si>
  <si>
    <t>Pure cell UJ</t>
  </si>
  <si>
    <t>Final energies</t>
  </si>
  <si>
    <t>HIGH SUPERCELLS:</t>
  </si>
  <si>
    <t>Perfect cell</t>
  </si>
  <si>
    <t>0.31187   0.43972   0.54737</t>
  </si>
  <si>
    <t>3 fold actuall</t>
  </si>
  <si>
    <t>BOTH ARE 4 fold</t>
  </si>
  <si>
    <t>Charge</t>
  </si>
  <si>
    <t>Size</t>
  </si>
  <si>
    <t>Form E at VBM</t>
  </si>
  <si>
    <t>PBE:</t>
  </si>
  <si>
    <t>somewhere around 0.2 ish</t>
  </si>
  <si>
    <t>suggested correction</t>
  </si>
  <si>
    <t>Unit cell size</t>
  </si>
  <si>
    <t>Freysoldt correction</t>
  </si>
  <si>
    <t xml:space="preserve">335 total UJ (No spin polarisation) </t>
  </si>
  <si>
    <t>Predicted value</t>
  </si>
  <si>
    <t xml:space="preserve">335 total UJ </t>
  </si>
  <si>
    <t>Magnetised</t>
  </si>
  <si>
    <t>both were magnetised.</t>
  </si>
  <si>
    <t>PBE 333</t>
  </si>
  <si>
    <t>UJav 333</t>
  </si>
  <si>
    <t>PBE 222</t>
  </si>
  <si>
    <t>UJav 222</t>
  </si>
  <si>
    <t>UJ (unaveraged) 222</t>
  </si>
  <si>
    <t>conversion</t>
  </si>
  <si>
    <t xml:space="preserve"> 0.46735   0.59056   0.57103</t>
  </si>
  <si>
    <t>0.72574   0.62245   0.73750</t>
  </si>
  <si>
    <t>confirmed correct</t>
  </si>
  <si>
    <t>experimental:</t>
  </si>
  <si>
    <t>Ou (4fold)</t>
  </si>
  <si>
    <t>OU (3fold)</t>
  </si>
  <si>
    <t>UJ (unaveraged) 222 with hubbard subtracted</t>
  </si>
  <si>
    <t>Base cell hubbard energy:</t>
  </si>
  <si>
    <t>Ehub</t>
  </si>
  <si>
    <t>E hub</t>
  </si>
  <si>
    <t>E - Ehub</t>
  </si>
  <si>
    <t>18 eV O hubb (mol)</t>
  </si>
  <si>
    <t>16eV O hubb(mol)</t>
  </si>
  <si>
    <t>ddd</t>
  </si>
  <si>
    <t>Sumstultius1!</t>
  </si>
  <si>
    <t>per O</t>
  </si>
  <si>
    <t>Oav energie</t>
  </si>
  <si>
    <t>4fold value on all bandgap:</t>
  </si>
  <si>
    <t>3fold value on all bandgap:</t>
  </si>
  <si>
    <t>average value on all bandgap:</t>
  </si>
  <si>
    <t>separate values bandgap:</t>
  </si>
  <si>
    <t>Hubbard:</t>
  </si>
  <si>
    <t>16eV O (mol)</t>
  </si>
  <si>
    <t>18 eV O (mol)</t>
  </si>
  <si>
    <t>no UJ O (mol):</t>
  </si>
  <si>
    <t>Total U energy of removed 3fold and 4fold</t>
  </si>
  <si>
    <t>ev</t>
  </si>
  <si>
    <t>2 eV mismatch</t>
  </si>
  <si>
    <t>sum of def cell and O UJ</t>
  </si>
  <si>
    <t xml:space="preserve">Standard </t>
  </si>
  <si>
    <t>O molecule (unrelaxed)</t>
  </si>
  <si>
    <t>nospin1.2</t>
  </si>
  <si>
    <t>nosp</t>
  </si>
  <si>
    <t>sp</t>
  </si>
  <si>
    <t>below vbm</t>
  </si>
  <si>
    <t>3fold 222 UJ</t>
  </si>
  <si>
    <t>4fold 222 UJ</t>
  </si>
  <si>
    <t>3fold 333 pbe</t>
  </si>
  <si>
    <t>4fold 333 PBE</t>
  </si>
  <si>
    <t>3fold 333 UJ</t>
  </si>
  <si>
    <t>4fold 333 UJ</t>
  </si>
  <si>
    <t>222 PBE</t>
  </si>
  <si>
    <t>222 UJ</t>
  </si>
  <si>
    <t>333 PBE</t>
  </si>
  <si>
    <t>333 UJ</t>
  </si>
  <si>
    <t>3-fold</t>
  </si>
  <si>
    <t>4-fold</t>
  </si>
  <si>
    <t>3fold 222 pbe</t>
  </si>
  <si>
    <t>4fold 222 pbe</t>
  </si>
  <si>
    <t>U (metal)</t>
  </si>
  <si>
    <t>J(metal)</t>
  </si>
  <si>
    <t>U(O1)</t>
  </si>
  <si>
    <t>J(O1)</t>
  </si>
  <si>
    <t>U(O2)</t>
  </si>
  <si>
    <t>J(O2)</t>
  </si>
  <si>
    <t>PBE bandgap</t>
  </si>
  <si>
    <t>DFT+U+J bandgap</t>
  </si>
  <si>
    <t>Experimental bandgap</t>
  </si>
  <si>
    <t>Ti (tio2)</t>
  </si>
  <si>
    <t>O (tio2)</t>
  </si>
  <si>
    <t>Zr (zro2)</t>
  </si>
  <si>
    <t>O3fold (zro2)</t>
  </si>
  <si>
    <t>O4fold (zro2)</t>
  </si>
  <si>
    <t>Hf (hfo2)</t>
  </si>
  <si>
    <t>O4fold (hfo2)</t>
  </si>
  <si>
    <t>O3fold (hfO2)</t>
  </si>
  <si>
    <t>Cu (Cu2O)</t>
  </si>
  <si>
    <t>O (Cu2O)</t>
  </si>
  <si>
    <t>Zn (znO)</t>
  </si>
  <si>
    <t>o (znO)</t>
  </si>
  <si>
    <t>o1: 3-fold</t>
  </si>
  <si>
    <t>o2: 4-fold</t>
  </si>
  <si>
    <t>simulation</t>
  </si>
  <si>
    <t>Direct gamma bandgap</t>
  </si>
  <si>
    <t>indirect band gap</t>
  </si>
  <si>
    <t>Experimental (according to lyons)</t>
  </si>
  <si>
    <t>5.1-6.0</t>
  </si>
  <si>
    <t xml:space="preserve">Experimental (IPS) </t>
  </si>
  <si>
    <t>HSE06 average</t>
  </si>
  <si>
    <t>PBE0 average</t>
  </si>
  <si>
    <t>G0W0 average</t>
  </si>
  <si>
    <t>GW0 average</t>
  </si>
  <si>
    <t>No U, No J</t>
  </si>
  <si>
    <t>U on Hf</t>
  </si>
  <si>
    <t>U on Hf, U on O</t>
  </si>
  <si>
    <t>U-J method</t>
  </si>
  <si>
    <t>U+J on Hf, U+J on O</t>
  </si>
  <si>
    <t>Simulation</t>
  </si>
  <si>
    <t>5.0-5.8</t>
  </si>
  <si>
    <t>exp(IPS)</t>
  </si>
  <si>
    <t>U on Zr</t>
  </si>
  <si>
    <t>U on Zr, U on O</t>
  </si>
  <si>
    <t>U+J on Zr, U+J on O</t>
  </si>
  <si>
    <t>U on Zr, U on O (old)</t>
  </si>
  <si>
    <t>U+J on Zr, U+J on O (old)</t>
  </si>
  <si>
    <t>Exp</t>
  </si>
  <si>
    <t>No U or J</t>
  </si>
  <si>
    <t>Ti U and O U</t>
  </si>
  <si>
    <t xml:space="preserve">Ti U+J and O U+J </t>
  </si>
  <si>
    <t>pure?</t>
  </si>
  <si>
    <t>Mu O regular</t>
  </si>
  <si>
    <t>average</t>
  </si>
  <si>
    <t>Hubbard</t>
  </si>
  <si>
    <t>hubbard</t>
  </si>
  <si>
    <t>hubbard subtracted</t>
  </si>
  <si>
    <t>Mu3fold</t>
  </si>
  <si>
    <t>mu4fold</t>
  </si>
  <si>
    <t>zr average</t>
  </si>
  <si>
    <t>For the blobls:</t>
  </si>
  <si>
    <t>PBEOvac0truelowthresh</t>
  </si>
  <si>
    <t>UJOvac0truelowthresh</t>
  </si>
  <si>
    <t>work/blinux/defect</t>
  </si>
  <si>
    <t>Tio2</t>
  </si>
  <si>
    <t>pure</t>
  </si>
  <si>
    <t>size, kpoints, method:</t>
  </si>
  <si>
    <t>UJ223k222purecell</t>
  </si>
  <si>
    <t>0 unrelaxed</t>
  </si>
  <si>
    <t>2 unrelaxed</t>
  </si>
  <si>
    <t>72,222,UJ</t>
  </si>
  <si>
    <t>zro2</t>
  </si>
  <si>
    <t>2x2x2  PBE</t>
  </si>
  <si>
    <t>2x2x2 DFT+U+J</t>
  </si>
  <si>
    <t>3x3x3 PBE</t>
  </si>
  <si>
    <t>hfo2</t>
  </si>
  <si>
    <t xml:space="preserve">2x2x2 k222 </t>
  </si>
  <si>
    <t>PBE333kgpure 3x3x3 kgam PBE</t>
  </si>
  <si>
    <t>3x3x3 DFT+U+J averaged</t>
  </si>
  <si>
    <t>2x2x2 dFT+U+J UJ averaged</t>
  </si>
  <si>
    <t>EVBM</t>
  </si>
  <si>
    <t>E (ryd)</t>
  </si>
  <si>
    <t>Transition point</t>
  </si>
  <si>
    <t>VBM</t>
  </si>
  <si>
    <t>PBE 335 kgam</t>
  </si>
  <si>
    <t>UJ 335 kgam</t>
  </si>
  <si>
    <t>Pbe 223k222</t>
  </si>
  <si>
    <t>0vac0</t>
  </si>
  <si>
    <t>0vac0 lowt</t>
  </si>
  <si>
    <t>0 true value</t>
  </si>
  <si>
    <t>0 lowthresh</t>
  </si>
  <si>
    <t>atoms</t>
  </si>
  <si>
    <t>0 lowerthing</t>
  </si>
  <si>
    <t>difference</t>
  </si>
  <si>
    <t>correct to use</t>
  </si>
  <si>
    <t>alrighty real.</t>
  </si>
  <si>
    <t>above VBM</t>
  </si>
  <si>
    <t>below CBM calc</t>
  </si>
  <si>
    <t>Below CBM exp</t>
  </si>
  <si>
    <t>cbm</t>
  </si>
  <si>
    <t>exp</t>
  </si>
  <si>
    <t>DFT+U+J</t>
  </si>
  <si>
    <t>go for it</t>
  </si>
  <si>
    <t>pbe</t>
  </si>
  <si>
    <t>2x2x2 DFT+U+J hfo2</t>
  </si>
  <si>
    <t>Lyons</t>
  </si>
  <si>
    <t>Ouj 4fold</t>
  </si>
  <si>
    <t>found</t>
  </si>
  <si>
    <t>in</t>
  </si>
  <si>
    <t>./dimer0.615/relax.out:</t>
  </si>
  <si>
    <t>!</t>
  </si>
  <si>
    <t>Total+Makov-Payne</t>
  </si>
  <si>
    <t>=</t>
  </si>
  <si>
    <t>Ry</t>
  </si>
  <si>
    <t>./dimer0.616/relax.out:</t>
  </si>
  <si>
    <t>./dimer0.617/relax.out:</t>
  </si>
  <si>
    <t>./dimer0.618/relax.out:</t>
  </si>
  <si>
    <t>./dimer0.619/relax.out:</t>
  </si>
  <si>
    <t>./dimer0.620/relax.out:</t>
  </si>
  <si>
    <t>./dimer0.621/relax.out:</t>
  </si>
  <si>
    <t>./dimer0.622/relax.out:</t>
  </si>
  <si>
    <t>./dimer0.623/relax.out:</t>
  </si>
  <si>
    <t>./dimer0.624/relax.out:</t>
  </si>
  <si>
    <t>./dimer0.625/relax.out:</t>
  </si>
  <si>
    <t>Zro2</t>
  </si>
  <si>
    <t>av</t>
  </si>
  <si>
    <t>tio2</t>
  </si>
  <si>
    <t xml:space="preserve"> Hubbard_U(2)</t>
  </si>
  <si>
    <t>total energy</t>
  </si>
  <si>
    <t>avfold</t>
  </si>
  <si>
    <t>xxx</t>
  </si>
  <si>
    <t>totmag: 2</t>
  </si>
  <si>
    <t>starting mag: 0.17</t>
  </si>
  <si>
    <t>below calculated CBM</t>
  </si>
  <si>
    <t>Below Experimental CBM</t>
  </si>
  <si>
    <t>DFT+U+J (averaging method)</t>
  </si>
  <si>
    <r>
      <t xml:space="preserve">HSE </t>
    </r>
    <r>
      <rPr>
        <sz val="11"/>
        <color theme="1"/>
        <rFont val="Calibri"/>
        <family val="2"/>
        <scheme val="minor"/>
      </rPr>
      <t>[29]</t>
    </r>
  </si>
  <si>
    <t>Averaged O bandgap</t>
  </si>
  <si>
    <r>
      <t>TiO</t>
    </r>
    <r>
      <rPr>
        <vertAlign val="subscript"/>
        <sz val="11"/>
        <color rgb="FF000000"/>
        <rFont val="Calibri"/>
        <family val="2"/>
        <scheme val="minor"/>
      </rPr>
      <t>2</t>
    </r>
  </si>
  <si>
    <t>N/a</t>
  </si>
  <si>
    <r>
      <t>ZrO</t>
    </r>
    <r>
      <rPr>
        <vertAlign val="subscript"/>
        <sz val="11"/>
        <color theme="1"/>
        <rFont val="Calibri"/>
        <family val="2"/>
        <scheme val="minor"/>
      </rPr>
      <t>2</t>
    </r>
  </si>
  <si>
    <r>
      <t>HfO</t>
    </r>
    <r>
      <rPr>
        <vertAlign val="subscript"/>
        <sz val="11"/>
        <color rgb="FF000000"/>
        <rFont val="Calibri"/>
        <family val="2"/>
        <scheme val="minor"/>
      </rPr>
      <t>2</t>
    </r>
  </si>
  <si>
    <t>Zro2:</t>
  </si>
  <si>
    <t>Naïve DFT+U+J</t>
  </si>
  <si>
    <t>Subtraction method</t>
  </si>
  <si>
    <t>Averaging method</t>
  </si>
  <si>
    <t>Transition levels:</t>
  </si>
  <si>
    <t>Above VBM</t>
  </si>
  <si>
    <t>Below calculated CBM</t>
  </si>
  <si>
    <t>Method</t>
  </si>
  <si>
    <t>Differing potential method</t>
  </si>
  <si>
    <t>Band gap (eV)</t>
  </si>
  <si>
    <t>-0.009416195856873921,</t>
  </si>
  <si>
    <t>2.5800376647834264,</t>
  </si>
  <si>
    <t>5.800376647834275,</t>
  </si>
  <si>
    <t>x points</t>
  </si>
  <si>
    <t>y points</t>
  </si>
  <si>
    <r>
      <t xml:space="preserve">HSE </t>
    </r>
    <r>
      <rPr>
        <sz val="11"/>
        <color theme="1"/>
        <rFont val="Calibri"/>
        <family val="2"/>
        <scheme val="minor"/>
      </rPr>
      <t>[29]</t>
    </r>
  </si>
  <si>
    <t>PBE (3-fold)</t>
  </si>
  <si>
    <t>Naïve DFT+U+J (4-fold)</t>
  </si>
  <si>
    <t>Subtraction method (3-fold)</t>
  </si>
  <si>
    <t>Differing potential method (3-fold)</t>
  </si>
  <si>
    <t>Averaging method (3-fold)</t>
  </si>
  <si>
    <r>
      <t xml:space="preserve">HSE </t>
    </r>
    <r>
      <rPr>
        <sz val="11"/>
        <color theme="1"/>
        <rFont val="Calibri"/>
        <family val="2"/>
        <scheme val="minor"/>
      </rPr>
      <t>[29]</t>
    </r>
    <r>
      <rPr>
        <sz val="11"/>
        <color rgb="FF000000"/>
        <rFont val="Calibri"/>
        <family val="2"/>
        <scheme val="minor"/>
      </rPr>
      <t xml:space="preserve"> (3-fold)</t>
    </r>
  </si>
  <si>
    <t>PBE (4-fold)</t>
  </si>
  <si>
    <t>Naïve DFT+U+J (3-fold)</t>
  </si>
  <si>
    <r>
      <t xml:space="preserve">HSE </t>
    </r>
    <r>
      <rPr>
        <sz val="11"/>
        <color theme="1"/>
        <rFont val="Calibri"/>
        <family val="2"/>
        <scheme val="minor"/>
      </rPr>
      <t>[29]</t>
    </r>
    <r>
      <rPr>
        <sz val="11"/>
        <color rgb="FF000000"/>
        <rFont val="Calibri"/>
        <family val="2"/>
        <scheme val="minor"/>
      </rPr>
      <t xml:space="preserve"> (4-fold)</t>
    </r>
  </si>
  <si>
    <t>Averaging method (4-fold)</t>
  </si>
  <si>
    <t>Differing potential method (4-fold)</t>
  </si>
  <si>
    <t>Subtraction method (4-fold)</t>
  </si>
  <si>
    <t>transition 3-fold 3.873085339</t>
  </si>
  <si>
    <t>transition 4-fold 3.573085339</t>
  </si>
  <si>
    <t>transition 3-fold 4.1265822785</t>
  </si>
  <si>
    <t>transition 4-fold 3.8265822785</t>
  </si>
  <si>
    <t>sameeee</t>
  </si>
  <si>
    <t>change</t>
  </si>
  <si>
    <t>tick for hfo2</t>
  </si>
  <si>
    <t>zo2 UJ values:</t>
  </si>
  <si>
    <t>rutile UJ values</t>
  </si>
  <si>
    <t>All of these are the results of dimer simulations for and O2 atom, with U and J applied corresponding to a corresponding atom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</si>
</sst>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"/>
    <numFmt numFmtId="166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5"/>
      <color rgb="FF202122"/>
      <name val="Arial"/>
      <family val="2"/>
    </font>
    <font>
      <sz val="7"/>
      <color rgb="FF000000"/>
      <name val="Courier New"/>
      <family val="3"/>
    </font>
    <font>
      <b/>
      <sz val="11"/>
      <color rgb="FF202124"/>
      <name val="Arial"/>
      <family val="2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0" fillId="0" borderId="0" xfId="0" applyNumberFormat="1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2" fillId="0" borderId="0" xfId="0" applyFont="1"/>
    <xf numFmtId="11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2" xfId="0" applyFont="1" applyBorder="1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 vertical="center"/>
    </xf>
    <xf numFmtId="166" fontId="0" fillId="0" borderId="3" xfId="0" applyNumberFormat="1" applyBorder="1"/>
    <xf numFmtId="166" fontId="0" fillId="0" borderId="4" xfId="0" applyNumberFormat="1" applyBorder="1"/>
    <xf numFmtId="166" fontId="3" fillId="0" borderId="0" xfId="0" applyNumberFormat="1" applyFont="1"/>
    <xf numFmtId="0" fontId="0" fillId="0" borderId="3" xfId="0" applyBorder="1"/>
    <xf numFmtId="0" fontId="0" fillId="0" borderId="4" xfId="0" applyBorder="1"/>
    <xf numFmtId="166" fontId="3" fillId="0" borderId="4" xfId="0" applyNumberFormat="1" applyFont="1" applyBorder="1"/>
    <xf numFmtId="0" fontId="0" fillId="0" borderId="5" xfId="0" applyBorder="1"/>
    <xf numFmtId="2" fontId="0" fillId="0" borderId="3" xfId="0" applyNumberFormat="1" applyBorder="1"/>
    <xf numFmtId="2" fontId="0" fillId="0" borderId="4" xfId="0" applyNumberFormat="1" applyBorder="1"/>
    <xf numFmtId="0" fontId="0" fillId="0" borderId="6" xfId="0" applyBorder="1"/>
    <xf numFmtId="2" fontId="0" fillId="0" borderId="6" xfId="0" applyNumberFormat="1" applyBorder="1"/>
    <xf numFmtId="0" fontId="5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2" fontId="6" fillId="0" borderId="6" xfId="0" applyNumberFormat="1" applyFont="1" applyBorder="1" applyAlignment="1">
      <alignment horizontal="right" vertical="center"/>
    </xf>
    <xf numFmtId="2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vertical="center"/>
    </xf>
    <xf numFmtId="2" fontId="0" fillId="0" borderId="6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0" borderId="0" xfId="0" applyNumberFormat="1" applyAlignment="1">
      <alignment horizontal="right" vertical="center"/>
    </xf>
    <xf numFmtId="2" fontId="0" fillId="0" borderId="4" xfId="0" applyNumberForma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 +UJ 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TiO2rawresults!$A$21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TiO2rawresults!$J$20:$K$20</c:f>
              <c:numCache>
                <c:formatCode>General</c:formatCode>
                <c:ptCount val="2"/>
                <c:pt idx="0">
                  <c:v>0</c:v>
                </c:pt>
                <c:pt idx="1">
                  <c:v>2.7923999999999989</c:v>
                </c:pt>
              </c:numCache>
            </c:numRef>
          </c:xVal>
          <c:yVal>
            <c:numRef>
              <c:f>TiO2rawresults!$J$21:$K$21</c:f>
              <c:numCache>
                <c:formatCode>General</c:formatCode>
                <c:ptCount val="2"/>
                <c:pt idx="0" formatCode="0.0000">
                  <c:v>3.6407041392572523</c:v>
                </c:pt>
                <c:pt idx="1">
                  <c:v>3.6407041392572523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BD-41A2-B8F3-A028C9B5254A}"/>
            </c:ext>
          </c:extLst>
        </c:ser>
        <c:ser>
          <c:idx val="1"/>
          <c:order val="1"/>
          <c:tx>
            <c:strRef>
              <c:f>TiO2rawresults!$A$22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TiO2rawresults!$J$20:$K$20</c:f>
              <c:numCache>
                <c:formatCode>General</c:formatCode>
                <c:ptCount val="2"/>
                <c:pt idx="0">
                  <c:v>0</c:v>
                </c:pt>
                <c:pt idx="1">
                  <c:v>2.7923999999999989</c:v>
                </c:pt>
              </c:numCache>
            </c:numRef>
          </c:xVal>
          <c:yVal>
            <c:numRef>
              <c:f>TiO2rawresults!$J$22:$K$22</c:f>
              <c:numCache>
                <c:formatCode>General</c:formatCode>
                <c:ptCount val="2"/>
                <c:pt idx="0" formatCode="0.0000">
                  <c:v>-1.4049247556164204</c:v>
                </c:pt>
                <c:pt idx="1">
                  <c:v>4.1798752443835774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BD-41A2-B8F3-A028C9B52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'O references'!$O$11:$O$20</c:f>
              <c:numCache>
                <c:formatCode>General</c:formatCode>
                <c:ptCount val="10"/>
                <c:pt idx="0">
                  <c:v>-438.85940289464151</c:v>
                </c:pt>
                <c:pt idx="1">
                  <c:v>-438.89310509312133</c:v>
                </c:pt>
                <c:pt idx="2">
                  <c:v>-438.92116956652211</c:v>
                </c:pt>
                <c:pt idx="3">
                  <c:v>-438.94396353263454</c:v>
                </c:pt>
                <c:pt idx="4">
                  <c:v>-438.96183509324368</c:v>
                </c:pt>
                <c:pt idx="5">
                  <c:v>-438.97513024125129</c:v>
                </c:pt>
                <c:pt idx="6">
                  <c:v>-438.98413973042517</c:v>
                </c:pt>
                <c:pt idx="7">
                  <c:v>-438.98915812412827</c:v>
                </c:pt>
                <c:pt idx="8">
                  <c:v>-438.99045535941036</c:v>
                </c:pt>
                <c:pt idx="9">
                  <c:v>-438.98828259745778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10-4FBB-9AA8-0E9CC4213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249200"/>
        <c:axId val="1477273184"/>
      </c:scatterChart>
      <c:valAx>
        <c:axId val="147324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73184"/>
        <c:crosses val="autoZero"/>
        <c:crossBetween val="midCat"/>
      </c:valAx>
      <c:valAx>
        <c:axId val="147727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24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42825896762905"/>
          <c:y val="0.19721055701370663"/>
          <c:w val="0.82241907261592306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 references'!$D$46:$D$56</c:f>
              <c:numCache>
                <c:formatCode>General</c:formatCode>
                <c:ptCount val="11"/>
                <c:pt idx="1">
                  <c:v>0.61499999999999999</c:v>
                </c:pt>
                <c:pt idx="2">
                  <c:v>0.61599999999999999</c:v>
                </c:pt>
                <c:pt idx="3">
                  <c:v>0.61699999999999999</c:v>
                </c:pt>
                <c:pt idx="4">
                  <c:v>0.61799999999999999</c:v>
                </c:pt>
                <c:pt idx="5">
                  <c:v>0.61899999999999999</c:v>
                </c:pt>
                <c:pt idx="6">
                  <c:v>0.62</c:v>
                </c:pt>
                <c:pt idx="7">
                  <c:v>0.621</c:v>
                </c:pt>
                <c:pt idx="8">
                  <c:v>0.622</c:v>
                </c:pt>
                <c:pt idx="9">
                  <c:v>0.623</c:v>
                </c:pt>
                <c:pt idx="10">
                  <c:v>0.624</c:v>
                </c:pt>
              </c:numCache>
            </c:numRef>
          </c:xVal>
          <c:yVal>
            <c:numRef>
              <c:f>'O references'!$L$46:$L$56</c:f>
              <c:numCache>
                <c:formatCode>General</c:formatCode>
                <c:ptCount val="11"/>
                <c:pt idx="1">
                  <c:v>-63.033873419999999</c:v>
                </c:pt>
                <c:pt idx="2">
                  <c:v>-63.038246909999998</c:v>
                </c:pt>
                <c:pt idx="3">
                  <c:v>-63.04178435</c:v>
                </c:pt>
                <c:pt idx="4">
                  <c:v>-63.044556409999998</c:v>
                </c:pt>
                <c:pt idx="5">
                  <c:v>-63.046586939999997</c:v>
                </c:pt>
                <c:pt idx="6">
                  <c:v>-63.047986969999997</c:v>
                </c:pt>
                <c:pt idx="7">
                  <c:v>-63.048867479999998</c:v>
                </c:pt>
                <c:pt idx="8">
                  <c:v>-63.048950849999997</c:v>
                </c:pt>
                <c:pt idx="9">
                  <c:v>-63.048617989999997</c:v>
                </c:pt>
                <c:pt idx="10">
                  <c:v>-63.04779138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D9-448F-AA33-AF56B58F3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622864"/>
        <c:axId val="1227376736"/>
      </c:scatterChart>
      <c:valAx>
        <c:axId val="126562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376736"/>
        <c:crosses val="autoZero"/>
        <c:crossBetween val="midCat"/>
      </c:valAx>
      <c:valAx>
        <c:axId val="122737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5622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 references'!$D$86:$D$96</c:f>
              <c:numCache>
                <c:formatCode>General</c:formatCode>
                <c:ptCount val="11"/>
                <c:pt idx="0">
                  <c:v>0.61499999999999999</c:v>
                </c:pt>
                <c:pt idx="1">
                  <c:v>0.61599999999999999</c:v>
                </c:pt>
                <c:pt idx="2">
                  <c:v>0.61699999999999999</c:v>
                </c:pt>
                <c:pt idx="3">
                  <c:v>0.61799999999999999</c:v>
                </c:pt>
                <c:pt idx="4">
                  <c:v>0.61899999999999999</c:v>
                </c:pt>
                <c:pt idx="5">
                  <c:v>0.62</c:v>
                </c:pt>
                <c:pt idx="6">
                  <c:v>0.621</c:v>
                </c:pt>
                <c:pt idx="7">
                  <c:v>0.622</c:v>
                </c:pt>
                <c:pt idx="8">
                  <c:v>0.623</c:v>
                </c:pt>
                <c:pt idx="9">
                  <c:v>0.624</c:v>
                </c:pt>
                <c:pt idx="10">
                  <c:v>0.625</c:v>
                </c:pt>
              </c:numCache>
            </c:numRef>
          </c:xVal>
          <c:yVal>
            <c:numRef>
              <c:f>'O references'!$L$86:$L$96</c:f>
              <c:numCache>
                <c:formatCode>General</c:formatCode>
                <c:ptCount val="11"/>
                <c:pt idx="0">
                  <c:v>-63.471422369999999</c:v>
                </c:pt>
                <c:pt idx="1">
                  <c:v>-63.475740610000003</c:v>
                </c:pt>
                <c:pt idx="2">
                  <c:v>-63.479223310000002</c:v>
                </c:pt>
                <c:pt idx="3">
                  <c:v>-63.48193096</c:v>
                </c:pt>
                <c:pt idx="4">
                  <c:v>-63.483917630000001</c:v>
                </c:pt>
                <c:pt idx="5">
                  <c:v>-63.485236450000002</c:v>
                </c:pt>
                <c:pt idx="6">
                  <c:v>-63.485932910000002</c:v>
                </c:pt>
                <c:pt idx="7">
                  <c:v>-63.48605697</c:v>
                </c:pt>
                <c:pt idx="8">
                  <c:v>-63.485644999999998</c:v>
                </c:pt>
                <c:pt idx="9">
                  <c:v>-63.484741130000003</c:v>
                </c:pt>
                <c:pt idx="10">
                  <c:v>-63.483379640000003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22-46A0-A53C-6C21ACB70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109952"/>
        <c:axId val="1170527248"/>
      </c:scatterChart>
      <c:valAx>
        <c:axId val="131010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527248"/>
        <c:crosses val="autoZero"/>
        <c:crossBetween val="midCat"/>
      </c:valAx>
      <c:valAx>
        <c:axId val="117052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010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 references'!$D$47:$D$56</c:f>
              <c:numCache>
                <c:formatCode>General</c:formatCode>
                <c:ptCount val="10"/>
                <c:pt idx="0">
                  <c:v>0.61499999999999999</c:v>
                </c:pt>
                <c:pt idx="1">
                  <c:v>0.61599999999999999</c:v>
                </c:pt>
                <c:pt idx="2">
                  <c:v>0.61699999999999999</c:v>
                </c:pt>
                <c:pt idx="3">
                  <c:v>0.61799999999999999</c:v>
                </c:pt>
                <c:pt idx="4">
                  <c:v>0.61899999999999999</c:v>
                </c:pt>
                <c:pt idx="5">
                  <c:v>0.62</c:v>
                </c:pt>
                <c:pt idx="6">
                  <c:v>0.621</c:v>
                </c:pt>
                <c:pt idx="7">
                  <c:v>0.622</c:v>
                </c:pt>
                <c:pt idx="8">
                  <c:v>0.623</c:v>
                </c:pt>
                <c:pt idx="9">
                  <c:v>0.624</c:v>
                </c:pt>
              </c:numCache>
            </c:numRef>
          </c:xVal>
          <c:yVal>
            <c:numRef>
              <c:f>'O references'!$L$47:$L$56</c:f>
              <c:numCache>
                <c:formatCode>General</c:formatCode>
                <c:ptCount val="10"/>
                <c:pt idx="0">
                  <c:v>-63.033873419999999</c:v>
                </c:pt>
                <c:pt idx="1">
                  <c:v>-63.038246909999998</c:v>
                </c:pt>
                <c:pt idx="2">
                  <c:v>-63.04178435</c:v>
                </c:pt>
                <c:pt idx="3">
                  <c:v>-63.044556409999998</c:v>
                </c:pt>
                <c:pt idx="4">
                  <c:v>-63.046586939999997</c:v>
                </c:pt>
                <c:pt idx="5">
                  <c:v>-63.047986969999997</c:v>
                </c:pt>
                <c:pt idx="6">
                  <c:v>-63.048867479999998</c:v>
                </c:pt>
                <c:pt idx="7">
                  <c:v>-63.048950849999997</c:v>
                </c:pt>
                <c:pt idx="8">
                  <c:v>-63.048617989999997</c:v>
                </c:pt>
                <c:pt idx="9">
                  <c:v>-63.04779138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4E-4BA1-8436-4A72A1BCA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6124176"/>
        <c:axId val="1225733280"/>
      </c:scatterChart>
      <c:valAx>
        <c:axId val="122612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33280"/>
        <c:crosses val="autoZero"/>
        <c:crossBetween val="midCat"/>
      </c:valAx>
      <c:valAx>
        <c:axId val="12257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124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'O references'!$K$193:$K$203</c:f>
              <c:numCache>
                <c:formatCode>General</c:formatCode>
                <c:ptCount val="11"/>
                <c:pt idx="0">
                  <c:v>-62.932982879999997</c:v>
                </c:pt>
                <c:pt idx="1">
                  <c:v>-62.937542929999999</c:v>
                </c:pt>
                <c:pt idx="2">
                  <c:v>-62.941269650000002</c:v>
                </c:pt>
                <c:pt idx="3">
                  <c:v>-62.944222940000003</c:v>
                </c:pt>
                <c:pt idx="4">
                  <c:v>-62.946458450000002</c:v>
                </c:pt>
                <c:pt idx="5">
                  <c:v>-62.948029009999999</c:v>
                </c:pt>
                <c:pt idx="6">
                  <c:v>-62.948982860000001</c:v>
                </c:pt>
                <c:pt idx="7">
                  <c:v>-62.949365970000002</c:v>
                </c:pt>
                <c:pt idx="8">
                  <c:v>-62.949220850000003</c:v>
                </c:pt>
                <c:pt idx="9">
                  <c:v>-62.9485873</c:v>
                </c:pt>
                <c:pt idx="10">
                  <c:v>-62.947502569999997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22-4E31-95C5-66C78A7C2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102320"/>
        <c:axId val="1008841136"/>
      </c:scatterChart>
      <c:valAx>
        <c:axId val="100710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841136"/>
        <c:crosses val="autoZero"/>
        <c:crossBetween val="midCat"/>
      </c:valAx>
      <c:valAx>
        <c:axId val="100884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7102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'O references'!$K$251:$K$261</c:f>
              <c:numCache>
                <c:formatCode>General</c:formatCode>
                <c:ptCount val="11"/>
                <c:pt idx="0">
                  <c:v>-63.841732540000002</c:v>
                </c:pt>
                <c:pt idx="1">
                  <c:v>-63.843424079999998</c:v>
                </c:pt>
                <c:pt idx="2">
                  <c:v>-63.844265219999997</c:v>
                </c:pt>
                <c:pt idx="3">
                  <c:v>-63.844319560000002</c:v>
                </c:pt>
                <c:pt idx="4">
                  <c:v>-63.843644750000003</c:v>
                </c:pt>
                <c:pt idx="5">
                  <c:v>-63.842298329999998</c:v>
                </c:pt>
                <c:pt idx="6">
                  <c:v>-63.840334040000002</c:v>
                </c:pt>
                <c:pt idx="7">
                  <c:v>-63.837797430000002</c:v>
                </c:pt>
                <c:pt idx="8">
                  <c:v>-63.834739460000002</c:v>
                </c:pt>
                <c:pt idx="9">
                  <c:v>-63.831197709999998</c:v>
                </c:pt>
                <c:pt idx="10">
                  <c:v>-63.827212250000002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1-4C18-BC14-534F15E31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746224"/>
        <c:axId val="1775598640"/>
      </c:scatterChart>
      <c:valAx>
        <c:axId val="1774746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598640"/>
        <c:crosses val="autoZero"/>
        <c:crossBetween val="midCat"/>
      </c:valAx>
      <c:valAx>
        <c:axId val="177559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474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 PBE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TiO2rawresults!$A$15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1.8346</c:v>
                </c:pt>
                <c:pt idx="2">
                  <c:v>2.7923999999999989</c:v>
                </c:pt>
              </c:numCache>
            </c:numRef>
          </c:xVal>
          <c:yVal>
            <c:numRef>
              <c:f>TiO2rawresults!$J$15:$L$15</c:f>
              <c:numCache>
                <c:formatCode>General</c:formatCode>
                <c:ptCount val="3"/>
                <c:pt idx="0" formatCode="0.0000">
                  <c:v>3.8758699882079668</c:v>
                </c:pt>
                <c:pt idx="1">
                  <c:v>3.8758699882079668</c:v>
                </c:pt>
                <c:pt idx="2">
                  <c:v>3.8758699882079668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C9-4B7B-97D3-8B0EA0B39E39}"/>
            </c:ext>
          </c:extLst>
        </c:ser>
        <c:ser>
          <c:idx val="1"/>
          <c:order val="1"/>
          <c:tx>
            <c:strRef>
              <c:f>TiO2rawresults!$A$16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TiO2rawresults!$J$14:$L$14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1.8346</c:v>
                </c:pt>
                <c:pt idx="2">
                  <c:v>2.7923999999999989</c:v>
                </c:pt>
              </c:numCache>
            </c:numRef>
          </c:xVal>
          <c:yVal>
            <c:numRef>
              <c:f>TiO2rawresults!$J$16:$L$16</c:f>
              <c:numCache>
                <c:formatCode>General</c:formatCode>
                <c:ptCount val="3"/>
                <c:pt idx="0" formatCode="0.0000">
                  <c:v>0.68878137274760931</c:v>
                </c:pt>
                <c:pt idx="1">
                  <c:v>4.3579813727476093</c:v>
                </c:pt>
                <c:pt idx="2">
                  <c:v>6.2735813727476071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C9-4B7B-97D3-8B0EA0B39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 PBE (O poor)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TiO2rawresults!$A$31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1.8346</c:v>
                </c:pt>
                <c:pt idx="2">
                  <c:v>2.7923999999999989</c:v>
                </c:pt>
              </c:numCache>
            </c:numRef>
          </c:xVal>
          <c:yVal>
            <c:numRef>
              <c:f>TiO2rawresults!$J$31:$L$31</c:f>
              <c:numCache>
                <c:formatCode>General</c:formatCode>
                <c:ptCount val="3"/>
                <c:pt idx="0" formatCode="0.0000">
                  <c:v>-0.73315184431089619</c:v>
                </c:pt>
                <c:pt idx="1">
                  <c:v>-0.73315184431089619</c:v>
                </c:pt>
                <c:pt idx="2">
                  <c:v>-0.73315184431089619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42-46FE-8442-0B15A77D31FD}"/>
            </c:ext>
          </c:extLst>
        </c:ser>
        <c:ser>
          <c:idx val="1"/>
          <c:order val="1"/>
          <c:tx>
            <c:strRef>
              <c:f>TiO2rawresults!$A$32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TiO2rawresults!$J$14:$L$14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1.8346</c:v>
                </c:pt>
                <c:pt idx="2">
                  <c:v>2.7923999999999989</c:v>
                </c:pt>
              </c:numCache>
            </c:numRef>
          </c:xVal>
          <c:yVal>
            <c:numRef>
              <c:f>TiO2rawresults!$J$32:$L$32</c:f>
              <c:numCache>
                <c:formatCode>General</c:formatCode>
                <c:ptCount val="3"/>
                <c:pt idx="0" formatCode="0.0000">
                  <c:v>-3.9308404597712538</c:v>
                </c:pt>
                <c:pt idx="1">
                  <c:v>-0.26164045977125383</c:v>
                </c:pt>
                <c:pt idx="2">
                  <c:v>1.6539595402287439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42-46FE-8442-0B15A77D3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 UJ (O poor)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TiO2rawresults!$A$37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TiO2rawresults!$J$36:$L$36</c:f>
              <c:numCache>
                <c:formatCode>General</c:formatCode>
                <c:ptCount val="3"/>
                <c:pt idx="0">
                  <c:v>0</c:v>
                </c:pt>
                <c:pt idx="1">
                  <c:v>2.7923999999999989</c:v>
                </c:pt>
              </c:numCache>
            </c:numRef>
          </c:xVal>
          <c:yVal>
            <c:numRef>
              <c:f>TiO2rawresults!$J$37:$L$37</c:f>
              <c:numCache>
                <c:formatCode>General</c:formatCode>
                <c:ptCount val="3"/>
                <c:pt idx="0" formatCode="0.0000">
                  <c:v>-0.96831766741740921</c:v>
                </c:pt>
                <c:pt idx="1">
                  <c:v>-0.96831766741740921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01-497D-8D49-F965B0B34E47}"/>
            </c:ext>
          </c:extLst>
        </c:ser>
        <c:ser>
          <c:idx val="1"/>
          <c:order val="1"/>
          <c:tx>
            <c:strRef>
              <c:f>TiO2rawresults!$A$38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TiO2rawresults!$J$36:$L$36</c:f>
              <c:numCache>
                <c:formatCode>General</c:formatCode>
                <c:ptCount val="3"/>
                <c:pt idx="0">
                  <c:v>0</c:v>
                </c:pt>
                <c:pt idx="1">
                  <c:v>2.7923999999999989</c:v>
                </c:pt>
              </c:numCache>
            </c:numRef>
          </c:xVal>
          <c:yVal>
            <c:numRef>
              <c:f>TiO2rawresults!$J$38:$L$38</c:f>
              <c:numCache>
                <c:formatCode>General</c:formatCode>
                <c:ptCount val="3"/>
                <c:pt idx="0" formatCode="0.0000">
                  <c:v>-6.0139466316673378</c:v>
                </c:pt>
                <c:pt idx="1">
                  <c:v>-0.42914663166734002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01-497D-8D49-F965B0B34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ZrO2rawresults!$A$15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ZrO2rawresults!$J$14:$L$14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3.6351000000000013</c:v>
                </c:pt>
                <c:pt idx="2">
                  <c:v>5.5710999999999995</c:v>
                </c:pt>
              </c:numCache>
            </c:numRef>
          </c:xVal>
          <c:yVal>
            <c:numRef>
              <c:f>ZrO2rawresults!$J$15:$L$15</c:f>
              <c:numCache>
                <c:formatCode>General</c:formatCode>
                <c:ptCount val="3"/>
                <c:pt idx="0" formatCode="0.0000">
                  <c:v>6.6268074453979011</c:v>
                </c:pt>
                <c:pt idx="1">
                  <c:v>6.6268074453979011</c:v>
                </c:pt>
                <c:pt idx="2">
                  <c:v>6.6268074453979011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1D-44E9-A240-C80E89E3F11A}"/>
            </c:ext>
          </c:extLst>
        </c:ser>
        <c:ser>
          <c:idx val="1"/>
          <c:order val="1"/>
          <c:tx>
            <c:strRef>
              <c:f>ZrO2rawresults!$A$17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ZrO2rawresults!$J$14:$L$14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3.6351000000000013</c:v>
                </c:pt>
                <c:pt idx="2">
                  <c:v>5.5710999999999995</c:v>
                </c:pt>
              </c:numCache>
            </c:numRef>
          </c:xVal>
          <c:yVal>
            <c:numRef>
              <c:f>ZrO2rawresults!$J$17:$L$17</c:f>
              <c:numCache>
                <c:formatCode>General</c:formatCode>
                <c:ptCount val="3"/>
                <c:pt idx="0" formatCode="0.0000">
                  <c:v>1.200587325155474</c:v>
                </c:pt>
                <c:pt idx="1">
                  <c:v>8.4707873251554773</c:v>
                </c:pt>
                <c:pt idx="2">
                  <c:v>12.342787325155474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1D-44E9-A240-C80E89E3F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ZrO2rawresults!$A$41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ZrO2rawresults!$J$20:$K$20</c:f>
              <c:numCache>
                <c:formatCode>General</c:formatCode>
                <c:ptCount val="2"/>
                <c:pt idx="0">
                  <c:v>0</c:v>
                </c:pt>
                <c:pt idx="1">
                  <c:v>5.5710999999999995</c:v>
                </c:pt>
              </c:numCache>
            </c:numRef>
          </c:xVal>
          <c:yVal>
            <c:numRef>
              <c:f>ZrO2rawresults!$J$41:$K$41</c:f>
              <c:numCache>
                <c:formatCode>General</c:formatCode>
                <c:ptCount val="2"/>
                <c:pt idx="0" formatCode="0.0000">
                  <c:v>6.0806813684283156</c:v>
                </c:pt>
                <c:pt idx="1">
                  <c:v>6.0806813684283156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AE-4252-86F1-E7755ADCFB51}"/>
            </c:ext>
          </c:extLst>
        </c:ser>
        <c:ser>
          <c:idx val="1"/>
          <c:order val="1"/>
          <c:tx>
            <c:strRef>
              <c:f>ZrO2rawresults!$A$43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ZrO2rawresults!$J$20:$K$20</c:f>
              <c:numCache>
                <c:formatCode>General</c:formatCode>
                <c:ptCount val="2"/>
                <c:pt idx="0">
                  <c:v>0</c:v>
                </c:pt>
                <c:pt idx="1">
                  <c:v>5.5710999999999995</c:v>
                </c:pt>
              </c:numCache>
            </c:numRef>
          </c:xVal>
          <c:yVal>
            <c:numRef>
              <c:f>ZrO2rawresults!$J$43:$K$43</c:f>
              <c:numCache>
                <c:formatCode>General</c:formatCode>
                <c:ptCount val="2"/>
                <c:pt idx="0" formatCode="0.0000">
                  <c:v>-2.1557556832843336</c:v>
                </c:pt>
                <c:pt idx="1">
                  <c:v>8.9864443167156658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AE-4252-86F1-E7755ADCFB51}"/>
            </c:ext>
          </c:extLst>
        </c:ser>
        <c:ser>
          <c:idx val="2"/>
          <c:order val="2"/>
          <c:tx>
            <c:strRef>
              <c:f>ZrO2rawresults!$A$42</c:f>
              <c:strCache>
                <c:ptCount val="1"/>
                <c:pt idx="0">
                  <c:v>ch1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ZrO2rawresults!$J$40:$K$40</c:f>
              <c:numCache>
                <c:formatCode>General</c:formatCode>
                <c:ptCount val="2"/>
                <c:pt idx="0">
                  <c:v>0</c:v>
                </c:pt>
                <c:pt idx="1">
                  <c:v>5.5710999999999995</c:v>
                </c:pt>
              </c:numCache>
            </c:numRef>
          </c:xVal>
          <c:yVal>
            <c:numRef>
              <c:f>ZrO2rawresults!$J$42:$K$42</c:f>
              <c:numCache>
                <c:formatCode>General</c:formatCode>
                <c:ptCount val="2"/>
                <c:pt idx="0" formatCode="0.0000">
                  <c:v>1.8472444277547631</c:v>
                </c:pt>
                <c:pt idx="1">
                  <c:v>7.4183444277547625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65-46D4-91DE-5F9101419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ZrO2rawresults!$A$35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ZrO2rawresults!$J$14:$L$14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3.6351000000000013</c:v>
                </c:pt>
                <c:pt idx="2">
                  <c:v>5.5710999999999995</c:v>
                </c:pt>
              </c:numCache>
            </c:numRef>
          </c:xVal>
          <c:yVal>
            <c:numRef>
              <c:f>ZrO2rawresults!$J$35:$L$35</c:f>
              <c:numCache>
                <c:formatCode>General</c:formatCode>
                <c:ptCount val="3"/>
                <c:pt idx="0" formatCode="0.0000">
                  <c:v>6.5263033782972002</c:v>
                </c:pt>
                <c:pt idx="1">
                  <c:v>6.5263033782972002</c:v>
                </c:pt>
                <c:pt idx="2">
                  <c:v>6.5263033782972002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6-46FC-B7F3-78631E5BE338}"/>
            </c:ext>
          </c:extLst>
        </c:ser>
        <c:ser>
          <c:idx val="1"/>
          <c:order val="1"/>
          <c:tx>
            <c:strRef>
              <c:f>ZrO2rawresults!$A$37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ZrO2rawresults!$J$14:$L$14</c:f>
              <c:numCache>
                <c:formatCode>General</c:formatCode>
                <c:ptCount val="3"/>
                <c:pt idx="0">
                  <c:v>0</c:v>
                </c:pt>
                <c:pt idx="1">
                  <c:v>3.6351000000000013</c:v>
                </c:pt>
                <c:pt idx="2">
                  <c:v>5.5710999999999995</c:v>
                </c:pt>
              </c:numCache>
            </c:numRef>
          </c:xVal>
          <c:yVal>
            <c:numRef>
              <c:f>ZrO2rawresults!$J$37:$L$37</c:f>
              <c:numCache>
                <c:formatCode>General</c:formatCode>
                <c:ptCount val="3"/>
                <c:pt idx="0" formatCode="0.0000">
                  <c:v>1.8583318284460992</c:v>
                </c:pt>
                <c:pt idx="1">
                  <c:v>9.1285318284461017</c:v>
                </c:pt>
                <c:pt idx="2">
                  <c:v>13.000531828446098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F6-46FC-B7F3-78631E5BE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Defect</a:t>
            </a:r>
            <a:r>
              <a:rPr lang="en-AU" baseline="0"/>
              <a:t> formation energies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ZrO2rawresults!$A$21</c:f>
              <c:strCache>
                <c:ptCount val="1"/>
                <c:pt idx="0">
                  <c:v>ch0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ZrO2rawresults!$J$20:$K$20</c:f>
              <c:numCache>
                <c:formatCode>General</c:formatCode>
                <c:ptCount val="2"/>
                <c:pt idx="0">
                  <c:v>0</c:v>
                </c:pt>
                <c:pt idx="1">
                  <c:v>5.5710999999999995</c:v>
                </c:pt>
              </c:numCache>
            </c:numRef>
          </c:xVal>
          <c:yVal>
            <c:numRef>
              <c:f>ZrO2rawresults!$J$21:$K$21</c:f>
              <c:numCache>
                <c:formatCode>General</c:formatCode>
                <c:ptCount val="2"/>
                <c:pt idx="0" formatCode="0.0000">
                  <c:v>6.8176661136201915</c:v>
                </c:pt>
                <c:pt idx="1">
                  <c:v>6.8176661136201915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5D-4E10-950B-F8159D5FCBFF}"/>
            </c:ext>
          </c:extLst>
        </c:ser>
        <c:ser>
          <c:idx val="1"/>
          <c:order val="1"/>
          <c:tx>
            <c:strRef>
              <c:f>ZrO2rawresults!$A$23</c:f>
              <c:strCache>
                <c:ptCount val="1"/>
                <c:pt idx="0">
                  <c:v>ch2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ZrO2rawresults!$J$20:$K$20</c:f>
              <c:numCache>
                <c:formatCode>General</c:formatCode>
                <c:ptCount val="2"/>
                <c:pt idx="0">
                  <c:v>0</c:v>
                </c:pt>
                <c:pt idx="1">
                  <c:v>5.5710999999999995</c:v>
                </c:pt>
              </c:numCache>
            </c:numRef>
          </c:xVal>
          <c:yVal>
            <c:numRef>
              <c:f>ZrO2rawresults!$J$23:$K$23</c:f>
              <c:numCache>
                <c:formatCode>General</c:formatCode>
                <c:ptCount val="2"/>
                <c:pt idx="0" formatCode="0.0000">
                  <c:v>-2.0431487194960578</c:v>
                </c:pt>
                <c:pt idx="1">
                  <c:v>9.0990512805039412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5D-4E10-950B-F8159D5FCBFF}"/>
            </c:ext>
          </c:extLst>
        </c:ser>
        <c:ser>
          <c:idx val="2"/>
          <c:order val="2"/>
          <c:tx>
            <c:strRef>
              <c:f>ZrO2rawresults!$A$22</c:f>
              <c:strCache>
                <c:ptCount val="1"/>
                <c:pt idx="0">
                  <c:v>ch1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ZrO2rawresults!$J$20:$K$20</c:f>
              <c:numCache>
                <c:formatCode>General</c:formatCode>
                <c:ptCount val="2"/>
                <c:pt idx="0">
                  <c:v>0</c:v>
                </c:pt>
                <c:pt idx="1">
                  <c:v>5.5710999999999995</c:v>
                </c:pt>
              </c:numCache>
            </c:numRef>
          </c:xVal>
          <c:yVal>
            <c:numRef>
              <c:f>ZrO2rawresults!$J$22:$K$22</c:f>
              <c:numCache>
                <c:formatCode>General</c:formatCode>
                <c:ptCount val="2"/>
                <c:pt idx="0" formatCode="0.0000">
                  <c:v>2.2193334911251306</c:v>
                </c:pt>
                <c:pt idx="1">
                  <c:v>7.7904334911251301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6B-4F86-B173-81A446F2E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30920"/>
        <c:axId val="910432840"/>
      </c:scatterChart>
      <c:valAx>
        <c:axId val="91043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 fermi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2840"/>
        <c:crosses val="autoZero"/>
        <c:crossBetween val="midCat"/>
      </c:valAx>
      <c:valAx>
        <c:axId val="910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 (eV)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430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HfO2rawresults!$Q$164:$Q$168</c:f>
              <c:numCache>
                <c:formatCode>General</c:formatCode>
                <c:ptCount val="5"/>
                <c:pt idx="0">
                  <c:v>1.1000000000000001</c:v>
                </c:pt>
                <c:pt idx="1">
                  <c:v>1.2</c:v>
                </c:pt>
                <c:pt idx="2">
                  <c:v>1.22</c:v>
                </c:pt>
                <c:pt idx="3">
                  <c:v>1.24</c:v>
                </c:pt>
                <c:pt idx="4">
                  <c:v>1.3</c:v>
                </c:pt>
              </c:numCache>
            </c:numRef>
          </c:xVal>
          <c:yVal>
            <c:numRef>
              <c:f>HfO2rawresults!$V$164:$V$168</c:f>
              <c:numCache>
                <c:formatCode>General</c:formatCode>
                <c:ptCount val="5"/>
                <c:pt idx="0">
                  <c:v>0.38933411661793116</c:v>
                </c:pt>
                <c:pt idx="1">
                  <c:v>5.3711129219209397E-3</c:v>
                </c:pt>
                <c:pt idx="2">
                  <c:v>-9.9705361603810161E-3</c:v>
                </c:pt>
                <c:pt idx="3">
                  <c:v>-7.7812432845689727E-3</c:v>
                </c:pt>
                <c:pt idx="4">
                  <c:v>6.5834631041809644E-2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4C-497B-879E-F5A51227A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348304"/>
        <c:axId val="524352144"/>
      </c:scatterChart>
      <c:valAx>
        <c:axId val="524348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Bond length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352144"/>
        <c:crosses val="autoZero"/>
        <c:crossBetween val="midCat"/>
      </c:valAx>
      <c:valAx>
        <c:axId val="52435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energy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348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.png"/><Relationship Id="rId7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256881</xdr:colOff>
      <xdr:row>10</xdr:row>
      <xdr:rowOff>89647</xdr:rowOff>
    </xdr:from>
    <xdr:to>
      <xdr:col>29</xdr:col>
      <xdr:colOff>144076</xdr:colOff>
      <xdr:row>25</xdr:row>
      <xdr:rowOff>109231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6403CA-6C00-4F26-AF13-540A49DE05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463175</xdr:colOff>
      <xdr:row>10</xdr:row>
      <xdr:rowOff>44822</xdr:rowOff>
    </xdr:from>
    <xdr:to>
      <xdr:col>21</xdr:col>
      <xdr:colOff>112057</xdr:colOff>
      <xdr:row>25</xdr:row>
      <xdr:rowOff>97116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C215C4-D3D7-4295-96DE-EA77039B7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29</xdr:col>
      <xdr:colOff>141939</xdr:colOff>
      <xdr:row>3</xdr:row>
      <xdr:rowOff>22410</xdr:rowOff>
    </xdr:from>
    <xdr:to>
      <xdr:col>37</xdr:col>
      <xdr:colOff>45297</xdr:colOff>
      <xdr:row>18</xdr:row>
      <xdr:rowOff>19246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5E4FDD2-1AF2-49A5-9F14-0576BF9D1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251704" y="582704"/>
          <a:ext cx="4804064" cy="2798307"/>
        </a:xfrm>
        <a:prstGeom prst="rect">
          <a:avLst/>
        </a:prstGeom>
      </xdr:spPr>
    </xdr:pic>
    <xdr:clientData/>
  </xdr:twoCellAnchor>
  <xdr:twoCellAnchor>
    <xdr:from>
      <xdr:col>13</xdr:col>
      <xdr:colOff>605118</xdr:colOff>
      <xdr:row>29</xdr:row>
      <xdr:rowOff>134474</xdr:rowOff>
    </xdr:from>
    <xdr:to>
      <xdr:col>21</xdr:col>
      <xdr:colOff>254000</xdr:colOff>
      <xdr:row>45</xdr:row>
      <xdr:rowOff>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CB7759B-2F47-4AA5-B6CF-5C04A01EA0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522940</xdr:colOff>
      <xdr:row>30</xdr:row>
      <xdr:rowOff>74708</xdr:rowOff>
    </xdr:from>
    <xdr:to>
      <xdr:col>29</xdr:col>
      <xdr:colOff>343646</xdr:colOff>
      <xdr:row>45</xdr:row>
      <xdr:rowOff>127002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7AA7FAB-37E5-4DD0-B3C2-B6CEA725B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</xdr:col>
      <xdr:colOff>524535</xdr:colOff>
      <xdr:row>214</xdr:row>
      <xdr:rowOff>58172</xdr:rowOff>
    </xdr:from>
    <xdr:to>
      <xdr:col>13</xdr:col>
      <xdr:colOff>550739</xdr:colOff>
      <xdr:row>238</xdr:row>
      <xdr:rowOff>1652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46E90A-114E-4383-A669-DD8A9D2ECA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rot="5400000">
          <a:off x="4325471" y="39579178"/>
          <a:ext cx="4515480" cy="7097115"/>
        </a:xfrm>
        <a:prstGeom prst="rect">
          <a:avLst/>
        </a:prstGeom>
      </xdr:spPr>
    </xdr:pic>
    <xdr:clientData/>
  </xdr:twoCellAnchor>
  <xdr:twoCellAnchor editAs="oneCell">
    <xdr:from>
      <xdr:col>3</xdr:col>
      <xdr:colOff>22411</xdr:colOff>
      <xdr:row>250</xdr:row>
      <xdr:rowOff>33618</xdr:rowOff>
    </xdr:from>
    <xdr:to>
      <xdr:col>9</xdr:col>
      <xdr:colOff>460053</xdr:colOff>
      <xdr:row>286</xdr:row>
      <xdr:rowOff>25049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223EAE-E62A-4A9C-9958-3334E9D0F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32529" y="47703442"/>
          <a:ext cx="4382112" cy="6849431"/>
        </a:xfrm>
        <a:prstGeom prst="rect">
          <a:avLst/>
        </a:prstGeom>
      </xdr:spPr>
    </xdr:pic>
    <xdr:clientData/>
  </xdr:twoCellAnchor>
  <xdr:twoCellAnchor editAs="oneCell">
    <xdr:from>
      <xdr:col>11</xdr:col>
      <xdr:colOff>212912</xdr:colOff>
      <xdr:row>252</xdr:row>
      <xdr:rowOff>123264</xdr:rowOff>
    </xdr:from>
    <xdr:to>
      <xdr:col>15</xdr:col>
      <xdr:colOff>475009</xdr:colOff>
      <xdr:row>284</xdr:row>
      <xdr:rowOff>143168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58CCFA5-9207-4899-A995-04F4E0600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292353" y="48174088"/>
          <a:ext cx="3153215" cy="6115904"/>
        </a:xfrm>
        <a:prstGeom prst="rect">
          <a:avLst/>
        </a:prstGeom>
      </xdr:spPr>
    </xdr:pic>
    <xdr:clientData/>
  </xdr:twoCellAnchor>
  <xdr:twoCellAnchor editAs="oneCell">
    <xdr:from>
      <xdr:col>4</xdr:col>
      <xdr:colOff>694764</xdr:colOff>
      <xdr:row>307</xdr:row>
      <xdr:rowOff>0</xdr:rowOff>
    </xdr:from>
    <xdr:to>
      <xdr:col>38</xdr:col>
      <xdr:colOff>503625</xdr:colOff>
      <xdr:row>379</xdr:row>
      <xdr:rowOff>100852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E86F1679-87BE-4988-A605-F0E9C7893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rot="5400000">
          <a:off x="7759754" y="54578569"/>
          <a:ext cx="13816852" cy="217163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44691</xdr:colOff>
      <xdr:row>0</xdr:row>
      <xdr:rowOff>0</xdr:rowOff>
    </xdr:from>
    <xdr:to>
      <xdr:col>19</xdr:col>
      <xdr:colOff>594873</xdr:colOff>
      <xdr:row>14</xdr:row>
      <xdr:rowOff>162380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84F218-CAFC-4ABE-9BC3-9DE0FCDAF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344927</xdr:colOff>
      <xdr:row>38</xdr:row>
      <xdr:rowOff>113819</xdr:rowOff>
    </xdr:from>
    <xdr:to>
      <xdr:col>20</xdr:col>
      <xdr:colOff>60297</xdr:colOff>
      <xdr:row>53</xdr:row>
      <xdr:rowOff>97490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58E1C1-7DC7-4A5A-8F6D-7FAABAFD5A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604048</xdr:colOff>
      <xdr:row>26</xdr:row>
      <xdr:rowOff>33619</xdr:rowOff>
    </xdr:from>
    <xdr:to>
      <xdr:col>20</xdr:col>
      <xdr:colOff>541641</xdr:colOff>
      <xdr:row>41</xdr:row>
      <xdr:rowOff>14571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A0CF23-AF3A-4DE4-BBE7-526C8D17B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263072</xdr:colOff>
      <xdr:row>13</xdr:row>
      <xdr:rowOff>72572</xdr:rowOff>
    </xdr:from>
    <xdr:to>
      <xdr:col>20</xdr:col>
      <xdr:colOff>586228</xdr:colOff>
      <xdr:row>28</xdr:row>
      <xdr:rowOff>56242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F572E00-64A3-4BB9-91AA-3B044CDB6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269875</xdr:colOff>
      <xdr:row>167</xdr:row>
      <xdr:rowOff>95250</xdr:rowOff>
    </xdr:from>
    <xdr:to>
      <xdr:col>14</xdr:col>
      <xdr:colOff>593725</xdr:colOff>
      <xdr:row>182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E73FB9-F298-4AD6-90CD-FF65D1DC74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3</xdr:row>
      <xdr:rowOff>52387</xdr:rowOff>
    </xdr:from>
    <xdr:to>
      <xdr:col>22</xdr:col>
      <xdr:colOff>361950</xdr:colOff>
      <xdr:row>17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4157ED-90A1-A6F4-0A64-A847A7C72C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</xdr:row>
      <xdr:rowOff>33337</xdr:rowOff>
    </xdr:from>
    <xdr:to>
      <xdr:col>17</xdr:col>
      <xdr:colOff>304800</xdr:colOff>
      <xdr:row>19</xdr:row>
      <xdr:rowOff>109537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2A7D3B1-2F53-DB80-E213-70B077F15A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381000</xdr:colOff>
      <xdr:row>91</xdr:row>
      <xdr:rowOff>90487</xdr:rowOff>
    </xdr:from>
    <xdr:to>
      <xdr:col>8</xdr:col>
      <xdr:colOff>1038225</xdr:colOff>
      <xdr:row>105</xdr:row>
      <xdr:rowOff>166687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B12A1B1-B4BB-0E04-60E3-53D536E108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104775</xdr:colOff>
      <xdr:row>65</xdr:row>
      <xdr:rowOff>80962</xdr:rowOff>
    </xdr:from>
    <xdr:to>
      <xdr:col>16</xdr:col>
      <xdr:colOff>409575</xdr:colOff>
      <xdr:row>79</xdr:row>
      <xdr:rowOff>157162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CC044D7-580E-32A2-6EDC-3BDD0C8947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847725</xdr:colOff>
      <xdr:row>173</xdr:row>
      <xdr:rowOff>161925</xdr:rowOff>
    </xdr:from>
    <xdr:to>
      <xdr:col>12</xdr:col>
      <xdr:colOff>257175</xdr:colOff>
      <xdr:row>188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83669E-B843-4529-BBC6-84589717D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76200</xdr:colOff>
      <xdr:row>271</xdr:row>
      <xdr:rowOff>33337</xdr:rowOff>
    </xdr:from>
    <xdr:to>
      <xdr:col>10</xdr:col>
      <xdr:colOff>95250</xdr:colOff>
      <xdr:row>285</xdr:row>
      <xdr:rowOff>109537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FD160F-5CC2-35CC-878B-B3E2E3C930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24833-C1FA-4F1C-825E-CE851560A6F6}">
  <dimension ref="B3:M95"/>
  <sheetViews>
    <sheetView topLeftCell="B1" workbookViewId="0">
      <selection activeCell="O23" sqref="O23"/>
    </sheetView>
  </sheetViews>
  <sheetFormatPr defaultRowHeight="15" x14ac:dyDescent="0.25"/>
  <cols>
    <col min="2" max="2" width="13.85546875" bestFit="1" customWidth="1"/>
    <col min="4" max="4" width="13.85546875" bestFit="1" customWidth="1"/>
    <col min="5" max="7" width="10" bestFit="1" customWidth="1"/>
    <col min="9" max="9" width="12.5703125" bestFit="1" customWidth="1"/>
    <col min="11" max="11" width="15.5703125" bestFit="1" customWidth="1"/>
  </cols>
  <sheetData>
    <row r="3" spans="2:13" x14ac:dyDescent="0.25">
      <c r="B3" t="s">
        <v>12</v>
      </c>
    </row>
    <row r="5" spans="2:13" x14ac:dyDescent="0.25">
      <c r="B5" s="1"/>
      <c r="D5" s="2" t="s">
        <v>0</v>
      </c>
      <c r="E5" s="3" t="s">
        <v>11</v>
      </c>
      <c r="F5" s="3" t="s">
        <v>1</v>
      </c>
      <c r="G5" s="3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</row>
    <row r="6" spans="2:13" x14ac:dyDescent="0.25">
      <c r="B6">
        <f>E6</f>
        <v>0</v>
      </c>
      <c r="C6" s="5">
        <f>L6</f>
        <v>1.2351955000000201</v>
      </c>
      <c r="D6" s="3" t="s">
        <v>8</v>
      </c>
      <c r="E6" s="3">
        <v>0</v>
      </c>
      <c r="F6" s="5">
        <v>-1289.4970000000001</v>
      </c>
      <c r="G6" s="6">
        <v>-1296.0875000000001</v>
      </c>
      <c r="H6">
        <v>-5.3553044999999999</v>
      </c>
      <c r="I6">
        <v>3.3808999999999969</v>
      </c>
      <c r="J6" s="6">
        <f>F6-G6+H6 +I6*E6</f>
        <v>1.2351955000000201</v>
      </c>
      <c r="K6">
        <v>0</v>
      </c>
      <c r="L6" s="6">
        <f>J6+K6</f>
        <v>1.2351955000000201</v>
      </c>
    </row>
    <row r="7" spans="2:13" x14ac:dyDescent="0.25">
      <c r="B7">
        <f>E7</f>
        <v>1</v>
      </c>
      <c r="C7" s="5">
        <f>L7</f>
        <v>1.2341364000001898</v>
      </c>
      <c r="D7" s="3" t="s">
        <v>9</v>
      </c>
      <c r="E7" s="3">
        <v>1</v>
      </c>
      <c r="F7" s="6">
        <v>-1292.8744999999999</v>
      </c>
      <c r="G7" s="6">
        <v>-1296.0875000000001</v>
      </c>
      <c r="H7">
        <v>-5.3553044999999999</v>
      </c>
      <c r="I7">
        <v>3.3808999999999969</v>
      </c>
      <c r="J7" s="6">
        <f>F7-G7+H7 +I7*E7</f>
        <v>1.2385955000001898</v>
      </c>
      <c r="K7">
        <v>-4.4590999999999997E-3</v>
      </c>
      <c r="L7" s="6">
        <f>J7+K7</f>
        <v>1.2341364000001898</v>
      </c>
    </row>
    <row r="8" spans="2:13" x14ac:dyDescent="0.25">
      <c r="B8">
        <f>E8</f>
        <v>2</v>
      </c>
      <c r="C8" s="5">
        <f>L8</f>
        <v>1.7326589000000447</v>
      </c>
      <c r="D8" s="3" t="s">
        <v>10</v>
      </c>
      <c r="E8" s="3">
        <v>2</v>
      </c>
      <c r="F8" s="6">
        <v>-1295.7435</v>
      </c>
      <c r="G8" s="6">
        <v>-1296.0875000000001</v>
      </c>
      <c r="H8">
        <v>-5.3553044999999999</v>
      </c>
      <c r="I8">
        <v>3.3808999999999969</v>
      </c>
      <c r="J8" s="6">
        <f>F8-G8+H8 +I8*E8</f>
        <v>1.7504955000000448</v>
      </c>
      <c r="K8">
        <v>-1.7836600000000001E-2</v>
      </c>
      <c r="L8" s="6">
        <f>J8+K8</f>
        <v>1.7326589000000447</v>
      </c>
    </row>
    <row r="12" spans="2:13" x14ac:dyDescent="0.25">
      <c r="D12" s="2" t="s">
        <v>13</v>
      </c>
      <c r="E12" s="3" t="s">
        <v>11</v>
      </c>
      <c r="F12" s="3" t="s">
        <v>1</v>
      </c>
      <c r="G12" s="3" t="s">
        <v>2</v>
      </c>
      <c r="H12" s="4" t="s">
        <v>14</v>
      </c>
      <c r="I12" s="4" t="s">
        <v>15</v>
      </c>
      <c r="J12" s="4" t="s">
        <v>16</v>
      </c>
      <c r="K12" s="4" t="s">
        <v>4</v>
      </c>
      <c r="L12" s="4" t="s">
        <v>17</v>
      </c>
      <c r="M12" s="4" t="s">
        <v>6</v>
      </c>
    </row>
    <row r="13" spans="2:13" x14ac:dyDescent="0.25">
      <c r="B13">
        <f>E13</f>
        <v>0</v>
      </c>
      <c r="C13" s="5">
        <f>N13</f>
        <v>0</v>
      </c>
      <c r="D13" s="3" t="s">
        <v>18</v>
      </c>
      <c r="E13" s="3">
        <v>0</v>
      </c>
      <c r="F13" s="6">
        <v>-1294.2653</v>
      </c>
      <c r="G13" s="6">
        <v>-1296.0875000000001</v>
      </c>
      <c r="H13" s="5">
        <v>-23.1414635</v>
      </c>
      <c r="I13">
        <v>-5.3553044999999999</v>
      </c>
      <c r="J13" s="6">
        <v>-10.9374915</v>
      </c>
      <c r="K13">
        <v>3.3808999999999969</v>
      </c>
      <c r="L13" s="6">
        <f>F13-G13-H13+J13 +2*I13+ K13*E13</f>
        <v>3.3155630000000667</v>
      </c>
      <c r="M13" s="6">
        <v>0</v>
      </c>
    </row>
    <row r="14" spans="2:13" x14ac:dyDescent="0.25">
      <c r="B14">
        <f>E14</f>
        <v>-1</v>
      </c>
      <c r="C14" s="5">
        <f>N14</f>
        <v>0</v>
      </c>
      <c r="D14" s="3" t="s">
        <v>19</v>
      </c>
      <c r="E14" s="3">
        <v>-1</v>
      </c>
      <c r="F14" s="6">
        <v>-1290.7706000000001</v>
      </c>
      <c r="G14" s="6">
        <v>-1296.0875000000001</v>
      </c>
      <c r="H14" s="5">
        <v>-23.1414635</v>
      </c>
      <c r="I14">
        <v>-5.3553044999999999</v>
      </c>
      <c r="J14" s="6">
        <v>-10.9374915</v>
      </c>
      <c r="K14">
        <v>3.3808999999999969</v>
      </c>
      <c r="L14" s="6">
        <f>F14-G14-H14+J14 +2*I14+ K14*E14</f>
        <v>3.4293630000000359</v>
      </c>
      <c r="M14" s="6">
        <v>0</v>
      </c>
    </row>
    <row r="15" spans="2:13" x14ac:dyDescent="0.25">
      <c r="B15">
        <f>E15</f>
        <v>-2</v>
      </c>
      <c r="C15" s="5">
        <f>N15</f>
        <v>0</v>
      </c>
      <c r="D15" s="3" t="s">
        <v>20</v>
      </c>
      <c r="E15" s="3">
        <v>-2</v>
      </c>
      <c r="F15" s="6">
        <v>-1286.9839999999999</v>
      </c>
      <c r="G15" s="6">
        <v>-1296.0875000000001</v>
      </c>
      <c r="H15" s="5">
        <v>-23.1414635</v>
      </c>
      <c r="I15">
        <v>-5.3553044999999999</v>
      </c>
      <c r="J15" s="6">
        <v>-10.9374915</v>
      </c>
      <c r="K15">
        <v>3.3808999999999969</v>
      </c>
      <c r="L15" s="6">
        <f>F15-G15-H15+J15 +2*I15+ K15*E15</f>
        <v>3.835063000000174</v>
      </c>
      <c r="M15" s="6">
        <v>0</v>
      </c>
    </row>
    <row r="16" spans="2:13" x14ac:dyDescent="0.25">
      <c r="F16" s="5"/>
      <c r="G16" s="5"/>
      <c r="H16" s="5"/>
      <c r="I16" s="5"/>
      <c r="J16" s="5"/>
      <c r="K16" s="5"/>
      <c r="L16" s="5"/>
      <c r="M16" s="5"/>
    </row>
    <row r="17" spans="2:13" x14ac:dyDescent="0.25">
      <c r="D17" s="2" t="s">
        <v>21</v>
      </c>
      <c r="E17" s="2"/>
      <c r="F17" s="3" t="s">
        <v>1</v>
      </c>
      <c r="G17" s="3" t="s">
        <v>2</v>
      </c>
      <c r="H17" s="4" t="s">
        <v>14</v>
      </c>
      <c r="I17" s="4" t="s">
        <v>15</v>
      </c>
      <c r="J17" s="4" t="s">
        <v>4</v>
      </c>
      <c r="K17" s="4" t="s">
        <v>17</v>
      </c>
      <c r="L17" s="4" t="s">
        <v>6</v>
      </c>
      <c r="M17" s="4" t="s">
        <v>22</v>
      </c>
    </row>
    <row r="18" spans="2:13" x14ac:dyDescent="0.25">
      <c r="B18">
        <f t="shared" ref="B18:B25" si="0">E18</f>
        <v>0</v>
      </c>
      <c r="C18" s="5">
        <f>M18</f>
        <v>2.0355545000000941</v>
      </c>
      <c r="D18" s="3" t="s">
        <v>23</v>
      </c>
      <c r="E18" s="3">
        <v>0</v>
      </c>
      <c r="F18" s="6">
        <v>-1306.4828</v>
      </c>
      <c r="G18" s="6">
        <v>-1296.0875000000001</v>
      </c>
      <c r="H18" s="5">
        <v>-23.1414635</v>
      </c>
      <c r="I18">
        <v>-5.3553044999999999</v>
      </c>
      <c r="J18">
        <v>2.7</v>
      </c>
      <c r="K18" s="6">
        <f>F18-G18-H18+2*I18 + J18*E18</f>
        <v>2.0355545000000941</v>
      </c>
      <c r="L18">
        <v>0</v>
      </c>
      <c r="M18" s="6">
        <f t="shared" ref="M18:M25" si="1">K18+L18</f>
        <v>2.0355545000000941</v>
      </c>
    </row>
    <row r="19" spans="2:13" x14ac:dyDescent="0.25">
      <c r="B19">
        <f t="shared" si="0"/>
        <v>-1</v>
      </c>
      <c r="C19" s="5">
        <f t="shared" ref="C19:C25" si="2">M19</f>
        <v>2.6505953999999967</v>
      </c>
      <c r="D19" s="3" t="s">
        <v>24</v>
      </c>
      <c r="E19" s="3">
        <v>-1</v>
      </c>
      <c r="F19" s="6">
        <v>-1302.4824000000001</v>
      </c>
      <c r="G19" s="6">
        <v>-1296.0875000000001</v>
      </c>
      <c r="H19" s="5">
        <v>-23.1414635</v>
      </c>
      <c r="I19">
        <v>-5.3553044999999999</v>
      </c>
      <c r="J19">
        <v>3.3808999999999969</v>
      </c>
      <c r="K19" s="6">
        <f t="shared" ref="K19:K25" si="3">F19-G19-H19+2*I19 + J19*E19</f>
        <v>2.6550544999999968</v>
      </c>
      <c r="L19">
        <v>-4.4590999999999997E-3</v>
      </c>
      <c r="M19" s="6">
        <f t="shared" si="1"/>
        <v>2.6505953999999967</v>
      </c>
    </row>
    <row r="20" spans="2:13" x14ac:dyDescent="0.25">
      <c r="B20">
        <f t="shared" si="0"/>
        <v>-2</v>
      </c>
      <c r="C20" s="5">
        <f t="shared" si="2"/>
        <v>3.4569179000001222</v>
      </c>
      <c r="D20" s="3" t="s">
        <v>25</v>
      </c>
      <c r="E20" s="3">
        <v>-2</v>
      </c>
      <c r="F20" s="6">
        <v>-1298.2818</v>
      </c>
      <c r="G20" s="6">
        <v>-1296.0875000000001</v>
      </c>
      <c r="H20" s="5">
        <v>-23.1414635</v>
      </c>
      <c r="I20">
        <v>-5.3553044999999999</v>
      </c>
      <c r="J20">
        <v>3.3808999999999969</v>
      </c>
      <c r="K20" s="6">
        <f t="shared" si="3"/>
        <v>3.4747545000001221</v>
      </c>
      <c r="L20">
        <v>-1.7836600000000001E-2</v>
      </c>
      <c r="M20" s="6">
        <f t="shared" si="1"/>
        <v>3.4569179000001222</v>
      </c>
    </row>
    <row r="21" spans="2:13" x14ac:dyDescent="0.25">
      <c r="B21">
        <f t="shared" si="0"/>
        <v>1</v>
      </c>
      <c r="C21" s="5">
        <f t="shared" si="2"/>
        <v>1.7089954000001164</v>
      </c>
      <c r="D21" s="3" t="s">
        <v>26</v>
      </c>
      <c r="E21" s="3">
        <v>1</v>
      </c>
      <c r="F21" s="6">
        <v>-1310.1858</v>
      </c>
      <c r="G21" s="6">
        <v>-1296.0875000000001</v>
      </c>
      <c r="H21" s="5">
        <v>-23.1414635</v>
      </c>
      <c r="I21">
        <v>-5.3553044999999999</v>
      </c>
      <c r="J21">
        <v>3.3808999999999969</v>
      </c>
      <c r="K21" s="6">
        <f t="shared" si="3"/>
        <v>1.7134545000001165</v>
      </c>
      <c r="L21">
        <v>-4.4590999999999997E-3</v>
      </c>
      <c r="M21" s="6">
        <f t="shared" si="1"/>
        <v>1.7089954000001164</v>
      </c>
    </row>
    <row r="22" spans="2:13" x14ac:dyDescent="0.25">
      <c r="B22">
        <f t="shared" si="0"/>
        <v>2</v>
      </c>
      <c r="C22" s="5">
        <f t="shared" si="2"/>
        <v>1.7906179000000362</v>
      </c>
      <c r="D22" s="3" t="s">
        <v>27</v>
      </c>
      <c r="E22" s="3">
        <v>2</v>
      </c>
      <c r="F22" s="6">
        <v>-1313.4717000000001</v>
      </c>
      <c r="G22" s="6">
        <v>-1296.0875000000001</v>
      </c>
      <c r="H22" s="5">
        <v>-23.1414635</v>
      </c>
      <c r="I22">
        <v>-5.3553044999999999</v>
      </c>
      <c r="J22">
        <v>3.3809</v>
      </c>
      <c r="K22" s="6">
        <f t="shared" si="3"/>
        <v>1.8084545000000363</v>
      </c>
      <c r="L22">
        <v>-1.7836600000000001E-2</v>
      </c>
      <c r="M22" s="6">
        <f t="shared" si="1"/>
        <v>1.7906179000000362</v>
      </c>
    </row>
    <row r="23" spans="2:13" x14ac:dyDescent="0.25">
      <c r="B23">
        <f t="shared" si="0"/>
        <v>3</v>
      </c>
      <c r="C23" s="5">
        <f t="shared" si="2"/>
        <v>2.3830222000000099</v>
      </c>
      <c r="D23" s="3" t="s">
        <v>28</v>
      </c>
      <c r="E23" s="3">
        <v>3</v>
      </c>
      <c r="F23" s="6">
        <v>-1316.2379000000001</v>
      </c>
      <c r="G23" s="6">
        <v>-1296.0875000000001</v>
      </c>
      <c r="H23" s="5">
        <v>-23.1414635</v>
      </c>
      <c r="I23">
        <v>-5.3553044999999999</v>
      </c>
      <c r="J23">
        <v>3.3809</v>
      </c>
      <c r="K23" s="6">
        <f t="shared" si="3"/>
        <v>2.4231545000000096</v>
      </c>
      <c r="L23">
        <v>-4.0132300000000003E-2</v>
      </c>
      <c r="M23" s="6">
        <f t="shared" si="1"/>
        <v>2.3830222000000099</v>
      </c>
    </row>
    <row r="24" spans="2:13" x14ac:dyDescent="0.25">
      <c r="B24">
        <f t="shared" si="0"/>
        <v>4</v>
      </c>
      <c r="C24" s="5">
        <f t="shared" si="2"/>
        <v>2.5448081000001106</v>
      </c>
      <c r="D24" s="3" t="s">
        <v>29</v>
      </c>
      <c r="E24" s="3">
        <v>4</v>
      </c>
      <c r="F24" s="6">
        <v>-1319.4258</v>
      </c>
      <c r="G24" s="6">
        <v>-1296.0875000000001</v>
      </c>
      <c r="H24" s="5">
        <v>-23.1414635</v>
      </c>
      <c r="I24">
        <v>-5.3553044999999999</v>
      </c>
      <c r="J24">
        <v>3.3809</v>
      </c>
      <c r="K24" s="6">
        <f t="shared" si="3"/>
        <v>2.6161545000001105</v>
      </c>
      <c r="L24">
        <v>-7.1346400000000004E-2</v>
      </c>
      <c r="M24" s="6">
        <f t="shared" si="1"/>
        <v>2.5448081000001106</v>
      </c>
    </row>
    <row r="25" spans="2:13" x14ac:dyDescent="0.25">
      <c r="B25">
        <f t="shared" si="0"/>
        <v>-3</v>
      </c>
      <c r="C25" s="5">
        <f t="shared" si="2"/>
        <v>4.7762081000000967</v>
      </c>
      <c r="D25" s="7" t="s">
        <v>30</v>
      </c>
      <c r="E25" s="7">
        <v>-3</v>
      </c>
      <c r="F25" s="6">
        <v>-1294.5281</v>
      </c>
      <c r="G25" s="6">
        <v>-1296.0875000000001</v>
      </c>
      <c r="H25" s="5">
        <v>-23.1414635</v>
      </c>
      <c r="I25">
        <v>-5.3553044999999999</v>
      </c>
      <c r="J25">
        <v>3.3809</v>
      </c>
      <c r="K25" s="6">
        <f t="shared" si="3"/>
        <v>3.847554500000097</v>
      </c>
      <c r="L25">
        <v>0.92865359999999997</v>
      </c>
      <c r="M25" s="6">
        <f t="shared" si="1"/>
        <v>4.7762081000000967</v>
      </c>
    </row>
    <row r="28" spans="2:13" x14ac:dyDescent="0.25">
      <c r="D28" s="2" t="s">
        <v>31</v>
      </c>
    </row>
    <row r="29" spans="2:13" x14ac:dyDescent="0.25">
      <c r="F29" s="3" t="s">
        <v>1</v>
      </c>
      <c r="G29" s="3" t="s">
        <v>2</v>
      </c>
      <c r="H29" s="4" t="s">
        <v>3</v>
      </c>
      <c r="I29" s="4" t="s">
        <v>4</v>
      </c>
      <c r="J29" s="4" t="s">
        <v>5</v>
      </c>
      <c r="K29" s="4" t="s">
        <v>6</v>
      </c>
      <c r="L29" s="4" t="s">
        <v>7</v>
      </c>
    </row>
    <row r="30" spans="2:13" x14ac:dyDescent="0.25">
      <c r="B30">
        <f>E30</f>
        <v>0</v>
      </c>
      <c r="C30" s="5">
        <f>L30</f>
        <v>2.6806045000001975</v>
      </c>
      <c r="D30" s="3" t="s">
        <v>32</v>
      </c>
      <c r="E30" s="3">
        <v>0</v>
      </c>
      <c r="F30" s="1">
        <v>-1298.7621999999999</v>
      </c>
      <c r="G30" s="6">
        <v>-1296.0875000000001</v>
      </c>
      <c r="H30">
        <v>-5.3553044999999999</v>
      </c>
      <c r="I30">
        <v>3.3808999999999969</v>
      </c>
      <c r="J30" s="6">
        <f>F30-G30-H30 +I30*E30</f>
        <v>2.6806045000001975</v>
      </c>
      <c r="K30">
        <v>0</v>
      </c>
      <c r="L30" s="6">
        <f>J30+K30</f>
        <v>2.6806045000001975</v>
      </c>
    </row>
    <row r="31" spans="2:13" x14ac:dyDescent="0.25">
      <c r="B31">
        <f>E31</f>
        <v>-1</v>
      </c>
      <c r="C31" s="5">
        <f>L31</f>
        <v>3.3442454000001787</v>
      </c>
      <c r="D31" t="s">
        <v>33</v>
      </c>
      <c r="E31">
        <v>-1</v>
      </c>
      <c r="F31" s="1">
        <v>-1294.7131999999999</v>
      </c>
      <c r="G31" s="6">
        <v>-1296.0875000000001</v>
      </c>
      <c r="H31">
        <v>-5.3553044999999999</v>
      </c>
      <c r="I31">
        <v>3.3808999999999969</v>
      </c>
      <c r="J31" s="6">
        <f>F31-G31-H31 +I31*E31</f>
        <v>3.3487045000001787</v>
      </c>
      <c r="K31">
        <v>-4.4590999999999997E-3</v>
      </c>
      <c r="L31" s="6">
        <f>J31+K31</f>
        <v>3.3442454000001787</v>
      </c>
    </row>
    <row r="32" spans="2:13" x14ac:dyDescent="0.25">
      <c r="B32">
        <f>E32</f>
        <v>-2</v>
      </c>
      <c r="C32" s="5">
        <f>L32</f>
        <v>3.9954679000001283</v>
      </c>
      <c r="D32" t="s">
        <v>34</v>
      </c>
      <c r="E32">
        <v>-2</v>
      </c>
      <c r="F32" s="1">
        <v>-1290.6677</v>
      </c>
      <c r="G32" s="6">
        <v>-1296.0875000000001</v>
      </c>
      <c r="H32">
        <v>-5.3553044999999999</v>
      </c>
      <c r="I32">
        <v>3.3808999999999969</v>
      </c>
      <c r="J32" s="6">
        <f>F32-G32-H32 +I32*E32</f>
        <v>4.0133045000001282</v>
      </c>
      <c r="K32">
        <v>-1.7836600000000001E-2</v>
      </c>
      <c r="L32" s="6">
        <f>J32+K32</f>
        <v>3.9954679000001283</v>
      </c>
    </row>
    <row r="38" spans="2:13" x14ac:dyDescent="0.25">
      <c r="B38" t="s">
        <v>47</v>
      </c>
    </row>
    <row r="41" spans="2:13" x14ac:dyDescent="0.25">
      <c r="B41" t="s">
        <v>35</v>
      </c>
      <c r="C41" t="s">
        <v>36</v>
      </c>
      <c r="D41" t="s">
        <v>37</v>
      </c>
      <c r="E41" t="s">
        <v>38</v>
      </c>
      <c r="F41" t="s">
        <v>39</v>
      </c>
      <c r="G41" s="8" t="s">
        <v>40</v>
      </c>
      <c r="H41" s="8" t="s">
        <v>41</v>
      </c>
      <c r="I41" s="8" t="s">
        <v>42</v>
      </c>
      <c r="J41" s="8" t="s">
        <v>43</v>
      </c>
      <c r="K41" s="8" t="s">
        <v>44</v>
      </c>
      <c r="L41" s="8" t="s">
        <v>45</v>
      </c>
      <c r="M41" s="8" t="s">
        <v>46</v>
      </c>
    </row>
    <row r="42" spans="2:13" x14ac:dyDescent="0.25">
      <c r="B42">
        <v>273.14999999999998</v>
      </c>
      <c r="C42">
        <v>1</v>
      </c>
      <c r="D42">
        <v>273.14999999999998</v>
      </c>
      <c r="E42">
        <v>2.0999999999999999E-3</v>
      </c>
      <c r="F42">
        <v>3.0200000000000002E-4</v>
      </c>
      <c r="G42">
        <f>-0.5*(E42-F42)*(B42-D42) -0.5*F42*B42*LOG10(B42/D42)</f>
        <v>0</v>
      </c>
      <c r="H42" s="9">
        <v>8.6173299999999997E-5</v>
      </c>
      <c r="I42" s="9">
        <f>0.5*H42*B42*LOG10(C42)</f>
        <v>0</v>
      </c>
      <c r="J42">
        <v>-27.00122</v>
      </c>
      <c r="K42">
        <v>-10.935306499999999</v>
      </c>
      <c r="L42">
        <v>-6.9238999999999997</v>
      </c>
      <c r="M42" s="10">
        <f t="shared" ref="M42:M48" si="4">(J42-K42-L42)/3 +G42+I42</f>
        <v>-3.0473378333333336</v>
      </c>
    </row>
    <row r="43" spans="2:13" x14ac:dyDescent="0.25">
      <c r="B43">
        <v>0.01</v>
      </c>
      <c r="C43">
        <v>1</v>
      </c>
      <c r="D43">
        <v>273.14999999999998</v>
      </c>
      <c r="E43">
        <v>2.0999999999999999E-3</v>
      </c>
      <c r="F43">
        <v>3.0200000000000002E-4</v>
      </c>
      <c r="G43">
        <f t="shared" ref="G43:G48" si="5">-0.5*(E43-F43)*(B43-D43) -0.5*F43*B43*LOG10(B43/D43)</f>
        <v>0.2455595589658193</v>
      </c>
      <c r="H43" s="9">
        <v>8.6173299999999997E-5</v>
      </c>
      <c r="I43" s="9">
        <f t="shared" ref="I43:I48" si="6">0.5*H43*B43*LOG10(C43)</f>
        <v>0</v>
      </c>
      <c r="J43">
        <v>-27.00122</v>
      </c>
      <c r="K43">
        <v>-10.935306499999999</v>
      </c>
      <c r="L43">
        <v>-6.9238999999999997</v>
      </c>
      <c r="M43" s="10">
        <f t="shared" si="4"/>
        <v>-2.8017782743675141</v>
      </c>
    </row>
    <row r="44" spans="2:13" x14ac:dyDescent="0.25">
      <c r="B44">
        <v>1000</v>
      </c>
      <c r="C44">
        <v>1</v>
      </c>
      <c r="D44">
        <v>273.14999999999998</v>
      </c>
      <c r="E44">
        <v>2.0999999999999999E-3</v>
      </c>
      <c r="F44">
        <v>3.0200000000000002E-4</v>
      </c>
      <c r="G44">
        <f t="shared" si="5"/>
        <v>-0.73854156806755922</v>
      </c>
      <c r="H44" s="9">
        <v>8.6173299999999997E-5</v>
      </c>
      <c r="I44" s="9">
        <f t="shared" si="6"/>
        <v>0</v>
      </c>
      <c r="J44">
        <v>-27.00122</v>
      </c>
      <c r="K44">
        <v>-10.935306499999999</v>
      </c>
      <c r="L44">
        <v>-6.9238999999999997</v>
      </c>
      <c r="M44" s="10">
        <f t="shared" si="4"/>
        <v>-3.785879401400893</v>
      </c>
    </row>
    <row r="45" spans="2:13" x14ac:dyDescent="0.25">
      <c r="B45">
        <v>273.14999999999998</v>
      </c>
      <c r="C45">
        <v>10</v>
      </c>
      <c r="D45">
        <v>273.14999999999998</v>
      </c>
      <c r="E45">
        <v>2.0999999999999999E-3</v>
      </c>
      <c r="F45">
        <v>3.0200000000000002E-4</v>
      </c>
      <c r="G45">
        <f t="shared" si="5"/>
        <v>0</v>
      </c>
      <c r="H45" s="9">
        <v>8.6173299999999997E-5</v>
      </c>
      <c r="I45" s="9">
        <f t="shared" si="6"/>
        <v>1.1769118447499999E-2</v>
      </c>
      <c r="J45">
        <v>-27.00122</v>
      </c>
      <c r="K45">
        <v>-10.935306499999999</v>
      </c>
      <c r="L45">
        <v>-6.9238999999999997</v>
      </c>
      <c r="M45" s="10">
        <f t="shared" si="4"/>
        <v>-3.0355687148858337</v>
      </c>
    </row>
    <row r="46" spans="2:13" x14ac:dyDescent="0.25">
      <c r="B46">
        <v>273.14999999999998</v>
      </c>
      <c r="C46">
        <v>0.05</v>
      </c>
      <c r="D46">
        <v>273.14999999999998</v>
      </c>
      <c r="E46">
        <v>2.0999999999999999E-3</v>
      </c>
      <c r="F46">
        <v>3.0200000000000002E-4</v>
      </c>
      <c r="G46">
        <f t="shared" si="5"/>
        <v>0</v>
      </c>
      <c r="H46" s="9">
        <v>8.6173299999999997E-5</v>
      </c>
      <c r="I46" s="9">
        <f t="shared" si="6"/>
        <v>-1.5311976122719806E-2</v>
      </c>
      <c r="J46">
        <v>-27.00122</v>
      </c>
      <c r="K46">
        <v>-10.935306499999999</v>
      </c>
      <c r="L46">
        <v>-6.9238999999999997</v>
      </c>
      <c r="M46" s="10">
        <f t="shared" si="4"/>
        <v>-3.0626498094560533</v>
      </c>
    </row>
    <row r="47" spans="2:13" x14ac:dyDescent="0.25">
      <c r="B47">
        <v>1000</v>
      </c>
      <c r="C47">
        <v>5.0000000000000001E-3</v>
      </c>
      <c r="D47">
        <v>273.14999999999998</v>
      </c>
      <c r="E47">
        <v>2.0999999999999999E-3</v>
      </c>
      <c r="F47">
        <v>3.0200000000000002E-4</v>
      </c>
      <c r="G47">
        <f t="shared" si="5"/>
        <v>-0.73854156806755922</v>
      </c>
      <c r="H47" s="9">
        <v>8.6173299999999997E-5</v>
      </c>
      <c r="I47" s="9">
        <f t="shared" si="6"/>
        <v>-9.9143674062675477E-2</v>
      </c>
      <c r="J47">
        <v>-27.00122</v>
      </c>
      <c r="K47">
        <v>-10.935306499999999</v>
      </c>
      <c r="L47">
        <v>-6.9238999999999997</v>
      </c>
      <c r="M47" s="10">
        <f t="shared" si="4"/>
        <v>-3.8850230754635686</v>
      </c>
    </row>
    <row r="48" spans="2:13" x14ac:dyDescent="0.25">
      <c r="B48">
        <v>273.14999999999998</v>
      </c>
      <c r="C48" s="9">
        <v>0.2</v>
      </c>
      <c r="D48">
        <v>273.14999999999998</v>
      </c>
      <c r="E48">
        <v>2.0999999999999999E-3</v>
      </c>
      <c r="F48">
        <v>3.0200000000000002E-4</v>
      </c>
      <c r="G48">
        <f t="shared" si="5"/>
        <v>0</v>
      </c>
      <c r="H48" s="9">
        <v>8.6173299999999997E-5</v>
      </c>
      <c r="I48" s="9">
        <f t="shared" si="6"/>
        <v>-8.226260772280192E-3</v>
      </c>
      <c r="J48">
        <v>-27.00122</v>
      </c>
      <c r="K48">
        <v>-10.935306499999999</v>
      </c>
      <c r="L48">
        <v>-6.9238999999999997</v>
      </c>
      <c r="M48" s="10">
        <f t="shared" si="4"/>
        <v>-3.0555640941056139</v>
      </c>
    </row>
    <row r="52" spans="2:10" x14ac:dyDescent="0.25">
      <c r="C52" t="s">
        <v>48</v>
      </c>
      <c r="E52" t="s">
        <v>49</v>
      </c>
      <c r="H52" t="s">
        <v>48</v>
      </c>
      <c r="J52" t="s">
        <v>49</v>
      </c>
    </row>
    <row r="53" spans="2:10" x14ac:dyDescent="0.25">
      <c r="C53">
        <v>-3.7003354499999999</v>
      </c>
      <c r="E53" s="10">
        <v>-5.4589948499999998</v>
      </c>
      <c r="H53">
        <v>-10.505552249999999</v>
      </c>
      <c r="J53" s="10">
        <f>(G53-H53-I53)/3 +D53+F53</f>
        <v>3.5018507499999996</v>
      </c>
    </row>
    <row r="55" spans="2:10" x14ac:dyDescent="0.25">
      <c r="C55" t="s">
        <v>50</v>
      </c>
      <c r="D55" t="s">
        <v>51</v>
      </c>
      <c r="E55" t="s">
        <v>52</v>
      </c>
      <c r="H55" t="s">
        <v>50</v>
      </c>
      <c r="I55" t="s">
        <v>51</v>
      </c>
      <c r="J55" t="s">
        <v>52</v>
      </c>
    </row>
    <row r="56" spans="2:10" x14ac:dyDescent="0.25">
      <c r="B56" t="s">
        <v>53</v>
      </c>
      <c r="C56">
        <f>(A76- C53)/3</f>
        <v>1.2334451499999999</v>
      </c>
      <c r="E56" s="10">
        <f>E53</f>
        <v>-5.4589948499999998</v>
      </c>
      <c r="G56" t="s">
        <v>53</v>
      </c>
      <c r="H56">
        <f>(F76- H53)/3</f>
        <v>3.5018507499999996</v>
      </c>
      <c r="J56" s="10">
        <f>J53</f>
        <v>3.5018507499999996</v>
      </c>
    </row>
    <row r="57" spans="2:10" x14ac:dyDescent="0.25">
      <c r="B57" t="s">
        <v>54</v>
      </c>
      <c r="C57">
        <f>C53</f>
        <v>-3.7003354499999999</v>
      </c>
      <c r="E57">
        <f>A76-(3*E56)</f>
        <v>16.37698455</v>
      </c>
      <c r="G57" t="s">
        <v>54</v>
      </c>
      <c r="H57">
        <f>H53</f>
        <v>-10.505552249999999</v>
      </c>
      <c r="J57">
        <f>F76-(3*J56)</f>
        <v>-10.505552249999999</v>
      </c>
    </row>
    <row r="63" spans="2:10" x14ac:dyDescent="0.25">
      <c r="C63" t="s">
        <v>11</v>
      </c>
      <c r="D63" t="s">
        <v>55</v>
      </c>
      <c r="F63" t="s">
        <v>56</v>
      </c>
    </row>
    <row r="65" spans="2:9" x14ac:dyDescent="0.25">
      <c r="B65" t="s">
        <v>57</v>
      </c>
      <c r="C65">
        <v>0</v>
      </c>
      <c r="D65" s="5">
        <v>-1296.0875000000001</v>
      </c>
      <c r="E65" s="5">
        <f>D65-$D$4</f>
        <v>-1296.0875000000001</v>
      </c>
      <c r="F65" s="5"/>
      <c r="I65" s="5">
        <f>D65-$D$4</f>
        <v>-1296.0875000000001</v>
      </c>
    </row>
    <row r="66" spans="2:9" x14ac:dyDescent="0.25">
      <c r="B66" t="s">
        <v>58</v>
      </c>
      <c r="C66">
        <v>1</v>
      </c>
      <c r="D66" s="5">
        <v>-1298.8219999999999</v>
      </c>
      <c r="E66" s="5">
        <f t="shared" ref="E66:E74" si="7">D66-$D$4</f>
        <v>-1298.8219999999999</v>
      </c>
      <c r="F66" s="5">
        <f t="shared" ref="F66:F74" si="8">(D66-$D$4)/C66</f>
        <v>-1298.8219999999999</v>
      </c>
      <c r="I66" s="5">
        <f t="shared" ref="I66:I74" si="9">D66-D66</f>
        <v>0</v>
      </c>
    </row>
    <row r="67" spans="2:9" x14ac:dyDescent="0.25">
      <c r="B67" t="s">
        <v>59</v>
      </c>
      <c r="C67">
        <v>2</v>
      </c>
      <c r="D67" s="5">
        <v>-1301.4579000000001</v>
      </c>
      <c r="E67" s="5">
        <f t="shared" si="7"/>
        <v>-1301.4579000000001</v>
      </c>
      <c r="F67" s="5">
        <f t="shared" si="8"/>
        <v>-650.72895000000005</v>
      </c>
      <c r="I67" s="5">
        <f t="shared" si="9"/>
        <v>0</v>
      </c>
    </row>
    <row r="68" spans="2:9" x14ac:dyDescent="0.25">
      <c r="B68" t="s">
        <v>60</v>
      </c>
      <c r="C68">
        <v>3</v>
      </c>
      <c r="D68" s="5">
        <v>-1304.0044</v>
      </c>
      <c r="E68" s="5">
        <f t="shared" si="7"/>
        <v>-1304.0044</v>
      </c>
      <c r="F68" s="5">
        <f t="shared" si="8"/>
        <v>-434.66813333333334</v>
      </c>
      <c r="I68" s="5">
        <f t="shared" si="9"/>
        <v>0</v>
      </c>
    </row>
    <row r="69" spans="2:9" x14ac:dyDescent="0.25">
      <c r="B69" t="s">
        <v>61</v>
      </c>
      <c r="C69">
        <v>4</v>
      </c>
      <c r="D69" s="5">
        <v>-1306.4760000000001</v>
      </c>
      <c r="E69" s="5">
        <f t="shared" si="7"/>
        <v>-1306.4760000000001</v>
      </c>
      <c r="F69" s="5">
        <f t="shared" si="8"/>
        <v>-326.61900000000003</v>
      </c>
      <c r="I69" s="5">
        <f t="shared" si="9"/>
        <v>0</v>
      </c>
    </row>
    <row r="70" spans="2:9" x14ac:dyDescent="0.25">
      <c r="B70" t="s">
        <v>62</v>
      </c>
      <c r="C70">
        <v>10</v>
      </c>
      <c r="D70" s="9">
        <v>-1320.5111999999999</v>
      </c>
      <c r="E70" s="5">
        <f t="shared" si="7"/>
        <v>-1320.5111999999999</v>
      </c>
      <c r="F70" s="5">
        <f t="shared" si="8"/>
        <v>-132.05112</v>
      </c>
      <c r="I70" s="5">
        <f t="shared" si="9"/>
        <v>0</v>
      </c>
    </row>
    <row r="71" spans="2:9" x14ac:dyDescent="0.25">
      <c r="B71" t="s">
        <v>63</v>
      </c>
      <c r="C71">
        <v>-0.1</v>
      </c>
      <c r="D71" s="9">
        <v>-1295.6869999999999</v>
      </c>
      <c r="E71" s="5">
        <f t="shared" si="7"/>
        <v>-1295.6869999999999</v>
      </c>
      <c r="F71" s="5">
        <f t="shared" si="8"/>
        <v>12956.869999999999</v>
      </c>
      <c r="I71" s="5">
        <f t="shared" si="9"/>
        <v>0</v>
      </c>
    </row>
    <row r="72" spans="2:9" x14ac:dyDescent="0.25">
      <c r="B72" t="s">
        <v>64</v>
      </c>
      <c r="C72">
        <v>-1</v>
      </c>
      <c r="D72" s="5">
        <v>-1292.0601999999999</v>
      </c>
      <c r="E72" s="5">
        <f t="shared" si="7"/>
        <v>-1292.0601999999999</v>
      </c>
      <c r="F72" s="5">
        <f t="shared" si="8"/>
        <v>1292.0601999999999</v>
      </c>
      <c r="G72" s="5"/>
      <c r="I72" s="5">
        <f t="shared" si="9"/>
        <v>0</v>
      </c>
    </row>
    <row r="73" spans="2:9" x14ac:dyDescent="0.25">
      <c r="B73" t="s">
        <v>65</v>
      </c>
      <c r="C73">
        <v>-2</v>
      </c>
      <c r="D73" s="5">
        <v>-1288.0454</v>
      </c>
      <c r="E73" s="5">
        <f t="shared" si="7"/>
        <v>-1288.0454</v>
      </c>
      <c r="F73" s="5">
        <f t="shared" si="8"/>
        <v>644.02269999999999</v>
      </c>
      <c r="G73" s="5"/>
      <c r="I73" s="5">
        <f t="shared" si="9"/>
        <v>0</v>
      </c>
    </row>
    <row r="74" spans="2:9" x14ac:dyDescent="0.25">
      <c r="B74" t="s">
        <v>66</v>
      </c>
      <c r="C74">
        <v>-5</v>
      </c>
      <c r="D74" s="9">
        <v>-1275.3994</v>
      </c>
      <c r="E74" s="5">
        <f t="shared" si="7"/>
        <v>-1275.3994</v>
      </c>
      <c r="F74" s="5">
        <f t="shared" si="8"/>
        <v>255.07988</v>
      </c>
      <c r="I74" s="5">
        <f t="shared" si="9"/>
        <v>0</v>
      </c>
    </row>
    <row r="87" spans="5:10" x14ac:dyDescent="0.25">
      <c r="E87" s="8"/>
      <c r="F87" s="8" t="s">
        <v>43</v>
      </c>
      <c r="G87" s="8" t="s">
        <v>44</v>
      </c>
      <c r="H87" s="8" t="s">
        <v>45</v>
      </c>
      <c r="I87" s="8" t="s">
        <v>46</v>
      </c>
    </row>
    <row r="88" spans="5:10" x14ac:dyDescent="0.25">
      <c r="E88">
        <v>-0.25</v>
      </c>
      <c r="F88">
        <v>-27.00122</v>
      </c>
      <c r="G88">
        <v>-10.935306499999999</v>
      </c>
      <c r="H88">
        <v>-7.6695595848553859</v>
      </c>
      <c r="I88" s="10">
        <f>(F88-G88-H88)/3 +E88</f>
        <v>-3.0487846383815387</v>
      </c>
    </row>
    <row r="90" spans="5:10" x14ac:dyDescent="0.25">
      <c r="F90" t="s">
        <v>48</v>
      </c>
      <c r="H90" t="s">
        <v>49</v>
      </c>
    </row>
    <row r="91" spans="5:10" x14ac:dyDescent="0.25">
      <c r="F91">
        <f>G88</f>
        <v>-10.935306499999999</v>
      </c>
      <c r="H91" s="10">
        <f>I88</f>
        <v>-3.0487846383815387</v>
      </c>
    </row>
    <row r="93" spans="5:10" x14ac:dyDescent="0.25">
      <c r="F93" t="s">
        <v>50</v>
      </c>
      <c r="G93" t="s">
        <v>51</v>
      </c>
      <c r="H93" t="s">
        <v>52</v>
      </c>
    </row>
    <row r="94" spans="5:10" x14ac:dyDescent="0.25">
      <c r="E94" t="s">
        <v>53</v>
      </c>
      <c r="F94">
        <f>(F88- F91)/3</f>
        <v>-5.3553044999999999</v>
      </c>
      <c r="H94" s="10">
        <f>H91</f>
        <v>-3.0487846383815387</v>
      </c>
      <c r="J94" s="10">
        <f>H94-F94</f>
        <v>2.3065198616184612</v>
      </c>
    </row>
    <row r="95" spans="5:10" x14ac:dyDescent="0.25">
      <c r="E95" t="s">
        <v>54</v>
      </c>
      <c r="F95">
        <f>F91</f>
        <v>-10.935306499999999</v>
      </c>
      <c r="H95">
        <f>F88-(3*H94)</f>
        <v>-17.854866084855384</v>
      </c>
      <c r="J95">
        <f>H95-F95</f>
        <v>-6.919559584855385</v>
      </c>
    </row>
  </sheetData>
  <conditionalFormatting sqref="B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6FB80-A0A2-4073-9B4D-A220D1318B51}">
  <dimension ref="B6:K96"/>
  <sheetViews>
    <sheetView tabSelected="1" topLeftCell="A6" zoomScale="104" workbookViewId="0">
      <selection activeCell="M25" sqref="M25"/>
    </sheetView>
  </sheetViews>
  <sheetFormatPr defaultRowHeight="15" x14ac:dyDescent="0.25"/>
  <cols>
    <col min="3" max="3" width="32.7109375" bestFit="1" customWidth="1"/>
    <col min="4" max="4" width="13.42578125" customWidth="1"/>
    <col min="5" max="5" width="15.7109375" customWidth="1"/>
    <col min="6" max="6" width="22.140625" customWidth="1"/>
    <col min="7" max="7" width="23.28515625" customWidth="1"/>
  </cols>
  <sheetData>
    <row r="6" spans="3:7" ht="15.75" thickBot="1" x14ac:dyDescent="0.3"/>
    <row r="7" spans="3:7" ht="16.5" thickTop="1" thickBot="1" x14ac:dyDescent="0.3">
      <c r="C7" s="35" t="s">
        <v>139</v>
      </c>
      <c r="D7" s="35" t="s">
        <v>237</v>
      </c>
      <c r="E7" s="35" t="s">
        <v>238</v>
      </c>
      <c r="F7" s="36" t="s">
        <v>367</v>
      </c>
      <c r="G7" s="35" t="s">
        <v>239</v>
      </c>
    </row>
    <row r="8" spans="3:7" ht="18" x14ac:dyDescent="0.25">
      <c r="C8" s="29" t="s">
        <v>368</v>
      </c>
      <c r="D8" s="29">
        <v>1.83</v>
      </c>
      <c r="E8" s="29">
        <v>2.79</v>
      </c>
      <c r="F8" s="37" t="s">
        <v>369</v>
      </c>
      <c r="G8" s="29">
        <v>3.03</v>
      </c>
    </row>
    <row r="9" spans="3:7" ht="18" x14ac:dyDescent="0.25">
      <c r="C9" s="28" t="s">
        <v>370</v>
      </c>
      <c r="D9" s="29">
        <v>3.64</v>
      </c>
      <c r="E9" s="29">
        <v>5.57</v>
      </c>
      <c r="F9" s="37">
        <v>5.61</v>
      </c>
      <c r="G9" s="29">
        <v>5.59</v>
      </c>
    </row>
    <row r="10" spans="3:7" ht="18.75" thickBot="1" x14ac:dyDescent="0.3">
      <c r="C10" s="33" t="s">
        <v>371</v>
      </c>
      <c r="D10" s="33">
        <v>4.2</v>
      </c>
      <c r="E10" s="33">
        <v>6.39</v>
      </c>
      <c r="F10" s="38">
        <v>6.48</v>
      </c>
      <c r="G10" s="33">
        <v>5.78</v>
      </c>
    </row>
    <row r="16" spans="3:7" x14ac:dyDescent="0.25">
      <c r="C16" t="s">
        <v>372</v>
      </c>
    </row>
    <row r="18" spans="3:11" ht="15.75" thickBot="1" x14ac:dyDescent="0.3">
      <c r="D18" s="29" t="s">
        <v>326</v>
      </c>
      <c r="E18" s="29" t="s">
        <v>363</v>
      </c>
      <c r="F18" s="29" t="s">
        <v>364</v>
      </c>
    </row>
    <row r="19" spans="3:11" ht="15.75" thickTop="1" x14ac:dyDescent="0.25">
      <c r="C19" s="30" t="s">
        <v>68</v>
      </c>
      <c r="D19" s="31">
        <v>2.89</v>
      </c>
      <c r="E19" s="31">
        <v>0.75</v>
      </c>
      <c r="F19" s="31">
        <v>2.7</v>
      </c>
      <c r="H19" s="51" t="s">
        <v>400</v>
      </c>
    </row>
    <row r="20" spans="3:11" x14ac:dyDescent="0.25">
      <c r="C20" s="29" t="s">
        <v>365</v>
      </c>
      <c r="D20" s="32">
        <v>4.55</v>
      </c>
      <c r="E20" s="32">
        <v>1.03</v>
      </c>
      <c r="F20" s="32">
        <v>1.04</v>
      </c>
      <c r="H20" s="51" t="s">
        <v>401</v>
      </c>
    </row>
    <row r="21" spans="3:11" ht="15.75" thickBot="1" x14ac:dyDescent="0.3">
      <c r="C21" s="33" t="s">
        <v>366</v>
      </c>
      <c r="D21" s="34">
        <v>3.89</v>
      </c>
      <c r="E21" s="34">
        <v>1.33</v>
      </c>
      <c r="F21" s="34">
        <v>1.7</v>
      </c>
    </row>
    <row r="26" spans="3:11" x14ac:dyDescent="0.25">
      <c r="C26" s="51">
        <v>4.6074908994987904</v>
      </c>
      <c r="E26" s="51">
        <v>4.7874058478692199</v>
      </c>
      <c r="G26" s="51" t="s">
        <v>402</v>
      </c>
    </row>
    <row r="27" spans="3:11" x14ac:dyDescent="0.25">
      <c r="C27" s="51">
        <v>4.2903012604865802</v>
      </c>
      <c r="E27" s="51">
        <v>4.3905412409867699</v>
      </c>
      <c r="G27" s="51" t="s">
        <v>403</v>
      </c>
    </row>
    <row r="29" spans="3:11" x14ac:dyDescent="0.25">
      <c r="C29" s="51">
        <v>4.6741298758667504</v>
      </c>
      <c r="E29" s="51">
        <v>4.2903012604865802</v>
      </c>
    </row>
    <row r="30" spans="3:11" x14ac:dyDescent="0.25">
      <c r="C30" s="51">
        <v>4.3523823279926397</v>
      </c>
      <c r="E30" s="51"/>
    </row>
    <row r="31" spans="3:11" x14ac:dyDescent="0.25">
      <c r="K31" t="s">
        <v>404</v>
      </c>
    </row>
    <row r="32" spans="3:11" x14ac:dyDescent="0.25">
      <c r="C32" t="s">
        <v>301</v>
      </c>
      <c r="G32" s="29">
        <v>5.59</v>
      </c>
    </row>
    <row r="34" spans="3:9" x14ac:dyDescent="0.25">
      <c r="E34" t="s">
        <v>376</v>
      </c>
    </row>
    <row r="35" spans="3:9" ht="15.75" thickBot="1" x14ac:dyDescent="0.3">
      <c r="C35" s="29" t="s">
        <v>379</v>
      </c>
      <c r="D35" t="s">
        <v>381</v>
      </c>
      <c r="E35" s="29" t="s">
        <v>377</v>
      </c>
      <c r="F35" s="29" t="s">
        <v>378</v>
      </c>
      <c r="G35" s="29" t="s">
        <v>364</v>
      </c>
    </row>
    <row r="36" spans="3:9" ht="15.75" thickTop="1" x14ac:dyDescent="0.25">
      <c r="C36" s="30" t="s">
        <v>388</v>
      </c>
      <c r="D36" s="41">
        <v>3.64</v>
      </c>
      <c r="E36" s="46">
        <v>2.8860390533774098</v>
      </c>
      <c r="F36" s="41">
        <f t="shared" ref="F36" si="0">D36-E36</f>
        <v>0.75396094662259028</v>
      </c>
      <c r="G36" s="41">
        <f t="shared" ref="G36" si="1">$G$32-E36</f>
        <v>2.70396094662259</v>
      </c>
      <c r="I36">
        <f>E36/D36</f>
        <v>0.79286787180698071</v>
      </c>
    </row>
    <row r="37" spans="3:9" x14ac:dyDescent="0.25">
      <c r="C37" t="s">
        <v>395</v>
      </c>
      <c r="D37" s="43">
        <v>5.57</v>
      </c>
      <c r="E37" s="1">
        <v>4.6074908994987904</v>
      </c>
      <c r="F37" s="43">
        <f>D37-E37</f>
        <v>0.96250910050120986</v>
      </c>
      <c r="G37" s="43">
        <f>$G$32-E37</f>
        <v>0.98250910050120943</v>
      </c>
      <c r="I37">
        <f>E43/D43</f>
        <v>0.7702515727983088</v>
      </c>
    </row>
    <row r="38" spans="3:9" x14ac:dyDescent="0.25">
      <c r="C38" t="s">
        <v>390</v>
      </c>
      <c r="D38" s="43">
        <v>5.57</v>
      </c>
      <c r="E38" s="47">
        <v>4.7874058478692199</v>
      </c>
      <c r="F38" s="43">
        <f>D38-E38</f>
        <v>0.78259415213078043</v>
      </c>
      <c r="G38" s="43">
        <f>$G$32-E38</f>
        <v>0.80259415213078</v>
      </c>
      <c r="I38">
        <f>E38/D38</f>
        <v>0.85949835688854925</v>
      </c>
    </row>
    <row r="39" spans="3:9" x14ac:dyDescent="0.25">
      <c r="C39" s="29" t="s">
        <v>391</v>
      </c>
      <c r="D39" s="43">
        <v>5.57</v>
      </c>
      <c r="E39" s="47">
        <v>4.6074908994987904</v>
      </c>
      <c r="F39" s="43">
        <f t="shared" ref="F39:F47" si="2">D39-E39</f>
        <v>0.96250910050120986</v>
      </c>
      <c r="G39" s="43">
        <f t="shared" ref="G39:G47" si="3">$G$32-E39</f>
        <v>0.98250910050120943</v>
      </c>
      <c r="I39">
        <f>E39/D39</f>
        <v>0.82719764802491746</v>
      </c>
    </row>
    <row r="40" spans="3:9" x14ac:dyDescent="0.25">
      <c r="C40" t="s">
        <v>392</v>
      </c>
      <c r="D40" s="43">
        <v>5.57</v>
      </c>
      <c r="E40" s="47">
        <v>4.6741298758667504</v>
      </c>
      <c r="F40" s="43">
        <f t="shared" si="2"/>
        <v>0.89587012413324985</v>
      </c>
      <c r="G40" s="43">
        <f t="shared" si="3"/>
        <v>0.91587012413324942</v>
      </c>
      <c r="I40">
        <f>E40/D40</f>
        <v>0.83916155760623878</v>
      </c>
    </row>
    <row r="41" spans="3:9" x14ac:dyDescent="0.25">
      <c r="C41" s="29" t="s">
        <v>393</v>
      </c>
      <c r="D41" s="47">
        <v>5.22</v>
      </c>
      <c r="E41" s="1">
        <v>3.873085339168485</v>
      </c>
      <c r="F41" s="43">
        <f t="shared" si="2"/>
        <v>1.3469146608315148</v>
      </c>
      <c r="G41" s="43">
        <f t="shared" si="3"/>
        <v>1.7169146608315149</v>
      </c>
      <c r="I41">
        <f>E41/D41</f>
        <v>0.74197037148821554</v>
      </c>
    </row>
    <row r="42" spans="3:9" x14ac:dyDescent="0.25">
      <c r="C42" s="29" t="s">
        <v>394</v>
      </c>
      <c r="D42" s="43">
        <v>3.64</v>
      </c>
      <c r="E42" s="1">
        <v>2.5029093986850999</v>
      </c>
      <c r="F42" s="43">
        <f t="shared" si="2"/>
        <v>1.1370906013149003</v>
      </c>
      <c r="G42" s="43">
        <f t="shared" si="3"/>
        <v>3.0870906013149</v>
      </c>
    </row>
    <row r="43" spans="3:9" x14ac:dyDescent="0.25">
      <c r="C43" t="s">
        <v>389</v>
      </c>
      <c r="D43" s="43">
        <v>5.57</v>
      </c>
      <c r="E43" s="47">
        <v>4.2903012604865802</v>
      </c>
      <c r="F43" s="43">
        <f t="shared" si="2"/>
        <v>1.2796987395134201</v>
      </c>
      <c r="G43" s="43">
        <f t="shared" si="3"/>
        <v>1.2996987395134196</v>
      </c>
    </row>
    <row r="44" spans="3:9" x14ac:dyDescent="0.25">
      <c r="C44" t="s">
        <v>399</v>
      </c>
      <c r="D44" s="43">
        <v>5.57</v>
      </c>
      <c r="E44" s="1">
        <v>4.3905412409867699</v>
      </c>
      <c r="F44" s="43">
        <f t="shared" si="2"/>
        <v>1.1794587590132304</v>
      </c>
      <c r="G44" s="43">
        <f t="shared" si="3"/>
        <v>1.19945875901323</v>
      </c>
    </row>
    <row r="45" spans="3:9" x14ac:dyDescent="0.25">
      <c r="C45" s="29" t="s">
        <v>398</v>
      </c>
      <c r="D45" s="43">
        <v>5.57</v>
      </c>
      <c r="E45" s="1">
        <v>4.2903012604865802</v>
      </c>
      <c r="F45" s="43">
        <f t="shared" si="2"/>
        <v>1.2796987395134201</v>
      </c>
      <c r="G45" s="43">
        <f t="shared" si="3"/>
        <v>1.2996987395134196</v>
      </c>
    </row>
    <row r="46" spans="3:9" x14ac:dyDescent="0.25">
      <c r="C46" t="s">
        <v>397</v>
      </c>
      <c r="D46" s="43">
        <v>5.57</v>
      </c>
      <c r="E46" s="1">
        <v>4.3523823279926397</v>
      </c>
      <c r="F46" s="43">
        <f t="shared" si="2"/>
        <v>1.2176176720073606</v>
      </c>
      <c r="G46" s="43">
        <f t="shared" si="3"/>
        <v>1.2376176720073602</v>
      </c>
    </row>
    <row r="47" spans="3:9" x14ac:dyDescent="0.25">
      <c r="C47" s="39" t="s">
        <v>396</v>
      </c>
      <c r="D47" s="48">
        <v>5.22</v>
      </c>
      <c r="E47" s="24">
        <v>3.5730853389999999</v>
      </c>
      <c r="F47" s="44">
        <f t="shared" si="2"/>
        <v>1.6469146609999998</v>
      </c>
      <c r="G47" s="44">
        <f t="shared" si="3"/>
        <v>2.0169146609999999</v>
      </c>
    </row>
    <row r="48" spans="3:9" x14ac:dyDescent="0.25">
      <c r="C48" s="29"/>
      <c r="D48" s="47"/>
      <c r="E48" s="1"/>
      <c r="F48" s="43"/>
      <c r="G48" s="43"/>
    </row>
    <row r="49" spans="2:11" x14ac:dyDescent="0.25">
      <c r="D49" s="13"/>
      <c r="E49" s="13"/>
      <c r="F49" s="13"/>
      <c r="G49" s="13"/>
    </row>
    <row r="50" spans="2:11" ht="15.75" thickBot="1" x14ac:dyDescent="0.3">
      <c r="D50" s="13"/>
      <c r="F50" s="13"/>
      <c r="G50" s="34">
        <v>5.78</v>
      </c>
    </row>
    <row r="52" spans="2:11" x14ac:dyDescent="0.25">
      <c r="C52" t="s">
        <v>394</v>
      </c>
    </row>
    <row r="53" spans="2:11" x14ac:dyDescent="0.25">
      <c r="E53" s="47">
        <f>E36-$E$41</f>
        <v>-0.98704628579107512</v>
      </c>
      <c r="F53" s="47">
        <f>F36-$F$41</f>
        <v>-0.59295371420892451</v>
      </c>
      <c r="G53" s="47">
        <f>G36-$G$41</f>
        <v>0.98704628579107512</v>
      </c>
    </row>
    <row r="54" spans="2:11" x14ac:dyDescent="0.25">
      <c r="D54" t="s">
        <v>340</v>
      </c>
      <c r="E54" s="47">
        <f>E43-$E$41</f>
        <v>0.41721592131809526</v>
      </c>
      <c r="F54" s="47">
        <f>F43-$F$41</f>
        <v>-6.7215921318094729E-2</v>
      </c>
      <c r="G54" s="47">
        <f>G43-$G$41</f>
        <v>-0.41721592131809526</v>
      </c>
    </row>
    <row r="55" spans="2:11" x14ac:dyDescent="0.25">
      <c r="B55" s="51">
        <v>4.9692824976796004</v>
      </c>
      <c r="E55" s="47">
        <f>E38-$E$41</f>
        <v>0.91432050870073489</v>
      </c>
      <c r="F55" s="47">
        <f>F38-$F$41</f>
        <v>-0.56432050870073436</v>
      </c>
      <c r="G55" s="47">
        <f>G38-$G$41</f>
        <v>-0.91432050870073489</v>
      </c>
    </row>
    <row r="56" spans="2:11" x14ac:dyDescent="0.25">
      <c r="B56" s="51">
        <v>4.6456233492267396</v>
      </c>
      <c r="D56" t="s">
        <v>340</v>
      </c>
      <c r="E56" s="47">
        <f>E39-$E$41</f>
        <v>0.73440556033030546</v>
      </c>
      <c r="F56" s="47">
        <f>F39-$F$41</f>
        <v>-0.38440556033030493</v>
      </c>
      <c r="G56" s="47">
        <f>G39-$G$41</f>
        <v>-0.73440556033030546</v>
      </c>
    </row>
    <row r="57" spans="2:11" x14ac:dyDescent="0.25">
      <c r="E57" s="47">
        <f>E40-$E$41</f>
        <v>0.80104453669826547</v>
      </c>
      <c r="F57" s="47">
        <f>F40-$F$41</f>
        <v>-0.45104453669826494</v>
      </c>
      <c r="G57" s="47">
        <f>G40-$G$41</f>
        <v>-0.80104453669826547</v>
      </c>
    </row>
    <row r="58" spans="2:11" x14ac:dyDescent="0.25">
      <c r="C58" s="51">
        <v>3.0188435390747701</v>
      </c>
      <c r="D58" s="51">
        <v>5.1350679286101597</v>
      </c>
      <c r="E58" s="47">
        <f>E41-$E$41</f>
        <v>0</v>
      </c>
      <c r="F58" s="47">
        <f>F41-$F$41</f>
        <v>0</v>
      </c>
      <c r="G58" s="47">
        <f>G41-$G$41</f>
        <v>0</v>
      </c>
    </row>
    <row r="59" spans="2:11" x14ac:dyDescent="0.25">
      <c r="C59" s="51">
        <v>2.6399888627503598</v>
      </c>
      <c r="D59" s="51">
        <v>4.7472783223333703</v>
      </c>
    </row>
    <row r="60" spans="2:11" x14ac:dyDescent="0.25">
      <c r="C60" s="51">
        <v>4.9713777751808097</v>
      </c>
      <c r="D60" s="51">
        <v>4.9713777751808097</v>
      </c>
      <c r="J60" t="s">
        <v>385</v>
      </c>
      <c r="K60" t="s">
        <v>386</v>
      </c>
    </row>
    <row r="61" spans="2:11" x14ac:dyDescent="0.25">
      <c r="C61" s="51">
        <v>4.6504329634976598</v>
      </c>
      <c r="D61" s="51">
        <v>4.6504329634976598</v>
      </c>
      <c r="J61" t="s">
        <v>382</v>
      </c>
      <c r="K61">
        <v>1.8442211055276301</v>
      </c>
    </row>
    <row r="62" spans="2:11" x14ac:dyDescent="0.25">
      <c r="J62" t="s">
        <v>383</v>
      </c>
      <c r="K62">
        <v>1.80402010050251</v>
      </c>
    </row>
    <row r="63" spans="2:11" x14ac:dyDescent="0.25">
      <c r="H63" t="s">
        <v>340</v>
      </c>
      <c r="J63" t="s">
        <v>384</v>
      </c>
      <c r="K63">
        <v>-4.5879396984924599</v>
      </c>
    </row>
    <row r="64" spans="2:11" x14ac:dyDescent="0.25">
      <c r="C64" t="s">
        <v>305</v>
      </c>
      <c r="D64" s="13"/>
      <c r="E64" s="13"/>
      <c r="F64" s="13"/>
      <c r="G64" s="13"/>
    </row>
    <row r="65" spans="3:9" x14ac:dyDescent="0.25">
      <c r="D65" s="13"/>
      <c r="E65" s="13" t="s">
        <v>376</v>
      </c>
      <c r="G65" s="13"/>
    </row>
    <row r="66" spans="3:9" ht="15.75" thickBot="1" x14ac:dyDescent="0.3">
      <c r="D66" s="13" t="s">
        <v>381</v>
      </c>
      <c r="E66" s="29" t="s">
        <v>377</v>
      </c>
      <c r="F66" s="29" t="s">
        <v>378</v>
      </c>
      <c r="G66" s="29" t="s">
        <v>364</v>
      </c>
    </row>
    <row r="67" spans="3:9" ht="15.75" thickTop="1" x14ac:dyDescent="0.25">
      <c r="C67" s="30" t="s">
        <v>388</v>
      </c>
      <c r="D67" s="41">
        <v>4.2</v>
      </c>
      <c r="E67" s="41">
        <v>3.0188435390747701</v>
      </c>
      <c r="F67" s="41">
        <f>D67-E67</f>
        <v>1.1811564609252301</v>
      </c>
      <c r="G67" s="41">
        <f t="shared" ref="G67:G72" si="4">$G$50-E67</f>
        <v>2.7611564609252301</v>
      </c>
      <c r="I67">
        <f t="shared" ref="I67:I72" si="5">E67/D67</f>
        <v>0.71877227120827858</v>
      </c>
    </row>
    <row r="68" spans="3:9" x14ac:dyDescent="0.25">
      <c r="C68" t="s">
        <v>395</v>
      </c>
      <c r="D68" s="43">
        <v>6.39</v>
      </c>
      <c r="E68" s="49">
        <v>4.9713777751808097</v>
      </c>
      <c r="F68" s="43">
        <f t="shared" ref="F68:F71" si="6">D68-E68</f>
        <v>1.41862222481919</v>
      </c>
      <c r="G68" s="43">
        <f t="shared" si="4"/>
        <v>0.80862222481919055</v>
      </c>
      <c r="I68">
        <f t="shared" si="5"/>
        <v>0.77799339204707507</v>
      </c>
    </row>
    <row r="69" spans="3:9" x14ac:dyDescent="0.25">
      <c r="C69" t="s">
        <v>390</v>
      </c>
      <c r="D69" s="43">
        <v>6.39</v>
      </c>
      <c r="E69" s="49">
        <v>5.1350679286101597</v>
      </c>
      <c r="F69" s="43">
        <f t="shared" si="6"/>
        <v>1.25493207138984</v>
      </c>
      <c r="G69" s="43">
        <f t="shared" si="4"/>
        <v>0.64493207138984054</v>
      </c>
      <c r="I69">
        <f t="shared" si="5"/>
        <v>0.80361000447733333</v>
      </c>
    </row>
    <row r="70" spans="3:9" x14ac:dyDescent="0.25">
      <c r="C70" s="29" t="s">
        <v>391</v>
      </c>
      <c r="D70" s="43">
        <v>6.39</v>
      </c>
      <c r="E70" s="49">
        <v>4.9713777751808097</v>
      </c>
      <c r="F70" s="43">
        <f t="shared" si="6"/>
        <v>1.41862222481919</v>
      </c>
      <c r="G70" s="43">
        <f t="shared" si="4"/>
        <v>0.80862222481919055</v>
      </c>
      <c r="I70">
        <f t="shared" si="5"/>
        <v>0.77799339204707507</v>
      </c>
    </row>
    <row r="71" spans="3:9" x14ac:dyDescent="0.25">
      <c r="C71" t="s">
        <v>392</v>
      </c>
      <c r="D71" s="43">
        <v>6.39</v>
      </c>
      <c r="E71" s="49">
        <v>4.9692824976796004</v>
      </c>
      <c r="F71" s="43">
        <f t="shared" si="6"/>
        <v>1.4207175023203993</v>
      </c>
      <c r="G71" s="43">
        <f t="shared" si="4"/>
        <v>0.81071750232039985</v>
      </c>
      <c r="I71">
        <f t="shared" si="5"/>
        <v>0.7776654925946167</v>
      </c>
    </row>
    <row r="72" spans="3:9" x14ac:dyDescent="0.25">
      <c r="C72" s="29" t="s">
        <v>393</v>
      </c>
      <c r="D72" s="49">
        <v>5.8</v>
      </c>
      <c r="E72" s="49">
        <v>4.1265822784810098</v>
      </c>
      <c r="F72" s="43">
        <f>D72-E72</f>
        <v>1.67341772151899</v>
      </c>
      <c r="G72" s="43">
        <f t="shared" si="4"/>
        <v>1.6534177215189905</v>
      </c>
      <c r="I72">
        <f t="shared" si="5"/>
        <v>0.71147970318638099</v>
      </c>
    </row>
    <row r="73" spans="3:9" x14ac:dyDescent="0.25">
      <c r="C73" s="29" t="s">
        <v>394</v>
      </c>
      <c r="D73" s="43">
        <v>4.2</v>
      </c>
      <c r="E73" s="47">
        <v>2.6399888627503598</v>
      </c>
      <c r="F73" s="43">
        <f t="shared" ref="F73:F78" si="7">D73-E73</f>
        <v>1.5600111372496404</v>
      </c>
      <c r="G73" s="43">
        <f t="shared" ref="G73:G78" si="8">$G$50-E73</f>
        <v>3.1400111372496404</v>
      </c>
    </row>
    <row r="74" spans="3:9" x14ac:dyDescent="0.25">
      <c r="C74" t="s">
        <v>389</v>
      </c>
      <c r="D74" s="43">
        <v>6.39</v>
      </c>
      <c r="E74" s="47">
        <v>4.6504329634976598</v>
      </c>
      <c r="F74" s="43">
        <f t="shared" si="7"/>
        <v>1.7395670365023399</v>
      </c>
      <c r="G74" s="43">
        <f t="shared" si="8"/>
        <v>1.1295670365023405</v>
      </c>
    </row>
    <row r="75" spans="3:9" x14ac:dyDescent="0.25">
      <c r="C75" t="s">
        <v>399</v>
      </c>
      <c r="D75" s="43">
        <v>6.39</v>
      </c>
      <c r="E75" s="47">
        <v>4.7472783223333703</v>
      </c>
      <c r="F75" s="43">
        <f t="shared" si="7"/>
        <v>1.6427216776666294</v>
      </c>
      <c r="G75" s="43">
        <f t="shared" si="8"/>
        <v>1.0327216776666299</v>
      </c>
    </row>
    <row r="76" spans="3:9" x14ac:dyDescent="0.25">
      <c r="C76" s="29" t="s">
        <v>398</v>
      </c>
      <c r="D76" s="43">
        <v>6.39</v>
      </c>
      <c r="E76" s="47">
        <v>4.6504329634976598</v>
      </c>
      <c r="F76" s="43">
        <f t="shared" si="7"/>
        <v>1.7395670365023399</v>
      </c>
      <c r="G76" s="43">
        <f t="shared" si="8"/>
        <v>1.1295670365023405</v>
      </c>
    </row>
    <row r="77" spans="3:9" x14ac:dyDescent="0.25">
      <c r="C77" t="s">
        <v>397</v>
      </c>
      <c r="D77" s="43">
        <v>6.39</v>
      </c>
      <c r="E77" s="47">
        <v>4.6456233492267396</v>
      </c>
      <c r="F77" s="43">
        <f t="shared" si="7"/>
        <v>1.7443766507732601</v>
      </c>
      <c r="G77" s="43">
        <f t="shared" si="8"/>
        <v>1.1343766507732607</v>
      </c>
    </row>
    <row r="78" spans="3:9" x14ac:dyDescent="0.25">
      <c r="C78" s="39" t="s">
        <v>396</v>
      </c>
      <c r="D78" s="50">
        <v>5.8</v>
      </c>
      <c r="E78" s="48">
        <v>3.8265822785000001</v>
      </c>
      <c r="F78" s="44">
        <f t="shared" si="7"/>
        <v>1.9734177214999997</v>
      </c>
      <c r="G78" s="44">
        <f t="shared" si="8"/>
        <v>1.9534177215000001</v>
      </c>
    </row>
    <row r="79" spans="3:9" x14ac:dyDescent="0.25">
      <c r="D79" s="13"/>
      <c r="E79" s="13"/>
      <c r="F79" s="13"/>
      <c r="G79" s="13"/>
    </row>
    <row r="80" spans="3:9" x14ac:dyDescent="0.25">
      <c r="D80" s="13"/>
      <c r="E80" s="13"/>
      <c r="F80" s="13"/>
      <c r="G80" s="13"/>
    </row>
    <row r="81" spans="3:9" x14ac:dyDescent="0.25">
      <c r="D81" s="13"/>
      <c r="E81" s="47">
        <f t="shared" ref="E81:E86" si="9">E67-$E$72</f>
        <v>-1.1077387394062397</v>
      </c>
      <c r="F81" s="47">
        <f t="shared" ref="F81:F86" si="10">F67-$F$72</f>
        <v>-0.49226126059375996</v>
      </c>
      <c r="G81" s="47">
        <f t="shared" ref="G81:G86" si="11">G67-$G$72</f>
        <v>1.1077387394062397</v>
      </c>
    </row>
    <row r="82" spans="3:9" x14ac:dyDescent="0.25">
      <c r="D82" s="13" t="s">
        <v>340</v>
      </c>
      <c r="E82" s="47">
        <f t="shared" si="9"/>
        <v>0.84479549669979992</v>
      </c>
      <c r="F82" s="47">
        <f t="shared" si="10"/>
        <v>-0.25479549669980006</v>
      </c>
      <c r="G82" s="47">
        <f t="shared" si="11"/>
        <v>-0.84479549669979992</v>
      </c>
    </row>
    <row r="83" spans="3:9" x14ac:dyDescent="0.25">
      <c r="E83" s="47">
        <f t="shared" si="9"/>
        <v>1.0084856501291499</v>
      </c>
      <c r="F83" s="47">
        <f t="shared" si="10"/>
        <v>-0.41848565012915007</v>
      </c>
      <c r="G83" s="47">
        <f t="shared" si="11"/>
        <v>-1.0084856501291499</v>
      </c>
    </row>
    <row r="84" spans="3:9" x14ac:dyDescent="0.25">
      <c r="E84" s="47">
        <f t="shared" si="9"/>
        <v>0.84479549669979992</v>
      </c>
      <c r="F84" s="47">
        <f t="shared" si="10"/>
        <v>-0.25479549669980006</v>
      </c>
      <c r="G84" s="47">
        <f t="shared" si="11"/>
        <v>-0.84479549669979992</v>
      </c>
    </row>
    <row r="85" spans="3:9" x14ac:dyDescent="0.25">
      <c r="E85" s="47">
        <f t="shared" si="9"/>
        <v>0.84270021919859062</v>
      </c>
      <c r="F85" s="47">
        <f t="shared" si="10"/>
        <v>-0.25270021919859076</v>
      </c>
      <c r="G85" s="47">
        <f t="shared" si="11"/>
        <v>-0.84270021919859062</v>
      </c>
    </row>
    <row r="86" spans="3:9" x14ac:dyDescent="0.25">
      <c r="E86" s="47">
        <f t="shared" si="9"/>
        <v>0</v>
      </c>
      <c r="F86" s="47">
        <f t="shared" si="10"/>
        <v>0</v>
      </c>
      <c r="G86" s="47">
        <f t="shared" si="11"/>
        <v>0</v>
      </c>
    </row>
    <row r="87" spans="3:9" x14ac:dyDescent="0.25">
      <c r="E87" s="47"/>
    </row>
    <row r="88" spans="3:9" x14ac:dyDescent="0.25">
      <c r="E88" s="47"/>
    </row>
    <row r="89" spans="3:9" x14ac:dyDescent="0.25">
      <c r="D89" s="13"/>
      <c r="E89" s="13"/>
      <c r="F89" s="15">
        <v>2.6439797650255801</v>
      </c>
      <c r="G89" s="13"/>
    </row>
    <row r="90" spans="3:9" x14ac:dyDescent="0.25">
      <c r="C90" t="s">
        <v>356</v>
      </c>
      <c r="D90" s="13"/>
      <c r="E90" s="15">
        <v>1.8685396211963801</v>
      </c>
      <c r="F90" s="13"/>
      <c r="G90" s="32">
        <v>3.03</v>
      </c>
    </row>
    <row r="91" spans="3:9" x14ac:dyDescent="0.25">
      <c r="D91" s="13"/>
      <c r="E91" s="13"/>
      <c r="F91" s="13"/>
      <c r="G91" s="13"/>
    </row>
    <row r="92" spans="3:9" x14ac:dyDescent="0.25">
      <c r="D92" s="13"/>
      <c r="E92" s="13" t="s">
        <v>376</v>
      </c>
      <c r="G92" s="13"/>
    </row>
    <row r="93" spans="3:9" ht="15.75" thickBot="1" x14ac:dyDescent="0.3">
      <c r="D93" s="13" t="s">
        <v>381</v>
      </c>
      <c r="E93" s="29" t="s">
        <v>377</v>
      </c>
      <c r="F93" s="29" t="s">
        <v>378</v>
      </c>
      <c r="G93" s="29" t="s">
        <v>364</v>
      </c>
    </row>
    <row r="94" spans="3:9" ht="15.75" thickTop="1" x14ac:dyDescent="0.25">
      <c r="C94" s="40" t="s">
        <v>68</v>
      </c>
      <c r="D94" s="41">
        <v>1.83</v>
      </c>
      <c r="E94" s="41">
        <v>1.8685396211963801</v>
      </c>
      <c r="F94" s="41">
        <f>D94-E94</f>
        <v>-3.8539621196379992E-2</v>
      </c>
      <c r="G94" s="41">
        <f>$G$90-E94</f>
        <v>1.1614603788036197</v>
      </c>
      <c r="I94">
        <f>E94/D94</f>
        <v>1.0210599022931037</v>
      </c>
    </row>
    <row r="95" spans="3:9" x14ac:dyDescent="0.25">
      <c r="C95" s="42" t="s">
        <v>331</v>
      </c>
      <c r="D95" s="43">
        <v>2.79</v>
      </c>
      <c r="E95" s="43">
        <v>2.6439797650255801</v>
      </c>
      <c r="F95" s="43">
        <f t="shared" ref="F95" si="12">D95-E95</f>
        <v>0.14602023497441996</v>
      </c>
      <c r="G95" s="43">
        <f>$G$90-E95</f>
        <v>0.38602023497441973</v>
      </c>
      <c r="I95">
        <f>E95/D95</f>
        <v>0.9476629982170538</v>
      </c>
    </row>
    <row r="96" spans="3:9" x14ac:dyDescent="0.25">
      <c r="C96" s="45" t="s">
        <v>114</v>
      </c>
      <c r="D96" s="48">
        <v>3.13</v>
      </c>
      <c r="E96" s="48">
        <v>2.7371099999999999</v>
      </c>
      <c r="F96" s="44">
        <f>D96-E96</f>
        <v>0.39288999999999996</v>
      </c>
      <c r="G96" s="44">
        <f>$G$90-E96</f>
        <v>0.29288999999999987</v>
      </c>
      <c r="I96">
        <f>E96/D96</f>
        <v>0.87447603833865817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FCD00-7FC6-49CB-BEF9-E578CA391476}">
  <dimension ref="A2:T299"/>
  <sheetViews>
    <sheetView zoomScale="85" zoomScaleNormal="85" workbookViewId="0">
      <selection activeCell="E43" sqref="E43"/>
    </sheetView>
  </sheetViews>
  <sheetFormatPr defaultRowHeight="15" x14ac:dyDescent="0.25"/>
  <cols>
    <col min="3" max="3" width="19.42578125" customWidth="1"/>
    <col min="5" max="5" width="10.42578125" customWidth="1"/>
    <col min="8" max="8" width="12.42578125" bestFit="1" customWidth="1"/>
    <col min="10" max="10" width="12.42578125" bestFit="1" customWidth="1"/>
    <col min="11" max="11" width="11.85546875" customWidth="1"/>
    <col min="12" max="12" width="13.42578125" bestFit="1" customWidth="1"/>
    <col min="14" max="14" width="11.7109375" bestFit="1" customWidth="1"/>
    <col min="17" max="17" width="11.140625" customWidth="1"/>
  </cols>
  <sheetData>
    <row r="2" spans="1:14" x14ac:dyDescent="0.25">
      <c r="B2" t="s">
        <v>77</v>
      </c>
    </row>
    <row r="3" spans="1:14" x14ac:dyDescent="0.25">
      <c r="I3">
        <v>13.605698066</v>
      </c>
      <c r="L3" t="s">
        <v>68</v>
      </c>
      <c r="N3" t="s">
        <v>85</v>
      </c>
    </row>
    <row r="4" spans="1:14" x14ac:dyDescent="0.25">
      <c r="C4" t="s">
        <v>70</v>
      </c>
      <c r="L4" t="s">
        <v>83</v>
      </c>
      <c r="M4">
        <v>8.7052999999999994</v>
      </c>
      <c r="N4">
        <f>M5-M4</f>
        <v>1.8346</v>
      </c>
    </row>
    <row r="5" spans="1:14" x14ac:dyDescent="0.25">
      <c r="L5" t="s">
        <v>84</v>
      </c>
      <c r="M5">
        <v>10.539899999999999</v>
      </c>
    </row>
    <row r="6" spans="1:14" x14ac:dyDescent="0.25">
      <c r="B6" t="s">
        <v>68</v>
      </c>
      <c r="G6" t="s">
        <v>69</v>
      </c>
    </row>
    <row r="7" spans="1:14" x14ac:dyDescent="0.25">
      <c r="C7" t="s">
        <v>73</v>
      </c>
      <c r="E7" t="s">
        <v>93</v>
      </c>
      <c r="H7" t="s">
        <v>73</v>
      </c>
      <c r="J7" t="s">
        <v>93</v>
      </c>
      <c r="L7" t="s">
        <v>69</v>
      </c>
    </row>
    <row r="8" spans="1:14" x14ac:dyDescent="0.25">
      <c r="B8" t="s">
        <v>71</v>
      </c>
      <c r="C8">
        <v>-4438.5520279399998</v>
      </c>
      <c r="D8">
        <f>C8*$I$3</f>
        <v>-60389.598742383634</v>
      </c>
      <c r="E8">
        <f>D8/32</f>
        <v>-1887.1749606994886</v>
      </c>
      <c r="G8" t="s">
        <v>71</v>
      </c>
      <c r="H8">
        <v>-4409.6804683999999</v>
      </c>
      <c r="I8">
        <f>H8*$I$3</f>
        <v>-59996.781020587856</v>
      </c>
      <c r="J8">
        <f>I8/32</f>
        <v>-1874.8994068933705</v>
      </c>
      <c r="L8" t="s">
        <v>83</v>
      </c>
      <c r="M8">
        <v>7.4236000000000004</v>
      </c>
      <c r="N8" t="s">
        <v>85</v>
      </c>
    </row>
    <row r="9" spans="1:14" x14ac:dyDescent="0.25">
      <c r="L9" t="s">
        <v>84</v>
      </c>
      <c r="M9">
        <v>10.215999999999999</v>
      </c>
      <c r="N9">
        <f>M9-M8</f>
        <v>2.7923999999999989</v>
      </c>
    </row>
    <row r="11" spans="1:14" x14ac:dyDescent="0.25">
      <c r="B11" t="s">
        <v>117</v>
      </c>
    </row>
    <row r="13" spans="1:14" x14ac:dyDescent="0.25">
      <c r="B13" s="3" t="s">
        <v>11</v>
      </c>
      <c r="C13" t="s">
        <v>80</v>
      </c>
      <c r="D13" s="3" t="s">
        <v>1</v>
      </c>
      <c r="E13" s="3" t="s">
        <v>2</v>
      </c>
      <c r="F13" s="4" t="s">
        <v>3</v>
      </c>
      <c r="G13" s="4" t="s">
        <v>4</v>
      </c>
      <c r="H13" s="4" t="s">
        <v>5</v>
      </c>
      <c r="I13" s="4" t="s">
        <v>6</v>
      </c>
      <c r="J13" s="4" t="s">
        <v>86</v>
      </c>
      <c r="K13" s="12" t="s">
        <v>87</v>
      </c>
    </row>
    <row r="14" spans="1:14" x14ac:dyDescent="0.25">
      <c r="A14" t="s">
        <v>68</v>
      </c>
      <c r="C14" t="s">
        <v>81</v>
      </c>
      <c r="D14" t="s">
        <v>67</v>
      </c>
      <c r="J14">
        <v>0</v>
      </c>
      <c r="K14">
        <f>N4</f>
        <v>1.8346</v>
      </c>
      <c r="L14">
        <v>2.7923999999999989</v>
      </c>
    </row>
    <row r="15" spans="1:14" x14ac:dyDescent="0.25">
      <c r="A15" t="s">
        <v>78</v>
      </c>
      <c r="B15">
        <v>0</v>
      </c>
      <c r="C15">
        <v>-4406.0092808899999</v>
      </c>
      <c r="D15">
        <f>C15*$I$3</f>
        <v>-59946.831951783126</v>
      </c>
      <c r="E15">
        <v>-60389.598742383634</v>
      </c>
      <c r="F15">
        <v>-438.89092061230014</v>
      </c>
      <c r="G15">
        <v>8.7052999999999994</v>
      </c>
      <c r="H15" s="6">
        <f>D15-E15+F15 +G15*B15</f>
        <v>3.8758699882079668</v>
      </c>
      <c r="I15">
        <v>0</v>
      </c>
      <c r="J15" s="5">
        <f>H15+I15</f>
        <v>3.8758699882079668</v>
      </c>
      <c r="K15">
        <f>J15+B15*$N$4</f>
        <v>3.8758699882079668</v>
      </c>
      <c r="L15">
        <f>J15+B15*$L$14</f>
        <v>3.8758699882079668</v>
      </c>
    </row>
    <row r="16" spans="1:14" x14ac:dyDescent="0.25">
      <c r="A16" t="s">
        <v>79</v>
      </c>
      <c r="B16">
        <v>2</v>
      </c>
      <c r="C16">
        <v>-4407.5231825299998</v>
      </c>
      <c r="D16">
        <f>C16*$I$3</f>
        <v>-59967.429640398586</v>
      </c>
      <c r="E16">
        <v>-60389.598742383634</v>
      </c>
      <c r="F16">
        <v>-438.89092061230014</v>
      </c>
      <c r="G16">
        <v>8.7052999999999994</v>
      </c>
      <c r="H16" s="6">
        <f>D16-E16+F16 +G16*B16</f>
        <v>0.68878137274760931</v>
      </c>
      <c r="I16" s="5">
        <v>0</v>
      </c>
      <c r="J16" s="5">
        <f>H16+I16</f>
        <v>0.68878137274760931</v>
      </c>
      <c r="K16">
        <f>J16+B16*$N$4</f>
        <v>4.3579813727476093</v>
      </c>
      <c r="L16">
        <f>J16+B16*$L$14</f>
        <v>6.2735813727476071</v>
      </c>
    </row>
    <row r="18" spans="1:13" x14ac:dyDescent="0.25">
      <c r="A18" t="s">
        <v>82</v>
      </c>
      <c r="G18" t="s">
        <v>89</v>
      </c>
      <c r="H18">
        <f>(H16-H15)/(B15-B16)</f>
        <v>1.5935443077301787</v>
      </c>
      <c r="J18">
        <f>K14-H18</f>
        <v>0.24105569226982126</v>
      </c>
    </row>
    <row r="19" spans="1:13" x14ac:dyDescent="0.25">
      <c r="D19">
        <f>(D16-D15)/2 -G15</f>
        <v>-19.004144307730179</v>
      </c>
    </row>
    <row r="20" spans="1:13" x14ac:dyDescent="0.25">
      <c r="A20" t="s">
        <v>69</v>
      </c>
      <c r="J20">
        <v>0</v>
      </c>
      <c r="K20">
        <f>N9</f>
        <v>2.7923999999999989</v>
      </c>
    </row>
    <row r="21" spans="1:13" x14ac:dyDescent="0.25">
      <c r="A21" t="s">
        <v>78</v>
      </c>
      <c r="B21">
        <v>0</v>
      </c>
      <c r="C21">
        <v>-4377.6220384718999</v>
      </c>
      <c r="D21">
        <f>C21*$I$3</f>
        <v>-59560.603702516106</v>
      </c>
      <c r="E21">
        <v>-59996.781020587856</v>
      </c>
      <c r="F21">
        <v>-432.5366139324928</v>
      </c>
      <c r="G21">
        <v>7.4236000000000004</v>
      </c>
      <c r="H21" s="6">
        <f>D21-E21+F21 +G21*B21</f>
        <v>3.6407041392572523</v>
      </c>
      <c r="I21">
        <v>0</v>
      </c>
      <c r="J21" s="5">
        <f>H21+I21</f>
        <v>3.6407041392572523</v>
      </c>
      <c r="K21">
        <f>J21+B21*$N$9</f>
        <v>3.6407041392572523</v>
      </c>
      <c r="M21">
        <f>(D16-D15)/2</f>
        <v>-10.298844307730178</v>
      </c>
    </row>
    <row r="22" spans="1:13" x14ac:dyDescent="0.25">
      <c r="A22" t="s">
        <v>79</v>
      </c>
      <c r="B22">
        <v>2</v>
      </c>
      <c r="C22">
        <v>-4379.0841338968003</v>
      </c>
      <c r="D22">
        <f>C22*$I$3</f>
        <v>-59580.49653141098</v>
      </c>
      <c r="E22">
        <v>-59996.781020587856</v>
      </c>
      <c r="F22">
        <v>-432.5366139324928</v>
      </c>
      <c r="G22">
        <v>7.4236000000000004</v>
      </c>
      <c r="H22" s="6">
        <f>D22-E22+F22 +G22*B22</f>
        <v>-1.4049247556164204</v>
      </c>
      <c r="I22" s="5">
        <v>0</v>
      </c>
      <c r="J22" s="5">
        <f>H22+I22</f>
        <v>-1.4049247556164204</v>
      </c>
      <c r="K22">
        <f>J22+B22*$N$9</f>
        <v>4.1798752443835774</v>
      </c>
    </row>
    <row r="24" spans="1:13" x14ac:dyDescent="0.25">
      <c r="A24" t="s">
        <v>82</v>
      </c>
      <c r="E24">
        <f>E22/(72/3)</f>
        <v>-2499.8658758578272</v>
      </c>
      <c r="G24" t="s">
        <v>89</v>
      </c>
      <c r="H24">
        <f>(H22-H21)/(B21-B22)</f>
        <v>2.5228144474368364</v>
      </c>
      <c r="J24">
        <f>K20-H24</f>
        <v>0.26958555256316252</v>
      </c>
    </row>
    <row r="27" spans="1:13" x14ac:dyDescent="0.25">
      <c r="B27" t="s">
        <v>105</v>
      </c>
    </row>
    <row r="29" spans="1:13" x14ac:dyDescent="0.25">
      <c r="B29" s="3" t="s">
        <v>11</v>
      </c>
      <c r="C29" t="s">
        <v>80</v>
      </c>
      <c r="D29" s="3" t="s">
        <v>1</v>
      </c>
      <c r="E29" s="3" t="s">
        <v>2</v>
      </c>
      <c r="F29" s="4" t="s">
        <v>3</v>
      </c>
      <c r="G29" s="4" t="s">
        <v>4</v>
      </c>
      <c r="H29" s="4" t="s">
        <v>5</v>
      </c>
      <c r="I29" s="4" t="s">
        <v>6</v>
      </c>
      <c r="J29" s="4" t="s">
        <v>86</v>
      </c>
      <c r="K29" s="12" t="s">
        <v>87</v>
      </c>
    </row>
    <row r="30" spans="1:13" x14ac:dyDescent="0.25">
      <c r="A30" t="s">
        <v>68</v>
      </c>
      <c r="C30" t="s">
        <v>81</v>
      </c>
      <c r="D30" t="s">
        <v>67</v>
      </c>
      <c r="J30">
        <v>0</v>
      </c>
      <c r="K30">
        <v>1.8346</v>
      </c>
      <c r="L30">
        <v>2.7923999999999989</v>
      </c>
    </row>
    <row r="31" spans="1:13" x14ac:dyDescent="0.25">
      <c r="A31" t="s">
        <v>78</v>
      </c>
      <c r="B31">
        <v>0</v>
      </c>
      <c r="C31">
        <v>-4406.0092808899999</v>
      </c>
      <c r="D31">
        <f>C31*$I$3</f>
        <v>-59946.831951783126</v>
      </c>
      <c r="E31">
        <v>-60389.598742383634</v>
      </c>
      <c r="F31">
        <v>-443.499942444819</v>
      </c>
      <c r="G31">
        <v>8.6999999999999993</v>
      </c>
      <c r="H31" s="6">
        <f>D31-E31+F31 +G31*B31</f>
        <v>-0.73315184431089619</v>
      </c>
      <c r="I31">
        <v>0</v>
      </c>
      <c r="J31" s="5">
        <f>H31+I31</f>
        <v>-0.73315184431089619</v>
      </c>
      <c r="K31">
        <f>J31+B31*$N$4</f>
        <v>-0.73315184431089619</v>
      </c>
      <c r="L31">
        <f>J31+B31*$L$14</f>
        <v>-0.73315184431089619</v>
      </c>
    </row>
    <row r="32" spans="1:13" x14ac:dyDescent="0.25">
      <c r="A32" t="s">
        <v>79</v>
      </c>
      <c r="B32">
        <v>2</v>
      </c>
      <c r="C32">
        <v>-4407.5231825299998</v>
      </c>
      <c r="D32">
        <f>C32*$I$3</f>
        <v>-59967.429640398586</v>
      </c>
      <c r="E32">
        <v>-60389.598742383634</v>
      </c>
      <c r="F32">
        <v>-443.499942444819</v>
      </c>
      <c r="G32">
        <v>8.6999999999999993</v>
      </c>
      <c r="H32" s="6">
        <f>D32-E32+F32 +G32*B32</f>
        <v>-3.9308404597712538</v>
      </c>
      <c r="I32" s="5">
        <v>0</v>
      </c>
      <c r="J32" s="5">
        <f>H32+I32</f>
        <v>-3.9308404597712538</v>
      </c>
      <c r="K32">
        <f>J32+B32*$N$4</f>
        <v>-0.26164045977125383</v>
      </c>
      <c r="L32">
        <f>J32+B32*$L$14</f>
        <v>1.6539595402287439</v>
      </c>
    </row>
    <row r="34" spans="1:15" x14ac:dyDescent="0.25">
      <c r="A34" t="s">
        <v>82</v>
      </c>
      <c r="G34" t="s">
        <v>89</v>
      </c>
      <c r="H34">
        <f>(H32-H31)/(B31-B32)</f>
        <v>1.5988443077301788</v>
      </c>
      <c r="J34">
        <f>K30-H34</f>
        <v>0.23575569226982118</v>
      </c>
    </row>
    <row r="35" spans="1:15" x14ac:dyDescent="0.25">
      <c r="D35">
        <f>(D32-D31)/2 -G31</f>
        <v>-18.998844307730177</v>
      </c>
    </row>
    <row r="36" spans="1:15" x14ac:dyDescent="0.25">
      <c r="A36" t="s">
        <v>69</v>
      </c>
      <c r="J36">
        <v>0</v>
      </c>
      <c r="K36">
        <v>2.7923999999999989</v>
      </c>
    </row>
    <row r="37" spans="1:15" x14ac:dyDescent="0.25">
      <c r="A37" t="s">
        <v>78</v>
      </c>
      <c r="B37">
        <v>0</v>
      </c>
      <c r="C37">
        <v>-4377.62203847</v>
      </c>
      <c r="D37">
        <f>C37*$I$3</f>
        <v>-59560.603702490262</v>
      </c>
      <c r="E37">
        <v>-59996.781020587856</v>
      </c>
      <c r="F37">
        <v>-437.14563576501166</v>
      </c>
      <c r="G37">
        <v>7.4236000000000004</v>
      </c>
      <c r="H37" s="6">
        <f>D37-E37+F37 +G37*B37</f>
        <v>-0.96831766741740921</v>
      </c>
      <c r="I37">
        <v>0</v>
      </c>
      <c r="J37" s="5">
        <f>H37+I37</f>
        <v>-0.96831766741740921</v>
      </c>
      <c r="K37">
        <f>J37+B37*$K$36</f>
        <v>-0.96831766741740921</v>
      </c>
    </row>
    <row r="38" spans="1:15" x14ac:dyDescent="0.25">
      <c r="A38" t="s">
        <v>79</v>
      </c>
      <c r="B38">
        <v>2</v>
      </c>
      <c r="C38">
        <v>-4379.0841338999999</v>
      </c>
      <c r="D38">
        <f>C38*$I$3</f>
        <v>-59580.496531454512</v>
      </c>
      <c r="E38">
        <v>-59996.781020587856</v>
      </c>
      <c r="F38">
        <v>-437.14563576501166</v>
      </c>
      <c r="G38">
        <v>7.4236000000000004</v>
      </c>
      <c r="H38" s="6">
        <f>D38-E38+F38 +G38*B38</f>
        <v>-6.0139466316673378</v>
      </c>
      <c r="I38" s="5">
        <v>0</v>
      </c>
      <c r="J38" s="5">
        <f>H38+I38</f>
        <v>-6.0139466316673378</v>
      </c>
      <c r="K38">
        <f>J38+B38*$K$36</f>
        <v>-0.42914663166734002</v>
      </c>
    </row>
    <row r="47" spans="1:15" x14ac:dyDescent="0.25">
      <c r="I47" t="s">
        <v>336</v>
      </c>
      <c r="K47">
        <v>-504.33390133</v>
      </c>
      <c r="L47">
        <v>11.83554709</v>
      </c>
      <c r="N47">
        <f>K47/16</f>
        <v>-31.520868833125</v>
      </c>
      <c r="O47">
        <f>L47/16</f>
        <v>0.73972169312500002</v>
      </c>
    </row>
    <row r="49" spans="1:19" x14ac:dyDescent="0.25">
      <c r="I49" t="s">
        <v>135</v>
      </c>
      <c r="K49">
        <v>-503.30005519999997</v>
      </c>
      <c r="L49">
        <v>12.85942723</v>
      </c>
      <c r="N49">
        <f>K49/16</f>
        <v>-31.456253449999998</v>
      </c>
      <c r="O49">
        <f>L49/16</f>
        <v>0.80371420187499998</v>
      </c>
    </row>
    <row r="57" spans="1:19" x14ac:dyDescent="0.25">
      <c r="H57" t="s">
        <v>100</v>
      </c>
      <c r="N57" t="s">
        <v>101</v>
      </c>
    </row>
    <row r="58" spans="1:19" x14ac:dyDescent="0.25">
      <c r="H58" t="s">
        <v>102</v>
      </c>
      <c r="N58" t="s">
        <v>103</v>
      </c>
    </row>
    <row r="60" spans="1:19" x14ac:dyDescent="0.25">
      <c r="A60" t="s">
        <v>91</v>
      </c>
      <c r="C60" t="s">
        <v>92</v>
      </c>
      <c r="E60" t="s">
        <v>99</v>
      </c>
      <c r="H60" t="s">
        <v>92</v>
      </c>
      <c r="J60" t="s">
        <v>99</v>
      </c>
      <c r="N60" t="s">
        <v>92</v>
      </c>
      <c r="P60" t="s">
        <v>99</v>
      </c>
    </row>
    <row r="61" spans="1:19" x14ac:dyDescent="0.25">
      <c r="A61" t="s">
        <v>68</v>
      </c>
      <c r="C61">
        <v>-359.23920730999998</v>
      </c>
      <c r="D61">
        <f>C61*$I$3</f>
        <v>-4887.7001881290398</v>
      </c>
      <c r="E61">
        <f>D61/3</f>
        <v>-1629.2333960430133</v>
      </c>
      <c r="H61">
        <v>-359.23920730999998</v>
      </c>
      <c r="I61">
        <f>H61*$I$3</f>
        <v>-4887.7001881290398</v>
      </c>
      <c r="J61">
        <f>I61/3</f>
        <v>-1629.2333960430133</v>
      </c>
      <c r="L61">
        <f>J61-E61</f>
        <v>0</v>
      </c>
      <c r="N61">
        <v>-358.43245890999998</v>
      </c>
      <c r="O61">
        <f>N61*$I$3</f>
        <v>-4876.7238129834113</v>
      </c>
      <c r="P61">
        <f>O61/3</f>
        <v>-1625.5746043278039</v>
      </c>
      <c r="S61">
        <f>P61-E61</f>
        <v>3.6587917152094178</v>
      </c>
    </row>
    <row r="63" spans="1:19" x14ac:dyDescent="0.25">
      <c r="C63" t="s">
        <v>94</v>
      </c>
      <c r="E63" t="s">
        <v>99</v>
      </c>
      <c r="H63" t="s">
        <v>94</v>
      </c>
      <c r="J63" t="s">
        <v>99</v>
      </c>
      <c r="N63" t="s">
        <v>94</v>
      </c>
      <c r="P63" t="s">
        <v>99</v>
      </c>
    </row>
    <row r="64" spans="1:19" x14ac:dyDescent="0.25">
      <c r="C64">
        <v>-4438.5520279399998</v>
      </c>
      <c r="D64">
        <f>C64*$I$3</f>
        <v>-60389.598742383634</v>
      </c>
      <c r="E64">
        <f>D64/24</f>
        <v>-2516.2332809326513</v>
      </c>
      <c r="H64">
        <v>-4409.6804683999999</v>
      </c>
      <c r="I64">
        <f>H64*$I$3</f>
        <v>-59996.781020587856</v>
      </c>
      <c r="J64">
        <f>I64/24</f>
        <v>-2499.8658758578272</v>
      </c>
      <c r="N64">
        <v>-4409.6804683999999</v>
      </c>
      <c r="O64">
        <f>N64*$I$3</f>
        <v>-59996.781020587856</v>
      </c>
      <c r="P64">
        <f>O64/24</f>
        <v>-2499.8658758578272</v>
      </c>
      <c r="S64">
        <f>P64-E64</f>
        <v>16.367405074824092</v>
      </c>
    </row>
    <row r="66" spans="3:19" x14ac:dyDescent="0.25">
      <c r="C66" t="s">
        <v>95</v>
      </c>
      <c r="H66" t="s">
        <v>95</v>
      </c>
      <c r="N66" t="s">
        <v>95</v>
      </c>
    </row>
    <row r="67" spans="3:19" x14ac:dyDescent="0.25">
      <c r="C67">
        <v>-9.2180436650376887</v>
      </c>
      <c r="H67">
        <v>-9.2180436650376887</v>
      </c>
      <c r="N67">
        <v>-9.2180436650376887</v>
      </c>
    </row>
    <row r="69" spans="3:19" x14ac:dyDescent="0.25">
      <c r="C69" t="s">
        <v>96</v>
      </c>
      <c r="E69" t="s">
        <v>98</v>
      </c>
      <c r="H69" t="s">
        <v>96</v>
      </c>
      <c r="J69" t="s">
        <v>98</v>
      </c>
      <c r="N69" t="s">
        <v>96</v>
      </c>
      <c r="P69" t="s">
        <v>98</v>
      </c>
    </row>
    <row r="71" spans="3:19" x14ac:dyDescent="0.25">
      <c r="E71">
        <f>E64-E61-C67</f>
        <v>-877.78184122460027</v>
      </c>
      <c r="F71">
        <f>E71/2</f>
        <v>-438.89092061230014</v>
      </c>
      <c r="J71">
        <f>J64-J61-H67</f>
        <v>-861.41443614977618</v>
      </c>
      <c r="K71">
        <f>J71/2</f>
        <v>-430.70721807488809</v>
      </c>
      <c r="P71">
        <f>P64-P61-N67</f>
        <v>-865.0732278649856</v>
      </c>
      <c r="Q71">
        <f>P71/2</f>
        <v>-432.5366139324928</v>
      </c>
    </row>
    <row r="73" spans="3:19" x14ac:dyDescent="0.25">
      <c r="C73" t="s">
        <v>97</v>
      </c>
      <c r="E73" t="s">
        <v>98</v>
      </c>
      <c r="H73" t="s">
        <v>97</v>
      </c>
      <c r="J73" t="s">
        <v>98</v>
      </c>
      <c r="N73" t="s">
        <v>97</v>
      </c>
      <c r="P73" t="s">
        <v>98</v>
      </c>
    </row>
    <row r="74" spans="3:19" x14ac:dyDescent="0.25">
      <c r="C74">
        <v>-516.23136038999996</v>
      </c>
      <c r="D74">
        <f>C74*$I$3</f>
        <v>-7023.6880216667714</v>
      </c>
      <c r="E74">
        <f>D74/8</f>
        <v>-877.96100270834643</v>
      </c>
      <c r="F74">
        <f>E74/2</f>
        <v>-438.98050135417321</v>
      </c>
      <c r="H74">
        <v>-516.23136038999996</v>
      </c>
      <c r="I74">
        <f>H74*$I$3</f>
        <v>-7023.6880216667714</v>
      </c>
      <c r="J74">
        <f>I74/8</f>
        <v>-877.96100270834643</v>
      </c>
      <c r="K74">
        <f>J74/2</f>
        <v>-438.98050135417321</v>
      </c>
      <c r="N74">
        <v>-507.10805892000002</v>
      </c>
      <c r="O74">
        <f>N74*$I$3</f>
        <v>-6899.5591365008586</v>
      </c>
      <c r="P74">
        <f>O74/8</f>
        <v>-862.44489206260732</v>
      </c>
      <c r="Q74">
        <f>P74/2</f>
        <v>-431.22244603130366</v>
      </c>
      <c r="S74">
        <f>P74-E74</f>
        <v>15.516110645739104</v>
      </c>
    </row>
    <row r="77" spans="3:19" x14ac:dyDescent="0.25">
      <c r="C77" t="s">
        <v>104</v>
      </c>
      <c r="E77">
        <f>E64-E61</f>
        <v>-886.999884889638</v>
      </c>
      <c r="H77" t="s">
        <v>104</v>
      </c>
      <c r="J77">
        <f>J64-J61</f>
        <v>-870.63247981481391</v>
      </c>
      <c r="N77" t="s">
        <v>104</v>
      </c>
      <c r="P77">
        <f>P64-P61</f>
        <v>-874.29127153002332</v>
      </c>
    </row>
    <row r="78" spans="3:19" x14ac:dyDescent="0.25">
      <c r="E78">
        <f>E77/2</f>
        <v>-443.499942444819</v>
      </c>
      <c r="J78">
        <f>J77/2</f>
        <v>-435.31623990740695</v>
      </c>
      <c r="P78">
        <f>P77/2</f>
        <v>-437.14563576501166</v>
      </c>
    </row>
    <row r="82" spans="2:11" x14ac:dyDescent="0.25">
      <c r="B82" t="s">
        <v>108</v>
      </c>
      <c r="F82" t="s">
        <v>110</v>
      </c>
      <c r="K82" t="s">
        <v>111</v>
      </c>
    </row>
    <row r="83" spans="2:11" x14ac:dyDescent="0.25">
      <c r="C83">
        <f>E64-(E61+E74)</f>
        <v>-9.0388821812916831</v>
      </c>
      <c r="G83">
        <f>J64-(E61+E74)</f>
        <v>7.3285228935324085</v>
      </c>
      <c r="K83">
        <f>P64-(P61+P74)</f>
        <v>-11.846379467415773</v>
      </c>
    </row>
    <row r="85" spans="2:11" x14ac:dyDescent="0.25">
      <c r="C85" t="s">
        <v>109</v>
      </c>
      <c r="G85" t="s">
        <v>109</v>
      </c>
      <c r="K85" t="s">
        <v>109</v>
      </c>
    </row>
    <row r="86" spans="2:11" x14ac:dyDescent="0.25">
      <c r="C86">
        <v>-9.7410661716459881</v>
      </c>
      <c r="G86">
        <v>-9.7410661716459881</v>
      </c>
      <c r="K86">
        <v>-9.7410661716459881</v>
      </c>
    </row>
    <row r="88" spans="2:11" x14ac:dyDescent="0.25">
      <c r="C88" t="s">
        <v>112</v>
      </c>
      <c r="G88" t="s">
        <v>112</v>
      </c>
      <c r="K88" t="s">
        <v>112</v>
      </c>
    </row>
    <row r="89" spans="2:11" x14ac:dyDescent="0.25">
      <c r="C89">
        <f>C86-C83</f>
        <v>-0.70218399035430501</v>
      </c>
      <c r="G89">
        <f>G86-G83</f>
        <v>-17.069589065178398</v>
      </c>
      <c r="K89">
        <f>K86-K83</f>
        <v>2.1053132957697844</v>
      </c>
    </row>
    <row r="97" spans="1:20" x14ac:dyDescent="0.25">
      <c r="B97" s="3" t="s">
        <v>11</v>
      </c>
      <c r="C97" t="s">
        <v>80</v>
      </c>
      <c r="D97" s="3" t="s">
        <v>1</v>
      </c>
      <c r="E97" s="3" t="s">
        <v>2</v>
      </c>
      <c r="F97" s="4" t="s">
        <v>3</v>
      </c>
      <c r="G97" s="4" t="s">
        <v>4</v>
      </c>
      <c r="H97" s="4" t="s">
        <v>5</v>
      </c>
      <c r="I97" s="4" t="s">
        <v>6</v>
      </c>
      <c r="J97" s="4" t="s">
        <v>86</v>
      </c>
      <c r="K97" s="12" t="s">
        <v>87</v>
      </c>
    </row>
    <row r="98" spans="1:20" x14ac:dyDescent="0.25">
      <c r="A98" t="s">
        <v>68</v>
      </c>
      <c r="C98" t="s">
        <v>81</v>
      </c>
      <c r="D98" t="s">
        <v>67</v>
      </c>
      <c r="J98">
        <v>0</v>
      </c>
      <c r="K98">
        <v>1.8346</v>
      </c>
      <c r="L98">
        <v>2.7923999999999989</v>
      </c>
    </row>
    <row r="99" spans="1:20" x14ac:dyDescent="0.25">
      <c r="A99" t="s">
        <v>78</v>
      </c>
      <c r="B99">
        <v>0</v>
      </c>
      <c r="C99">
        <v>-4405.9688207237004</v>
      </c>
      <c r="D99">
        <f>C99*$I$3</f>
        <v>-59946.281462976753</v>
      </c>
      <c r="E99">
        <v>-60389.598742383634</v>
      </c>
      <c r="F99">
        <v>-438.89092061230014</v>
      </c>
      <c r="G99">
        <v>8.7052999999999994</v>
      </c>
      <c r="H99" s="6">
        <f>D99-E99+F99 +G99*B99</f>
        <v>4.4263587945812901</v>
      </c>
      <c r="I99">
        <v>0</v>
      </c>
      <c r="J99" s="5">
        <f>H99+I99</f>
        <v>4.4263587945812901</v>
      </c>
      <c r="K99">
        <f>J99+B99*$N$4</f>
        <v>4.4263587945812901</v>
      </c>
      <c r="L99">
        <f>J99+B99*$L$14</f>
        <v>4.4263587945812901</v>
      </c>
    </row>
    <row r="100" spans="1:20" x14ac:dyDescent="0.25">
      <c r="A100" t="s">
        <v>79</v>
      </c>
      <c r="B100">
        <v>2</v>
      </c>
      <c r="C100">
        <v>-4407.5231468367001</v>
      </c>
      <c r="D100">
        <f>C100*$I$3</f>
        <v>-59967.429154766323</v>
      </c>
      <c r="E100">
        <v>-60389.598742383634</v>
      </c>
      <c r="F100">
        <v>-438.89092061230014</v>
      </c>
      <c r="G100">
        <v>8.7052999999999994</v>
      </c>
      <c r="H100" s="6">
        <f>D100-E100+F100 +G100*B100</f>
        <v>0.68926700501061688</v>
      </c>
      <c r="I100" s="5">
        <v>0</v>
      </c>
      <c r="J100" s="5">
        <f>H100+I100</f>
        <v>0.68926700501061688</v>
      </c>
      <c r="K100">
        <f>J100+B100*$N$4</f>
        <v>4.3584670050106169</v>
      </c>
      <c r="L100">
        <f>J100+B100*$L$14</f>
        <v>6.2740670050106147</v>
      </c>
    </row>
    <row r="102" spans="1:20" x14ac:dyDescent="0.25">
      <c r="A102" t="s">
        <v>82</v>
      </c>
      <c r="G102" t="s">
        <v>89</v>
      </c>
      <c r="H102">
        <f>(H100-H99)/(B99-B100)</f>
        <v>1.8685458947853366</v>
      </c>
      <c r="J102">
        <f>(J100-J99)/(B99-B100)</f>
        <v>1.8685458947853366</v>
      </c>
      <c r="K102">
        <f>K98-J102</f>
        <v>-3.3945894785336606E-2</v>
      </c>
    </row>
    <row r="103" spans="1:20" x14ac:dyDescent="0.25">
      <c r="D103">
        <f>(D100-D99)/2 -G99</f>
        <v>-19.279145894785337</v>
      </c>
    </row>
    <row r="104" spans="1:20" x14ac:dyDescent="0.25">
      <c r="A104" t="s">
        <v>69</v>
      </c>
      <c r="J104">
        <v>0</v>
      </c>
      <c r="K104">
        <v>2.7923999999999989</v>
      </c>
    </row>
    <row r="105" spans="1:20" x14ac:dyDescent="0.25">
      <c r="A105" t="s">
        <v>78</v>
      </c>
      <c r="B105">
        <v>0</v>
      </c>
      <c r="C105">
        <v>-4377.6033478918998</v>
      </c>
      <c r="D105">
        <f>C105*$I$3</f>
        <v>-59560.349404127948</v>
      </c>
      <c r="E105">
        <v>-59996.781020587856</v>
      </c>
      <c r="F105">
        <v>-432.5366139324928</v>
      </c>
      <c r="G105">
        <v>7.4236000000000004</v>
      </c>
      <c r="H105" s="6">
        <f>D105-E105+F105 +G105*B105</f>
        <v>3.8950025274148743</v>
      </c>
      <c r="I105">
        <v>0</v>
      </c>
      <c r="J105" s="5">
        <f>H105+I105</f>
        <v>3.8950025274148743</v>
      </c>
      <c r="K105">
        <f>J105+B105*$N$9</f>
        <v>3.8950025274148743</v>
      </c>
    </row>
    <row r="106" spans="1:20" x14ac:dyDescent="0.25">
      <c r="A106" t="s">
        <v>79</v>
      </c>
      <c r="B106">
        <v>2</v>
      </c>
      <c r="C106">
        <v>-4379.0841331562997</v>
      </c>
      <c r="D106">
        <f>C106*$I$3</f>
        <v>-59580.496521335954</v>
      </c>
      <c r="E106">
        <v>-59996.781020587856</v>
      </c>
      <c r="F106">
        <v>-432.5366139324928</v>
      </c>
      <c r="G106">
        <v>7.4236000000000004</v>
      </c>
      <c r="H106" s="6">
        <f>D106-E106+F106 +G106*B106</f>
        <v>-1.4049146805906361</v>
      </c>
      <c r="I106">
        <v>0</v>
      </c>
      <c r="J106" s="5">
        <f>H106+I106</f>
        <v>-1.4049146805906361</v>
      </c>
      <c r="K106">
        <f>J106+B106*$N$9</f>
        <v>4.1798853194093617</v>
      </c>
    </row>
    <row r="108" spans="1:20" x14ac:dyDescent="0.25">
      <c r="A108" t="s">
        <v>82</v>
      </c>
      <c r="E108">
        <f>E106/(72/3)</f>
        <v>-2499.8658758578272</v>
      </c>
      <c r="G108" t="s">
        <v>89</v>
      </c>
      <c r="J108">
        <f>(J106-J105)/(B105-B106)</f>
        <v>2.6499586040027552</v>
      </c>
      <c r="K108">
        <f>K104-J108</f>
        <v>0.1424413959972437</v>
      </c>
    </row>
    <row r="109" spans="1:20" x14ac:dyDescent="0.25">
      <c r="T109">
        <v>1.8584180648773216</v>
      </c>
    </row>
    <row r="110" spans="1:20" x14ac:dyDescent="0.25">
      <c r="T110">
        <v>1.87</v>
      </c>
    </row>
    <row r="112" spans="1:20" x14ac:dyDescent="0.25">
      <c r="T112">
        <f>T109-T110</f>
        <v>-1.1581935122678466E-2</v>
      </c>
    </row>
    <row r="113" spans="1:17" x14ac:dyDescent="0.25">
      <c r="H113" t="s">
        <v>155</v>
      </c>
      <c r="K113" t="s">
        <v>156</v>
      </c>
    </row>
    <row r="114" spans="1:17" x14ac:dyDescent="0.25">
      <c r="H114">
        <v>-16644.558188489998</v>
      </c>
      <c r="I114">
        <f>H114*$I$3</f>
        <v>-226460.83315456283</v>
      </c>
      <c r="K114">
        <v>-16536.29618999</v>
      </c>
      <c r="L114">
        <f>K114*$I$3</f>
        <v>-224987.85309095011</v>
      </c>
    </row>
    <row r="115" spans="1:17" x14ac:dyDescent="0.25">
      <c r="A115" t="s">
        <v>154</v>
      </c>
      <c r="B115" t="s">
        <v>157</v>
      </c>
    </row>
    <row r="118" spans="1:17" x14ac:dyDescent="0.25">
      <c r="B118" s="3" t="s">
        <v>11</v>
      </c>
      <c r="C118" t="s">
        <v>80</v>
      </c>
      <c r="D118" s="3" t="s">
        <v>1</v>
      </c>
      <c r="E118" s="3" t="s">
        <v>2</v>
      </c>
      <c r="F118" s="4" t="s">
        <v>3</v>
      </c>
      <c r="G118" s="4" t="s">
        <v>4</v>
      </c>
      <c r="H118" s="4" t="s">
        <v>5</v>
      </c>
      <c r="I118" s="4" t="s">
        <v>6</v>
      </c>
      <c r="J118" s="4" t="s">
        <v>86</v>
      </c>
      <c r="K118" s="12" t="s">
        <v>87</v>
      </c>
    </row>
    <row r="119" spans="1:17" x14ac:dyDescent="0.25">
      <c r="A119" t="s">
        <v>68</v>
      </c>
      <c r="C119" t="s">
        <v>81</v>
      </c>
      <c r="D119" t="s">
        <v>67</v>
      </c>
      <c r="J119">
        <v>0</v>
      </c>
      <c r="K119">
        <v>1.8346</v>
      </c>
      <c r="L119">
        <v>2.7923999999999989</v>
      </c>
      <c r="Q119">
        <v>28000</v>
      </c>
    </row>
    <row r="120" spans="1:17" x14ac:dyDescent="0.25">
      <c r="A120" t="s">
        <v>78</v>
      </c>
      <c r="B120">
        <v>0</v>
      </c>
      <c r="C120">
        <v>-16612.00770966</v>
      </c>
      <c r="D120">
        <f>C120*$I$3</f>
        <v>-226017.96116769814</v>
      </c>
      <c r="E120">
        <v>-226460.83315456283</v>
      </c>
      <c r="F120">
        <v>-438.89092061230014</v>
      </c>
      <c r="G120">
        <v>8.7052999999999994</v>
      </c>
      <c r="H120" s="6">
        <f>D120-E120+F120 +G120*B120</f>
        <v>3.9810662523875067</v>
      </c>
      <c r="I120">
        <v>0</v>
      </c>
      <c r="J120" s="5">
        <f>H120+I120</f>
        <v>3.9810662523875067</v>
      </c>
      <c r="K120">
        <f>J120+B120*$N$4</f>
        <v>3.9810662523875067</v>
      </c>
      <c r="L120">
        <f>J120+B120*$L$14</f>
        <v>3.9810662523875067</v>
      </c>
      <c r="Q120">
        <f>Q119/500</f>
        <v>56</v>
      </c>
    </row>
    <row r="121" spans="1:17" x14ac:dyDescent="0.25">
      <c r="A121" t="s">
        <v>79</v>
      </c>
      <c r="B121">
        <v>2</v>
      </c>
      <c r="C121">
        <v>-16613.560547010002</v>
      </c>
      <c r="D121">
        <f>C121*$I$3</f>
        <v>-226039.0886038279</v>
      </c>
      <c r="E121">
        <v>-226460.83315456283</v>
      </c>
      <c r="F121">
        <v>-438.89092061230014</v>
      </c>
      <c r="G121">
        <v>8.7052999999999994</v>
      </c>
      <c r="H121" s="6">
        <f>D121-E121+F121 +G121*B121</f>
        <v>0.26423012263286338</v>
      </c>
      <c r="I121" s="5">
        <v>0</v>
      </c>
      <c r="J121" s="5">
        <f>H121+I121</f>
        <v>0.26423012263286338</v>
      </c>
      <c r="K121">
        <f>J121+B121*$N$4</f>
        <v>3.9334301226328634</v>
      </c>
      <c r="L121">
        <f>J121+B121*$L$14</f>
        <v>5.8490301226328612</v>
      </c>
    </row>
    <row r="122" spans="1:17" x14ac:dyDescent="0.25">
      <c r="Q122">
        <f>Q120*20</f>
        <v>1120</v>
      </c>
    </row>
    <row r="123" spans="1:17" x14ac:dyDescent="0.25">
      <c r="A123" t="s">
        <v>82</v>
      </c>
      <c r="G123" t="s">
        <v>89</v>
      </c>
      <c r="H123">
        <f>(H121-H120)/(B120-B121)</f>
        <v>1.8584180648773216</v>
      </c>
      <c r="J123">
        <f>(J121-J120)/(B120-B121)</f>
        <v>1.8584180648773216</v>
      </c>
      <c r="K123">
        <f>K119-J123</f>
        <v>-2.3818064877321632E-2</v>
      </c>
    </row>
    <row r="124" spans="1:17" x14ac:dyDescent="0.25">
      <c r="D124">
        <f>(D121-D120)/2 -G120</f>
        <v>-19.269018064877322</v>
      </c>
    </row>
    <row r="125" spans="1:17" x14ac:dyDescent="0.25">
      <c r="A125" t="s">
        <v>69</v>
      </c>
      <c r="J125">
        <v>0</v>
      </c>
      <c r="K125">
        <v>2.7923999999999989</v>
      </c>
    </row>
    <row r="126" spans="1:17" x14ac:dyDescent="0.25">
      <c r="A126" t="s">
        <v>78</v>
      </c>
      <c r="B126">
        <v>0</v>
      </c>
      <c r="C126">
        <v>-16504.278230610002</v>
      </c>
      <c r="D126">
        <f>C126*$I$3</f>
        <v>-224552.22640293642</v>
      </c>
      <c r="E126">
        <v>-224987.85309095011</v>
      </c>
      <c r="F126">
        <v>-432.5366139324928</v>
      </c>
      <c r="G126">
        <v>7.4236000000000004</v>
      </c>
      <c r="H126" s="6">
        <f>D126-E126+F126 +G126*B126</f>
        <v>3.0900740812044774</v>
      </c>
      <c r="I126">
        <v>0</v>
      </c>
      <c r="J126" s="5">
        <f>H126+I126</f>
        <v>3.0900740812044774</v>
      </c>
      <c r="K126">
        <f>J126+B126*$N$9</f>
        <v>3.0900740812044774</v>
      </c>
      <c r="N126">
        <v>7</v>
      </c>
    </row>
    <row r="127" spans="1:17" x14ac:dyDescent="0.25">
      <c r="A127" t="s">
        <v>79</v>
      </c>
      <c r="B127">
        <v>2</v>
      </c>
      <c r="C127">
        <v>-16505.715093120001</v>
      </c>
      <c r="D127">
        <f>C127*$I$3</f>
        <v>-224571.77592040983</v>
      </c>
      <c r="E127">
        <v>-224987.85309095011</v>
      </c>
      <c r="F127">
        <v>-432.5366139324928</v>
      </c>
      <c r="G127">
        <v>7.4236000000000004</v>
      </c>
      <c r="H127" s="6">
        <f>D127-E127+F127 +G127*B127</f>
        <v>-1.6122433922051727</v>
      </c>
      <c r="I127" s="5">
        <v>0</v>
      </c>
      <c r="J127" s="5">
        <f>H127+I127</f>
        <v>-1.6122433922051727</v>
      </c>
      <c r="K127">
        <f>J127+B127*$N$9</f>
        <v>3.9725566077948251</v>
      </c>
      <c r="N127">
        <v>28000</v>
      </c>
      <c r="O127">
        <f>N127/7</f>
        <v>4000</v>
      </c>
      <c r="P127">
        <f>O127*20</f>
        <v>80000</v>
      </c>
    </row>
    <row r="128" spans="1:17" x14ac:dyDescent="0.25">
      <c r="N128">
        <f>N126/N127</f>
        <v>2.5000000000000001E-4</v>
      </c>
    </row>
    <row r="129" spans="1:12" x14ac:dyDescent="0.25">
      <c r="A129" t="s">
        <v>82</v>
      </c>
      <c r="E129">
        <f>E127/(72/3)</f>
        <v>-9374.4938787895881</v>
      </c>
      <c r="G129" t="s">
        <v>89</v>
      </c>
      <c r="J129">
        <f>(J127-J126)/(B126-B127)</f>
        <v>2.351158736704825</v>
      </c>
      <c r="K129">
        <f>K125-J129</f>
        <v>0.44124126329517388</v>
      </c>
    </row>
    <row r="133" spans="1:12" x14ac:dyDescent="0.25">
      <c r="F133">
        <v>-432.5366139324928</v>
      </c>
      <c r="G133">
        <v>7.4236000000000004</v>
      </c>
    </row>
    <row r="134" spans="1:12" x14ac:dyDescent="0.25">
      <c r="D134" t="s">
        <v>68</v>
      </c>
    </row>
    <row r="135" spans="1:12" x14ac:dyDescent="0.25">
      <c r="I135">
        <v>-16589.00551744</v>
      </c>
    </row>
    <row r="138" spans="1:12" x14ac:dyDescent="0.25">
      <c r="G138" t="s">
        <v>155</v>
      </c>
      <c r="J138" t="s">
        <v>156</v>
      </c>
    </row>
    <row r="139" spans="1:12" x14ac:dyDescent="0.25">
      <c r="A139" t="s">
        <v>169</v>
      </c>
      <c r="B139" t="s">
        <v>157</v>
      </c>
      <c r="G139">
        <v>-369.87906615999998</v>
      </c>
      <c r="H139">
        <f>G139*$I$3</f>
        <v>-5032.4628951069981</v>
      </c>
      <c r="J139">
        <v>-367.4732449</v>
      </c>
      <c r="K139">
        <f>J139*$I$3</f>
        <v>-4999.7300174426746</v>
      </c>
    </row>
    <row r="142" spans="1:12" x14ac:dyDescent="0.25">
      <c r="B142" s="3" t="s">
        <v>11</v>
      </c>
      <c r="C142" t="s">
        <v>80</v>
      </c>
      <c r="D142" s="3" t="s">
        <v>1</v>
      </c>
      <c r="E142" s="3" t="s">
        <v>2</v>
      </c>
      <c r="F142" s="4" t="s">
        <v>3</v>
      </c>
      <c r="G142" s="4" t="s">
        <v>4</v>
      </c>
      <c r="H142" s="4" t="s">
        <v>5</v>
      </c>
      <c r="I142" s="4" t="s">
        <v>6</v>
      </c>
      <c r="J142" s="4" t="s">
        <v>86</v>
      </c>
      <c r="K142" s="12" t="s">
        <v>87</v>
      </c>
    </row>
    <row r="143" spans="1:12" x14ac:dyDescent="0.25">
      <c r="A143" t="s">
        <v>68</v>
      </c>
      <c r="C143" t="s">
        <v>81</v>
      </c>
      <c r="D143" t="s">
        <v>67</v>
      </c>
      <c r="J143">
        <v>0</v>
      </c>
      <c r="K143">
        <v>1.8346</v>
      </c>
      <c r="L143">
        <v>2.7923999999999989</v>
      </c>
    </row>
    <row r="144" spans="1:12" x14ac:dyDescent="0.25">
      <c r="A144" t="s">
        <v>78</v>
      </c>
      <c r="B144">
        <v>0</v>
      </c>
      <c r="C144">
        <v>-337.21782851490002</v>
      </c>
      <c r="D144">
        <f>C144*$I$3</f>
        <v>-4588.0839572458954</v>
      </c>
      <c r="E144">
        <v>-5032.4628951069981</v>
      </c>
      <c r="F144">
        <v>-438.89092061230014</v>
      </c>
      <c r="G144">
        <v>8.7052999999999994</v>
      </c>
      <c r="H144" s="6">
        <f>D144-E144+F144 +G144*B144</f>
        <v>5.4880172488025778</v>
      </c>
      <c r="I144">
        <v>0</v>
      </c>
      <c r="J144" s="5">
        <f>H144+I144</f>
        <v>5.4880172488025778</v>
      </c>
      <c r="K144">
        <f>J144+B144*$N$4</f>
        <v>5.4880172488025778</v>
      </c>
      <c r="L144">
        <f>J144+B144*$L$14</f>
        <v>5.4880172488025778</v>
      </c>
    </row>
    <row r="145" spans="1:12" x14ac:dyDescent="0.25">
      <c r="A145" t="s">
        <v>79</v>
      </c>
      <c r="B145">
        <v>2</v>
      </c>
      <c r="C145">
        <v>-338.61312968999999</v>
      </c>
      <c r="D145">
        <f>C145*$I$3</f>
        <v>-4607.0680037454404</v>
      </c>
      <c r="E145">
        <v>-5032.4628951069981</v>
      </c>
      <c r="F145">
        <v>-438.89092061230014</v>
      </c>
      <c r="G145">
        <v>8.7052999999999994</v>
      </c>
      <c r="H145" s="6">
        <f>D145-E145+F145 +G145*B145</f>
        <v>3.9145707492575745</v>
      </c>
      <c r="I145" s="5">
        <v>0</v>
      </c>
      <c r="J145" s="5">
        <f>H145+I145</f>
        <v>3.9145707492575745</v>
      </c>
      <c r="K145">
        <f>J145+B145*$N$4</f>
        <v>7.5837707492575746</v>
      </c>
      <c r="L145">
        <f>J145+B145*$L$14</f>
        <v>9.4993707492575723</v>
      </c>
    </row>
    <row r="147" spans="1:12" x14ac:dyDescent="0.25">
      <c r="A147" t="s">
        <v>82</v>
      </c>
      <c r="G147" t="s">
        <v>89</v>
      </c>
      <c r="H147">
        <f>(H145-H144)/(B144-B145)</f>
        <v>0.78672324977250163</v>
      </c>
      <c r="J147">
        <f>(J145-J144)/(B144-B145)</f>
        <v>0.78672324977250163</v>
      </c>
      <c r="K147">
        <f>K143-J147</f>
        <v>1.0478767502274984</v>
      </c>
    </row>
    <row r="148" spans="1:12" x14ac:dyDescent="0.25">
      <c r="D148">
        <f>(D145-D144)/2 -G144</f>
        <v>-18.197323249772502</v>
      </c>
    </row>
    <row r="149" spans="1:12" x14ac:dyDescent="0.25">
      <c r="A149" t="s">
        <v>69</v>
      </c>
      <c r="J149">
        <v>0</v>
      </c>
      <c r="K149">
        <v>2.7923999999999989</v>
      </c>
    </row>
    <row r="150" spans="1:12" x14ac:dyDescent="0.25">
      <c r="A150" t="s">
        <v>78</v>
      </c>
      <c r="B150">
        <v>0</v>
      </c>
      <c r="C150">
        <v>-335.31741369000002</v>
      </c>
      <c r="D150">
        <f>C150*$I$3</f>
        <v>-4562.2274869381554</v>
      </c>
      <c r="E150">
        <v>-4999.7300174426746</v>
      </c>
      <c r="F150">
        <v>-432.5366139324928</v>
      </c>
      <c r="G150">
        <v>7.4236000000000004</v>
      </c>
      <c r="H150" s="6">
        <f>D150-E150+F150 +G150*B150</f>
        <v>4.9659165720264014</v>
      </c>
      <c r="I150">
        <v>0</v>
      </c>
      <c r="J150" s="5">
        <f>H150+I150</f>
        <v>4.9659165720264014</v>
      </c>
      <c r="K150">
        <f>J150+B150*$N$9</f>
        <v>4.9659165720264014</v>
      </c>
    </row>
    <row r="151" spans="1:12" x14ac:dyDescent="0.25">
      <c r="A151" t="s">
        <v>79</v>
      </c>
      <c r="B151">
        <v>2</v>
      </c>
      <c r="C151">
        <v>-336.68333475550003</v>
      </c>
      <c r="D151">
        <f>C151*$I$3</f>
        <v>-4580.8117965373376</v>
      </c>
      <c r="E151">
        <v>-4999.7300174426746</v>
      </c>
      <c r="F151">
        <v>-432.5366139324928</v>
      </c>
      <c r="G151">
        <v>7.4236000000000004</v>
      </c>
      <c r="H151" s="6">
        <f>D151-E151+F151 +G151*B151</f>
        <v>1.2288069728441684</v>
      </c>
      <c r="I151" s="5">
        <v>0</v>
      </c>
      <c r="J151" s="5">
        <f>H151+I151</f>
        <v>1.2288069728441684</v>
      </c>
      <c r="K151">
        <f>J151+B151*$N$9</f>
        <v>6.8136069728441662</v>
      </c>
    </row>
    <row r="153" spans="1:12" x14ac:dyDescent="0.25">
      <c r="A153" t="s">
        <v>82</v>
      </c>
      <c r="E153">
        <f>E151/(72/3)</f>
        <v>-208.32208406011145</v>
      </c>
      <c r="G153" t="s">
        <v>89</v>
      </c>
      <c r="J153">
        <f>(J151-J150)/(B150-B151)</f>
        <v>1.8685547995911165</v>
      </c>
      <c r="K153">
        <f>K149-J153</f>
        <v>0.92384520040888241</v>
      </c>
    </row>
    <row r="156" spans="1:12" x14ac:dyDescent="0.25">
      <c r="H156">
        <v>-16536.296035700001</v>
      </c>
      <c r="I156">
        <f>H156*$I$3</f>
        <v>-224987.85099172697</v>
      </c>
    </row>
    <row r="157" spans="1:12" x14ac:dyDescent="0.25">
      <c r="A157" t="s">
        <v>173</v>
      </c>
    </row>
    <row r="158" spans="1:12" x14ac:dyDescent="0.25">
      <c r="A158" t="s">
        <v>82</v>
      </c>
      <c r="G158" t="s">
        <v>89</v>
      </c>
      <c r="H158" t="e">
        <f>(H156-H155)/(B155-B156)</f>
        <v>#DIV/0!</v>
      </c>
      <c r="J158" t="e">
        <f>(J156-J155)/(B155-B156)</f>
        <v>#DIV/0!</v>
      </c>
      <c r="K158" t="e">
        <f>K154-J158</f>
        <v>#DIV/0!</v>
      </c>
    </row>
    <row r="159" spans="1:12" x14ac:dyDescent="0.25">
      <c r="D159">
        <f>(D156-D155)/2 -G155</f>
        <v>0</v>
      </c>
    </row>
    <row r="160" spans="1:12" x14ac:dyDescent="0.25">
      <c r="A160" t="s">
        <v>69</v>
      </c>
      <c r="J160">
        <v>0</v>
      </c>
      <c r="K160">
        <v>2.7923999999999989</v>
      </c>
    </row>
    <row r="161" spans="1:13" x14ac:dyDescent="0.25">
      <c r="A161" t="s">
        <v>78</v>
      </c>
      <c r="B161">
        <v>0</v>
      </c>
      <c r="C161">
        <v>-16504.224662559998</v>
      </c>
      <c r="D161">
        <f>C161*$I$3</f>
        <v>-224551.49757222208</v>
      </c>
      <c r="E161">
        <v>-224987.85099172697</v>
      </c>
      <c r="F161">
        <v>-432.5366139324928</v>
      </c>
      <c r="G161">
        <v>7.4236000000000004</v>
      </c>
      <c r="H161" s="6">
        <f>D161-E161+F161 +G161*B161</f>
        <v>3.8168055723922976</v>
      </c>
      <c r="I161">
        <v>0</v>
      </c>
      <c r="J161" s="5">
        <f>H161+I161</f>
        <v>3.8168055723922976</v>
      </c>
      <c r="K161">
        <f>J161+B161*$N$9</f>
        <v>3.8168055723922976</v>
      </c>
    </row>
    <row r="162" spans="1:13" x14ac:dyDescent="0.25">
      <c r="A162" t="s">
        <v>79</v>
      </c>
      <c r="B162">
        <v>2</v>
      </c>
      <c r="C162">
        <v>-16505.715066140001</v>
      </c>
      <c r="D162">
        <f>C162*$I$3</f>
        <v>-224571.77555332807</v>
      </c>
      <c r="E162">
        <v>-224987.85099172697</v>
      </c>
      <c r="F162">
        <v>-432.5366139324928</v>
      </c>
      <c r="G162">
        <v>7.4236000000000004</v>
      </c>
      <c r="H162" s="6">
        <f>D162-E162+F162 +G162*B162</f>
        <v>-1.6139755335958483</v>
      </c>
      <c r="I162" s="5">
        <v>0</v>
      </c>
      <c r="J162" s="5">
        <f>H162+I162</f>
        <v>-1.6139755335958483</v>
      </c>
      <c r="K162">
        <f>J162+B162*$N$9</f>
        <v>3.9708244664041494</v>
      </c>
    </row>
    <row r="164" spans="1:13" x14ac:dyDescent="0.25">
      <c r="A164" t="s">
        <v>82</v>
      </c>
      <c r="E164">
        <f>E162/(72/3)</f>
        <v>-9374.4937913219565</v>
      </c>
      <c r="G164" t="s">
        <v>89</v>
      </c>
      <c r="J164">
        <f>(J162-J161)/(B161-B162)</f>
        <v>2.7153905529940729</v>
      </c>
      <c r="K164">
        <f>K160-J164</f>
        <v>7.7009447005925935E-2</v>
      </c>
    </row>
    <row r="169" spans="1:13" ht="15.75" thickBot="1" x14ac:dyDescent="0.3"/>
    <row r="170" spans="1:13" ht="15.75" thickTop="1" x14ac:dyDescent="0.25">
      <c r="C170" t="s">
        <v>174</v>
      </c>
      <c r="G170" t="s">
        <v>166</v>
      </c>
      <c r="H170" s="22" t="s">
        <v>163</v>
      </c>
      <c r="I170" s="22" t="s">
        <v>164</v>
      </c>
      <c r="J170" s="22" t="s">
        <v>165</v>
      </c>
      <c r="K170" s="22" t="s">
        <v>107</v>
      </c>
      <c r="L170" s="22" t="s">
        <v>170</v>
      </c>
      <c r="M170" s="22" t="s">
        <v>172</v>
      </c>
    </row>
    <row r="171" spans="1:13" x14ac:dyDescent="0.25">
      <c r="C171" t="s">
        <v>175</v>
      </c>
      <c r="H171" s="19">
        <v>0</v>
      </c>
      <c r="I171" s="19">
        <v>223</v>
      </c>
      <c r="J171" s="16">
        <f>J15</f>
        <v>3.8758699882079668</v>
      </c>
      <c r="K171" s="16"/>
      <c r="L171" s="16">
        <v>0</v>
      </c>
      <c r="M171" s="16">
        <f t="shared" ref="M171:M172" si="0">J171+L171</f>
        <v>3.8758699882079668</v>
      </c>
    </row>
    <row r="172" spans="1:13" x14ac:dyDescent="0.25">
      <c r="H172">
        <v>0</v>
      </c>
      <c r="I172">
        <v>335</v>
      </c>
      <c r="J172" s="11">
        <f>J120</f>
        <v>3.9810662523875067</v>
      </c>
      <c r="K172" s="11">
        <f>J172-J171</f>
        <v>0.10519626417953987</v>
      </c>
      <c r="L172" s="11">
        <v>0</v>
      </c>
      <c r="M172" s="11">
        <f t="shared" si="0"/>
        <v>3.9810662523875067</v>
      </c>
    </row>
    <row r="173" spans="1:13" x14ac:dyDescent="0.25">
      <c r="H173">
        <v>2</v>
      </c>
      <c r="I173">
        <v>223</v>
      </c>
      <c r="J173" s="11">
        <f>J16</f>
        <v>0.68878137274760931</v>
      </c>
      <c r="K173" s="11"/>
      <c r="L173" s="18">
        <v>1.4936400000000001</v>
      </c>
      <c r="M173" s="11">
        <f>J173+L173</f>
        <v>2.1824213727476094</v>
      </c>
    </row>
    <row r="174" spans="1:13" x14ac:dyDescent="0.25">
      <c r="H174" s="20">
        <v>2</v>
      </c>
      <c r="I174" s="20">
        <v>335</v>
      </c>
      <c r="J174" s="17">
        <f>J121</f>
        <v>0.26423012263286338</v>
      </c>
      <c r="K174" s="17">
        <f>J174-J173</f>
        <v>-0.42455125011474593</v>
      </c>
      <c r="L174" s="21">
        <v>0.96807200000000004</v>
      </c>
      <c r="M174" s="17">
        <f>J174+L174</f>
        <v>1.2323021226328634</v>
      </c>
    </row>
    <row r="180" spans="7:13" ht="15.75" thickBot="1" x14ac:dyDescent="0.3"/>
    <row r="181" spans="7:13" ht="15.75" thickTop="1" x14ac:dyDescent="0.25">
      <c r="G181" t="s">
        <v>69</v>
      </c>
      <c r="H181" s="22" t="s">
        <v>163</v>
      </c>
      <c r="I181" s="22" t="s">
        <v>164</v>
      </c>
      <c r="J181" s="22" t="s">
        <v>165</v>
      </c>
      <c r="K181" s="22" t="s">
        <v>107</v>
      </c>
      <c r="L181" s="22" t="s">
        <v>170</v>
      </c>
      <c r="M181" s="22" t="s">
        <v>172</v>
      </c>
    </row>
    <row r="182" spans="7:13" x14ac:dyDescent="0.25">
      <c r="H182" s="19">
        <v>0</v>
      </c>
      <c r="I182" s="19">
        <v>223</v>
      </c>
      <c r="J182" s="16">
        <f>J21</f>
        <v>3.6407041392572523</v>
      </c>
      <c r="K182" s="16"/>
      <c r="L182" s="16">
        <v>0</v>
      </c>
      <c r="M182" s="16">
        <f t="shared" ref="M182:M183" si="1">J182+L182</f>
        <v>3.6407041392572523</v>
      </c>
    </row>
    <row r="183" spans="7:13" x14ac:dyDescent="0.25">
      <c r="H183">
        <v>0</v>
      </c>
      <c r="I183">
        <v>335</v>
      </c>
      <c r="J183" s="11">
        <f>H161</f>
        <v>3.8168055723922976</v>
      </c>
      <c r="K183" s="11">
        <f>J183-J182</f>
        <v>0.17610143313504523</v>
      </c>
      <c r="L183" s="11">
        <v>0</v>
      </c>
      <c r="M183" s="11">
        <f t="shared" si="1"/>
        <v>3.8168055723922976</v>
      </c>
    </row>
    <row r="184" spans="7:13" x14ac:dyDescent="0.25">
      <c r="H184">
        <v>2</v>
      </c>
      <c r="I184">
        <v>223</v>
      </c>
      <c r="J184" s="11">
        <f>J22</f>
        <v>-1.4049247556164204</v>
      </c>
      <c r="K184" s="11"/>
      <c r="L184" s="11">
        <v>2.1358700000000002</v>
      </c>
      <c r="M184" s="11">
        <f>J184+L184</f>
        <v>0.73094524438357977</v>
      </c>
    </row>
    <row r="185" spans="7:13" x14ac:dyDescent="0.25">
      <c r="H185" s="20">
        <v>2</v>
      </c>
      <c r="I185" s="20">
        <v>335</v>
      </c>
      <c r="J185" s="17">
        <f>H162</f>
        <v>-1.6139755335958483</v>
      </c>
      <c r="K185" s="17">
        <f>J185-J184</f>
        <v>-0.20905077797942795</v>
      </c>
      <c r="L185" s="17">
        <v>1.47658</v>
      </c>
      <c r="M185" s="17">
        <f>J185+L185</f>
        <v>-0.13739553359584833</v>
      </c>
    </row>
    <row r="199" spans="2:12" x14ac:dyDescent="0.25">
      <c r="I199">
        <v>-16536.29618999</v>
      </c>
      <c r="J199">
        <f>I199*$I$3</f>
        <v>-224987.85309095011</v>
      </c>
    </row>
    <row r="200" spans="2:12" x14ac:dyDescent="0.25">
      <c r="B200" t="s">
        <v>171</v>
      </c>
    </row>
    <row r="201" spans="2:12" x14ac:dyDescent="0.25">
      <c r="B201" t="s">
        <v>82</v>
      </c>
      <c r="H201" t="s">
        <v>89</v>
      </c>
      <c r="I201" t="e">
        <f>(I199-I198)/(C198-C199)</f>
        <v>#DIV/0!</v>
      </c>
      <c r="K201" t="e">
        <f>(K199-K198)/(C198-C199)</f>
        <v>#DIV/0!</v>
      </c>
      <c r="L201" t="e">
        <f>L197-K201</f>
        <v>#DIV/0!</v>
      </c>
    </row>
    <row r="202" spans="2:12" x14ac:dyDescent="0.25">
      <c r="E202">
        <f>(E199-E198)/2 -H198</f>
        <v>0</v>
      </c>
    </row>
    <row r="203" spans="2:12" x14ac:dyDescent="0.25">
      <c r="B203" t="s">
        <v>69</v>
      </c>
      <c r="K203">
        <v>0</v>
      </c>
      <c r="L203">
        <v>2.7923999999999989</v>
      </c>
    </row>
    <row r="204" spans="2:12" x14ac:dyDescent="0.25">
      <c r="B204" t="s">
        <v>78</v>
      </c>
      <c r="C204">
        <v>0</v>
      </c>
      <c r="D204">
        <v>-16504.278230610002</v>
      </c>
      <c r="E204">
        <f>D204*$I$3</f>
        <v>-224552.22640293642</v>
      </c>
      <c r="F204">
        <v>-224987.85309095011</v>
      </c>
      <c r="G204">
        <v>-432.5366139324928</v>
      </c>
      <c r="H204">
        <v>7.4236000000000004</v>
      </c>
      <c r="I204" s="6">
        <f>E204-F204+G204 +H204*C204</f>
        <v>3.0900740812044774</v>
      </c>
      <c r="J204">
        <v>0</v>
      </c>
      <c r="K204" s="5">
        <f>I204+J204</f>
        <v>3.0900740812044774</v>
      </c>
      <c r="L204">
        <f>K204+C204*$N$9</f>
        <v>3.0900740812044774</v>
      </c>
    </row>
    <row r="205" spans="2:12" x14ac:dyDescent="0.25">
      <c r="B205" t="s">
        <v>79</v>
      </c>
      <c r="C205">
        <v>2</v>
      </c>
      <c r="D205">
        <v>-16505.715093120001</v>
      </c>
      <c r="E205">
        <f>D205*$I$3</f>
        <v>-224571.77592040983</v>
      </c>
      <c r="F205">
        <v>-224987.85309095011</v>
      </c>
      <c r="G205">
        <v>-432.5366139324928</v>
      </c>
      <c r="H205">
        <v>7.4236000000000004</v>
      </c>
      <c r="I205" s="6">
        <f>E205-F205+G205 +H205*C205</f>
        <v>-1.6122433922051727</v>
      </c>
      <c r="J205" s="5">
        <v>0</v>
      </c>
      <c r="K205" s="5">
        <f>I205+J205</f>
        <v>-1.6122433922051727</v>
      </c>
      <c r="L205">
        <f>K205+C205*$N$9</f>
        <v>3.9725566077948251</v>
      </c>
    </row>
    <row r="207" spans="2:12" x14ac:dyDescent="0.25">
      <c r="B207" t="s">
        <v>82</v>
      </c>
      <c r="F207">
        <f>F205/(72/3)</f>
        <v>-9374.4938787895881</v>
      </c>
      <c r="H207" t="s">
        <v>89</v>
      </c>
      <c r="K207">
        <f>(K205-K204)/(C204-C205)</f>
        <v>2.351158736704825</v>
      </c>
      <c r="L207">
        <f>L203-K207</f>
        <v>0.44124126329517388</v>
      </c>
    </row>
    <row r="290" spans="9:10" x14ac:dyDescent="0.25">
      <c r="I290" t="s">
        <v>293</v>
      </c>
    </row>
    <row r="294" spans="9:10" x14ac:dyDescent="0.25">
      <c r="J294" t="s">
        <v>290</v>
      </c>
    </row>
    <row r="296" spans="9:10" x14ac:dyDescent="0.25">
      <c r="J296" t="s">
        <v>291</v>
      </c>
    </row>
    <row r="299" spans="9:10" x14ac:dyDescent="0.25">
      <c r="J299" t="s">
        <v>292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7A646-9DC4-4AA4-8009-3834F32762D0}">
  <dimension ref="A2:X301"/>
  <sheetViews>
    <sheetView topLeftCell="A177" zoomScale="85" zoomScaleNormal="85" workbookViewId="0">
      <selection activeCell="J316" sqref="J316"/>
    </sheetView>
  </sheetViews>
  <sheetFormatPr defaultRowHeight="15" x14ac:dyDescent="0.25"/>
  <cols>
    <col min="3" max="4" width="19.42578125" bestFit="1" customWidth="1"/>
    <col min="5" max="5" width="13.5703125" customWidth="1"/>
    <col min="7" max="7" width="11.140625" bestFit="1" customWidth="1"/>
    <col min="8" max="8" width="12.42578125" bestFit="1" customWidth="1"/>
    <col min="9" max="9" width="18.42578125" bestFit="1" customWidth="1"/>
    <col min="10" max="10" width="12.42578125" bestFit="1" customWidth="1"/>
    <col min="11" max="11" width="12" bestFit="1" customWidth="1"/>
  </cols>
  <sheetData>
    <row r="2" spans="1:13" x14ac:dyDescent="0.25">
      <c r="B2" t="s">
        <v>77</v>
      </c>
    </row>
    <row r="3" spans="1:13" x14ac:dyDescent="0.25">
      <c r="I3">
        <v>13.605698066</v>
      </c>
      <c r="K3" t="s">
        <v>68</v>
      </c>
      <c r="M3" t="s">
        <v>85</v>
      </c>
    </row>
    <row r="4" spans="1:13" x14ac:dyDescent="0.25">
      <c r="C4" t="s">
        <v>70</v>
      </c>
      <c r="K4" t="s">
        <v>83</v>
      </c>
      <c r="L4">
        <v>10.186199999999999</v>
      </c>
      <c r="M4">
        <f>L5-L4</f>
        <v>3.6351000000000013</v>
      </c>
    </row>
    <row r="5" spans="1:13" x14ac:dyDescent="0.25">
      <c r="K5" t="s">
        <v>84</v>
      </c>
      <c r="L5">
        <v>13.821300000000001</v>
      </c>
    </row>
    <row r="6" spans="1:13" x14ac:dyDescent="0.25">
      <c r="B6" t="s">
        <v>68</v>
      </c>
      <c r="F6" t="s">
        <v>69</v>
      </c>
    </row>
    <row r="7" spans="1:13" x14ac:dyDescent="0.25">
      <c r="C7" t="s">
        <v>73</v>
      </c>
      <c r="K7" t="s">
        <v>69</v>
      </c>
    </row>
    <row r="8" spans="1:13" x14ac:dyDescent="0.25">
      <c r="B8" t="s">
        <v>74</v>
      </c>
      <c r="C8">
        <v>-5270.1885718100002</v>
      </c>
      <c r="D8" s="11">
        <f>C8*$I$3</f>
        <v>-71704.594458930631</v>
      </c>
      <c r="F8" t="s">
        <v>74</v>
      </c>
      <c r="G8">
        <v>-5224.6516765599999</v>
      </c>
      <c r="H8" s="11">
        <f>G8*$I$3</f>
        <v>-71085.033211296046</v>
      </c>
      <c r="K8" t="s">
        <v>83</v>
      </c>
      <c r="L8">
        <v>8.3277999999999999</v>
      </c>
      <c r="M8" t="s">
        <v>85</v>
      </c>
    </row>
    <row r="9" spans="1:13" x14ac:dyDescent="0.25">
      <c r="K9" t="s">
        <v>84</v>
      </c>
      <c r="L9">
        <v>13.898899999999999</v>
      </c>
      <c r="M9">
        <f>L9-L8</f>
        <v>5.5710999999999995</v>
      </c>
    </row>
    <row r="11" spans="1:13" x14ac:dyDescent="0.25">
      <c r="A11" t="s">
        <v>88</v>
      </c>
    </row>
    <row r="13" spans="1:13" x14ac:dyDescent="0.25">
      <c r="B13" s="3" t="s">
        <v>11</v>
      </c>
      <c r="C13" t="s">
        <v>80</v>
      </c>
      <c r="D13" s="3" t="s">
        <v>1</v>
      </c>
      <c r="E13" s="3" t="s">
        <v>2</v>
      </c>
      <c r="F13" s="4" t="s">
        <v>3</v>
      </c>
      <c r="G13" s="4" t="s">
        <v>4</v>
      </c>
      <c r="H13" s="4" t="s">
        <v>5</v>
      </c>
      <c r="I13" s="4" t="s">
        <v>6</v>
      </c>
      <c r="J13" s="4" t="s">
        <v>86</v>
      </c>
      <c r="K13" s="12" t="s">
        <v>87</v>
      </c>
    </row>
    <row r="14" spans="1:13" x14ac:dyDescent="0.25">
      <c r="A14" t="s">
        <v>68</v>
      </c>
      <c r="C14" t="s">
        <v>81</v>
      </c>
      <c r="D14" t="s">
        <v>67</v>
      </c>
      <c r="J14">
        <v>0</v>
      </c>
      <c r="K14">
        <f>M4</f>
        <v>3.6351000000000013</v>
      </c>
      <c r="L14">
        <f>M9</f>
        <v>5.5710999999999995</v>
      </c>
      <c r="M14">
        <v>5.59</v>
      </c>
    </row>
    <row r="15" spans="1:13" x14ac:dyDescent="0.25">
      <c r="A15" t="s">
        <v>78</v>
      </c>
      <c r="B15">
        <v>0</v>
      </c>
      <c r="C15">
        <v>-5237.4775902000001</v>
      </c>
      <c r="D15">
        <f>C15*$I$3</f>
        <v>-71259.538719702483</v>
      </c>
      <c r="E15">
        <v>-71704.594458930631</v>
      </c>
      <c r="F15">
        <v>-438.42893178275011</v>
      </c>
      <c r="G15">
        <v>10.186199999999999</v>
      </c>
      <c r="H15" s="6">
        <f>D15-E15+F15 +G15*B15</f>
        <v>6.6268074453979011</v>
      </c>
      <c r="I15">
        <v>0</v>
      </c>
      <c r="J15" s="5">
        <f>H15+I15</f>
        <v>6.6268074453979011</v>
      </c>
      <c r="K15">
        <f>J15+B15*$K$14</f>
        <v>6.6268074453979011</v>
      </c>
      <c r="L15">
        <f>J15+B15*$L$14</f>
        <v>6.6268074453979011</v>
      </c>
    </row>
    <row r="16" spans="1:13" x14ac:dyDescent="0.25">
      <c r="A16" t="s">
        <v>113</v>
      </c>
      <c r="B16">
        <v>1</v>
      </c>
      <c r="C16">
        <v>-5238.4399465005999</v>
      </c>
      <c r="D16">
        <f>C16*$I$3</f>
        <v>-71272.632248960363</v>
      </c>
      <c r="E16">
        <v>-71704.594458930631</v>
      </c>
      <c r="F16">
        <v>-438.42893178275011</v>
      </c>
      <c r="G16">
        <v>10.186199999999999</v>
      </c>
      <c r="H16" s="6">
        <f>D16-E16+F16 +G16*B16</f>
        <v>3.7194781875181917</v>
      </c>
      <c r="I16">
        <v>0</v>
      </c>
      <c r="J16" s="5">
        <f>H16+I16</f>
        <v>3.7194781875181917</v>
      </c>
      <c r="K16">
        <f>J16+B16*$K$14</f>
        <v>7.354578187518193</v>
      </c>
      <c r="L16">
        <f>J16+B16*$L$14</f>
        <v>9.2905781875181912</v>
      </c>
    </row>
    <row r="17" spans="1:24" x14ac:dyDescent="0.25">
      <c r="A17" t="s">
        <v>79</v>
      </c>
      <c r="B17">
        <v>2</v>
      </c>
      <c r="C17">
        <v>-5239.3991727599996</v>
      </c>
      <c r="D17">
        <f>C17*$I$3</f>
        <v>-71285.683191822725</v>
      </c>
      <c r="E17">
        <v>-71704.594458930631</v>
      </c>
      <c r="F17">
        <v>-438.42893178275011</v>
      </c>
      <c r="G17">
        <v>10.186199999999999</v>
      </c>
      <c r="H17" s="6">
        <f>D17-E17+F17 +G17*B17</f>
        <v>0.8547353251554739</v>
      </c>
      <c r="I17">
        <v>0.34585199999999999</v>
      </c>
      <c r="J17" s="5">
        <f>H17+I17</f>
        <v>1.200587325155474</v>
      </c>
      <c r="K17">
        <f>J17+B17*$K$14</f>
        <v>8.4707873251554773</v>
      </c>
      <c r="L17">
        <f>J17+B17*$L$14</f>
        <v>12.342787325155474</v>
      </c>
    </row>
    <row r="18" spans="1:24" x14ac:dyDescent="0.25">
      <c r="A18" t="s">
        <v>82</v>
      </c>
      <c r="H18">
        <f>(H17-H15)/(B15-B17)</f>
        <v>2.8860360601212136</v>
      </c>
      <c r="J18">
        <f>M4-H18</f>
        <v>0.74906393987878772</v>
      </c>
    </row>
    <row r="19" spans="1:24" x14ac:dyDescent="0.25">
      <c r="G19">
        <f>-(G17+(D17-D15)/2)</f>
        <v>2.8860360601212136</v>
      </c>
    </row>
    <row r="20" spans="1:24" x14ac:dyDescent="0.25">
      <c r="A20" t="s">
        <v>69</v>
      </c>
      <c r="J20">
        <v>0</v>
      </c>
      <c r="K20">
        <v>5.5710999999999995</v>
      </c>
    </row>
    <row r="21" spans="1:24" x14ac:dyDescent="0.25">
      <c r="A21" t="s">
        <v>78</v>
      </c>
      <c r="B21">
        <v>0</v>
      </c>
      <c r="C21">
        <v>-5192.5594246299997</v>
      </c>
      <c r="D21">
        <f>C21*$I$3</f>
        <v>-70648.395721278459</v>
      </c>
      <c r="E21">
        <v>-71085.033211296046</v>
      </c>
      <c r="F21">
        <v>-429.81982390396678</v>
      </c>
      <c r="G21">
        <v>8.3277999999999999</v>
      </c>
      <c r="H21" s="6">
        <f>D21-E21+F21 +G21*B21</f>
        <v>6.8176661136201915</v>
      </c>
      <c r="I21">
        <v>0</v>
      </c>
      <c r="J21" s="5">
        <f>H21+I21</f>
        <v>6.8176661136201915</v>
      </c>
      <c r="K21">
        <f>J21+B21*$K$20</f>
        <v>6.8176661136201915</v>
      </c>
    </row>
    <row r="22" spans="1:24" x14ac:dyDescent="0.25">
      <c r="A22" t="s">
        <v>113</v>
      </c>
      <c r="B22">
        <v>1</v>
      </c>
      <c r="C22">
        <v>-5193.5094775093003</v>
      </c>
      <c r="D22">
        <f>C22*$I$3</f>
        <v>-70661.321853900954</v>
      </c>
      <c r="E22">
        <v>-71085.033211296046</v>
      </c>
      <c r="F22">
        <v>-429.81982390396678</v>
      </c>
      <c r="G22">
        <v>8.3277999999999999</v>
      </c>
      <c r="H22" s="6">
        <f>D22-E22+F22 +G22*B22</f>
        <v>2.2193334911251306</v>
      </c>
      <c r="I22">
        <v>0</v>
      </c>
      <c r="J22" s="5">
        <f>H22+I22</f>
        <v>2.2193334911251306</v>
      </c>
      <c r="K22">
        <f>J22+B22*$K$20</f>
        <v>7.7904334911251301</v>
      </c>
      <c r="X22">
        <v>222</v>
      </c>
    </row>
    <row r="23" spans="1:24" x14ac:dyDescent="0.25">
      <c r="A23" t="s">
        <v>79</v>
      </c>
      <c r="B23">
        <v>2</v>
      </c>
      <c r="C23">
        <v>-5194.4608770000004</v>
      </c>
      <c r="D23">
        <f>C23*$I$3</f>
        <v>-70674.266308111575</v>
      </c>
      <c r="E23">
        <v>-71085.033211296046</v>
      </c>
      <c r="F23">
        <v>-429.81982390396678</v>
      </c>
      <c r="G23">
        <v>8.3277999999999999</v>
      </c>
      <c r="H23" s="6">
        <f>D23-E23+F23 +G23*B23</f>
        <v>-2.397320719496058</v>
      </c>
      <c r="I23">
        <v>0.35417199999999999</v>
      </c>
      <c r="J23" s="5">
        <f>H23+I23</f>
        <v>-2.0431487194960578</v>
      </c>
      <c r="K23">
        <f>J23+B23*$K$20</f>
        <v>9.0990512805039412</v>
      </c>
    </row>
    <row r="24" spans="1:24" x14ac:dyDescent="0.25">
      <c r="A24" t="s">
        <v>82</v>
      </c>
      <c r="E24">
        <f>E23/(72/3)</f>
        <v>-2961.8763838040018</v>
      </c>
      <c r="H24">
        <f>(H23-H21)/(B21-B23)</f>
        <v>4.6074934165581247</v>
      </c>
      <c r="I24">
        <f>M9-H24</f>
        <v>0.96360658344187478</v>
      </c>
      <c r="J24">
        <f>(J23-J21)/(B21-B23)</f>
        <v>4.4304074165581246</v>
      </c>
      <c r="K24">
        <f>K20-J24</f>
        <v>1.1406925834418749</v>
      </c>
    </row>
    <row r="26" spans="1:24" x14ac:dyDescent="0.25">
      <c r="X26">
        <v>2.8860360601212136</v>
      </c>
    </row>
    <row r="27" spans="1:24" x14ac:dyDescent="0.25">
      <c r="E27" t="s">
        <v>69</v>
      </c>
      <c r="F27" t="s">
        <v>68</v>
      </c>
      <c r="H27">
        <v>2.8860360601212136</v>
      </c>
      <c r="J27">
        <v>2.5029117749255505</v>
      </c>
      <c r="L27">
        <v>0.74906393987878772</v>
      </c>
      <c r="M27" s="5"/>
      <c r="X27">
        <v>2.8775669892748823</v>
      </c>
    </row>
    <row r="28" spans="1:24" x14ac:dyDescent="0.25">
      <c r="D28" t="s">
        <v>151</v>
      </c>
      <c r="E28">
        <v>0.35417199999999999</v>
      </c>
      <c r="F28">
        <v>0.34585199999999999</v>
      </c>
      <c r="H28">
        <v>4.6074934165581247</v>
      </c>
      <c r="J28">
        <v>4.2903045258563246</v>
      </c>
      <c r="L28">
        <v>0.96360658344187478</v>
      </c>
    </row>
    <row r="29" spans="1:24" x14ac:dyDescent="0.25">
      <c r="D29" t="s">
        <v>152</v>
      </c>
      <c r="E29">
        <v>0.34417199999999998</v>
      </c>
      <c r="F29">
        <v>0.33785199999999999</v>
      </c>
    </row>
    <row r="31" spans="1:24" x14ac:dyDescent="0.25">
      <c r="A31" t="s">
        <v>90</v>
      </c>
      <c r="X31">
        <f>X27-X26</f>
        <v>-8.4690708463313058E-3</v>
      </c>
    </row>
    <row r="33" spans="1:12" x14ac:dyDescent="0.25">
      <c r="B33" s="3" t="s">
        <v>11</v>
      </c>
      <c r="C33" t="s">
        <v>80</v>
      </c>
      <c r="D33" s="3" t="s">
        <v>1</v>
      </c>
      <c r="E33" s="3" t="s">
        <v>2</v>
      </c>
      <c r="F33" s="4" t="s">
        <v>3</v>
      </c>
      <c r="G33" s="4" t="s">
        <v>4</v>
      </c>
      <c r="H33" s="4" t="s">
        <v>5</v>
      </c>
      <c r="I33" s="4" t="s">
        <v>6</v>
      </c>
      <c r="J33" s="4" t="s">
        <v>86</v>
      </c>
      <c r="K33" s="12" t="s">
        <v>87</v>
      </c>
    </row>
    <row r="34" spans="1:12" x14ac:dyDescent="0.25">
      <c r="A34" t="s">
        <v>68</v>
      </c>
      <c r="C34" t="s">
        <v>81</v>
      </c>
      <c r="D34" t="s">
        <v>67</v>
      </c>
      <c r="J34">
        <v>0</v>
      </c>
      <c r="K34">
        <v>3.6351000000000013</v>
      </c>
      <c r="L34">
        <v>5.5710999999999995</v>
      </c>
    </row>
    <row r="35" spans="1:12" x14ac:dyDescent="0.25">
      <c r="A35" t="s">
        <v>78</v>
      </c>
      <c r="B35">
        <v>0</v>
      </c>
      <c r="C35">
        <v>-5237.4849771099998</v>
      </c>
      <c r="D35">
        <f>C35*$I$3</f>
        <v>-71259.639223769584</v>
      </c>
      <c r="E35">
        <v>-71704.594458930631</v>
      </c>
      <c r="F35">
        <v>-438.42893178275011</v>
      </c>
      <c r="G35">
        <v>10.186199999999999</v>
      </c>
      <c r="H35" s="6">
        <f>D35-E35+F35 +G35*B35</f>
        <v>6.5263033782972002</v>
      </c>
      <c r="I35">
        <v>0</v>
      </c>
      <c r="J35" s="5">
        <f>H35+I35</f>
        <v>6.5263033782972002</v>
      </c>
      <c r="K35">
        <f>J35+B35*$K$14</f>
        <v>6.5263033782972002</v>
      </c>
      <c r="L35">
        <f>J35+B35*$L$14</f>
        <v>6.5263033782972002</v>
      </c>
    </row>
    <row r="36" spans="1:12" x14ac:dyDescent="0.25">
      <c r="A36" t="s">
        <v>113</v>
      </c>
      <c r="B36">
        <v>1</v>
      </c>
      <c r="C36">
        <v>-5238.4158727129998</v>
      </c>
      <c r="D36">
        <f>C36*$I$3</f>
        <v>-71272.304708274969</v>
      </c>
      <c r="E36">
        <v>-71704.594458930631</v>
      </c>
      <c r="F36">
        <v>-438.42893178275011</v>
      </c>
      <c r="G36">
        <v>10.186199999999999</v>
      </c>
      <c r="H36" s="6">
        <f>D36-E36+F36 +G36*B36</f>
        <v>4.0470188729118064</v>
      </c>
      <c r="I36">
        <v>0</v>
      </c>
      <c r="J36" s="5">
        <f>H36+I36</f>
        <v>4.0470188729118064</v>
      </c>
      <c r="K36">
        <f>J36+B36*$K$14</f>
        <v>7.6821188729118077</v>
      </c>
      <c r="L36">
        <f>J36+B36*$L$14</f>
        <v>9.6181188729118059</v>
      </c>
    </row>
    <row r="37" spans="1:12" x14ac:dyDescent="0.25">
      <c r="A37" t="s">
        <v>79</v>
      </c>
      <c r="B37">
        <v>2</v>
      </c>
      <c r="C37">
        <v>-5239.3502414593004</v>
      </c>
      <c r="D37">
        <f>C37*$I$3</f>
        <v>-71285.017447319435</v>
      </c>
      <c r="E37">
        <v>-71704.594458930631</v>
      </c>
      <c r="F37">
        <v>-438.42893178275011</v>
      </c>
      <c r="G37">
        <v>10.186199999999999</v>
      </c>
      <c r="H37" s="6">
        <f>D37-E37+F37 +G37*B37</f>
        <v>1.5204798284460992</v>
      </c>
      <c r="I37">
        <v>0.33785199999999999</v>
      </c>
      <c r="J37" s="5">
        <f>H37+I37</f>
        <v>1.8583318284460992</v>
      </c>
      <c r="K37">
        <f>J37+B37*$K$14</f>
        <v>9.1285318284461017</v>
      </c>
      <c r="L37">
        <f>J37+B37*$L$14</f>
        <v>13.000531828446098</v>
      </c>
    </row>
    <row r="38" spans="1:12" x14ac:dyDescent="0.25">
      <c r="A38" t="s">
        <v>82</v>
      </c>
      <c r="H38">
        <f>(H37-H35)/(B35-B37)</f>
        <v>2.5029117749255505</v>
      </c>
      <c r="I38">
        <f>K34-H38</f>
        <v>1.1321882250744508</v>
      </c>
      <c r="K38">
        <f>(J37-J35)/(B35-B37)</f>
        <v>2.3339857749255506</v>
      </c>
      <c r="L38">
        <f>K34-K38</f>
        <v>1.3011142250744507</v>
      </c>
    </row>
    <row r="40" spans="1:12" x14ac:dyDescent="0.25">
      <c r="A40" t="s">
        <v>69</v>
      </c>
      <c r="J40">
        <v>0</v>
      </c>
      <c r="K40">
        <v>5.5710999999999995</v>
      </c>
    </row>
    <row r="41" spans="1:12" x14ac:dyDescent="0.25">
      <c r="A41" t="s">
        <v>78</v>
      </c>
      <c r="B41">
        <v>0</v>
      </c>
      <c r="C41">
        <v>-5192.6135919899998</v>
      </c>
      <c r="D41">
        <f>C41*$I$3</f>
        <v>-70649.132706023651</v>
      </c>
      <c r="E41">
        <v>-71085.033211296046</v>
      </c>
      <c r="F41">
        <v>-429.81982390396678</v>
      </c>
      <c r="G41">
        <v>8.3277999999999999</v>
      </c>
      <c r="H41" s="6">
        <f>D41-E41+F41 +G41*B41</f>
        <v>6.0806813684283156</v>
      </c>
      <c r="I41">
        <v>0</v>
      </c>
      <c r="J41" s="5">
        <f>H41+I41</f>
        <v>6.0806813684283156</v>
      </c>
      <c r="K41">
        <f>J41+B41*$K$20</f>
        <v>6.0806813684283156</v>
      </c>
    </row>
    <row r="42" spans="1:12" x14ac:dyDescent="0.25">
      <c r="A42" t="s">
        <v>113</v>
      </c>
      <c r="B42">
        <v>1</v>
      </c>
      <c r="C42">
        <v>-5193.5368255411004</v>
      </c>
      <c r="D42">
        <f>C42*$I$3</f>
        <v>-70661.693942964324</v>
      </c>
      <c r="E42">
        <v>-71085.033211296046</v>
      </c>
      <c r="F42">
        <v>-429.81982390396678</v>
      </c>
      <c r="G42">
        <v>8.3277999999999999</v>
      </c>
      <c r="H42" s="6">
        <f>D42-E42+F42 +G42*B42</f>
        <v>1.8472444277547631</v>
      </c>
      <c r="I42">
        <v>0</v>
      </c>
      <c r="J42" s="5">
        <f>H42+I42</f>
        <v>1.8472444277547631</v>
      </c>
      <c r="K42">
        <f>J42+B42*$K$20</f>
        <v>7.4183444277547625</v>
      </c>
    </row>
    <row r="43" spans="1:12" x14ac:dyDescent="0.25">
      <c r="A43" t="s">
        <v>79</v>
      </c>
      <c r="B43">
        <v>2</v>
      </c>
      <c r="C43">
        <v>-5194.46841847</v>
      </c>
      <c r="D43">
        <f>C43*$I$3</f>
        <v>-70674.368915075363</v>
      </c>
      <c r="E43">
        <v>-71085.033211296046</v>
      </c>
      <c r="F43">
        <v>-429.81982390396678</v>
      </c>
      <c r="G43">
        <v>8.3277999999999999</v>
      </c>
      <c r="H43" s="6">
        <f>D43-E43+F43 +G43*B43</f>
        <v>-2.4999276832843336</v>
      </c>
      <c r="I43">
        <v>0.34417199999999998</v>
      </c>
      <c r="J43" s="5">
        <f>H43+I43</f>
        <v>-2.1557556832843336</v>
      </c>
      <c r="K43">
        <f>J43+B43*$K$20</f>
        <v>8.9864443167156658</v>
      </c>
    </row>
    <row r="44" spans="1:12" x14ac:dyDescent="0.25">
      <c r="A44" t="s">
        <v>82</v>
      </c>
      <c r="E44">
        <f>E43/(72/3)</f>
        <v>-2961.8763838040018</v>
      </c>
      <c r="H44">
        <f>(H43-H41)/(B41-B43)</f>
        <v>4.2903045258563246</v>
      </c>
      <c r="I44">
        <f>K40-H44</f>
        <v>1.2807954741436749</v>
      </c>
      <c r="J44">
        <f>(J43-J41)/(B41-B43)</f>
        <v>4.1182185258563244</v>
      </c>
      <c r="K44">
        <f>K40-J44</f>
        <v>1.4528814741436751</v>
      </c>
    </row>
    <row r="45" spans="1:12" x14ac:dyDescent="0.25">
      <c r="L45">
        <v>-438.98050135417321</v>
      </c>
    </row>
    <row r="46" spans="1:12" x14ac:dyDescent="0.25">
      <c r="K46">
        <v>1.1321882250744508</v>
      </c>
    </row>
    <row r="47" spans="1:12" x14ac:dyDescent="0.25">
      <c r="H47" s="5">
        <f>H35-H15</f>
        <v>-0.10050406710070092</v>
      </c>
      <c r="K47">
        <v>1.2807954741436749</v>
      </c>
    </row>
    <row r="48" spans="1:12" x14ac:dyDescent="0.25">
      <c r="H48" s="5">
        <f>H36-H16</f>
        <v>0.32754068539361469</v>
      </c>
    </row>
    <row r="49" spans="1:19" x14ac:dyDescent="0.25">
      <c r="E49">
        <v>-5238.4158727129998</v>
      </c>
      <c r="H49" s="5">
        <f>H37-H17</f>
        <v>0.66574450329062529</v>
      </c>
    </row>
    <row r="50" spans="1:19" x14ac:dyDescent="0.25">
      <c r="A50" t="s">
        <v>120</v>
      </c>
    </row>
    <row r="51" spans="1:19" x14ac:dyDescent="0.25">
      <c r="E51">
        <v>4</v>
      </c>
      <c r="F51">
        <v>-427.98418985570061</v>
      </c>
      <c r="H51" s="5">
        <f>H41-H21</f>
        <v>-0.73698474519187585</v>
      </c>
      <c r="Q51" t="s">
        <v>100</v>
      </c>
    </row>
    <row r="52" spans="1:19" x14ac:dyDescent="0.25">
      <c r="H52" s="5">
        <f>H42-H22</f>
        <v>-0.37208906337036751</v>
      </c>
      <c r="Q52" t="s">
        <v>102</v>
      </c>
    </row>
    <row r="53" spans="1:19" x14ac:dyDescent="0.25">
      <c r="E53">
        <v>3</v>
      </c>
      <c r="F53">
        <v>-428.86338188429954</v>
      </c>
      <c r="H53" s="5">
        <f>H43-H23</f>
        <v>-0.10260696378827561</v>
      </c>
    </row>
    <row r="54" spans="1:19" x14ac:dyDescent="0.25">
      <c r="Q54" t="s">
        <v>92</v>
      </c>
      <c r="S54" t="s">
        <v>99</v>
      </c>
    </row>
    <row r="55" spans="1:19" x14ac:dyDescent="0.25">
      <c r="A55" t="s">
        <v>88</v>
      </c>
      <c r="R55">
        <f>Q55*$I$3</f>
        <v>0</v>
      </c>
      <c r="S55">
        <f>R55/3</f>
        <v>0</v>
      </c>
    </row>
    <row r="57" spans="1:19" x14ac:dyDescent="0.25">
      <c r="B57" s="3" t="s">
        <v>11</v>
      </c>
      <c r="C57" t="s">
        <v>80</v>
      </c>
      <c r="D57" s="3" t="s">
        <v>1</v>
      </c>
      <c r="E57" s="3" t="s">
        <v>2</v>
      </c>
      <c r="F57" s="4" t="s">
        <v>3</v>
      </c>
      <c r="G57" s="4" t="s">
        <v>4</v>
      </c>
      <c r="H57" s="4" t="s">
        <v>5</v>
      </c>
      <c r="I57" s="4" t="s">
        <v>6</v>
      </c>
      <c r="J57" s="4" t="s">
        <v>86</v>
      </c>
      <c r="K57" s="12" t="s">
        <v>87</v>
      </c>
      <c r="Q57" t="s">
        <v>94</v>
      </c>
      <c r="S57" t="s">
        <v>99</v>
      </c>
    </row>
    <row r="58" spans="1:19" x14ac:dyDescent="0.25">
      <c r="A58" t="s">
        <v>68</v>
      </c>
      <c r="C58" t="s">
        <v>81</v>
      </c>
      <c r="D58" t="s">
        <v>67</v>
      </c>
      <c r="J58">
        <v>0</v>
      </c>
      <c r="K58">
        <f>M48</f>
        <v>0</v>
      </c>
      <c r="L58">
        <f>M53</f>
        <v>0</v>
      </c>
      <c r="M58">
        <v>5.59</v>
      </c>
      <c r="R58">
        <f>Q58*$I$3</f>
        <v>0</v>
      </c>
      <c r="S58">
        <f>R58/24</f>
        <v>0</v>
      </c>
    </row>
    <row r="59" spans="1:19" x14ac:dyDescent="0.25">
      <c r="A59" t="s">
        <v>78</v>
      </c>
      <c r="B59">
        <v>0</v>
      </c>
      <c r="C59">
        <v>-5237.4758004928999</v>
      </c>
      <c r="D59">
        <f>C59*$I$3</f>
        <v>-71259.514369488053</v>
      </c>
      <c r="E59">
        <v>-71704.594458930631</v>
      </c>
      <c r="F59">
        <v>-438.42893178275011</v>
      </c>
      <c r="G59">
        <v>10.186199999999999</v>
      </c>
      <c r="H59" s="6">
        <f>D59-E59+F59 +G59*B59</f>
        <v>6.6511576598273336</v>
      </c>
      <c r="I59">
        <v>0</v>
      </c>
      <c r="J59" s="5">
        <f>H59+I59</f>
        <v>6.6511576598273336</v>
      </c>
      <c r="K59">
        <f>J59+B59*$K$14</f>
        <v>6.6511576598273336</v>
      </c>
      <c r="L59">
        <f>J59+B59*$L$14</f>
        <v>6.6511576598273336</v>
      </c>
    </row>
    <row r="60" spans="1:19" x14ac:dyDescent="0.25">
      <c r="A60" t="s">
        <v>79</v>
      </c>
      <c r="B60">
        <v>2</v>
      </c>
      <c r="C60">
        <v>-5239.3502414593004</v>
      </c>
      <c r="D60">
        <f>C60*$I$3</f>
        <v>-71285.017447319435</v>
      </c>
      <c r="E60">
        <v>-71704.594458930631</v>
      </c>
      <c r="F60">
        <v>-438.42893178275011</v>
      </c>
      <c r="G60">
        <v>10.186199999999999</v>
      </c>
      <c r="H60" s="6">
        <f>D60-E60+F60 +G60*B60</f>
        <v>1.5204798284460992</v>
      </c>
      <c r="I60" s="5">
        <v>0</v>
      </c>
      <c r="J60" s="5">
        <f>H60+I60</f>
        <v>1.5204798284460992</v>
      </c>
      <c r="K60">
        <f>J60+B60*$K$14</f>
        <v>8.7906798284461019</v>
      </c>
      <c r="L60">
        <f>J60+B60*$L$14</f>
        <v>12.662679828446098</v>
      </c>
      <c r="Q60" t="s">
        <v>95</v>
      </c>
    </row>
    <row r="61" spans="1:19" x14ac:dyDescent="0.25">
      <c r="Q61">
        <v>-9.2180436650376887</v>
      </c>
    </row>
    <row r="62" spans="1:19" x14ac:dyDescent="0.25">
      <c r="A62" t="s">
        <v>82</v>
      </c>
      <c r="H62">
        <f>(H60-H59)/(B59-B60)</f>
        <v>2.5653389156906172</v>
      </c>
      <c r="J62">
        <f>M48-H62</f>
        <v>-2.5653389156906172</v>
      </c>
    </row>
    <row r="63" spans="1:19" x14ac:dyDescent="0.25">
      <c r="Q63" t="s">
        <v>96</v>
      </c>
      <c r="S63" t="s">
        <v>98</v>
      </c>
    </row>
    <row r="64" spans="1:19" x14ac:dyDescent="0.25">
      <c r="A64" t="s">
        <v>69</v>
      </c>
      <c r="J64">
        <v>0</v>
      </c>
      <c r="K64">
        <v>5.5710999999999995</v>
      </c>
    </row>
    <row r="65" spans="1:20" x14ac:dyDescent="0.25">
      <c r="A65" t="s">
        <v>78</v>
      </c>
      <c r="B65">
        <v>0</v>
      </c>
      <c r="C65">
        <v>-5192.5586141004997</v>
      </c>
      <c r="D65">
        <f>C65*$I$3</f>
        <v>-70648.384693458807</v>
      </c>
      <c r="E65">
        <v>-71085.033211296046</v>
      </c>
      <c r="F65">
        <v>-429.81982390396678</v>
      </c>
      <c r="G65">
        <v>8.3277999999999999</v>
      </c>
      <c r="H65" s="6">
        <f>D65-E65+F65 +G65*B65</f>
        <v>6.8286939332718362</v>
      </c>
      <c r="I65">
        <v>0</v>
      </c>
      <c r="J65" s="5">
        <f>H65+I65</f>
        <v>6.8286939332718362</v>
      </c>
      <c r="K65">
        <f>J65+B65*$K$20</f>
        <v>6.8286939332718362</v>
      </c>
      <c r="S65">
        <f>S58-S55-Q61</f>
        <v>9.2180436650376887</v>
      </c>
      <c r="T65">
        <f>S65/2</f>
        <v>4.6090218325188443</v>
      </c>
    </row>
    <row r="66" spans="1:20" x14ac:dyDescent="0.25">
      <c r="A66" t="s">
        <v>79</v>
      </c>
      <c r="B66">
        <v>2</v>
      </c>
      <c r="C66">
        <v>-5194.4609463576999</v>
      </c>
      <c r="D66">
        <f>C66*$I$3</f>
        <v>-70674.267251771482</v>
      </c>
      <c r="E66">
        <v>-71085.033211296046</v>
      </c>
      <c r="F66">
        <v>-429.81982390396678</v>
      </c>
      <c r="G66">
        <v>8.3277999999999999</v>
      </c>
      <c r="H66" s="6">
        <f>D66-E66+F66 +G66*B66</f>
        <v>-2.3982643794026828</v>
      </c>
      <c r="I66" s="5">
        <v>0</v>
      </c>
      <c r="J66" s="5">
        <f>H66+I66</f>
        <v>-2.3982643794026828</v>
      </c>
      <c r="K66">
        <f>J66+B66*$K$20</f>
        <v>8.7439356205973162</v>
      </c>
    </row>
    <row r="67" spans="1:20" x14ac:dyDescent="0.25">
      <c r="Q67" t="s">
        <v>97</v>
      </c>
      <c r="S67" t="s">
        <v>98</v>
      </c>
    </row>
    <row r="68" spans="1:20" x14ac:dyDescent="0.25">
      <c r="A68" t="s">
        <v>82</v>
      </c>
      <c r="E68">
        <f>E66/(72/3)</f>
        <v>-2961.8763838040018</v>
      </c>
      <c r="H68">
        <f>(H66-H65)/(B65-B66)</f>
        <v>4.6134791563372595</v>
      </c>
      <c r="J68">
        <f>M53-H68</f>
        <v>-4.6134791563372595</v>
      </c>
      <c r="Q68">
        <v>-516.23136038999996</v>
      </c>
      <c r="R68">
        <f>Q68*$I$3</f>
        <v>-7023.6880216667714</v>
      </c>
      <c r="S68">
        <f>R68/8</f>
        <v>-877.96100270834643</v>
      </c>
      <c r="T68">
        <f>S68/2</f>
        <v>-438.98050135417321</v>
      </c>
    </row>
    <row r="70" spans="1:20" x14ac:dyDescent="0.25">
      <c r="A70" t="s">
        <v>90</v>
      </c>
    </row>
    <row r="71" spans="1:20" x14ac:dyDescent="0.25">
      <c r="Q71" t="s">
        <v>104</v>
      </c>
      <c r="S71">
        <f>S58-S55</f>
        <v>0</v>
      </c>
    </row>
    <row r="72" spans="1:20" x14ac:dyDescent="0.25">
      <c r="B72" s="3" t="s">
        <v>11</v>
      </c>
      <c r="C72" t="s">
        <v>80</v>
      </c>
      <c r="D72" s="3" t="s">
        <v>1</v>
      </c>
      <c r="E72" s="3" t="s">
        <v>2</v>
      </c>
      <c r="F72" s="4" t="s">
        <v>3</v>
      </c>
      <c r="G72" s="4" t="s">
        <v>4</v>
      </c>
      <c r="H72" s="4" t="s">
        <v>5</v>
      </c>
      <c r="I72" s="4" t="s">
        <v>6</v>
      </c>
      <c r="J72" s="4" t="s">
        <v>86</v>
      </c>
      <c r="K72" s="12" t="s">
        <v>87</v>
      </c>
      <c r="S72">
        <f>S71/2</f>
        <v>0</v>
      </c>
    </row>
    <row r="73" spans="1:20" x14ac:dyDescent="0.25">
      <c r="A73" t="s">
        <v>68</v>
      </c>
      <c r="C73" t="s">
        <v>81</v>
      </c>
      <c r="D73" t="s">
        <v>67</v>
      </c>
      <c r="J73">
        <v>0</v>
      </c>
      <c r="K73">
        <v>3.6351000000000013</v>
      </c>
      <c r="L73">
        <v>5.5710999999999995</v>
      </c>
    </row>
    <row r="74" spans="1:20" x14ac:dyDescent="0.25">
      <c r="A74" t="s">
        <v>78</v>
      </c>
      <c r="B74">
        <v>0</v>
      </c>
      <c r="C74">
        <v>-5237.4846083434004</v>
      </c>
      <c r="D74">
        <f>C74*$I$3</f>
        <v>-71259.63420644257</v>
      </c>
      <c r="E74">
        <v>-71704.594458930631</v>
      </c>
      <c r="F74">
        <v>-438.42893178275011</v>
      </c>
      <c r="G74">
        <v>10.186199999999999</v>
      </c>
      <c r="H74" s="6">
        <f>D74-E74+F74 +G74*B74</f>
        <v>6.531320705310975</v>
      </c>
      <c r="I74">
        <v>0</v>
      </c>
      <c r="J74" s="5">
        <f>H74+I74</f>
        <v>6.531320705310975</v>
      </c>
      <c r="K74">
        <f>J74+B74*$K$14</f>
        <v>6.531320705310975</v>
      </c>
      <c r="L74">
        <f>J74+B74*$L$14</f>
        <v>6.531320705310975</v>
      </c>
    </row>
    <row r="75" spans="1:20" x14ac:dyDescent="0.25">
      <c r="A75" t="s">
        <v>79</v>
      </c>
      <c r="B75">
        <v>2</v>
      </c>
      <c r="C75">
        <v>-5239.3503118782</v>
      </c>
      <c r="D75">
        <f>C75*$I$3</f>
        <v>-71285.018405417723</v>
      </c>
      <c r="E75">
        <v>-71704.594458930631</v>
      </c>
      <c r="F75">
        <v>-438.42893178275011</v>
      </c>
      <c r="G75">
        <v>10.186199999999999</v>
      </c>
      <c r="H75" s="6">
        <f>D75-E75+F75 +G75*B75</f>
        <v>1.5195217301582886</v>
      </c>
      <c r="I75" s="5">
        <v>0</v>
      </c>
      <c r="J75" s="5">
        <f>H75+I75</f>
        <v>1.5195217301582886</v>
      </c>
      <c r="K75">
        <f>J75+B75*$K$14</f>
        <v>8.7897217301582913</v>
      </c>
      <c r="L75">
        <f>J75+B75*$L$14</f>
        <v>12.661721730158288</v>
      </c>
    </row>
    <row r="77" spans="1:20" x14ac:dyDescent="0.25">
      <c r="A77" t="s">
        <v>82</v>
      </c>
      <c r="H77">
        <f>(H75-H74)/(B74-B75)</f>
        <v>2.5058994875763432</v>
      </c>
    </row>
    <row r="79" spans="1:20" x14ac:dyDescent="0.25">
      <c r="A79" t="s">
        <v>69</v>
      </c>
      <c r="J79">
        <v>0</v>
      </c>
      <c r="K79">
        <v>5.5710999999999995</v>
      </c>
    </row>
    <row r="80" spans="1:20" x14ac:dyDescent="0.25">
      <c r="A80" t="s">
        <v>78</v>
      </c>
      <c r="B80">
        <v>0</v>
      </c>
      <c r="C80">
        <v>-5192.6134160652</v>
      </c>
      <c r="D80">
        <f>C80*$I$3</f>
        <v>-70649.130312443944</v>
      </c>
      <c r="E80">
        <v>-71085.033211296046</v>
      </c>
      <c r="F80">
        <v>-429.81982390396678</v>
      </c>
      <c r="G80">
        <v>8.3277999999999999</v>
      </c>
      <c r="H80" s="6">
        <f>D80-E80+F80 +G80*B80</f>
        <v>6.0830749481354474</v>
      </c>
      <c r="I80">
        <v>0</v>
      </c>
      <c r="J80" s="5">
        <f>H80+I80</f>
        <v>6.0830749481354474</v>
      </c>
      <c r="K80">
        <f>J80+B80*$K$20</f>
        <v>6.0830749481354474</v>
      </c>
    </row>
    <row r="81" spans="1:12" x14ac:dyDescent="0.25">
      <c r="A81" t="s">
        <v>79</v>
      </c>
      <c r="B81">
        <v>2</v>
      </c>
      <c r="C81">
        <v>-5194.4684885549004</v>
      </c>
      <c r="D81">
        <f>C81*$I$3</f>
        <v>-70674.36986862935</v>
      </c>
      <c r="E81">
        <v>-71085.033211296046</v>
      </c>
      <c r="F81">
        <v>-429.81982390396678</v>
      </c>
      <c r="G81">
        <v>8.3277999999999999</v>
      </c>
      <c r="H81" s="6">
        <f>D81-E81+F81 +G81*B81</f>
        <v>-2.5008812372709528</v>
      </c>
      <c r="I81" s="5">
        <v>0</v>
      </c>
      <c r="J81" s="5">
        <f>H81+I81</f>
        <v>-2.5008812372709528</v>
      </c>
      <c r="K81">
        <f>J81+B81*$K$20</f>
        <v>8.6413187627290462</v>
      </c>
    </row>
    <row r="83" spans="1:12" x14ac:dyDescent="0.25">
      <c r="A83" t="s">
        <v>82</v>
      </c>
      <c r="E83">
        <f>E81/(72/3)</f>
        <v>-2961.8763838040018</v>
      </c>
      <c r="H83">
        <f>(H81-H80)/(B80-B81)</f>
        <v>4.2919780927032001</v>
      </c>
    </row>
    <row r="84" spans="1:12" x14ac:dyDescent="0.25">
      <c r="L84">
        <v>-438.98050135417321</v>
      </c>
    </row>
    <row r="86" spans="1:12" x14ac:dyDescent="0.25">
      <c r="K86">
        <v>0.35417199999999999</v>
      </c>
    </row>
    <row r="97" spans="4:11" x14ac:dyDescent="0.25">
      <c r="E97" t="s">
        <v>121</v>
      </c>
      <c r="F97">
        <v>1.7363299999999999</v>
      </c>
    </row>
    <row r="98" spans="4:11" x14ac:dyDescent="0.25">
      <c r="E98" t="s">
        <v>122</v>
      </c>
      <c r="F98">
        <v>0.33807399999999999</v>
      </c>
      <c r="J98">
        <v>-3.0000000000000001E-3</v>
      </c>
    </row>
    <row r="99" spans="4:11" x14ac:dyDescent="0.25">
      <c r="E99" t="s">
        <v>123</v>
      </c>
      <c r="F99">
        <v>0</v>
      </c>
      <c r="J99">
        <v>3.6999999999999998E-2</v>
      </c>
    </row>
    <row r="100" spans="4:11" x14ac:dyDescent="0.25">
      <c r="E100" t="s">
        <v>124</v>
      </c>
      <c r="F100">
        <v>0</v>
      </c>
      <c r="J100">
        <f>AVERAGE(J98:J99)</f>
        <v>1.6999999999999998E-2</v>
      </c>
    </row>
    <row r="101" spans="4:11" x14ac:dyDescent="0.25">
      <c r="D101" t="s">
        <v>134</v>
      </c>
      <c r="E101" t="s">
        <v>125</v>
      </c>
      <c r="F101">
        <v>14.2765</v>
      </c>
      <c r="H101">
        <f>(F101+F105)/2</f>
        <v>14.86499528</v>
      </c>
    </row>
    <row r="102" spans="4:11" x14ac:dyDescent="0.25">
      <c r="E102" t="s">
        <v>126</v>
      </c>
      <c r="F102">
        <v>2.3387199999999999</v>
      </c>
      <c r="H102">
        <f>(F102+F106)/2</f>
        <v>2.4512862684999996</v>
      </c>
    </row>
    <row r="103" spans="4:11" x14ac:dyDescent="0.25">
      <c r="E103" t="s">
        <v>127</v>
      </c>
      <c r="F103">
        <v>0</v>
      </c>
    </row>
    <row r="104" spans="4:11" x14ac:dyDescent="0.25">
      <c r="E104" t="s">
        <v>128</v>
      </c>
      <c r="F104">
        <v>0</v>
      </c>
    </row>
    <row r="105" spans="4:11" x14ac:dyDescent="0.25">
      <c r="D105" t="s">
        <v>133</v>
      </c>
      <c r="E105" t="s">
        <v>129</v>
      </c>
      <c r="F105">
        <v>15.453490560000001</v>
      </c>
      <c r="K105" t="s">
        <v>149</v>
      </c>
    </row>
    <row r="106" spans="4:11" x14ac:dyDescent="0.25">
      <c r="E106" t="s">
        <v>130</v>
      </c>
      <c r="F106">
        <v>2.5638525369999998</v>
      </c>
    </row>
    <row r="107" spans="4:11" x14ac:dyDescent="0.25">
      <c r="E107" t="s">
        <v>131</v>
      </c>
      <c r="F107">
        <v>0</v>
      </c>
    </row>
    <row r="108" spans="4:11" x14ac:dyDescent="0.25">
      <c r="E108" t="s">
        <v>132</v>
      </c>
      <c r="F108">
        <v>0</v>
      </c>
    </row>
    <row r="112" spans="4:11" x14ac:dyDescent="0.25">
      <c r="K112">
        <v>13.815099999999999</v>
      </c>
    </row>
    <row r="113" spans="1:16" x14ac:dyDescent="0.25">
      <c r="A113" t="s">
        <v>138</v>
      </c>
      <c r="C113" t="s">
        <v>150</v>
      </c>
      <c r="G113">
        <v>-5224.6456857100002</v>
      </c>
      <c r="H113">
        <f>G113*$I$3</f>
        <v>-71084.951701599799</v>
      </c>
      <c r="K113">
        <v>8.1995000000000005</v>
      </c>
    </row>
    <row r="114" spans="1:16" x14ac:dyDescent="0.25">
      <c r="I114">
        <v>-71084.951701599799</v>
      </c>
    </row>
    <row r="115" spans="1:16" x14ac:dyDescent="0.25">
      <c r="K115">
        <f>K112-K113</f>
        <v>5.6155999999999988</v>
      </c>
    </row>
    <row r="116" spans="1:16" x14ac:dyDescent="0.25">
      <c r="A116" t="s">
        <v>88</v>
      </c>
    </row>
    <row r="118" spans="1:16" x14ac:dyDescent="0.25">
      <c r="B118" s="3" t="s">
        <v>11</v>
      </c>
      <c r="C118" t="s">
        <v>80</v>
      </c>
      <c r="D118" s="3" t="s">
        <v>1</v>
      </c>
      <c r="E118" s="3" t="s">
        <v>2</v>
      </c>
      <c r="F118" s="4" t="s">
        <v>3</v>
      </c>
      <c r="G118" s="4" t="s">
        <v>4</v>
      </c>
      <c r="H118" s="4" t="s">
        <v>5</v>
      </c>
      <c r="I118" s="4" t="s">
        <v>6</v>
      </c>
      <c r="J118" s="4" t="s">
        <v>86</v>
      </c>
      <c r="K118" s="12" t="s">
        <v>87</v>
      </c>
    </row>
    <row r="119" spans="1:16" x14ac:dyDescent="0.25">
      <c r="C119" t="s">
        <v>81</v>
      </c>
      <c r="D119" t="s">
        <v>67</v>
      </c>
      <c r="J119">
        <v>0</v>
      </c>
      <c r="K119">
        <v>3.6351000000000013</v>
      </c>
      <c r="L119">
        <v>5.6155999999999988</v>
      </c>
      <c r="M119">
        <v>5.59</v>
      </c>
    </row>
    <row r="120" spans="1:16" x14ac:dyDescent="0.25">
      <c r="A120" t="s">
        <v>78</v>
      </c>
      <c r="B120">
        <v>0</v>
      </c>
      <c r="C120">
        <v>-5192.5740624700002</v>
      </c>
      <c r="D120">
        <f>C120*$I$3</f>
        <v>-70648.594879309851</v>
      </c>
      <c r="E120">
        <v>-71084.951701599799</v>
      </c>
      <c r="F120">
        <v>-429.81982390396678</v>
      </c>
      <c r="G120">
        <v>8.1995000000000005</v>
      </c>
      <c r="H120" s="6">
        <f>D120-E120+F120 +G120*B120</f>
        <v>6.5369983859816898</v>
      </c>
      <c r="I120">
        <v>0</v>
      </c>
      <c r="J120" s="5">
        <f>H120+I120</f>
        <v>6.5369983859816898</v>
      </c>
      <c r="K120">
        <f>J120+B120*$K$20</f>
        <v>6.5369983859816898</v>
      </c>
      <c r="L120">
        <f>J120+B120*$L$14</f>
        <v>6.5369983859816898</v>
      </c>
    </row>
    <row r="121" spans="1:16" x14ac:dyDescent="0.25">
      <c r="A121" t="s">
        <v>113</v>
      </c>
      <c r="B121">
        <v>1</v>
      </c>
      <c r="C121">
        <v>-5193.5198633600003</v>
      </c>
      <c r="D121">
        <f>C121*$I$3</f>
        <v>-70661.463160649742</v>
      </c>
      <c r="E121">
        <v>-71084.951701599799</v>
      </c>
      <c r="F121">
        <v>-429.81982390396678</v>
      </c>
      <c r="G121">
        <v>8.1995000000000005</v>
      </c>
      <c r="H121" s="6">
        <f>D121-E121+F121 +G121*B121</f>
        <v>1.8682170460898533</v>
      </c>
      <c r="I121">
        <v>0</v>
      </c>
      <c r="J121" s="5">
        <f>H121+I121</f>
        <v>1.8682170460898533</v>
      </c>
      <c r="K121">
        <f>J121+B121*$K$20</f>
        <v>7.4393170460898528</v>
      </c>
      <c r="L121">
        <f>J121+B121*$L$14</f>
        <v>7.4393170460898528</v>
      </c>
      <c r="O121" t="s">
        <v>287</v>
      </c>
    </row>
    <row r="122" spans="1:16" x14ac:dyDescent="0.25">
      <c r="A122" t="s">
        <v>79</v>
      </c>
      <c r="B122">
        <v>2</v>
      </c>
      <c r="C122">
        <v>-5194.4664504800003</v>
      </c>
      <c r="D122">
        <f>C122*$I$3</f>
        <v>-70674.34213919763</v>
      </c>
      <c r="E122">
        <v>-71084.951701599799</v>
      </c>
      <c r="F122">
        <v>-429.81982390396678</v>
      </c>
      <c r="G122">
        <v>8.1995000000000005</v>
      </c>
      <c r="H122" s="6">
        <f>D122-E122+F122 +G122*B122</f>
        <v>-2.8112615017976736</v>
      </c>
      <c r="I122" s="14">
        <v>0.212172</v>
      </c>
      <c r="J122" s="5">
        <f>H122+I122</f>
        <v>-2.5990895017976738</v>
      </c>
      <c r="K122">
        <f>J122+B122*$K$20</f>
        <v>8.5431104982023243</v>
      </c>
      <c r="L122">
        <f>J122+B122*$L$14</f>
        <v>8.5431104982023243</v>
      </c>
      <c r="O122">
        <v>-504.33390133</v>
      </c>
      <c r="P122">
        <f>O122*$I$3</f>
        <v>-6861.8147859438159</v>
      </c>
    </row>
    <row r="123" spans="1:16" x14ac:dyDescent="0.25">
      <c r="A123" t="s">
        <v>82</v>
      </c>
      <c r="H123">
        <f>(H122-H120)/(B120-B122)</f>
        <v>4.6741299438896817</v>
      </c>
      <c r="J123">
        <f>(J122-J120)/(B120-B122)</f>
        <v>4.5680439438896823</v>
      </c>
      <c r="K123">
        <f>L119-J123</f>
        <v>1.0475560561103165</v>
      </c>
      <c r="P123">
        <f>P122/16</f>
        <v>-428.86342412148849</v>
      </c>
    </row>
    <row r="125" spans="1:16" x14ac:dyDescent="0.25">
      <c r="A125" t="s">
        <v>90</v>
      </c>
      <c r="J125">
        <v>0</v>
      </c>
      <c r="K125">
        <v>5.6155999999999988</v>
      </c>
      <c r="O125" t="s">
        <v>288</v>
      </c>
    </row>
    <row r="126" spans="1:16" x14ac:dyDescent="0.25">
      <c r="A126" t="s">
        <v>78</v>
      </c>
      <c r="B126">
        <v>0</v>
      </c>
      <c r="C126">
        <v>-5192.5723402599997</v>
      </c>
      <c r="D126">
        <f>C126*$I$3</f>
        <v>-70648.571447440569</v>
      </c>
      <c r="E126">
        <v>-71084.951701599799</v>
      </c>
      <c r="F126">
        <v>-429.81982390396678</v>
      </c>
      <c r="G126">
        <v>8.1995000000000005</v>
      </c>
      <c r="H126" s="6">
        <f>D126-E126+F126 +G126*B126</f>
        <v>6.5604302552636113</v>
      </c>
      <c r="I126">
        <v>0</v>
      </c>
      <c r="J126" s="5">
        <f>H126+I126</f>
        <v>6.5604302552636113</v>
      </c>
      <c r="K126">
        <f>J126+B126*$K$20</f>
        <v>6.5604302552636113</v>
      </c>
      <c r="O126">
        <v>-503.30005519999997</v>
      </c>
      <c r="P126">
        <f>O126*$I$3</f>
        <v>-6847.7485876523333</v>
      </c>
    </row>
    <row r="127" spans="1:16" x14ac:dyDescent="0.25">
      <c r="A127" t="s">
        <v>113</v>
      </c>
      <c r="B127">
        <v>1</v>
      </c>
      <c r="C127">
        <v>-5193.49054136</v>
      </c>
      <c r="D127">
        <f>C127*$I$3</f>
        <v>-70661.064214371043</v>
      </c>
      <c r="E127">
        <v>-71084.951701599799</v>
      </c>
      <c r="F127">
        <v>-429.81982390396678</v>
      </c>
      <c r="G127">
        <v>8.1995000000000005</v>
      </c>
      <c r="H127" s="6">
        <f>D127-E127+F127 +G127*B127</f>
        <v>2.2671633247892942</v>
      </c>
      <c r="I127">
        <v>0</v>
      </c>
      <c r="J127" s="5">
        <f>H127+I127</f>
        <v>2.2671633247892942</v>
      </c>
      <c r="K127">
        <f>J127+B127*$K$20</f>
        <v>7.8382633247892937</v>
      </c>
      <c r="P127">
        <f>P126/16</f>
        <v>-427.98428672827083</v>
      </c>
    </row>
    <row r="128" spans="1:16" x14ac:dyDescent="0.25">
      <c r="A128" t="s">
        <v>79</v>
      </c>
      <c r="B128">
        <v>2</v>
      </c>
      <c r="C128">
        <v>-5194.4174324699998</v>
      </c>
      <c r="D128">
        <f>C128*$I$3</f>
        <v>-70673.675214953764</v>
      </c>
      <c r="E128">
        <v>-71084.951701599799</v>
      </c>
      <c r="F128">
        <v>-429.81982390396678</v>
      </c>
      <c r="G128">
        <v>8.1995000000000005</v>
      </c>
      <c r="H128" s="6">
        <f>D128-E128+F128 +G128*B128</f>
        <v>-2.1443372579320226</v>
      </c>
      <c r="I128" s="14">
        <v>0.212172</v>
      </c>
      <c r="J128" s="5">
        <f>H128+I128</f>
        <v>-1.9321652579320225</v>
      </c>
      <c r="K128">
        <f>J128+B128*$K$20</f>
        <v>9.2100347420679771</v>
      </c>
    </row>
    <row r="129" spans="1:16" x14ac:dyDescent="0.25">
      <c r="A129" t="s">
        <v>82</v>
      </c>
      <c r="E129">
        <f>E128/(72/3)</f>
        <v>-2961.8729875666581</v>
      </c>
      <c r="H129">
        <f>(H128-H126)/(B126-B128)</f>
        <v>4.352383756597817</v>
      </c>
      <c r="I129">
        <f>M114-H129</f>
        <v>-4.352383756597817</v>
      </c>
      <c r="J129">
        <f>(J128-J126)/(B126-B128)</f>
        <v>4.2462977565978166</v>
      </c>
      <c r="K129">
        <f>L119-J129</f>
        <v>1.3693022434021822</v>
      </c>
      <c r="O129" t="s">
        <v>289</v>
      </c>
    </row>
    <row r="130" spans="1:16" x14ac:dyDescent="0.25">
      <c r="O130">
        <v>-503.81690350000002</v>
      </c>
      <c r="P130">
        <f>O130*$I$3</f>
        <v>-6854.7806695680592</v>
      </c>
    </row>
    <row r="131" spans="1:16" x14ac:dyDescent="0.25">
      <c r="P131">
        <f>P130/16</f>
        <v>-428.4237918480037</v>
      </c>
    </row>
    <row r="133" spans="1:16" x14ac:dyDescent="0.25">
      <c r="H133" s="5">
        <f>H126-H120</f>
        <v>2.3431869281921536E-2</v>
      </c>
    </row>
    <row r="134" spans="1:16" x14ac:dyDescent="0.25">
      <c r="H134" s="5">
        <f t="shared" ref="H134:H135" si="0">H127-H121</f>
        <v>0.39894627869944088</v>
      </c>
    </row>
    <row r="135" spans="1:16" x14ac:dyDescent="0.25">
      <c r="H135" s="5">
        <f t="shared" si="0"/>
        <v>0.66692424386565108</v>
      </c>
    </row>
    <row r="141" spans="1:16" x14ac:dyDescent="0.25">
      <c r="A141" t="s">
        <v>143</v>
      </c>
      <c r="F141" t="s">
        <v>144</v>
      </c>
    </row>
    <row r="143" spans="1:16" x14ac:dyDescent="0.25">
      <c r="A143" t="s">
        <v>69</v>
      </c>
      <c r="J143">
        <v>0</v>
      </c>
      <c r="K143">
        <v>5.5710999999999995</v>
      </c>
    </row>
    <row r="144" spans="1:16" x14ac:dyDescent="0.25">
      <c r="A144" t="s">
        <v>78</v>
      </c>
      <c r="B144">
        <v>0</v>
      </c>
      <c r="C144">
        <v>-5236.5975890099999</v>
      </c>
      <c r="D144">
        <f>C144*$I$3</f>
        <v>-71247.565689213618</v>
      </c>
      <c r="E144">
        <v>-71692.495234367685</v>
      </c>
      <c r="F144">
        <v>-438.42893178275011</v>
      </c>
      <c r="G144">
        <v>8.3277999999999999</v>
      </c>
      <c r="H144" s="6">
        <f>D144-E144+F144 +G144*B144</f>
        <v>6.5006133713173426</v>
      </c>
      <c r="I144">
        <v>0</v>
      </c>
      <c r="J144" s="5">
        <f>H144+I144</f>
        <v>6.5006133713173426</v>
      </c>
      <c r="K144">
        <f>J144+B144*$K$20</f>
        <v>6.5006133713173426</v>
      </c>
      <c r="M144">
        <f>D144-E144</f>
        <v>444.92954515406745</v>
      </c>
      <c r="N144">
        <f>M144+F144</f>
        <v>6.5006133713173426</v>
      </c>
    </row>
    <row r="145" spans="1:11" x14ac:dyDescent="0.25">
      <c r="A145" t="s">
        <v>113</v>
      </c>
      <c r="B145">
        <v>1</v>
      </c>
      <c r="C145">
        <v>-5237.5630660392999</v>
      </c>
      <c r="D145">
        <f>C145*$I$3</f>
        <v>-71260.70167816394</v>
      </c>
      <c r="E145">
        <v>-71692.495234367685</v>
      </c>
      <c r="F145">
        <v>-438.42893178275011</v>
      </c>
      <c r="G145">
        <v>8.3277999999999999</v>
      </c>
      <c r="H145" s="6">
        <f>D145-E145+F145 +G145*B145</f>
        <v>1.692424420995426</v>
      </c>
      <c r="I145">
        <v>0</v>
      </c>
      <c r="J145" s="5">
        <f>H145+I145</f>
        <v>1.692424420995426</v>
      </c>
      <c r="K145">
        <f>J145+B145*$K$20</f>
        <v>7.2635244209954255</v>
      </c>
    </row>
    <row r="146" spans="1:11" x14ac:dyDescent="0.25">
      <c r="A146" t="s">
        <v>79</v>
      </c>
      <c r="B146">
        <v>2</v>
      </c>
      <c r="C146">
        <v>-5238.5254876800009</v>
      </c>
      <c r="D146">
        <f>C146*$I$3</f>
        <v>-71273.796096419494</v>
      </c>
      <c r="E146">
        <v>-71692.495234367685</v>
      </c>
      <c r="F146">
        <v>-438.42893178275011</v>
      </c>
      <c r="G146">
        <v>8.3277999999999999</v>
      </c>
      <c r="H146" s="6">
        <f>D146-E146+F146 +G146*B146</f>
        <v>-3.0741938345586206</v>
      </c>
      <c r="I146" s="14">
        <v>0.212172</v>
      </c>
      <c r="J146" s="5">
        <f>H146+I146</f>
        <v>-2.8620218345586208</v>
      </c>
      <c r="K146">
        <f>J146+B146*$K$20</f>
        <v>8.2801781654413773</v>
      </c>
    </row>
    <row r="147" spans="1:11" x14ac:dyDescent="0.25">
      <c r="A147" t="s">
        <v>82</v>
      </c>
      <c r="E147">
        <v>-2961.8763838040018</v>
      </c>
      <c r="H147">
        <v>4.6074934165581247</v>
      </c>
      <c r="I147">
        <v>0.96360658344187478</v>
      </c>
      <c r="J147">
        <v>4.5014074165581253</v>
      </c>
      <c r="K147">
        <v>1.0696925834418742</v>
      </c>
    </row>
    <row r="150" spans="1:11" x14ac:dyDescent="0.25">
      <c r="A150" t="s">
        <v>143</v>
      </c>
      <c r="F150" t="s">
        <v>145</v>
      </c>
    </row>
    <row r="151" spans="1:11" x14ac:dyDescent="0.25">
      <c r="A151" t="s">
        <v>69</v>
      </c>
      <c r="J151">
        <v>0</v>
      </c>
      <c r="K151">
        <v>5.5710999999999995</v>
      </c>
    </row>
    <row r="152" spans="1:11" x14ac:dyDescent="0.25">
      <c r="A152" t="s">
        <v>78</v>
      </c>
      <c r="B152">
        <v>0</v>
      </c>
      <c r="C152">
        <v>-5236.6067352399996</v>
      </c>
      <c r="D152">
        <f>C152*$I$3</f>
        <v>-71247.690130057439</v>
      </c>
      <c r="E152">
        <v>-71692.495234367685</v>
      </c>
      <c r="F152">
        <v>-438.42893178275011</v>
      </c>
      <c r="G152">
        <v>8.3277999999999999</v>
      </c>
      <c r="H152" s="6">
        <f>D152-E152+F152 +G152*B152</f>
        <v>6.3761725274958394</v>
      </c>
      <c r="I152">
        <v>0</v>
      </c>
      <c r="J152" s="5">
        <f>H152+I152</f>
        <v>6.3761725274958394</v>
      </c>
      <c r="K152">
        <f>J152+B152*$K$20</f>
        <v>6.3761725274958394</v>
      </c>
    </row>
    <row r="153" spans="1:11" x14ac:dyDescent="0.25">
      <c r="A153" t="s">
        <v>113</v>
      </c>
      <c r="B153">
        <v>1</v>
      </c>
      <c r="C153">
        <v>-5237.5396477411005</v>
      </c>
      <c r="D153">
        <f>C153*$I$3</f>
        <v>-71260.383055869417</v>
      </c>
      <c r="E153">
        <v>-71692.495234367685</v>
      </c>
      <c r="F153">
        <v>-438.42893178275011</v>
      </c>
      <c r="G153">
        <v>8.3277999999999999</v>
      </c>
      <c r="H153" s="6">
        <f>D153-E153+F153 +G153*B153</f>
        <v>2.0110467155177822</v>
      </c>
      <c r="I153">
        <v>0</v>
      </c>
      <c r="J153" s="5">
        <f>H153+I153</f>
        <v>2.0110467155177822</v>
      </c>
      <c r="K153">
        <f>J153+B153*$K$20</f>
        <v>7.5821467155177817</v>
      </c>
    </row>
    <row r="154" spans="1:11" x14ac:dyDescent="0.25">
      <c r="A154" t="s">
        <v>79</v>
      </c>
      <c r="B154">
        <v>2</v>
      </c>
      <c r="C154">
        <v>-5238.4762956499999</v>
      </c>
      <c r="D154">
        <f>C154*$I$3</f>
        <v>-71273.126804512052</v>
      </c>
      <c r="E154">
        <v>-71692.495234367685</v>
      </c>
      <c r="F154">
        <v>-438.42893178275011</v>
      </c>
      <c r="G154">
        <v>8.3277999999999999</v>
      </c>
      <c r="H154" s="6">
        <f>D154-E154+F154 +G154*B154</f>
        <v>-2.4049019271174004</v>
      </c>
      <c r="I154" s="14">
        <v>0.212172</v>
      </c>
      <c r="J154" s="5">
        <f>H154+I154</f>
        <v>-2.1927299271174006</v>
      </c>
      <c r="K154">
        <f>J154+B154*$K$20</f>
        <v>8.9494700728825975</v>
      </c>
    </row>
    <row r="155" spans="1:11" x14ac:dyDescent="0.25">
      <c r="A155" t="s">
        <v>82</v>
      </c>
      <c r="E155">
        <v>-2961.8763838040018</v>
      </c>
      <c r="H155">
        <v>4.2903045258563246</v>
      </c>
      <c r="I155">
        <v>1.2807954741436749</v>
      </c>
      <c r="J155">
        <v>4.1842185258563251</v>
      </c>
      <c r="K155">
        <v>1.3868814741436744</v>
      </c>
    </row>
    <row r="157" spans="1:11" x14ac:dyDescent="0.25">
      <c r="E157">
        <f>E152-D152</f>
        <v>-444.80510431024595</v>
      </c>
    </row>
    <row r="160" spans="1:11" x14ac:dyDescent="0.25">
      <c r="J160" s="15">
        <v>-71247.565689080002</v>
      </c>
      <c r="K160" s="15">
        <v>-71692.495240762306</v>
      </c>
    </row>
    <row r="166" spans="1:14" x14ac:dyDescent="0.25">
      <c r="A166" t="s">
        <v>144</v>
      </c>
    </row>
    <row r="167" spans="1:14" x14ac:dyDescent="0.25">
      <c r="C167" t="s">
        <v>147</v>
      </c>
      <c r="D167" t="s">
        <v>146</v>
      </c>
      <c r="E167" t="s">
        <v>148</v>
      </c>
      <c r="M167">
        <v>-516.23136038999996</v>
      </c>
    </row>
    <row r="168" spans="1:14" x14ac:dyDescent="0.25">
      <c r="A168" t="s">
        <v>78</v>
      </c>
      <c r="B168">
        <v>0</v>
      </c>
      <c r="C168">
        <v>-5192.5594246299997</v>
      </c>
      <c r="D168">
        <v>44.038164379999998</v>
      </c>
      <c r="E168">
        <f>D168*$I$3</f>
        <v>599.16996793515602</v>
      </c>
      <c r="F168">
        <f>C168-D168</f>
        <v>-5236.5975890099999</v>
      </c>
      <c r="K168" t="s">
        <v>282</v>
      </c>
      <c r="M168">
        <f>M167/16</f>
        <v>-32.264460024374998</v>
      </c>
      <c r="N168">
        <f>M168*$I$3</f>
        <v>-438.98050135417321</v>
      </c>
    </row>
    <row r="169" spans="1:14" x14ac:dyDescent="0.25">
      <c r="A169" t="s">
        <v>113</v>
      </c>
      <c r="B169">
        <v>1</v>
      </c>
      <c r="C169">
        <v>-5193.5094775093003</v>
      </c>
      <c r="D169">
        <v>44.053588529999999</v>
      </c>
      <c r="E169">
        <f>D169*$I$3</f>
        <v>599.37982426298083</v>
      </c>
      <c r="F169">
        <f t="shared" ref="F169:F170" si="1">C169-D169</f>
        <v>-5237.5630660392999</v>
      </c>
    </row>
    <row r="170" spans="1:14" x14ac:dyDescent="0.25">
      <c r="A170" t="s">
        <v>79</v>
      </c>
      <c r="B170">
        <v>2</v>
      </c>
      <c r="C170">
        <v>-5194.4608770000004</v>
      </c>
      <c r="D170">
        <v>44.064610680000001</v>
      </c>
      <c r="E170">
        <f>D170*$I$3</f>
        <v>599.52978830791903</v>
      </c>
      <c r="F170">
        <f t="shared" si="1"/>
        <v>-5238.5254876800009</v>
      </c>
      <c r="K170" t="s">
        <v>227</v>
      </c>
    </row>
    <row r="173" spans="1:14" x14ac:dyDescent="0.25">
      <c r="C173" t="s">
        <v>147</v>
      </c>
      <c r="K173" t="s">
        <v>228</v>
      </c>
    </row>
    <row r="174" spans="1:14" x14ac:dyDescent="0.25">
      <c r="A174" t="s">
        <v>78</v>
      </c>
      <c r="B174">
        <v>0</v>
      </c>
      <c r="C174">
        <v>-5192.6135919899998</v>
      </c>
      <c r="D174">
        <v>43.993143250000003</v>
      </c>
      <c r="E174">
        <f>D174*$I$3</f>
        <v>598.55742403378599</v>
      </c>
      <c r="F174">
        <f>C174-D174</f>
        <v>-5236.6067352399996</v>
      </c>
    </row>
    <row r="175" spans="1:14" x14ac:dyDescent="0.25">
      <c r="A175" t="s">
        <v>113</v>
      </c>
      <c r="B175">
        <v>1</v>
      </c>
      <c r="C175">
        <v>-5193.5368255411004</v>
      </c>
      <c r="D175">
        <v>44.002822199999997</v>
      </c>
      <c r="E175">
        <f>D175*$I$3</f>
        <v>598.68911290508186</v>
      </c>
      <c r="F175">
        <f t="shared" ref="F175:F176" si="2">C175-D175</f>
        <v>-5237.5396477411005</v>
      </c>
      <c r="K175" t="s">
        <v>283</v>
      </c>
    </row>
    <row r="176" spans="1:14" x14ac:dyDescent="0.25">
      <c r="A176" t="s">
        <v>79</v>
      </c>
      <c r="B176">
        <v>2</v>
      </c>
      <c r="C176">
        <v>-5194.46841847</v>
      </c>
      <c r="D176">
        <v>44.007877180000001</v>
      </c>
      <c r="E176">
        <f>D176*$I$3</f>
        <v>598.75788943669158</v>
      </c>
      <c r="F176">
        <f t="shared" si="2"/>
        <v>-5238.4762956499999</v>
      </c>
    </row>
    <row r="178" spans="2:16" x14ac:dyDescent="0.25">
      <c r="K178" t="s">
        <v>121</v>
      </c>
      <c r="L178">
        <v>14.2765</v>
      </c>
      <c r="N178">
        <f>AVERAGE(L178,L182)</f>
        <v>14.86499528</v>
      </c>
    </row>
    <row r="179" spans="2:16" x14ac:dyDescent="0.25">
      <c r="K179" t="s">
        <v>122</v>
      </c>
      <c r="L179">
        <v>2.3387199999999999</v>
      </c>
      <c r="N179">
        <f>AVERAGE(L179,L183)</f>
        <v>2.4512862684999996</v>
      </c>
    </row>
    <row r="181" spans="2:16" x14ac:dyDescent="0.25">
      <c r="B181" t="s">
        <v>281</v>
      </c>
      <c r="C181">
        <v>-5224.6516765599999</v>
      </c>
      <c r="D181">
        <v>44.647618970000003</v>
      </c>
      <c r="E181">
        <f>C181-D181</f>
        <v>-5269.2992955299997</v>
      </c>
      <c r="F181">
        <f>E181*$I$3</f>
        <v>-71692.495234367685</v>
      </c>
    </row>
    <row r="182" spans="2:16" x14ac:dyDescent="0.25">
      <c r="K182" t="s">
        <v>121</v>
      </c>
      <c r="L182">
        <v>15.453490560000001</v>
      </c>
    </row>
    <row r="183" spans="2:16" x14ac:dyDescent="0.25">
      <c r="K183" t="s">
        <v>122</v>
      </c>
      <c r="L183">
        <v>2.5638525369999998</v>
      </c>
    </row>
    <row r="185" spans="2:16" x14ac:dyDescent="0.25">
      <c r="B185" t="s">
        <v>153</v>
      </c>
    </row>
    <row r="186" spans="2:16" x14ac:dyDescent="0.25">
      <c r="O186" s="27">
        <v>13.605703976299999</v>
      </c>
    </row>
    <row r="189" spans="2:16" x14ac:dyDescent="0.25">
      <c r="J189">
        <v>-504.33390133</v>
      </c>
      <c r="K189">
        <v>11.83554709</v>
      </c>
      <c r="M189">
        <f>J189*$O$186</f>
        <v>-6861.8177667084728</v>
      </c>
      <c r="N189">
        <f>K189*$O$186</f>
        <v>161.03095010409888</v>
      </c>
      <c r="P189">
        <f>N189/16</f>
        <v>10.06443438150618</v>
      </c>
    </row>
    <row r="190" spans="2:16" x14ac:dyDescent="0.25">
      <c r="J190">
        <v>-503.30005519999997</v>
      </c>
      <c r="K190">
        <v>12.85942723</v>
      </c>
      <c r="M190">
        <f>J190*$O$186</f>
        <v>-6847.7515623066483</v>
      </c>
      <c r="N190">
        <f>K190*$O$186</f>
        <v>174.96156019615148</v>
      </c>
      <c r="P190">
        <f>N190/16</f>
        <v>10.935097512259468</v>
      </c>
    </row>
    <row r="192" spans="2:16" x14ac:dyDescent="0.25">
      <c r="P192">
        <f>P190-P189</f>
        <v>0.87066313075328772</v>
      </c>
    </row>
    <row r="204" spans="1:11" x14ac:dyDescent="0.25">
      <c r="B204" t="s">
        <v>158</v>
      </c>
    </row>
    <row r="206" spans="1:11" x14ac:dyDescent="0.25">
      <c r="G206" t="s">
        <v>159</v>
      </c>
      <c r="K206">
        <v>13.815099999999999</v>
      </c>
    </row>
    <row r="207" spans="1:11" x14ac:dyDescent="0.25">
      <c r="A207" t="s">
        <v>68</v>
      </c>
      <c r="C207" t="s">
        <v>68</v>
      </c>
      <c r="G207">
        <v>-17786.884923090001</v>
      </c>
      <c r="H207">
        <f>G207*$I$3</f>
        <v>-242002.98579825019</v>
      </c>
      <c r="K207">
        <v>8.1995000000000005</v>
      </c>
    </row>
    <row r="208" spans="1:11" x14ac:dyDescent="0.25">
      <c r="I208">
        <v>-71084.951701599799</v>
      </c>
    </row>
    <row r="209" spans="1:17" x14ac:dyDescent="0.25">
      <c r="K209">
        <f>K206-K207</f>
        <v>5.6155999999999988</v>
      </c>
    </row>
    <row r="210" spans="1:17" x14ac:dyDescent="0.25">
      <c r="A210" t="s">
        <v>88</v>
      </c>
    </row>
    <row r="212" spans="1:17" x14ac:dyDescent="0.25">
      <c r="B212" s="3" t="s">
        <v>11</v>
      </c>
      <c r="C212" t="s">
        <v>80</v>
      </c>
      <c r="D212" s="3" t="s">
        <v>1</v>
      </c>
      <c r="E212" s="3" t="s">
        <v>2</v>
      </c>
      <c r="F212" s="4" t="s">
        <v>3</v>
      </c>
      <c r="G212" s="4" t="s">
        <v>4</v>
      </c>
      <c r="H212" s="4" t="s">
        <v>5</v>
      </c>
      <c r="I212" s="4" t="s">
        <v>6</v>
      </c>
      <c r="J212" s="4" t="s">
        <v>86</v>
      </c>
      <c r="K212" s="12" t="s">
        <v>87</v>
      </c>
    </row>
    <row r="213" spans="1:17" x14ac:dyDescent="0.25">
      <c r="C213" t="s">
        <v>81</v>
      </c>
      <c r="D213" t="s">
        <v>67</v>
      </c>
      <c r="J213">
        <v>0</v>
      </c>
      <c r="K213">
        <v>3.6351000000000013</v>
      </c>
      <c r="L213">
        <v>5.6155999999999988</v>
      </c>
      <c r="M213">
        <v>5.59</v>
      </c>
    </row>
    <row r="214" spans="1:17" x14ac:dyDescent="0.25">
      <c r="A214" t="s">
        <v>78</v>
      </c>
      <c r="B214">
        <v>0</v>
      </c>
      <c r="C214">
        <v>-17754.175608559999</v>
      </c>
      <c r="D214">
        <f>C214*$I$3</f>
        <v>-241557.95274080915</v>
      </c>
      <c r="E214">
        <v>-242002.98579825019</v>
      </c>
      <c r="F214">
        <v>-438.42893178275011</v>
      </c>
      <c r="G214">
        <v>10.186199999999999</v>
      </c>
      <c r="H214" s="6">
        <f>D214-E214+F214 +G214*B214</f>
        <v>6.6041256582826122</v>
      </c>
      <c r="I214">
        <v>0</v>
      </c>
      <c r="J214" s="5">
        <f>H214+I214</f>
        <v>6.6041256582826122</v>
      </c>
      <c r="K214">
        <f>J214+B214*$K$20</f>
        <v>6.6041256582826122</v>
      </c>
      <c r="L214">
        <f>J214+B214*$L$14</f>
        <v>6.6041256582826122</v>
      </c>
    </row>
    <row r="215" spans="1:17" x14ac:dyDescent="0.25">
      <c r="A215" t="s">
        <v>79</v>
      </c>
      <c r="B215">
        <v>2</v>
      </c>
      <c r="C215">
        <v>-17756.095946189998</v>
      </c>
      <c r="D215">
        <f>C215*$I$3</f>
        <v>-241584.0802747877</v>
      </c>
      <c r="E215">
        <v>-242002.98579825019</v>
      </c>
      <c r="F215">
        <v>-438.42893178275011</v>
      </c>
      <c r="G215">
        <v>10.186199999999999</v>
      </c>
      <c r="H215" s="6">
        <f>D215-E215+F215 +G215*B215</f>
        <v>0.84899167973284762</v>
      </c>
      <c r="I215" s="14">
        <v>0</v>
      </c>
      <c r="J215" s="5">
        <f>H215+I215</f>
        <v>0.84899167973284762</v>
      </c>
      <c r="K215">
        <f>J215+B215*$K$20</f>
        <v>11.991191679732847</v>
      </c>
      <c r="L215">
        <f>J215+B215*$L$14</f>
        <v>11.991191679732847</v>
      </c>
    </row>
    <row r="216" spans="1:17" x14ac:dyDescent="0.25">
      <c r="A216" t="s">
        <v>82</v>
      </c>
      <c r="H216">
        <f>(H215-H214)/(B214-B215)</f>
        <v>2.8775669892748823</v>
      </c>
      <c r="J216">
        <f>(J215-J214)/(B214-B215)</f>
        <v>2.8775669892748823</v>
      </c>
      <c r="K216">
        <f>L213-J216</f>
        <v>2.7380330107251165</v>
      </c>
    </row>
    <row r="217" spans="1:17" x14ac:dyDescent="0.25">
      <c r="H217">
        <f>$K$213-H216</f>
        <v>0.75753301072511903</v>
      </c>
    </row>
    <row r="218" spans="1:17" x14ac:dyDescent="0.25">
      <c r="A218" t="s">
        <v>90</v>
      </c>
      <c r="J218">
        <v>0</v>
      </c>
      <c r="K218">
        <v>5.6155999999999988</v>
      </c>
    </row>
    <row r="219" spans="1:17" x14ac:dyDescent="0.25">
      <c r="A219" t="s">
        <v>78</v>
      </c>
      <c r="B219">
        <v>0</v>
      </c>
      <c r="C219">
        <v>-17754.182199129998</v>
      </c>
      <c r="D219">
        <f>C219*$I$3</f>
        <v>-241558.04241011466</v>
      </c>
      <c r="E219">
        <v>-242002.98579825019</v>
      </c>
      <c r="F219">
        <v>-438.42893178275011</v>
      </c>
      <c r="G219">
        <v>10.186199999999999</v>
      </c>
      <c r="H219" s="6">
        <f>D219-E219+F219 +G219*B219</f>
        <v>6.5144563527715604</v>
      </c>
      <c r="I219">
        <v>0</v>
      </c>
      <c r="J219" s="5">
        <f>H219+I219</f>
        <v>6.5144563527715604</v>
      </c>
      <c r="K219">
        <f>J219+B219*$K$20</f>
        <v>6.5144563527715604</v>
      </c>
    </row>
    <row r="220" spans="1:17" x14ac:dyDescent="0.25">
      <c r="A220" t="s">
        <v>79</v>
      </c>
      <c r="B220">
        <v>2</v>
      </c>
      <c r="C220">
        <v>-17756.052348829999</v>
      </c>
      <c r="D220">
        <f>C220*$I$3</f>
        <v>-241583.48710227109</v>
      </c>
      <c r="E220">
        <v>-242002.98579825019</v>
      </c>
      <c r="F220">
        <v>-438.42893178275011</v>
      </c>
      <c r="G220">
        <v>10.186199999999999</v>
      </c>
      <c r="H220" s="6">
        <f>D220-E220+F220 +G220*B220</f>
        <v>1.4421641963484433</v>
      </c>
      <c r="I220" s="14">
        <v>0</v>
      </c>
      <c r="J220" s="5">
        <f>H220+I220</f>
        <v>1.4421641963484433</v>
      </c>
      <c r="K220">
        <f>J220+B220*$K$20</f>
        <v>12.584364196348442</v>
      </c>
    </row>
    <row r="221" spans="1:17" x14ac:dyDescent="0.25">
      <c r="A221" t="s">
        <v>82</v>
      </c>
      <c r="E221">
        <f>E220/(72/3)</f>
        <v>-10083.457741593758</v>
      </c>
      <c r="H221">
        <f>(H220-H219)/(B219-B220)</f>
        <v>2.5361460782115586</v>
      </c>
      <c r="I221">
        <f>M208-H221</f>
        <v>-2.5361460782115586</v>
      </c>
      <c r="J221">
        <f>(J220-J219)/(B219-B220)</f>
        <v>2.5361460782115586</v>
      </c>
      <c r="K221">
        <f>L213-J221</f>
        <v>3.0794539217884402</v>
      </c>
    </row>
    <row r="222" spans="1:17" x14ac:dyDescent="0.25">
      <c r="Q222">
        <v>2.5361460782115586</v>
      </c>
    </row>
    <row r="225" spans="1:13" x14ac:dyDescent="0.25">
      <c r="H225" s="5">
        <f>H219-H214</f>
        <v>-8.9669305511051789E-2</v>
      </c>
    </row>
    <row r="226" spans="1:13" x14ac:dyDescent="0.25">
      <c r="H226" s="5" t="e">
        <f>#REF!-#REF!</f>
        <v>#REF!</v>
      </c>
    </row>
    <row r="227" spans="1:13" x14ac:dyDescent="0.25">
      <c r="H227" s="5">
        <f>H220-H215</f>
        <v>0.59317251661559567</v>
      </c>
    </row>
    <row r="233" spans="1:13" x14ac:dyDescent="0.25">
      <c r="G233" t="s">
        <v>159</v>
      </c>
      <c r="K233">
        <v>13.815099999999999</v>
      </c>
    </row>
    <row r="234" spans="1:13" x14ac:dyDescent="0.25">
      <c r="A234" t="s">
        <v>138</v>
      </c>
      <c r="C234" t="s">
        <v>150</v>
      </c>
      <c r="G234">
        <v>-17633.17771281</v>
      </c>
      <c r="H234">
        <f>G234*$I$3</f>
        <v>-239911.69190461334</v>
      </c>
      <c r="K234">
        <v>8.1995000000000005</v>
      </c>
    </row>
    <row r="235" spans="1:13" x14ac:dyDescent="0.25">
      <c r="I235">
        <v>-71084.951701599799</v>
      </c>
    </row>
    <row r="236" spans="1:13" x14ac:dyDescent="0.25">
      <c r="K236">
        <f>K233-K234</f>
        <v>5.6155999999999988</v>
      </c>
    </row>
    <row r="237" spans="1:13" x14ac:dyDescent="0.25">
      <c r="A237" t="s">
        <v>88</v>
      </c>
    </row>
    <row r="239" spans="1:13" x14ac:dyDescent="0.25">
      <c r="B239" s="3" t="s">
        <v>11</v>
      </c>
      <c r="C239" t="s">
        <v>80</v>
      </c>
      <c r="D239" s="3" t="s">
        <v>1</v>
      </c>
      <c r="E239" s="3" t="s">
        <v>2</v>
      </c>
      <c r="F239" s="4" t="s">
        <v>3</v>
      </c>
      <c r="G239" s="4" t="s">
        <v>4</v>
      </c>
      <c r="H239" s="4" t="s">
        <v>5</v>
      </c>
      <c r="I239" s="4" t="s">
        <v>6</v>
      </c>
      <c r="J239" s="4" t="s">
        <v>86</v>
      </c>
      <c r="K239" s="12" t="s">
        <v>87</v>
      </c>
    </row>
    <row r="240" spans="1:13" x14ac:dyDescent="0.25">
      <c r="C240" t="s">
        <v>81</v>
      </c>
      <c r="D240" t="s">
        <v>67</v>
      </c>
      <c r="J240">
        <v>0</v>
      </c>
      <c r="K240">
        <v>5.6155999999999988</v>
      </c>
      <c r="L240">
        <v>5.6155999999999988</v>
      </c>
      <c r="M240">
        <v>5.59</v>
      </c>
    </row>
    <row r="241" spans="1:12" x14ac:dyDescent="0.25">
      <c r="A241" t="s">
        <v>78</v>
      </c>
      <c r="B241">
        <v>0</v>
      </c>
      <c r="C241">
        <v>-17601.114590429999</v>
      </c>
      <c r="D241">
        <f>C241*$I$3</f>
        <v>-239475.45074245782</v>
      </c>
      <c r="E241">
        <v>-239911.69190461334</v>
      </c>
      <c r="F241">
        <v>-429.81982390396678</v>
      </c>
      <c r="G241">
        <v>8.1995000000000005</v>
      </c>
      <c r="H241" s="6">
        <f>D241-E241+F241 +G241*B241</f>
        <v>6.4213382515552553</v>
      </c>
      <c r="I241">
        <v>0</v>
      </c>
      <c r="J241" s="5">
        <f>H241+I241</f>
        <v>6.4213382515552553</v>
      </c>
      <c r="K241">
        <f>J241+B241*$K$20</f>
        <v>6.4213382515552553</v>
      </c>
      <c r="L241">
        <f>J241+B241*$L$14</f>
        <v>6.4213382515552553</v>
      </c>
    </row>
    <row r="242" spans="1:12" x14ac:dyDescent="0.25">
      <c r="A242" t="s">
        <v>79</v>
      </c>
      <c r="B242">
        <v>2</v>
      </c>
      <c r="C242">
        <v>-17603.013348879998</v>
      </c>
      <c r="D242">
        <f>C242*$I$3</f>
        <v>-239501.2846766288</v>
      </c>
      <c r="E242">
        <v>-239911.69190461334</v>
      </c>
      <c r="F242">
        <v>-429.81982390396678</v>
      </c>
      <c r="G242">
        <v>8.1995000000000005</v>
      </c>
      <c r="H242" s="6">
        <f>D242-E242+F242 +G242*B242</f>
        <v>-3.0135959194245174</v>
      </c>
      <c r="I242" s="14">
        <v>0</v>
      </c>
      <c r="J242" s="5">
        <f>H242+I242</f>
        <v>-3.0135959194245174</v>
      </c>
      <c r="K242">
        <f>J242+B242*$K$240</f>
        <v>8.2176040805754802</v>
      </c>
      <c r="L242">
        <f>J242+B242*$L$14</f>
        <v>8.1286040805754816</v>
      </c>
    </row>
    <row r="243" spans="1:12" x14ac:dyDescent="0.25">
      <c r="A243" t="s">
        <v>82</v>
      </c>
      <c r="H243">
        <f>(H242-H241)/(B241-B242)</f>
        <v>4.7174670854898864</v>
      </c>
      <c r="J243">
        <f>(J242-J241)/(B241-B242)</f>
        <v>4.7174670854898864</v>
      </c>
      <c r="K243">
        <f>L240-J243</f>
        <v>0.89813291451011246</v>
      </c>
    </row>
    <row r="245" spans="1:12" x14ac:dyDescent="0.25">
      <c r="A245" t="s">
        <v>90</v>
      </c>
      <c r="J245">
        <v>0</v>
      </c>
      <c r="K245">
        <v>5.6155999999999988</v>
      </c>
    </row>
    <row r="246" spans="1:12" x14ac:dyDescent="0.25">
      <c r="A246" t="s">
        <v>78</v>
      </c>
      <c r="B246">
        <v>0</v>
      </c>
      <c r="C246">
        <v>-17601.112722900001</v>
      </c>
      <c r="D246">
        <f>C246*$I$3</f>
        <v>-239475.42533340855</v>
      </c>
      <c r="E246">
        <v>-239911.69190461334</v>
      </c>
      <c r="F246">
        <v>-429.81982390396678</v>
      </c>
      <c r="G246">
        <v>8.1995000000000005</v>
      </c>
      <c r="H246" s="6">
        <f>D246-E246+F246 +G246*B246</f>
        <v>6.4467473008224374</v>
      </c>
      <c r="I246">
        <v>0</v>
      </c>
      <c r="J246" s="5">
        <f>H246+I246</f>
        <v>6.4467473008224374</v>
      </c>
      <c r="K246">
        <f>J246+B246*$K$240</f>
        <v>6.4467473008224374</v>
      </c>
    </row>
    <row r="247" spans="1:12" x14ac:dyDescent="0.25">
      <c r="A247" t="s">
        <v>79</v>
      </c>
      <c r="B247">
        <v>2</v>
      </c>
      <c r="C247">
        <v>-17602.971715430001</v>
      </c>
      <c r="D247">
        <f>C247*$I$3</f>
        <v>-239500.71822447868</v>
      </c>
      <c r="E247">
        <v>-239911.69190461334</v>
      </c>
      <c r="F247">
        <v>-429.81982390396678</v>
      </c>
      <c r="G247">
        <v>8.1995000000000005</v>
      </c>
      <c r="H247" s="6">
        <f>D247-E247+F247 +G247*B247</f>
        <v>-2.4471437693078428</v>
      </c>
      <c r="I247" s="14">
        <v>0</v>
      </c>
      <c r="J247" s="5">
        <f>H247+I247</f>
        <v>-2.4471437693078428</v>
      </c>
      <c r="K247">
        <f>J247+B247*$K$240</f>
        <v>8.7840562306921548</v>
      </c>
    </row>
    <row r="248" spans="1:12" x14ac:dyDescent="0.25">
      <c r="A248" t="s">
        <v>82</v>
      </c>
      <c r="E248">
        <f>E247/(72/3)</f>
        <v>-9996.3204960255553</v>
      </c>
      <c r="H248">
        <f>(H247-H246)/(B246-B247)</f>
        <v>4.4469455350651401</v>
      </c>
      <c r="I248">
        <f>M235-H248</f>
        <v>-4.4469455350651401</v>
      </c>
      <c r="J248">
        <f>(J247-J246)/(B246-B247)</f>
        <v>4.4469455350651401</v>
      </c>
      <c r="K248">
        <f>L240-J248</f>
        <v>1.1686544649348587</v>
      </c>
    </row>
    <row r="252" spans="1:12" x14ac:dyDescent="0.25">
      <c r="D252" t="s">
        <v>162</v>
      </c>
    </row>
    <row r="253" spans="1:12" x14ac:dyDescent="0.25">
      <c r="I253" t="s">
        <v>168</v>
      </c>
      <c r="K253" s="14">
        <v>0.212172</v>
      </c>
    </row>
    <row r="256" spans="1:12" x14ac:dyDescent="0.25">
      <c r="E256" t="s">
        <v>161</v>
      </c>
    </row>
    <row r="257" spans="4:10" x14ac:dyDescent="0.25">
      <c r="E257" t="s">
        <v>160</v>
      </c>
    </row>
    <row r="261" spans="4:10" x14ac:dyDescent="0.25">
      <c r="D261" t="s">
        <v>166</v>
      </c>
    </row>
    <row r="263" spans="4:10" x14ac:dyDescent="0.25">
      <c r="D263" t="s">
        <v>115</v>
      </c>
      <c r="E263" t="s">
        <v>163</v>
      </c>
      <c r="F263" t="s">
        <v>164</v>
      </c>
      <c r="G263" t="s">
        <v>165</v>
      </c>
      <c r="H263" t="s">
        <v>107</v>
      </c>
      <c r="I263" t="s">
        <v>170</v>
      </c>
      <c r="J263" t="s">
        <v>172</v>
      </c>
    </row>
    <row r="264" spans="4:10" x14ac:dyDescent="0.25">
      <c r="E264">
        <v>0</v>
      </c>
      <c r="F264">
        <v>222</v>
      </c>
      <c r="G264" s="5">
        <f>J59</f>
        <v>6.6511576598273336</v>
      </c>
      <c r="I264">
        <v>0</v>
      </c>
      <c r="J264" s="5">
        <f>G264+I264</f>
        <v>6.6511576598273336</v>
      </c>
    </row>
    <row r="265" spans="4:10" x14ac:dyDescent="0.25">
      <c r="E265">
        <v>0</v>
      </c>
      <c r="F265">
        <v>333</v>
      </c>
      <c r="G265" s="5">
        <f>J214</f>
        <v>6.6041256582826122</v>
      </c>
      <c r="H265" s="5">
        <f>G265-G264</f>
        <v>-4.7032001544721425E-2</v>
      </c>
      <c r="I265">
        <v>0</v>
      </c>
      <c r="J265" s="5">
        <f t="shared" ref="J265:J271" si="3">G265+I265</f>
        <v>6.6041256582826122</v>
      </c>
    </row>
    <row r="266" spans="4:10" x14ac:dyDescent="0.25">
      <c r="E266">
        <v>2</v>
      </c>
      <c r="F266">
        <v>222</v>
      </c>
      <c r="G266" s="5">
        <f>J60</f>
        <v>1.5204798284460992</v>
      </c>
      <c r="I266" s="14"/>
      <c r="J266" s="5">
        <f t="shared" si="3"/>
        <v>1.5204798284460992</v>
      </c>
    </row>
    <row r="267" spans="4:10" x14ac:dyDescent="0.25">
      <c r="E267">
        <v>2</v>
      </c>
      <c r="F267">
        <v>333</v>
      </c>
      <c r="G267" s="5">
        <f>J215</f>
        <v>0.84899167973284762</v>
      </c>
      <c r="H267" s="5">
        <f>G267-G266</f>
        <v>-0.67148814871325158</v>
      </c>
      <c r="I267" s="14"/>
      <c r="J267" s="5">
        <f t="shared" si="3"/>
        <v>0.84899167973284762</v>
      </c>
    </row>
    <row r="268" spans="4:10" x14ac:dyDescent="0.25">
      <c r="D268" t="s">
        <v>116</v>
      </c>
      <c r="E268">
        <v>0</v>
      </c>
      <c r="F268">
        <v>222</v>
      </c>
      <c r="G268" s="5">
        <f>J74</f>
        <v>6.531320705310975</v>
      </c>
      <c r="I268">
        <v>0</v>
      </c>
      <c r="J268" s="5">
        <f t="shared" si="3"/>
        <v>6.531320705310975</v>
      </c>
    </row>
    <row r="269" spans="4:10" x14ac:dyDescent="0.25">
      <c r="E269">
        <v>0</v>
      </c>
      <c r="F269">
        <v>333</v>
      </c>
      <c r="G269" s="5">
        <f>J219</f>
        <v>6.5144563527715604</v>
      </c>
      <c r="H269" s="5">
        <f>G269-G268</f>
        <v>-1.686435253941454E-2</v>
      </c>
      <c r="I269">
        <v>0</v>
      </c>
      <c r="J269" s="5">
        <f t="shared" si="3"/>
        <v>6.5144563527715604</v>
      </c>
    </row>
    <row r="270" spans="4:10" x14ac:dyDescent="0.25">
      <c r="E270">
        <v>2</v>
      </c>
      <c r="F270">
        <v>222</v>
      </c>
      <c r="G270" s="5">
        <f>J75</f>
        <v>1.5195217301582886</v>
      </c>
      <c r="I270" s="14">
        <v>2.08907</v>
      </c>
      <c r="J270" s="5">
        <f t="shared" si="3"/>
        <v>3.6085917301582886</v>
      </c>
    </row>
    <row r="271" spans="4:10" x14ac:dyDescent="0.25">
      <c r="E271">
        <v>2</v>
      </c>
      <c r="F271">
        <v>333</v>
      </c>
      <c r="G271" s="5">
        <f>J220</f>
        <v>1.4421641963484433</v>
      </c>
      <c r="H271" s="5">
        <f>G271-G270</f>
        <v>-7.7357533809845336E-2</v>
      </c>
      <c r="I271" s="14">
        <v>1.3926099999999999</v>
      </c>
      <c r="J271" s="5">
        <f t="shared" si="3"/>
        <v>2.8347741963484432</v>
      </c>
    </row>
    <row r="273" spans="4:13" x14ac:dyDescent="0.25">
      <c r="D273" t="s">
        <v>69</v>
      </c>
    </row>
    <row r="274" spans="4:13" x14ac:dyDescent="0.25">
      <c r="D274" t="s">
        <v>115</v>
      </c>
      <c r="E274" t="s">
        <v>163</v>
      </c>
      <c r="F274" t="s">
        <v>164</v>
      </c>
      <c r="G274" t="s">
        <v>165</v>
      </c>
    </row>
    <row r="275" spans="4:13" x14ac:dyDescent="0.25">
      <c r="E275">
        <v>0</v>
      </c>
      <c r="F275">
        <v>222</v>
      </c>
      <c r="G275" s="5">
        <f>J120</f>
        <v>6.5369983859816898</v>
      </c>
      <c r="I275">
        <v>0</v>
      </c>
      <c r="J275" s="5">
        <f>G275+I275</f>
        <v>6.5369983859816898</v>
      </c>
    </row>
    <row r="276" spans="4:13" x14ac:dyDescent="0.25">
      <c r="E276">
        <v>0</v>
      </c>
      <c r="F276">
        <v>333</v>
      </c>
      <c r="G276" s="5">
        <f>J241</f>
        <v>6.4213382515552553</v>
      </c>
      <c r="H276" s="5">
        <f>G276-G275</f>
        <v>-0.11566013442643452</v>
      </c>
      <c r="I276">
        <v>0</v>
      </c>
      <c r="J276" s="5">
        <f t="shared" ref="J276:J282" si="4">G276+I276</f>
        <v>6.4213382515552553</v>
      </c>
    </row>
    <row r="277" spans="4:13" x14ac:dyDescent="0.25">
      <c r="E277">
        <v>2</v>
      </c>
      <c r="F277">
        <v>222</v>
      </c>
      <c r="G277" s="5">
        <f>J122</f>
        <v>-2.5990895017976738</v>
      </c>
      <c r="I277" s="14"/>
      <c r="J277" s="5">
        <f t="shared" si="4"/>
        <v>-2.5990895017976738</v>
      </c>
    </row>
    <row r="278" spans="4:13" x14ac:dyDescent="0.25">
      <c r="E278">
        <v>2</v>
      </c>
      <c r="F278">
        <v>333</v>
      </c>
      <c r="G278" s="5">
        <f>J242</f>
        <v>-3.0135959194245174</v>
      </c>
      <c r="H278" s="5">
        <f>G278-G277</f>
        <v>-0.41450641762684359</v>
      </c>
      <c r="I278" s="14"/>
      <c r="J278" s="5">
        <f t="shared" si="4"/>
        <v>-3.0135959194245174</v>
      </c>
    </row>
    <row r="279" spans="4:13" x14ac:dyDescent="0.25">
      <c r="D279" t="s">
        <v>116</v>
      </c>
      <c r="E279">
        <v>0</v>
      </c>
      <c r="F279">
        <v>222</v>
      </c>
      <c r="G279" s="5">
        <f>J126</f>
        <v>6.5604302552636113</v>
      </c>
      <c r="I279">
        <v>0</v>
      </c>
      <c r="J279" s="5">
        <f t="shared" si="4"/>
        <v>6.5604302552636113</v>
      </c>
    </row>
    <row r="280" spans="4:13" x14ac:dyDescent="0.25">
      <c r="E280">
        <v>0</v>
      </c>
      <c r="F280">
        <v>333</v>
      </c>
      <c r="G280" s="5">
        <f>J246</f>
        <v>6.4467473008224374</v>
      </c>
      <c r="H280" s="5">
        <f>G280-G279</f>
        <v>-0.11368295444117393</v>
      </c>
      <c r="I280">
        <v>0</v>
      </c>
      <c r="J280" s="5">
        <f t="shared" si="4"/>
        <v>6.4467473008224374</v>
      </c>
    </row>
    <row r="281" spans="4:13" x14ac:dyDescent="0.25">
      <c r="E281">
        <v>2</v>
      </c>
      <c r="F281">
        <v>222</v>
      </c>
      <c r="G281" s="5">
        <f>J128</f>
        <v>-1.9321652579320225</v>
      </c>
      <c r="I281" s="14">
        <v>2.08907</v>
      </c>
      <c r="J281" s="5">
        <f t="shared" si="4"/>
        <v>0.15690474206797744</v>
      </c>
    </row>
    <row r="282" spans="4:13" x14ac:dyDescent="0.25">
      <c r="E282">
        <v>2</v>
      </c>
      <c r="F282">
        <v>333</v>
      </c>
      <c r="G282" s="5">
        <f>J247</f>
        <v>-2.4471437693078428</v>
      </c>
      <c r="H282" s="5">
        <f>G282-G281</f>
        <v>-0.51497851137582029</v>
      </c>
      <c r="I282" s="14">
        <v>1.3926099999999999</v>
      </c>
      <c r="J282" s="5">
        <f t="shared" si="4"/>
        <v>-1.0545337693078429</v>
      </c>
    </row>
    <row r="285" spans="4:13" x14ac:dyDescent="0.25">
      <c r="M285" t="s">
        <v>167</v>
      </c>
    </row>
    <row r="286" spans="4:13" ht="15.75" thickBot="1" x14ac:dyDescent="0.3"/>
    <row r="287" spans="4:13" ht="15.75" thickTop="1" x14ac:dyDescent="0.25">
      <c r="E287" s="22" t="s">
        <v>163</v>
      </c>
      <c r="F287" s="22" t="s">
        <v>164</v>
      </c>
      <c r="G287" s="22" t="s">
        <v>165</v>
      </c>
      <c r="H287" s="22" t="s">
        <v>107</v>
      </c>
      <c r="I287" s="22" t="s">
        <v>170</v>
      </c>
      <c r="J287" s="22" t="s">
        <v>172</v>
      </c>
    </row>
    <row r="288" spans="4:13" x14ac:dyDescent="0.25">
      <c r="D288" t="s">
        <v>116</v>
      </c>
      <c r="E288" s="19">
        <v>0</v>
      </c>
      <c r="F288" s="19">
        <v>222</v>
      </c>
      <c r="G288" s="16">
        <v>6.5604302552636113</v>
      </c>
      <c r="H288" s="16"/>
      <c r="I288" s="16">
        <v>0</v>
      </c>
      <c r="J288" s="16">
        <v>6.5604302552636113</v>
      </c>
    </row>
    <row r="289" spans="5:10" x14ac:dyDescent="0.25">
      <c r="E289">
        <v>0</v>
      </c>
      <c r="F289">
        <v>333</v>
      </c>
      <c r="G289" s="11">
        <v>6.4467473008224374</v>
      </c>
      <c r="H289" s="11">
        <v>-0.11368295444117393</v>
      </c>
      <c r="I289" s="11">
        <v>0</v>
      </c>
      <c r="J289" s="11">
        <v>6.4467473008224374</v>
      </c>
    </row>
    <row r="290" spans="5:10" x14ac:dyDescent="0.25">
      <c r="E290">
        <v>2</v>
      </c>
      <c r="F290">
        <v>222</v>
      </c>
      <c r="G290" s="11">
        <v>-1.9321652579320225</v>
      </c>
      <c r="H290" s="11"/>
      <c r="I290" s="18">
        <v>2.08907</v>
      </c>
      <c r="J290" s="11">
        <v>0.15690474206797744</v>
      </c>
    </row>
    <row r="291" spans="5:10" x14ac:dyDescent="0.25">
      <c r="E291" s="20">
        <v>2</v>
      </c>
      <c r="F291" s="20">
        <v>333</v>
      </c>
      <c r="G291" s="17">
        <v>-2.4471437693078428</v>
      </c>
      <c r="H291" s="17">
        <v>-0.51497851137582029</v>
      </c>
      <c r="I291" s="21">
        <v>1.3926099999999999</v>
      </c>
      <c r="J291" s="17">
        <v>-1.0545337693078429</v>
      </c>
    </row>
    <row r="296" spans="5:10" ht="15.75" thickBot="1" x14ac:dyDescent="0.3"/>
    <row r="297" spans="5:10" ht="15.75" thickTop="1" x14ac:dyDescent="0.25">
      <c r="E297" s="22" t="s">
        <v>163</v>
      </c>
      <c r="F297" s="22" t="s">
        <v>164</v>
      </c>
      <c r="G297" s="22" t="s">
        <v>165</v>
      </c>
      <c r="H297" s="22" t="s">
        <v>107</v>
      </c>
      <c r="I297" s="22" t="s">
        <v>170</v>
      </c>
      <c r="J297" s="22" t="s">
        <v>172</v>
      </c>
    </row>
    <row r="298" spans="5:10" x14ac:dyDescent="0.25">
      <c r="E298">
        <v>0</v>
      </c>
      <c r="F298">
        <v>222</v>
      </c>
      <c r="G298" s="11">
        <v>6.531320705310975</v>
      </c>
      <c r="H298" s="11"/>
      <c r="I298" s="11">
        <v>0</v>
      </c>
      <c r="J298" s="11">
        <v>6.531320705310975</v>
      </c>
    </row>
    <row r="299" spans="5:10" x14ac:dyDescent="0.25">
      <c r="E299">
        <v>0</v>
      </c>
      <c r="F299">
        <v>333</v>
      </c>
      <c r="G299" s="11">
        <v>6.5144563527715604</v>
      </c>
      <c r="H299" s="11">
        <v>-1.686435253941454E-2</v>
      </c>
      <c r="I299" s="11">
        <v>0</v>
      </c>
      <c r="J299" s="11">
        <v>6.5144563527715604</v>
      </c>
    </row>
    <row r="300" spans="5:10" x14ac:dyDescent="0.25">
      <c r="E300">
        <v>2</v>
      </c>
      <c r="F300">
        <v>222</v>
      </c>
      <c r="G300" s="11">
        <v>1.5195217301582886</v>
      </c>
      <c r="H300" s="11"/>
      <c r="I300" s="18">
        <v>2.08907</v>
      </c>
      <c r="J300" s="11">
        <v>3.6085917301582886</v>
      </c>
    </row>
    <row r="301" spans="5:10" x14ac:dyDescent="0.25">
      <c r="E301" s="20">
        <v>2</v>
      </c>
      <c r="F301" s="20">
        <v>333</v>
      </c>
      <c r="G301" s="17">
        <v>1.4421641963484433</v>
      </c>
      <c r="H301" s="17">
        <v>-7.7357533809845336E-2</v>
      </c>
      <c r="I301" s="21">
        <v>1.3926099999999999</v>
      </c>
      <c r="J301" s="17">
        <v>2.8347741963484432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CE14-C26E-4926-BE3F-05B2637D97C1}">
  <dimension ref="B2:Y189"/>
  <sheetViews>
    <sheetView topLeftCell="A88" workbookViewId="0">
      <selection activeCell="P107" sqref="P107"/>
    </sheetView>
  </sheetViews>
  <sheetFormatPr defaultRowHeight="15" x14ac:dyDescent="0.25"/>
  <cols>
    <col min="5" max="5" width="11.85546875" bestFit="1" customWidth="1"/>
    <col min="8" max="8" width="12.42578125" bestFit="1" customWidth="1"/>
    <col min="9" max="9" width="12.42578125" customWidth="1"/>
    <col min="11" max="11" width="13.42578125" customWidth="1"/>
    <col min="17" max="17" width="13" customWidth="1"/>
  </cols>
  <sheetData>
    <row r="2" spans="2:15" x14ac:dyDescent="0.25">
      <c r="H2" t="s">
        <v>181</v>
      </c>
      <c r="I2">
        <v>13.605698066</v>
      </c>
    </row>
    <row r="3" spans="2:15" x14ac:dyDescent="0.25">
      <c r="H3" t="s">
        <v>181</v>
      </c>
      <c r="I3">
        <v>13.605698066</v>
      </c>
    </row>
    <row r="5" spans="2:15" x14ac:dyDescent="0.25">
      <c r="B5" t="s">
        <v>178</v>
      </c>
      <c r="G5">
        <v>-6086.7681401899999</v>
      </c>
      <c r="I5">
        <f>G5*$I$2</f>
        <v>-82814.729513173501</v>
      </c>
    </row>
    <row r="8" spans="2:15" x14ac:dyDescent="0.25">
      <c r="B8" t="s">
        <v>88</v>
      </c>
      <c r="N8" t="s">
        <v>185</v>
      </c>
    </row>
    <row r="9" spans="2:15" x14ac:dyDescent="0.25">
      <c r="N9">
        <v>5.78</v>
      </c>
    </row>
    <row r="10" spans="2:15" x14ac:dyDescent="0.25">
      <c r="C10" s="3" t="s">
        <v>11</v>
      </c>
      <c r="D10" t="s">
        <v>80</v>
      </c>
      <c r="E10" s="3" t="s">
        <v>1</v>
      </c>
      <c r="F10" s="3" t="s">
        <v>2</v>
      </c>
      <c r="G10" s="4" t="s">
        <v>3</v>
      </c>
      <c r="H10" s="4" t="s">
        <v>4</v>
      </c>
      <c r="I10" s="4" t="s">
        <v>5</v>
      </c>
      <c r="J10" s="4" t="s">
        <v>6</v>
      </c>
      <c r="K10" s="4" t="s">
        <v>86</v>
      </c>
      <c r="L10" s="12" t="s">
        <v>87</v>
      </c>
    </row>
    <row r="11" spans="2:15" x14ac:dyDescent="0.25">
      <c r="D11" t="s">
        <v>81</v>
      </c>
      <c r="E11" t="s">
        <v>67</v>
      </c>
      <c r="K11">
        <v>0</v>
      </c>
      <c r="L11">
        <v>4.2039999999999997</v>
      </c>
    </row>
    <row r="12" spans="2:15" x14ac:dyDescent="0.25">
      <c r="B12" t="s">
        <v>78</v>
      </c>
      <c r="C12">
        <v>0</v>
      </c>
      <c r="D12">
        <v>-6054.0162170599997</v>
      </c>
      <c r="E12">
        <f>D12*$I$3</f>
        <v>-82369.116735985881</v>
      </c>
      <c r="F12">
        <v>-82814.729513173501</v>
      </c>
      <c r="G12">
        <v>-438.98050135417321</v>
      </c>
      <c r="H12">
        <v>10.780200000000001</v>
      </c>
      <c r="I12" s="6">
        <f>E12-F12+G12 +H12*C12</f>
        <v>6.6322758334467267</v>
      </c>
      <c r="J12">
        <v>0</v>
      </c>
      <c r="K12" s="5">
        <f>I12+J12</f>
        <v>6.6322758334467267</v>
      </c>
      <c r="L12">
        <f>K12+C12*$O$7</f>
        <v>6.6322758334467267</v>
      </c>
    </row>
    <row r="13" spans="2:15" x14ac:dyDescent="0.25">
      <c r="C13">
        <v>1</v>
      </c>
      <c r="D13">
        <v>-6055.0296001099996</v>
      </c>
      <c r="E13">
        <f>D13*$I$3</f>
        <v>-82382.904519789372</v>
      </c>
      <c r="F13">
        <v>-82814.729513173501</v>
      </c>
      <c r="G13">
        <v>-438.98050135417321</v>
      </c>
      <c r="H13">
        <v>10.780200000000001</v>
      </c>
      <c r="I13" s="6">
        <f>E13-F13+G13 +H13*C13</f>
        <v>3.6246920299556891</v>
      </c>
    </row>
    <row r="14" spans="2:15" x14ac:dyDescent="0.25">
      <c r="B14" t="s">
        <v>79</v>
      </c>
      <c r="C14">
        <v>2</v>
      </c>
      <c r="D14">
        <v>-6056.0446383099998</v>
      </c>
      <c r="E14">
        <f>D14*$I$3</f>
        <v>-82396.71482306403</v>
      </c>
      <c r="F14">
        <v>-82814.729513173501</v>
      </c>
      <c r="G14">
        <v>-438.98050135417321</v>
      </c>
      <c r="H14">
        <v>10.780200000000001</v>
      </c>
      <c r="I14" s="6">
        <f>E14-F14+G14 +H14*C14</f>
        <v>0.59458875529718114</v>
      </c>
      <c r="J14" s="14">
        <v>0</v>
      </c>
      <c r="K14" s="5">
        <f>I14+J14</f>
        <v>0.59458875529718114</v>
      </c>
      <c r="L14">
        <f t="shared" ref="L14" si="0">K14+C14*$O$7</f>
        <v>0.59458875529718114</v>
      </c>
      <c r="O14" t="s">
        <v>182</v>
      </c>
    </row>
    <row r="15" spans="2:15" x14ac:dyDescent="0.25">
      <c r="B15" t="s">
        <v>82</v>
      </c>
      <c r="I15">
        <f>(I14-I12)/(C12-C14)</f>
        <v>3.0188435390747728</v>
      </c>
      <c r="K15">
        <f>(K14-K12)/(C12-C14)</f>
        <v>3.0188435390747728</v>
      </c>
      <c r="L15">
        <f>L11-K15</f>
        <v>1.185156460925227</v>
      </c>
    </row>
    <row r="16" spans="2:15" x14ac:dyDescent="0.25">
      <c r="I16">
        <f>$K$79-I15</f>
        <v>-3.0188435390747728</v>
      </c>
    </row>
    <row r="17" spans="2:20" x14ac:dyDescent="0.25">
      <c r="B17" t="s">
        <v>90</v>
      </c>
      <c r="N17">
        <v>0</v>
      </c>
      <c r="O17">
        <v>6.3860000000000001</v>
      </c>
    </row>
    <row r="18" spans="2:20" x14ac:dyDescent="0.25">
      <c r="B18" t="s">
        <v>78</v>
      </c>
      <c r="C18">
        <v>0</v>
      </c>
      <c r="D18">
        <v>-6054.0276735400003</v>
      </c>
      <c r="E18">
        <f>D18*$I$3</f>
        <v>-82369.272609393665</v>
      </c>
      <c r="F18">
        <v>-82814.729513173501</v>
      </c>
      <c r="G18">
        <v>-438.98050135417321</v>
      </c>
      <c r="H18">
        <v>10.780200000000001</v>
      </c>
      <c r="I18" s="6">
        <f>E18-F18+G18 +H18*C18</f>
        <v>6.4764024256623429</v>
      </c>
      <c r="J18">
        <v>0</v>
      </c>
      <c r="K18" s="5">
        <f>I18+J18</f>
        <v>6.4764024256623429</v>
      </c>
      <c r="L18">
        <f>K18+C18*$O$7</f>
        <v>6.4764024256623429</v>
      </c>
      <c r="O18" t="s">
        <v>183</v>
      </c>
    </row>
    <row r="19" spans="2:20" x14ac:dyDescent="0.25">
      <c r="C19">
        <v>1</v>
      </c>
      <c r="D19">
        <v>-6055.0106536200001</v>
      </c>
      <c r="E19">
        <f>D19*$I$3</f>
        <v>-82382.646739567033</v>
      </c>
      <c r="F19">
        <v>-82814.729513173501</v>
      </c>
      <c r="G19">
        <v>-438.98050135417321</v>
      </c>
      <c r="H19">
        <v>10.780200000000001</v>
      </c>
      <c r="I19" s="6">
        <f>E19-F19+G19 +H19*C19</f>
        <v>3.8824722522943134</v>
      </c>
    </row>
    <row r="20" spans="2:20" x14ac:dyDescent="0.25">
      <c r="B20" t="s">
        <v>79</v>
      </c>
      <c r="C20">
        <v>2</v>
      </c>
      <c r="D20">
        <v>-6056.0004042</v>
      </c>
      <c r="E20">
        <f>D20*$I$3</f>
        <v>-82396.112987119166</v>
      </c>
      <c r="F20">
        <v>-82814.729513173501</v>
      </c>
      <c r="G20">
        <v>-438.98050135417321</v>
      </c>
      <c r="H20">
        <v>10.780200000000001</v>
      </c>
      <c r="I20" s="6">
        <f>E20-F20+G20 +H20*C20</f>
        <v>1.1964247001616144</v>
      </c>
      <c r="J20" s="14">
        <v>0</v>
      </c>
      <c r="K20" s="5">
        <f>I20+J20</f>
        <v>1.1964247001616144</v>
      </c>
      <c r="L20">
        <f t="shared" ref="L20" si="1">K20+C20*$O$7</f>
        <v>1.1964247001616144</v>
      </c>
    </row>
    <row r="21" spans="2:20" x14ac:dyDescent="0.25">
      <c r="B21" t="s">
        <v>82</v>
      </c>
      <c r="F21">
        <f>F20/(72/3)</f>
        <v>-3450.6137297155624</v>
      </c>
      <c r="I21">
        <f>(I20-I18)/(C18-C20)</f>
        <v>2.6399888627503643</v>
      </c>
      <c r="J21">
        <f>N6-I21</f>
        <v>-2.6399888627503643</v>
      </c>
      <c r="K21">
        <f>(K20-K18)/(C18-C20)</f>
        <v>2.6399888627503643</v>
      </c>
      <c r="L21">
        <f>L11-K21</f>
        <v>1.5640111372496355</v>
      </c>
    </row>
    <row r="22" spans="2:20" x14ac:dyDescent="0.25">
      <c r="I22">
        <f>$K$79-I21</f>
        <v>-2.6399888627503643</v>
      </c>
      <c r="O22">
        <v>4.2039999999999997</v>
      </c>
      <c r="Q22" t="s">
        <v>184</v>
      </c>
    </row>
    <row r="23" spans="2:20" x14ac:dyDescent="0.25">
      <c r="H23">
        <v>-438.98050135417321</v>
      </c>
      <c r="O23">
        <v>6.3860000000000001</v>
      </c>
    </row>
    <row r="24" spans="2:20" x14ac:dyDescent="0.25">
      <c r="M24">
        <f>L21-L15</f>
        <v>0.3788546763244085</v>
      </c>
    </row>
    <row r="25" spans="2:20" x14ac:dyDescent="0.25">
      <c r="K25">
        <v>3.0188435390747728</v>
      </c>
      <c r="L25">
        <v>2.6399888627503643</v>
      </c>
    </row>
    <row r="26" spans="2:20" x14ac:dyDescent="0.25">
      <c r="K26">
        <v>1.185156460925227</v>
      </c>
      <c r="L26">
        <v>1.5640111372496355</v>
      </c>
    </row>
    <row r="27" spans="2:20" x14ac:dyDescent="0.25">
      <c r="B27" t="s">
        <v>180</v>
      </c>
    </row>
    <row r="28" spans="2:20" x14ac:dyDescent="0.25">
      <c r="G28">
        <v>-6034.5329665299996</v>
      </c>
      <c r="I28">
        <f>G28*$I$2</f>
        <v>-82104.033511930465</v>
      </c>
      <c r="K28" t="s">
        <v>285</v>
      </c>
      <c r="R28" t="s">
        <v>196</v>
      </c>
      <c r="T28">
        <f>S28*$I$3</f>
        <v>0</v>
      </c>
    </row>
    <row r="29" spans="2:20" x14ac:dyDescent="0.25">
      <c r="K29">
        <v>51.425850189999998</v>
      </c>
      <c r="L29">
        <f>G28-K29</f>
        <v>-6085.95881672</v>
      </c>
    </row>
    <row r="30" spans="2:20" x14ac:dyDescent="0.25">
      <c r="B30" t="s">
        <v>88</v>
      </c>
      <c r="N30" t="s">
        <v>284</v>
      </c>
    </row>
    <row r="32" spans="2:20" x14ac:dyDescent="0.25">
      <c r="C32" s="3" t="s">
        <v>11</v>
      </c>
      <c r="D32" t="s">
        <v>80</v>
      </c>
      <c r="E32" s="3" t="s">
        <v>1</v>
      </c>
      <c r="F32" s="3" t="s">
        <v>2</v>
      </c>
      <c r="G32" s="4" t="s">
        <v>3</v>
      </c>
      <c r="H32" s="4" t="s">
        <v>4</v>
      </c>
      <c r="I32" s="4" t="s">
        <v>5</v>
      </c>
      <c r="J32" s="4" t="s">
        <v>6</v>
      </c>
      <c r="K32" s="4" t="s">
        <v>86</v>
      </c>
      <c r="L32" s="12" t="s">
        <v>87</v>
      </c>
      <c r="O32" t="s">
        <v>286</v>
      </c>
    </row>
    <row r="33" spans="2:20" x14ac:dyDescent="0.25">
      <c r="D33" t="s">
        <v>81</v>
      </c>
      <c r="E33" t="s">
        <v>67</v>
      </c>
      <c r="K33">
        <v>0</v>
      </c>
      <c r="L33">
        <v>6.3860000000000001</v>
      </c>
    </row>
    <row r="34" spans="2:20" x14ac:dyDescent="0.25">
      <c r="B34" t="s">
        <v>78</v>
      </c>
      <c r="C34">
        <v>0</v>
      </c>
      <c r="D34">
        <v>-6002.4990588299997</v>
      </c>
      <c r="E34">
        <f>D34*$I$3</f>
        <v>-81668.189835890153</v>
      </c>
      <c r="F34">
        <v>-82104.033511930465</v>
      </c>
      <c r="G34">
        <v>-438.98050135417321</v>
      </c>
      <c r="H34">
        <v>8.7128999999999994</v>
      </c>
      <c r="I34" s="6">
        <f>E34-F34+G34 +H34*C34</f>
        <v>-3.1368253138603563</v>
      </c>
      <c r="J34">
        <v>0</v>
      </c>
      <c r="K34" s="5">
        <f>I34+J34</f>
        <v>-3.1368253138603563</v>
      </c>
      <c r="L34">
        <f>K34+C34*$O$7</f>
        <v>-3.1368253138603563</v>
      </c>
      <c r="N34">
        <v>50.716641469999999</v>
      </c>
      <c r="O34">
        <f>D34-N34</f>
        <v>-6053.2157002999993</v>
      </c>
    </row>
    <row r="35" spans="2:20" x14ac:dyDescent="0.25">
      <c r="B35" t="s">
        <v>113</v>
      </c>
      <c r="C35">
        <v>1</v>
      </c>
      <c r="D35">
        <v>-6003.5021185699998</v>
      </c>
      <c r="E35">
        <f>D35*$I$3</f>
        <v>-81681.837163854754</v>
      </c>
      <c r="F35">
        <v>-82104.033511930465</v>
      </c>
      <c r="G35">
        <v>-438.98050135417321</v>
      </c>
      <c r="H35">
        <v>8.7128999999999994</v>
      </c>
      <c r="I35" s="6">
        <f>E35-F35+G35 +H35*C35</f>
        <v>-8.0712532784619295</v>
      </c>
      <c r="N35">
        <v>50.730146419999997</v>
      </c>
      <c r="O35">
        <f t="shared" ref="O35:O36" si="2">D35-N35</f>
        <v>-6054.2322649899997</v>
      </c>
    </row>
    <row r="36" spans="2:20" x14ac:dyDescent="0.25">
      <c r="B36" t="s">
        <v>79</v>
      </c>
      <c r="C36">
        <v>2</v>
      </c>
      <c r="D36">
        <v>-6004.51061046</v>
      </c>
      <c r="E36">
        <f>D36*$I$3</f>
        <v>-81695.558400012102</v>
      </c>
      <c r="F36">
        <v>-82104.033511930465</v>
      </c>
      <c r="G36">
        <v>-438.98050135417321</v>
      </c>
      <c r="H36">
        <v>8.7128999999999994</v>
      </c>
      <c r="I36" s="6">
        <f>E36-F36+G36 +H36*C36</f>
        <v>-13.079589435809378</v>
      </c>
      <c r="J36" s="14">
        <v>0</v>
      </c>
      <c r="K36" s="5">
        <f>I36+J36</f>
        <v>-13.079589435809378</v>
      </c>
      <c r="L36">
        <f t="shared" ref="L36" si="3">K36+C36*$O$7</f>
        <v>-13.079589435809378</v>
      </c>
      <c r="N36">
        <v>50.740702450000001</v>
      </c>
      <c r="O36">
        <f t="shared" si="2"/>
        <v>-6055.2513129099998</v>
      </c>
    </row>
    <row r="37" spans="2:20" x14ac:dyDescent="0.25">
      <c r="B37" t="s">
        <v>82</v>
      </c>
      <c r="I37">
        <f>(I36-I34)/(C34-C36)</f>
        <v>4.971382060974511</v>
      </c>
      <c r="K37">
        <f>(K36-K34)/(C34-C36)</f>
        <v>4.971382060974511</v>
      </c>
      <c r="L37">
        <f>L33-K37</f>
        <v>1.4146179390254892</v>
      </c>
    </row>
    <row r="38" spans="2:20" x14ac:dyDescent="0.25">
      <c r="I38">
        <f>$K$79-I37</f>
        <v>-4.971382060974511</v>
      </c>
    </row>
    <row r="39" spans="2:20" x14ac:dyDescent="0.25">
      <c r="B39" t="s">
        <v>90</v>
      </c>
      <c r="K39">
        <v>0</v>
      </c>
      <c r="L39">
        <v>6.3860000000000001</v>
      </c>
    </row>
    <row r="40" spans="2:20" x14ac:dyDescent="0.25">
      <c r="B40" t="s">
        <v>78</v>
      </c>
      <c r="C40">
        <v>0</v>
      </c>
      <c r="D40">
        <v>-6002.5798847100004</v>
      </c>
      <c r="E40">
        <f>D40*$I$3</f>
        <v>-81669.289528409354</v>
      </c>
      <c r="F40">
        <v>-82104.033511930465</v>
      </c>
      <c r="G40">
        <v>-438.98050135417321</v>
      </c>
      <c r="H40">
        <v>8.7128999999999994</v>
      </c>
      <c r="I40" s="6">
        <f>E40-F40+G40 +H40*C40</f>
        <v>-4.2365178330615549</v>
      </c>
      <c r="J40">
        <v>0</v>
      </c>
      <c r="K40" s="5">
        <f>I40+J40</f>
        <v>-4.2365178330615549</v>
      </c>
      <c r="L40">
        <f>K40+C40*$O$7</f>
        <v>-4.2365178330615549</v>
      </c>
      <c r="N40">
        <v>50.648464140000002</v>
      </c>
      <c r="O40">
        <f>D40-N40</f>
        <v>-6053.2283488500007</v>
      </c>
    </row>
    <row r="41" spans="2:20" x14ac:dyDescent="0.25">
      <c r="B41" t="s">
        <v>113</v>
      </c>
      <c r="C41">
        <v>1</v>
      </c>
      <c r="D41">
        <v>-6003.5566926600004</v>
      </c>
      <c r="E41">
        <f>D41*$I$3</f>
        <v>-81682.579682445532</v>
      </c>
      <c r="F41">
        <v>-82104.033511930465</v>
      </c>
      <c r="G41">
        <v>-438.98050135417321</v>
      </c>
      <c r="H41">
        <v>8.7128999999999994</v>
      </c>
      <c r="I41" s="6">
        <f>E41-F41+G41 +H41*C41</f>
        <v>-8.8137718692396927</v>
      </c>
      <c r="N41">
        <v>50.657563199999998</v>
      </c>
      <c r="O41">
        <f t="shared" ref="O41:O42" si="4">D41-N41</f>
        <v>-6054.2142558600008</v>
      </c>
      <c r="Q41" t="s">
        <v>121</v>
      </c>
      <c r="R41">
        <v>1.4409400000000001</v>
      </c>
    </row>
    <row r="42" spans="2:20" x14ac:dyDescent="0.25">
      <c r="B42" t="s">
        <v>79</v>
      </c>
      <c r="C42">
        <v>2</v>
      </c>
      <c r="D42">
        <v>-6004.5442583699996</v>
      </c>
      <c r="E42">
        <f>D42*$I$3</f>
        <v>-81696.016203316118</v>
      </c>
      <c r="F42">
        <v>-82104.033511930465</v>
      </c>
      <c r="G42">
        <v>-438.98050135417321</v>
      </c>
      <c r="H42">
        <v>8.7128999999999994</v>
      </c>
      <c r="I42" s="6">
        <f>E42-F42+G42 +H42*C42</f>
        <v>-13.537392739825503</v>
      </c>
      <c r="J42" s="14">
        <v>0</v>
      </c>
      <c r="K42" s="5">
        <f>I42+J42</f>
        <v>-13.537392739825503</v>
      </c>
      <c r="L42">
        <f t="shared" ref="L42" si="5">K42+C42*$O$7</f>
        <v>-13.537392739825503</v>
      </c>
      <c r="N42">
        <v>50.662700090000001</v>
      </c>
      <c r="O42">
        <f t="shared" si="4"/>
        <v>-6055.2069584599994</v>
      </c>
      <c r="Q42" t="s">
        <v>122</v>
      </c>
      <c r="R42">
        <v>0.32326100000000002</v>
      </c>
    </row>
    <row r="43" spans="2:20" x14ac:dyDescent="0.25">
      <c r="B43" t="s">
        <v>82</v>
      </c>
      <c r="K43">
        <f>(K42-K40)/(C40-C42)</f>
        <v>4.6504374533819739</v>
      </c>
      <c r="L43">
        <f>L33-K43</f>
        <v>1.7355625466180262</v>
      </c>
      <c r="Q43" t="s">
        <v>123</v>
      </c>
      <c r="R43">
        <v>0</v>
      </c>
    </row>
    <row r="44" spans="2:20" x14ac:dyDescent="0.25">
      <c r="Q44" t="s">
        <v>124</v>
      </c>
      <c r="R44">
        <v>0</v>
      </c>
    </row>
    <row r="45" spans="2:20" x14ac:dyDescent="0.25">
      <c r="F45">
        <v>-6003.5566926600004</v>
      </c>
      <c r="M45">
        <f>L43-L37</f>
        <v>0.32094460759253707</v>
      </c>
      <c r="Q45" t="s">
        <v>125</v>
      </c>
      <c r="R45">
        <v>17.814900000000002</v>
      </c>
    </row>
    <row r="46" spans="2:20" x14ac:dyDescent="0.25">
      <c r="Q46" t="s">
        <v>126</v>
      </c>
      <c r="R46">
        <v>3.1438700000000002</v>
      </c>
    </row>
    <row r="47" spans="2:20" x14ac:dyDescent="0.25">
      <c r="E47">
        <v>-6003.5566926600004</v>
      </c>
      <c r="Q47" t="s">
        <v>127</v>
      </c>
      <c r="R47">
        <v>0</v>
      </c>
    </row>
    <row r="48" spans="2:20" x14ac:dyDescent="0.25">
      <c r="Q48" t="s">
        <v>128</v>
      </c>
      <c r="R48">
        <v>0</v>
      </c>
      <c r="T48">
        <f>AVERAGE(R45,R49)</f>
        <v>17.000996905000001</v>
      </c>
    </row>
    <row r="49" spans="2:23" x14ac:dyDescent="0.25">
      <c r="K49" t="s">
        <v>195</v>
      </c>
      <c r="Q49" t="s">
        <v>129</v>
      </c>
      <c r="R49">
        <v>16.18709381</v>
      </c>
      <c r="T49">
        <f>AVERAGE(R46,R50)</f>
        <v>2.9863162430000001</v>
      </c>
    </row>
    <row r="50" spans="2:23" x14ac:dyDescent="0.25">
      <c r="B50" t="s">
        <v>179</v>
      </c>
      <c r="G50">
        <v>-6034.5265470200002</v>
      </c>
      <c r="I50">
        <f>G50*$I$2</f>
        <v>-82103.946170015683</v>
      </c>
      <c r="Q50" t="s">
        <v>130</v>
      </c>
      <c r="R50">
        <v>2.828762486</v>
      </c>
    </row>
    <row r="52" spans="2:23" x14ac:dyDescent="0.25">
      <c r="G52">
        <v>-6034.5265470200002</v>
      </c>
      <c r="I52">
        <f>G52*$I$2</f>
        <v>-82103.946170015683</v>
      </c>
      <c r="L52">
        <v>6.3860000000000001</v>
      </c>
    </row>
    <row r="53" spans="2:23" x14ac:dyDescent="0.25">
      <c r="B53" t="s">
        <v>88</v>
      </c>
    </row>
    <row r="55" spans="2:23" x14ac:dyDescent="0.25">
      <c r="C55" s="3" t="s">
        <v>11</v>
      </c>
      <c r="D55" t="s">
        <v>80</v>
      </c>
      <c r="E55" s="3" t="s">
        <v>1</v>
      </c>
      <c r="F55" s="3" t="s">
        <v>2</v>
      </c>
      <c r="G55" s="4" t="s">
        <v>3</v>
      </c>
      <c r="H55" s="4" t="s">
        <v>4</v>
      </c>
      <c r="I55" s="4" t="s">
        <v>5</v>
      </c>
      <c r="J55" s="4" t="s">
        <v>6</v>
      </c>
      <c r="K55" s="4" t="s">
        <v>86</v>
      </c>
      <c r="L55" s="12" t="s">
        <v>87</v>
      </c>
      <c r="N55">
        <v>-501.71292575000001</v>
      </c>
      <c r="O55">
        <f>N55*$I$2</f>
        <v>-6826.1545835639772</v>
      </c>
    </row>
    <row r="56" spans="2:23" x14ac:dyDescent="0.25">
      <c r="D56" t="s">
        <v>81</v>
      </c>
      <c r="E56" t="s">
        <v>67</v>
      </c>
      <c r="K56">
        <v>0</v>
      </c>
      <c r="L56">
        <v>3.6351000000000013</v>
      </c>
      <c r="O56">
        <f>O55/16</f>
        <v>-426.63466147274858</v>
      </c>
      <c r="Q56" t="s">
        <v>229</v>
      </c>
      <c r="R56" t="s">
        <v>230</v>
      </c>
    </row>
    <row r="57" spans="2:23" x14ac:dyDescent="0.25">
      <c r="B57" t="s">
        <v>78</v>
      </c>
      <c r="C57">
        <v>0</v>
      </c>
      <c r="D57">
        <v>-6002.53134383</v>
      </c>
      <c r="E57">
        <f>D57*$I$3</f>
        <v>-81668.629095852215</v>
      </c>
      <c r="F57">
        <v>-82103.946170015683</v>
      </c>
      <c r="G57">
        <v>-429.81982390396678</v>
      </c>
      <c r="H57">
        <v>8.7128999999999994</v>
      </c>
      <c r="I57" s="6">
        <f>E57-F57+G57 +H57*C57</f>
        <v>5.497250259500845</v>
      </c>
      <c r="J57">
        <v>0</v>
      </c>
      <c r="K57" s="5">
        <f>I57+J57</f>
        <v>5.497250259500845</v>
      </c>
      <c r="L57">
        <f>K57+C57*$O$7</f>
        <v>5.497250259500845</v>
      </c>
      <c r="Q57">
        <v>3.0188435390747728</v>
      </c>
      <c r="R57">
        <v>2.6399888627503643</v>
      </c>
    </row>
    <row r="58" spans="2:23" x14ac:dyDescent="0.25">
      <c r="D58">
        <v>-6003.5341785237997</v>
      </c>
      <c r="Q58">
        <v>1.185156460925227</v>
      </c>
      <c r="R58">
        <v>1.5640111372496355</v>
      </c>
      <c r="V58" t="s">
        <v>227</v>
      </c>
      <c r="W58" t="s">
        <v>228</v>
      </c>
    </row>
    <row r="59" spans="2:23" x14ac:dyDescent="0.25">
      <c r="B59" t="s">
        <v>79</v>
      </c>
      <c r="C59">
        <v>2</v>
      </c>
      <c r="D59">
        <v>-6004.5425866100004</v>
      </c>
      <c r="E59">
        <f>D59*$I$3</f>
        <v>-81695.993457854318</v>
      </c>
      <c r="F59">
        <v>-82103.946170015683</v>
      </c>
      <c r="G59">
        <v>-429.81982390396678</v>
      </c>
      <c r="H59">
        <v>8.7128999999999994</v>
      </c>
      <c r="I59" s="6">
        <f>E59-F59+G59 +H59*C59</f>
        <v>-4.4413117426021635</v>
      </c>
      <c r="J59" s="14">
        <v>0</v>
      </c>
      <c r="K59" s="5">
        <f>I59+J59</f>
        <v>-4.4413117426021635</v>
      </c>
      <c r="L59">
        <f t="shared" ref="L59" si="6">K59+C59*$O$7</f>
        <v>-4.4413117426021635</v>
      </c>
      <c r="U59" t="s">
        <v>223</v>
      </c>
      <c r="V59" s="11">
        <v>1.185156460925227</v>
      </c>
      <c r="W59" s="11">
        <v>1.5640111372496355</v>
      </c>
    </row>
    <row r="60" spans="2:23" x14ac:dyDescent="0.25">
      <c r="B60" t="s">
        <v>82</v>
      </c>
      <c r="I60">
        <f>(I59-I57)/(C57-C59)</f>
        <v>4.9692810010515043</v>
      </c>
      <c r="K60">
        <f>(K59-K57)/(C57-C59)</f>
        <v>4.9692810010515043</v>
      </c>
      <c r="L60" t="e">
        <f>#REF!-K60</f>
        <v>#REF!</v>
      </c>
      <c r="U60" t="s">
        <v>225</v>
      </c>
      <c r="V60" s="11">
        <v>1.1893397368486509</v>
      </c>
      <c r="W60" s="11">
        <v>1.5236385412218985</v>
      </c>
    </row>
    <row r="61" spans="2:23" x14ac:dyDescent="0.25">
      <c r="I61">
        <f>$L$52-I60</f>
        <v>1.4167189989484958</v>
      </c>
      <c r="Q61" t="s">
        <v>217</v>
      </c>
      <c r="R61" t="s">
        <v>218</v>
      </c>
      <c r="U61" t="s">
        <v>224</v>
      </c>
      <c r="V61" s="11">
        <v>1.4167189989484958</v>
      </c>
      <c r="W61" s="11">
        <v>1.740374609918077</v>
      </c>
    </row>
    <row r="62" spans="2:23" x14ac:dyDescent="0.25">
      <c r="B62" t="s">
        <v>90</v>
      </c>
      <c r="K62">
        <v>0</v>
      </c>
      <c r="L62">
        <v>5.6155999999999988</v>
      </c>
      <c r="Q62">
        <v>4.9692810010515043</v>
      </c>
      <c r="R62">
        <v>4.6456253900819231</v>
      </c>
      <c r="U62" t="s">
        <v>226</v>
      </c>
      <c r="V62" s="11">
        <v>1.43510607946068</v>
      </c>
      <c r="W62" s="11">
        <v>1.7002599779107603</v>
      </c>
    </row>
    <row r="63" spans="2:23" x14ac:dyDescent="0.25">
      <c r="B63" t="s">
        <v>78</v>
      </c>
      <c r="C63">
        <v>0</v>
      </c>
      <c r="D63">
        <v>-6002.5350889600004</v>
      </c>
      <c r="E63">
        <f>D63*$I$3</f>
        <v>-81668.680050960218</v>
      </c>
      <c r="F63">
        <v>-82103.946170015683</v>
      </c>
      <c r="G63">
        <v>-429.81982390396678</v>
      </c>
      <c r="H63">
        <v>8.7128999999999994</v>
      </c>
      <c r="I63" s="6">
        <f>E63-F63+G63 +H63*C63</f>
        <v>5.4462951514977362</v>
      </c>
      <c r="J63">
        <v>0</v>
      </c>
      <c r="K63" s="5">
        <f>I63+J63</f>
        <v>5.4462951514977362</v>
      </c>
      <c r="L63">
        <f>K63+C63*$O$7</f>
        <v>5.4462951514977362</v>
      </c>
      <c r="Q63">
        <v>1.4167189989484958</v>
      </c>
      <c r="R63">
        <v>1.740374609918077</v>
      </c>
    </row>
    <row r="64" spans="2:23" x14ac:dyDescent="0.25">
      <c r="D64">
        <v>-6003.5115921792003</v>
      </c>
    </row>
    <row r="65" spans="2:24" x14ac:dyDescent="0.25">
      <c r="B65" t="s">
        <v>79</v>
      </c>
      <c r="C65">
        <v>2</v>
      </c>
      <c r="D65">
        <v>-6004.4987552599996</v>
      </c>
      <c r="E65">
        <f>D65*$I$3</f>
        <v>-81695.397101740382</v>
      </c>
      <c r="F65">
        <v>-82103.946170015683</v>
      </c>
      <c r="G65">
        <v>-429.81982390396678</v>
      </c>
      <c r="H65">
        <v>8.7128999999999994</v>
      </c>
      <c r="I65" s="6">
        <f>E65-F65+G65 +H65*C65</f>
        <v>-3.84495562866611</v>
      </c>
      <c r="J65" s="14">
        <v>0</v>
      </c>
      <c r="K65" s="5">
        <f>I65+J65</f>
        <v>-3.84495562866611</v>
      </c>
      <c r="L65">
        <f t="shared" ref="L65" si="7">K65+C65*$O$7</f>
        <v>-3.84495562866611</v>
      </c>
      <c r="Q65" t="s">
        <v>219</v>
      </c>
      <c r="R65" t="s">
        <v>220</v>
      </c>
    </row>
    <row r="66" spans="2:24" x14ac:dyDescent="0.25">
      <c r="B66" t="s">
        <v>82</v>
      </c>
      <c r="F66">
        <f>F65/(72/3)</f>
        <v>-3420.9977570839869</v>
      </c>
      <c r="I66">
        <f>(I65-I63)/(C63-C65)</f>
        <v>4.6456253900819231</v>
      </c>
      <c r="J66">
        <f>N51-I66</f>
        <v>-4.6456253900819231</v>
      </c>
      <c r="K66">
        <f>(K65-K63)/(C63-C65)</f>
        <v>4.6456253900819231</v>
      </c>
      <c r="L66" t="e">
        <f>#REF!-K66</f>
        <v>#REF!</v>
      </c>
      <c r="Q66">
        <v>3.0146602631513488</v>
      </c>
      <c r="R66">
        <v>2.6803614587781013</v>
      </c>
    </row>
    <row r="67" spans="2:24" x14ac:dyDescent="0.25">
      <c r="H67" t="s">
        <v>216</v>
      </c>
      <c r="I67">
        <f>$L$52-I66</f>
        <v>1.740374609918077</v>
      </c>
      <c r="Q67">
        <v>1.1893397368486509</v>
      </c>
      <c r="R67">
        <v>1.5236385412218985</v>
      </c>
    </row>
    <row r="69" spans="2:24" x14ac:dyDescent="0.25">
      <c r="E69" t="s">
        <v>186</v>
      </c>
      <c r="G69" t="s">
        <v>187</v>
      </c>
      <c r="J69" t="s">
        <v>198</v>
      </c>
      <c r="Q69" t="s">
        <v>221</v>
      </c>
      <c r="R69" t="s">
        <v>222</v>
      </c>
    </row>
    <row r="70" spans="2:24" x14ac:dyDescent="0.25">
      <c r="E70">
        <v>-426.02445577861954</v>
      </c>
      <c r="G70">
        <v>-427.24544886149124</v>
      </c>
      <c r="J70">
        <v>-501.71292575000001</v>
      </c>
      <c r="Q70">
        <v>4.9508939205393201</v>
      </c>
      <c r="R70">
        <v>4.6857400220892398</v>
      </c>
      <c r="X70" t="s">
        <v>68</v>
      </c>
    </row>
    <row r="71" spans="2:24" x14ac:dyDescent="0.25">
      <c r="G71">
        <f>F71/2</f>
        <v>0</v>
      </c>
      <c r="J71">
        <f>J70*I2</f>
        <v>-6826.1545835639772</v>
      </c>
      <c r="Q71">
        <v>1.43510607946068</v>
      </c>
      <c r="R71">
        <v>1.7002599779107603</v>
      </c>
    </row>
    <row r="72" spans="2:24" x14ac:dyDescent="0.25">
      <c r="J72">
        <f>J71/16</f>
        <v>-426.63466147274858</v>
      </c>
    </row>
    <row r="74" spans="2:24" x14ac:dyDescent="0.25">
      <c r="E74">
        <f>AVERAGE(E70,G70)</f>
        <v>-426.63495232005539</v>
      </c>
    </row>
    <row r="78" spans="2:24" x14ac:dyDescent="0.25">
      <c r="B78" t="s">
        <v>176</v>
      </c>
    </row>
    <row r="79" spans="2:24" x14ac:dyDescent="0.25">
      <c r="F79">
        <v>-20542.839817839998</v>
      </c>
      <c r="G79">
        <f>F79*$I$3</f>
        <v>-279499.67597973347</v>
      </c>
      <c r="Q79" t="s">
        <v>199</v>
      </c>
      <c r="T79">
        <v>6.577</v>
      </c>
    </row>
    <row r="80" spans="2:24" x14ac:dyDescent="0.25">
      <c r="Q80" t="s">
        <v>200</v>
      </c>
    </row>
    <row r="81" spans="2:22" x14ac:dyDescent="0.25">
      <c r="B81" t="s">
        <v>88</v>
      </c>
      <c r="Q81" t="s">
        <v>201</v>
      </c>
      <c r="T81">
        <v>6.4819000000000013</v>
      </c>
    </row>
    <row r="82" spans="2:22" x14ac:dyDescent="0.25">
      <c r="Q82" t="s">
        <v>202</v>
      </c>
      <c r="T82">
        <v>6.3860000000000001</v>
      </c>
    </row>
    <row r="83" spans="2:22" x14ac:dyDescent="0.25">
      <c r="C83" s="3" t="s">
        <v>11</v>
      </c>
      <c r="D83" t="s">
        <v>80</v>
      </c>
      <c r="E83" s="3" t="s">
        <v>1</v>
      </c>
      <c r="F83" s="3" t="s">
        <v>2</v>
      </c>
      <c r="G83" s="4" t="s">
        <v>3</v>
      </c>
      <c r="H83" s="4" t="s">
        <v>4</v>
      </c>
      <c r="I83" s="4" t="s">
        <v>5</v>
      </c>
      <c r="J83" s="4" t="s">
        <v>6</v>
      </c>
      <c r="K83" s="4" t="s">
        <v>86</v>
      </c>
      <c r="L83" s="12" t="s">
        <v>87</v>
      </c>
    </row>
    <row r="84" spans="2:22" x14ac:dyDescent="0.25">
      <c r="D84" t="s">
        <v>81</v>
      </c>
      <c r="E84" t="s">
        <v>67</v>
      </c>
      <c r="K84">
        <v>0</v>
      </c>
      <c r="L84">
        <v>3.6351000000000013</v>
      </c>
      <c r="V84" t="s">
        <v>406</v>
      </c>
    </row>
    <row r="85" spans="2:22" x14ac:dyDescent="0.25">
      <c r="B85" t="s">
        <v>78</v>
      </c>
      <c r="C85">
        <v>0</v>
      </c>
      <c r="D85">
        <v>-20510.088513679999</v>
      </c>
      <c r="E85">
        <f>D85*$I$3</f>
        <v>-279054.07162406476</v>
      </c>
      <c r="F85">
        <v>-279499.67597973347</v>
      </c>
      <c r="G85">
        <v>-438.98050135417321</v>
      </c>
      <c r="H85">
        <v>10.780200000000001</v>
      </c>
      <c r="I85" s="6">
        <f>E85-F85+G85 +H85*C85</f>
        <v>6.6238543145340714</v>
      </c>
      <c r="J85">
        <v>0</v>
      </c>
      <c r="K85" s="5">
        <f>I85+J85</f>
        <v>6.6238543145340714</v>
      </c>
      <c r="L85">
        <f>K85+C85*$O$7</f>
        <v>6.6238543145340714</v>
      </c>
    </row>
    <row r="87" spans="2:22" x14ac:dyDescent="0.25">
      <c r="B87" t="s">
        <v>79</v>
      </c>
      <c r="C87">
        <v>2</v>
      </c>
      <c r="D87">
        <v>-20512.116320000001</v>
      </c>
      <c r="E87">
        <f>D87*$I$3</f>
        <v>-279081.66134459106</v>
      </c>
      <c r="F87">
        <v>-279499.67597973347</v>
      </c>
      <c r="G87">
        <v>-438.98050135417321</v>
      </c>
      <c r="H87">
        <v>10.780200000000001</v>
      </c>
      <c r="I87" s="6">
        <f>E87-F87+G87 +H87*C87</f>
        <v>0.59453378823137371</v>
      </c>
      <c r="J87" s="14">
        <v>0</v>
      </c>
      <c r="K87" s="5">
        <f>I87+J87</f>
        <v>0.59453378823137371</v>
      </c>
      <c r="L87">
        <f t="shared" ref="L87" si="8">K87+C87*$O$7</f>
        <v>0.59453378823137371</v>
      </c>
    </row>
    <row r="88" spans="2:22" x14ac:dyDescent="0.25">
      <c r="B88" t="s">
        <v>82</v>
      </c>
      <c r="I88">
        <f>(I87-I85)/(C85-C87)</f>
        <v>3.0146602631513488</v>
      </c>
      <c r="K88">
        <f>(K87-K85)/(C85-C87)</f>
        <v>3.0146602631513488</v>
      </c>
      <c r="L88">
        <f>M84-K88</f>
        <v>-3.0146602631513488</v>
      </c>
      <c r="Q88">
        <v>2.6399888627503643</v>
      </c>
    </row>
    <row r="89" spans="2:22" x14ac:dyDescent="0.25">
      <c r="I89">
        <f>$K$79-I88</f>
        <v>-3.0146602631513488</v>
      </c>
      <c r="Q89">
        <v>2.6803614587781013</v>
      </c>
    </row>
    <row r="90" spans="2:22" x14ac:dyDescent="0.25">
      <c r="B90" t="s">
        <v>90</v>
      </c>
      <c r="K90">
        <v>0</v>
      </c>
      <c r="L90">
        <v>5.6155999999999988</v>
      </c>
      <c r="O90" t="s">
        <v>405</v>
      </c>
      <c r="Q90">
        <f>Q89-Q88</f>
        <v>4.0372596027737018E-2</v>
      </c>
    </row>
    <row r="91" spans="2:22" x14ac:dyDescent="0.25">
      <c r="B91" t="s">
        <v>78</v>
      </c>
      <c r="C91">
        <v>0</v>
      </c>
      <c r="D91">
        <v>-20510.100045679999</v>
      </c>
      <c r="E91">
        <f>D91*$I$3</f>
        <v>-279054.2285249749</v>
      </c>
      <c r="F91">
        <v>-279499.67597973347</v>
      </c>
      <c r="G91">
        <v>-438.98050135417321</v>
      </c>
      <c r="H91">
        <v>10.780200000000001</v>
      </c>
      <c r="I91" s="6">
        <f>E91-F91+G91 +H91*C91</f>
        <v>6.4669534043973158</v>
      </c>
      <c r="J91">
        <v>0</v>
      </c>
      <c r="K91" s="5">
        <f>I91+J91</f>
        <v>6.4669534043973158</v>
      </c>
      <c r="L91">
        <f>K91+C91*$O$7</f>
        <v>6.4669534043973158</v>
      </c>
    </row>
    <row r="93" spans="2:22" x14ac:dyDescent="0.25">
      <c r="B93" t="s">
        <v>79</v>
      </c>
      <c r="C93">
        <v>2</v>
      </c>
      <c r="D93">
        <v>-20512.078710999998</v>
      </c>
      <c r="E93">
        <f>D93*$I$3</f>
        <v>-279081.14964789245</v>
      </c>
      <c r="F93">
        <v>-279499.67597973347</v>
      </c>
      <c r="G93">
        <v>-438.98050135417321</v>
      </c>
      <c r="H93">
        <v>10.780200000000001</v>
      </c>
      <c r="I93" s="6">
        <f>E93-F93+G93 +H93*C93</f>
        <v>1.1062304868411132</v>
      </c>
      <c r="J93" s="14">
        <v>0</v>
      </c>
      <c r="K93" s="5">
        <f>I93+J93</f>
        <v>1.1062304868411132</v>
      </c>
      <c r="L93">
        <f t="shared" ref="L93" si="9">K93+C93*$O$7</f>
        <v>1.1062304868411132</v>
      </c>
    </row>
    <row r="94" spans="2:22" x14ac:dyDescent="0.25">
      <c r="B94" t="s">
        <v>82</v>
      </c>
      <c r="F94">
        <f>F93/(72/3)</f>
        <v>-11645.819832488894</v>
      </c>
      <c r="I94">
        <f>(I93-I91)/(C91-C93)</f>
        <v>2.6803614587781013</v>
      </c>
      <c r="J94">
        <f>N79-I94</f>
        <v>-2.6803614587781013</v>
      </c>
      <c r="K94">
        <f>(K93-K91)/(C91-C93)</f>
        <v>2.6803614587781013</v>
      </c>
      <c r="L94">
        <f>M84-K94</f>
        <v>-2.6803614587781013</v>
      </c>
      <c r="T94">
        <v>-20510.088513683</v>
      </c>
    </row>
    <row r="95" spans="2:22" x14ac:dyDescent="0.25">
      <c r="I95">
        <f>$K$79-I94</f>
        <v>-2.6803614587781013</v>
      </c>
    </row>
    <row r="96" spans="2:22" x14ac:dyDescent="0.25">
      <c r="E96">
        <f>E93-E87</f>
        <v>0.51169669860973954</v>
      </c>
    </row>
    <row r="97" spans="2:12" x14ac:dyDescent="0.25">
      <c r="E97">
        <v>-20510.100045679999</v>
      </c>
      <c r="I97" s="5">
        <f>I85-I91</f>
        <v>0.15690091013675556</v>
      </c>
    </row>
    <row r="106" spans="2:12" x14ac:dyDescent="0.25">
      <c r="B106" t="s">
        <v>177</v>
      </c>
      <c r="H106">
        <v>-20366.52493005</v>
      </c>
    </row>
    <row r="107" spans="2:12" x14ac:dyDescent="0.25">
      <c r="G107">
        <v>-20366.52493005</v>
      </c>
      <c r="H107">
        <f>G107*$I$3</f>
        <v>-277100.78885192209</v>
      </c>
    </row>
    <row r="109" spans="2:12" x14ac:dyDescent="0.25">
      <c r="B109" t="s">
        <v>88</v>
      </c>
    </row>
    <row r="111" spans="2:12" x14ac:dyDescent="0.25">
      <c r="C111" s="3" t="s">
        <v>11</v>
      </c>
      <c r="D111" t="s">
        <v>80</v>
      </c>
      <c r="E111" s="3" t="s">
        <v>1</v>
      </c>
      <c r="F111" s="3" t="s">
        <v>2</v>
      </c>
      <c r="G111" s="4" t="s">
        <v>3</v>
      </c>
      <c r="H111" s="4" t="s">
        <v>4</v>
      </c>
      <c r="I111" s="4" t="s">
        <v>5</v>
      </c>
      <c r="J111" s="4" t="s">
        <v>6</v>
      </c>
      <c r="K111" s="4" t="s">
        <v>86</v>
      </c>
      <c r="L111" s="12" t="s">
        <v>87</v>
      </c>
    </row>
    <row r="112" spans="2:12" x14ac:dyDescent="0.25">
      <c r="D112" t="s">
        <v>81</v>
      </c>
      <c r="E112" t="s">
        <v>67</v>
      </c>
      <c r="K112">
        <v>0</v>
      </c>
      <c r="L112">
        <v>3.6351000000000013</v>
      </c>
    </row>
    <row r="113" spans="2:15" x14ac:dyDescent="0.25">
      <c r="B113" t="s">
        <v>78</v>
      </c>
      <c r="C113">
        <v>0</v>
      </c>
      <c r="D113">
        <v>-20334.530282840002</v>
      </c>
      <c r="E113">
        <f>D113*$I$3</f>
        <v>-276665.47934225464</v>
      </c>
      <c r="F113">
        <v>-277100.78885192209</v>
      </c>
      <c r="G113">
        <v>-429.81982390396678</v>
      </c>
      <c r="H113">
        <v>8.7128999999999994</v>
      </c>
      <c r="I113" s="6">
        <f>E113-F113+G113 +H113*C113</f>
        <v>5.4896857634847152</v>
      </c>
      <c r="J113">
        <v>0</v>
      </c>
      <c r="K113" s="5">
        <f>I113+J113</f>
        <v>5.4896857634847152</v>
      </c>
      <c r="L113">
        <f>K113+C113*$O$7</f>
        <v>5.4896857634847152</v>
      </c>
    </row>
    <row r="115" spans="2:15" x14ac:dyDescent="0.25">
      <c r="B115" t="s">
        <v>79</v>
      </c>
      <c r="C115">
        <v>2</v>
      </c>
      <c r="D115">
        <v>-20336.538822769999</v>
      </c>
      <c r="E115">
        <f>D115*$I$3</f>
        <v>-276692.80693009571</v>
      </c>
      <c r="F115">
        <v>-277100.78885192209</v>
      </c>
      <c r="G115">
        <v>-429.81982390396678</v>
      </c>
      <c r="H115">
        <v>8.7128999999999994</v>
      </c>
      <c r="I115" s="6">
        <f>E115-F115+G115 +H115*C115</f>
        <v>-4.412102077593925</v>
      </c>
      <c r="J115" s="14">
        <v>0</v>
      </c>
      <c r="K115" s="5">
        <f>I115+J115</f>
        <v>-4.412102077593925</v>
      </c>
      <c r="L115">
        <f t="shared" ref="L115" si="10">K115+C115*$O$7</f>
        <v>-4.412102077593925</v>
      </c>
      <c r="O115">
        <v>3.6351000000000013</v>
      </c>
    </row>
    <row r="116" spans="2:15" x14ac:dyDescent="0.25">
      <c r="B116" t="s">
        <v>82</v>
      </c>
      <c r="I116">
        <f>(I115-I113)/(C113-C115)</f>
        <v>4.9508939205393201</v>
      </c>
      <c r="K116">
        <f>(K115-K113)/(C113-C115)</f>
        <v>4.9508939205393201</v>
      </c>
      <c r="L116" t="e">
        <f>#REF!-K116</f>
        <v>#REF!</v>
      </c>
      <c r="O116">
        <v>5.6155999999999988</v>
      </c>
    </row>
    <row r="117" spans="2:15" x14ac:dyDescent="0.25">
      <c r="I117">
        <f>$L$52-I116</f>
        <v>1.43510607946068</v>
      </c>
    </row>
    <row r="118" spans="2:15" x14ac:dyDescent="0.25">
      <c r="B118" t="s">
        <v>90</v>
      </c>
      <c r="K118">
        <v>0</v>
      </c>
      <c r="L118">
        <v>5.6155999999999988</v>
      </c>
    </row>
    <row r="119" spans="2:15" x14ac:dyDescent="0.25">
      <c r="B119" t="s">
        <v>78</v>
      </c>
      <c r="C119">
        <v>0</v>
      </c>
      <c r="D119">
        <v>-20334.534217280001</v>
      </c>
      <c r="E119">
        <f>D119*$I$3</f>
        <v>-276665.53287305735</v>
      </c>
      <c r="F119">
        <v>-277100.78885192209</v>
      </c>
      <c r="G119">
        <v>-429.81982390396678</v>
      </c>
      <c r="H119">
        <v>8.7128999999999994</v>
      </c>
      <c r="I119" s="6">
        <f>E119-F119+G119 +H119*C119</f>
        <v>5.4361549607672828</v>
      </c>
      <c r="J119">
        <v>0</v>
      </c>
      <c r="K119" s="5">
        <f>I119+J119</f>
        <v>5.4361549607672828</v>
      </c>
      <c r="L119">
        <f>K119+C119*$O$7</f>
        <v>5.4361549607672828</v>
      </c>
    </row>
    <row r="121" spans="2:15" x14ac:dyDescent="0.25">
      <c r="B121" t="s">
        <v>79</v>
      </c>
      <c r="C121">
        <v>2</v>
      </c>
      <c r="D121">
        <v>-20336.503780319999</v>
      </c>
      <c r="E121">
        <f>D121*$I$3</f>
        <v>-276692.33015310153</v>
      </c>
      <c r="F121">
        <v>-277100.78885192209</v>
      </c>
      <c r="G121">
        <v>-429.81982390396678</v>
      </c>
      <c r="H121">
        <v>8.7128999999999994</v>
      </c>
      <c r="I121" s="6">
        <f>E121-F121+G121 +H121*C121</f>
        <v>-3.9353250834111968</v>
      </c>
      <c r="J121" s="14">
        <v>0</v>
      </c>
      <c r="K121" s="5">
        <f>I121+J121</f>
        <v>-3.9353250834111968</v>
      </c>
      <c r="L121">
        <f t="shared" ref="L121" si="11">K121+C121*$O$7</f>
        <v>-3.9353250834111968</v>
      </c>
    </row>
    <row r="122" spans="2:15" x14ac:dyDescent="0.25">
      <c r="B122" t="s">
        <v>82</v>
      </c>
      <c r="F122">
        <f>F121/(72/3)</f>
        <v>-11545.866202163421</v>
      </c>
      <c r="I122">
        <f>(I121-I119)/(C119-C121)</f>
        <v>4.6857400220892398</v>
      </c>
      <c r="J122">
        <f>N107-I122</f>
        <v>-4.6857400220892398</v>
      </c>
      <c r="K122">
        <f>(K121-K119)/(C119-C121)</f>
        <v>4.6857400220892398</v>
      </c>
      <c r="L122" t="e">
        <f>#REF!-K122</f>
        <v>#REF!</v>
      </c>
    </row>
    <row r="123" spans="2:15" x14ac:dyDescent="0.25">
      <c r="I123">
        <f>$L$52-I122</f>
        <v>1.7002599779107603</v>
      </c>
    </row>
    <row r="124" spans="2:15" x14ac:dyDescent="0.25">
      <c r="E124">
        <f>E119-E113</f>
        <v>-5.353080271743238E-2</v>
      </c>
    </row>
    <row r="128" spans="2:15" x14ac:dyDescent="0.25">
      <c r="N128">
        <v>8.7128999999999994</v>
      </c>
    </row>
    <row r="129" spans="2:14" x14ac:dyDescent="0.25">
      <c r="N129">
        <v>10.780200000000001</v>
      </c>
    </row>
    <row r="135" spans="2:14" x14ac:dyDescent="0.25">
      <c r="I135">
        <f>G143/32</f>
        <v>1.6070578184375</v>
      </c>
      <c r="J135">
        <f>I135*$I$2</f>
        <v>21.865143452265272</v>
      </c>
    </row>
    <row r="137" spans="2:14" x14ac:dyDescent="0.25">
      <c r="L137" t="s">
        <v>189</v>
      </c>
    </row>
    <row r="140" spans="2:14" x14ac:dyDescent="0.25">
      <c r="K140" t="s">
        <v>207</v>
      </c>
    </row>
    <row r="141" spans="2:14" x14ac:dyDescent="0.25">
      <c r="B141" t="s">
        <v>188</v>
      </c>
      <c r="K141">
        <f>2*G143-F148-F154</f>
        <v>1.4865947699999964</v>
      </c>
      <c r="L141">
        <f>K141*$I$2</f>
        <v>20.226159587114665</v>
      </c>
    </row>
    <row r="142" spans="2:14" x14ac:dyDescent="0.25">
      <c r="G142">
        <v>-6034.5329665299996</v>
      </c>
      <c r="I142">
        <f>G142*$I$2</f>
        <v>-82104.033511930465</v>
      </c>
      <c r="L142" t="s">
        <v>208</v>
      </c>
    </row>
    <row r="143" spans="2:14" x14ac:dyDescent="0.25">
      <c r="F143" t="s">
        <v>191</v>
      </c>
      <c r="G143">
        <v>51.425850189999998</v>
      </c>
    </row>
    <row r="144" spans="2:14" x14ac:dyDescent="0.25">
      <c r="B144" t="s">
        <v>88</v>
      </c>
      <c r="F144" t="s">
        <v>192</v>
      </c>
      <c r="G144">
        <f>G142-G143</f>
        <v>-6085.95881672</v>
      </c>
    </row>
    <row r="146" spans="2:25" x14ac:dyDescent="0.25">
      <c r="C146" s="3" t="s">
        <v>11</v>
      </c>
      <c r="D146" t="s">
        <v>80</v>
      </c>
      <c r="E146" s="3" t="s">
        <v>1</v>
      </c>
      <c r="F146" t="s">
        <v>190</v>
      </c>
      <c r="H146" s="3" t="s">
        <v>2</v>
      </c>
      <c r="I146" s="4" t="s">
        <v>3</v>
      </c>
      <c r="J146" s="4" t="s">
        <v>4</v>
      </c>
      <c r="K146" s="4" t="s">
        <v>5</v>
      </c>
      <c r="L146" s="4" t="s">
        <v>6</v>
      </c>
      <c r="M146" s="4" t="s">
        <v>86</v>
      </c>
      <c r="N146" s="12" t="s">
        <v>87</v>
      </c>
    </row>
    <row r="147" spans="2:25" x14ac:dyDescent="0.25">
      <c r="D147" t="s">
        <v>81</v>
      </c>
      <c r="E147" t="s">
        <v>67</v>
      </c>
      <c r="M147">
        <v>0</v>
      </c>
      <c r="N147">
        <v>6.3860000000000001</v>
      </c>
      <c r="V147" t="s">
        <v>67</v>
      </c>
    </row>
    <row r="148" spans="2:25" x14ac:dyDescent="0.25">
      <c r="B148" t="s">
        <v>78</v>
      </c>
      <c r="C148">
        <v>0</v>
      </c>
      <c r="D148">
        <v>-6002.4990588299997</v>
      </c>
      <c r="E148">
        <f>D148*$I$3</f>
        <v>-81668.189835890153</v>
      </c>
      <c r="F148">
        <v>50.716641469999999</v>
      </c>
      <c r="G148">
        <f>D148-F148</f>
        <v>-6053.2157002999993</v>
      </c>
      <c r="H148">
        <v>-82104.033511930465</v>
      </c>
      <c r="I148">
        <v>-438.98050135417321</v>
      </c>
      <c r="J148">
        <v>8.7128999999999994</v>
      </c>
      <c r="K148" s="6">
        <f>E148-H148+I148 +J148*C148</f>
        <v>-3.1368253138603563</v>
      </c>
      <c r="L148">
        <v>0</v>
      </c>
      <c r="M148" s="5">
        <f>K148+L148</f>
        <v>-3.1368253138603563</v>
      </c>
      <c r="N148">
        <f>M148+C148*$O$7</f>
        <v>-3.1368253138603563</v>
      </c>
      <c r="T148" t="s">
        <v>203</v>
      </c>
      <c r="U148" t="s">
        <v>67</v>
      </c>
      <c r="V148" t="s">
        <v>197</v>
      </c>
    </row>
    <row r="149" spans="2:25" x14ac:dyDescent="0.25">
      <c r="B149" t="s">
        <v>113</v>
      </c>
      <c r="C149">
        <v>1</v>
      </c>
      <c r="Q149" t="s">
        <v>194</v>
      </c>
      <c r="T149">
        <v>13.73440497</v>
      </c>
      <c r="U149">
        <f>T149*$I$2</f>
        <v>186.86616713798981</v>
      </c>
      <c r="V149">
        <f>U149/16</f>
        <v>11.679135446124363</v>
      </c>
      <c r="X149">
        <f>V149+V151</f>
        <v>24.569120382984295</v>
      </c>
    </row>
    <row r="150" spans="2:25" x14ac:dyDescent="0.25">
      <c r="B150" t="s">
        <v>79</v>
      </c>
      <c r="C150">
        <v>2</v>
      </c>
      <c r="D150">
        <v>-6004.51061046</v>
      </c>
      <c r="E150">
        <f>D150*$I$3</f>
        <v>-81695.558400012102</v>
      </c>
      <c r="F150">
        <v>50.740702450000001</v>
      </c>
      <c r="G150">
        <f>D150-F150</f>
        <v>-6055.2513129099998</v>
      </c>
      <c r="H150">
        <v>-82104.033511930465</v>
      </c>
      <c r="I150">
        <v>-438.98050135417321</v>
      </c>
      <c r="J150">
        <v>8.7128999999999994</v>
      </c>
      <c r="K150" s="6">
        <f>E150-H150+I150 +J150*C150</f>
        <v>-13.079589435809378</v>
      </c>
      <c r="L150" s="14">
        <v>0</v>
      </c>
      <c r="M150" s="5">
        <f>K150+L150</f>
        <v>-13.079589435809378</v>
      </c>
      <c r="N150">
        <f>M150+C150*$O$7</f>
        <v>-13.079589435809378</v>
      </c>
      <c r="T150">
        <f>T149/16</f>
        <v>0.858400310625</v>
      </c>
    </row>
    <row r="151" spans="2:25" x14ac:dyDescent="0.25">
      <c r="B151" t="s">
        <v>82</v>
      </c>
      <c r="K151">
        <f>(K150-K148)/(C148-C150)</f>
        <v>4.971382060974511</v>
      </c>
      <c r="M151">
        <f>(M150-M148)/(C148-C150)</f>
        <v>4.971382060974511</v>
      </c>
      <c r="N151" t="e">
        <f>#REF!-M151</f>
        <v>#REF!</v>
      </c>
      <c r="Q151" t="s">
        <v>193</v>
      </c>
      <c r="T151">
        <v>15.158337189999999</v>
      </c>
      <c r="U151">
        <f>T151*$I$2</f>
        <v>206.23975898975888</v>
      </c>
      <c r="V151">
        <f>U151/16</f>
        <v>12.88998493685993</v>
      </c>
    </row>
    <row r="153" spans="2:25" x14ac:dyDescent="0.25">
      <c r="B153" t="s">
        <v>90</v>
      </c>
      <c r="M153">
        <v>0</v>
      </c>
      <c r="N153">
        <v>6.3860000000000001</v>
      </c>
      <c r="V153">
        <f>V151-V149</f>
        <v>1.2108494907355674</v>
      </c>
    </row>
    <row r="154" spans="2:25" x14ac:dyDescent="0.25">
      <c r="B154" t="s">
        <v>78</v>
      </c>
      <c r="C154">
        <v>0</v>
      </c>
      <c r="D154">
        <v>-6002.5798847100004</v>
      </c>
      <c r="E154">
        <f>D154*$I$3</f>
        <v>-81669.289528409354</v>
      </c>
      <c r="F154">
        <v>50.648464140000002</v>
      </c>
      <c r="G154">
        <f>D154-F154</f>
        <v>-6053.2283488500007</v>
      </c>
      <c r="H154">
        <v>-82104.033511930465</v>
      </c>
      <c r="I154">
        <v>-438.98050135417321</v>
      </c>
      <c r="J154">
        <v>8.7128999999999994</v>
      </c>
      <c r="K154" s="6">
        <f>E154-H154+I154 +J154*C154</f>
        <v>-4.2365178330615549</v>
      </c>
      <c r="L154">
        <v>0</v>
      </c>
      <c r="M154" s="5">
        <f>K154+L154</f>
        <v>-4.2365178330615549</v>
      </c>
      <c r="N154">
        <f>M154+C154*$O$7</f>
        <v>-4.2365178330615549</v>
      </c>
    </row>
    <row r="155" spans="2:25" x14ac:dyDescent="0.25">
      <c r="B155" t="s">
        <v>113</v>
      </c>
      <c r="C155">
        <v>1</v>
      </c>
      <c r="Q155" t="s">
        <v>204</v>
      </c>
      <c r="S155">
        <v>-502.43119820999999</v>
      </c>
      <c r="T155">
        <f>S155*$I$2</f>
        <v>-6835.9271817838599</v>
      </c>
      <c r="U155">
        <f>T155/16</f>
        <v>-427.24544886149124</v>
      </c>
      <c r="W155">
        <f>S155-S159</f>
        <v>13.800162179999973</v>
      </c>
      <c r="Y155">
        <f>W155-V149</f>
        <v>2.1210267338756097</v>
      </c>
    </row>
    <row r="156" spans="2:25" x14ac:dyDescent="0.25">
      <c r="B156" t="s">
        <v>79</v>
      </c>
      <c r="C156">
        <v>2</v>
      </c>
      <c r="D156">
        <v>-6004.5442583699996</v>
      </c>
      <c r="E156">
        <f>D156*$I$3</f>
        <v>-81696.016203316118</v>
      </c>
      <c r="F156">
        <v>50.662706399999998</v>
      </c>
      <c r="G156">
        <f>D156-F156</f>
        <v>-6055.20696477</v>
      </c>
      <c r="H156">
        <v>-82104.033511930465</v>
      </c>
      <c r="I156">
        <v>-438.98050135417321</v>
      </c>
      <c r="J156">
        <v>8.7128999999999994</v>
      </c>
      <c r="K156" s="6">
        <f>E156-H156+I156 +J156*C156</f>
        <v>-13.537392739825503</v>
      </c>
      <c r="L156" s="14">
        <v>0</v>
      </c>
      <c r="M156" s="5">
        <f>K156+L156</f>
        <v>-13.537392739825503</v>
      </c>
      <c r="N156">
        <f>M156+C156*$O$7</f>
        <v>-13.537392739825503</v>
      </c>
    </row>
    <row r="157" spans="2:25" x14ac:dyDescent="0.25">
      <c r="B157" t="s">
        <v>82</v>
      </c>
      <c r="H157">
        <f>H156/(72/3)</f>
        <v>-3421.0013963304359</v>
      </c>
      <c r="K157">
        <f>(K156-K154)/(C154-C156)</f>
        <v>4.6504374533819739</v>
      </c>
      <c r="L157">
        <f>N142-K157</f>
        <v>-4.6504374533819739</v>
      </c>
      <c r="M157">
        <f>(M156-M154)/(C154-C156)</f>
        <v>4.6504374533819739</v>
      </c>
      <c r="N157" t="e">
        <f>#REF!-M157</f>
        <v>#REF!</v>
      </c>
      <c r="Q157" t="s">
        <v>205</v>
      </c>
      <c r="S157">
        <v>-500.99533738999997</v>
      </c>
      <c r="T157">
        <f>S157*$I$2</f>
        <v>-6816.3912930021406</v>
      </c>
      <c r="U157">
        <f>T157/16</f>
        <v>-426.02445581263379</v>
      </c>
      <c r="W157">
        <f>S157-S159</f>
        <v>15.236022999999989</v>
      </c>
      <c r="Y157">
        <f>W157-V151</f>
        <v>2.3460380631400586</v>
      </c>
    </row>
    <row r="159" spans="2:25" x14ac:dyDescent="0.25">
      <c r="Q159" t="s">
        <v>206</v>
      </c>
      <c r="S159">
        <v>-516.23136038999996</v>
      </c>
      <c r="T159">
        <f>S159*$I$2</f>
        <v>-7023.6880216667714</v>
      </c>
      <c r="U159">
        <f>T159/16</f>
        <v>-438.98050135417321</v>
      </c>
    </row>
    <row r="160" spans="2:25" x14ac:dyDescent="0.25">
      <c r="D160" t="s">
        <v>115</v>
      </c>
      <c r="E160">
        <f>G143-F148</f>
        <v>0.70920871999999946</v>
      </c>
      <c r="F160">
        <f>E160*$I$2</f>
        <v>9.6492797100943282</v>
      </c>
    </row>
    <row r="161" spans="4:24" x14ac:dyDescent="0.25">
      <c r="M161" t="s">
        <v>210</v>
      </c>
      <c r="U161">
        <f>AVERAGE(U155,U157)</f>
        <v>-426.63495233706249</v>
      </c>
    </row>
    <row r="162" spans="4:24" x14ac:dyDescent="0.25">
      <c r="D162" t="s">
        <v>116</v>
      </c>
      <c r="E162">
        <f>G143-F154</f>
        <v>0.77738604999999694</v>
      </c>
      <c r="F162">
        <f>E162*$I$2</f>
        <v>10.576879877020337</v>
      </c>
      <c r="Q162" t="s">
        <v>212</v>
      </c>
    </row>
    <row r="163" spans="4:24" x14ac:dyDescent="0.25">
      <c r="M163">
        <f>T150+F148</f>
        <v>51.575041780625</v>
      </c>
      <c r="N163">
        <f>G143-M163</f>
        <v>-0.14919159062500142</v>
      </c>
      <c r="O163">
        <f>N163*$I$2</f>
        <v>-2.0298557360300458</v>
      </c>
      <c r="Q163" t="s">
        <v>211</v>
      </c>
      <c r="S163">
        <v>-64.528130509999997</v>
      </c>
      <c r="T163">
        <f t="shared" ref="T163:T169" si="12">S163*$I$2</f>
        <v>-877.95026048250259</v>
      </c>
      <c r="U163">
        <f>T163/2</f>
        <v>-438.97513024125129</v>
      </c>
    </row>
    <row r="164" spans="4:24" x14ac:dyDescent="0.25">
      <c r="Q164">
        <v>1.1000000000000001</v>
      </c>
      <c r="S164">
        <v>-64.471689010000006</v>
      </c>
      <c r="T164">
        <f t="shared" si="12"/>
        <v>-877.18233447511057</v>
      </c>
      <c r="U164">
        <f t="shared" ref="U164" si="13">T164/2</f>
        <v>-438.59116723755528</v>
      </c>
      <c r="V164">
        <f>U164-$U$159</f>
        <v>0.38933411661793116</v>
      </c>
    </row>
    <row r="165" spans="4:24" x14ac:dyDescent="0.25">
      <c r="Q165">
        <v>1.2</v>
      </c>
      <c r="S165">
        <v>-64.528130509999997</v>
      </c>
      <c r="T165">
        <f t="shared" si="12"/>
        <v>-877.95026048250259</v>
      </c>
      <c r="U165">
        <f>T165/2</f>
        <v>-438.97513024125129</v>
      </c>
      <c r="V165">
        <f t="shared" ref="V165:V167" si="14">U165-$U$159</f>
        <v>5.3711129219209397E-3</v>
      </c>
    </row>
    <row r="166" spans="4:24" x14ac:dyDescent="0.25">
      <c r="O166" t="s">
        <v>209</v>
      </c>
      <c r="Q166">
        <v>1.22</v>
      </c>
      <c r="S166">
        <v>-64.530385690000003</v>
      </c>
      <c r="T166">
        <f t="shared" si="12"/>
        <v>-877.98094378066719</v>
      </c>
      <c r="U166">
        <f>T166/2</f>
        <v>-438.99047189033359</v>
      </c>
      <c r="V166">
        <f t="shared" si="14"/>
        <v>-9.9705361603810161E-3</v>
      </c>
    </row>
    <row r="167" spans="4:24" x14ac:dyDescent="0.25">
      <c r="Q167">
        <v>1.24</v>
      </c>
      <c r="S167">
        <v>-64.530063870000006</v>
      </c>
      <c r="T167">
        <f t="shared" si="12"/>
        <v>-877.97656519491557</v>
      </c>
      <c r="U167">
        <f>T167/2</f>
        <v>-438.98828259745778</v>
      </c>
      <c r="V167">
        <f t="shared" si="14"/>
        <v>-7.7812432845689727E-3</v>
      </c>
    </row>
    <row r="168" spans="4:24" x14ac:dyDescent="0.25">
      <c r="Q168">
        <v>1.3</v>
      </c>
      <c r="S168">
        <v>-64.519242539999993</v>
      </c>
      <c r="T168">
        <f t="shared" si="12"/>
        <v>-877.82933344626281</v>
      </c>
      <c r="U168">
        <f>T168/2</f>
        <v>-438.9146667231314</v>
      </c>
      <c r="V168">
        <f>U168-$U$159</f>
        <v>6.5834631041809644E-2</v>
      </c>
    </row>
    <row r="169" spans="4:24" x14ac:dyDescent="0.25">
      <c r="Q169" t="s">
        <v>213</v>
      </c>
      <c r="S169">
        <v>-64.467938369999999</v>
      </c>
      <c r="T169">
        <f t="shared" si="12"/>
        <v>-877.13130439971621</v>
      </c>
      <c r="U169">
        <f>T169/2</f>
        <v>-438.56565219985811</v>
      </c>
      <c r="V169">
        <f>U169-$U$159</f>
        <v>0.41484915431510672</v>
      </c>
    </row>
    <row r="170" spans="4:24" x14ac:dyDescent="0.25">
      <c r="X170">
        <v>1.2210000000000001</v>
      </c>
    </row>
    <row r="172" spans="4:24" x14ac:dyDescent="0.25">
      <c r="R172" t="s">
        <v>214</v>
      </c>
      <c r="S172">
        <v>-64.467938329999996</v>
      </c>
      <c r="T172">
        <f>S172*$I$2</f>
        <v>-877.13130385548823</v>
      </c>
      <c r="U172">
        <f>T172/2</f>
        <v>-438.56565192774411</v>
      </c>
    </row>
    <row r="173" spans="4:24" x14ac:dyDescent="0.25">
      <c r="R173" t="s">
        <v>215</v>
      </c>
      <c r="S173">
        <v>-64.528127380000001</v>
      </c>
      <c r="T173">
        <f>S173*$I$2</f>
        <v>-877.95021789666771</v>
      </c>
      <c r="U173">
        <f>T173/2</f>
        <v>-438.97510894833385</v>
      </c>
    </row>
    <row r="175" spans="4:24" x14ac:dyDescent="0.25">
      <c r="T175" t="s">
        <v>203</v>
      </c>
      <c r="U175" t="s">
        <v>67</v>
      </c>
      <c r="V175" t="s">
        <v>197</v>
      </c>
    </row>
    <row r="176" spans="4:24" x14ac:dyDescent="0.25">
      <c r="Q176" t="s">
        <v>194</v>
      </c>
      <c r="T176">
        <v>13.826964220000001</v>
      </c>
      <c r="U176">
        <f>T176*$I$2</f>
        <v>188.12550034670522</v>
      </c>
      <c r="V176">
        <f>U176/16</f>
        <v>11.757843771669076</v>
      </c>
      <c r="X176">
        <f>V176+V178</f>
        <v>11.757843771669076</v>
      </c>
    </row>
    <row r="177" spans="17:25" x14ac:dyDescent="0.25">
      <c r="T177">
        <f>T176/16</f>
        <v>0.86418526375000004</v>
      </c>
    </row>
    <row r="178" spans="17:25" x14ac:dyDescent="0.25">
      <c r="Q178" t="s">
        <v>193</v>
      </c>
      <c r="U178">
        <f>T178*$I$2</f>
        <v>0</v>
      </c>
      <c r="V178">
        <f>U178/16</f>
        <v>0</v>
      </c>
    </row>
    <row r="180" spans="17:25" x14ac:dyDescent="0.25">
      <c r="V180">
        <f>V178-V176</f>
        <v>-11.757843771669076</v>
      </c>
    </row>
    <row r="182" spans="17:25" x14ac:dyDescent="0.25">
      <c r="Q182" t="s">
        <v>204</v>
      </c>
      <c r="S182">
        <v>-502.37784259</v>
      </c>
      <c r="T182">
        <f>S182*$I$2</f>
        <v>-6835.2012413280154</v>
      </c>
      <c r="U182">
        <f>T182/16</f>
        <v>-427.20007758300096</v>
      </c>
      <c r="W182" t="e">
        <f>S182-#REF!</f>
        <v>#REF!</v>
      </c>
      <c r="Y182" t="e">
        <f>W182-V176</f>
        <v>#REF!</v>
      </c>
    </row>
    <row r="184" spans="17:25" x14ac:dyDescent="0.25">
      <c r="Q184" t="s">
        <v>205</v>
      </c>
      <c r="T184">
        <f>S184*$I$2</f>
        <v>0</v>
      </c>
      <c r="U184">
        <f>T184/16</f>
        <v>0</v>
      </c>
      <c r="W184" t="e">
        <f>S184-#REF!</f>
        <v>#REF!</v>
      </c>
      <c r="Y184" t="e">
        <f>W184-V178</f>
        <v>#REF!</v>
      </c>
    </row>
    <row r="189" spans="17:25" x14ac:dyDescent="0.25">
      <c r="V189">
        <v>1.2210000000000001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25387-889A-4631-AA98-B8AD0C4DC245}">
  <dimension ref="A2:O202"/>
  <sheetViews>
    <sheetView topLeftCell="A108" workbookViewId="0">
      <selection activeCell="F137" sqref="F137"/>
    </sheetView>
  </sheetViews>
  <sheetFormatPr defaultRowHeight="15" x14ac:dyDescent="0.25"/>
  <cols>
    <col min="2" max="2" width="44" customWidth="1"/>
    <col min="3" max="3" width="11.85546875" bestFit="1" customWidth="1"/>
    <col min="6" max="6" width="18.85546875" customWidth="1"/>
    <col min="7" max="8" width="14.85546875" bestFit="1" customWidth="1"/>
    <col min="11" max="12" width="10.28515625" bestFit="1" customWidth="1"/>
  </cols>
  <sheetData>
    <row r="2" spans="2:13" x14ac:dyDescent="0.25">
      <c r="D2" t="s">
        <v>311</v>
      </c>
      <c r="E2" t="s">
        <v>310</v>
      </c>
      <c r="F2" t="s">
        <v>312</v>
      </c>
      <c r="J2">
        <v>13.605698066</v>
      </c>
    </row>
    <row r="4" spans="2:13" x14ac:dyDescent="0.25">
      <c r="K4" t="s">
        <v>68</v>
      </c>
      <c r="M4" t="s">
        <v>85</v>
      </c>
    </row>
    <row r="5" spans="2:13" x14ac:dyDescent="0.25">
      <c r="K5" t="s">
        <v>83</v>
      </c>
      <c r="L5">
        <v>8.7052999999999994</v>
      </c>
      <c r="M5">
        <f>L6-L5</f>
        <v>1.8346</v>
      </c>
    </row>
    <row r="6" spans="2:13" x14ac:dyDescent="0.25">
      <c r="K6" t="s">
        <v>84</v>
      </c>
      <c r="L6">
        <v>10.539899999999999</v>
      </c>
    </row>
    <row r="7" spans="2:13" x14ac:dyDescent="0.25">
      <c r="G7" t="s">
        <v>329</v>
      </c>
    </row>
    <row r="8" spans="2:13" x14ac:dyDescent="0.25">
      <c r="G8">
        <v>1.8346</v>
      </c>
      <c r="H8">
        <v>3.03</v>
      </c>
      <c r="K8" t="s">
        <v>69</v>
      </c>
    </row>
    <row r="9" spans="2:13" x14ac:dyDescent="0.25">
      <c r="F9" t="s">
        <v>326</v>
      </c>
      <c r="G9" t="s">
        <v>327</v>
      </c>
      <c r="H9" t="s">
        <v>328</v>
      </c>
      <c r="K9" t="s">
        <v>83</v>
      </c>
      <c r="L9">
        <v>7.4236000000000004</v>
      </c>
      <c r="M9" t="s">
        <v>85</v>
      </c>
    </row>
    <row r="10" spans="2:13" x14ac:dyDescent="0.25">
      <c r="B10" t="s">
        <v>316</v>
      </c>
      <c r="C10" t="s">
        <v>57</v>
      </c>
      <c r="D10">
        <v>-4438.5520279399998</v>
      </c>
      <c r="E10">
        <v>8.7052999999999994</v>
      </c>
      <c r="K10" t="s">
        <v>84</v>
      </c>
      <c r="L10">
        <v>10.215999999999999</v>
      </c>
      <c r="M10">
        <f>L10-L9</f>
        <v>2.7923999999999989</v>
      </c>
    </row>
    <row r="11" spans="2:13" x14ac:dyDescent="0.25">
      <c r="C11" t="s">
        <v>319</v>
      </c>
      <c r="D11">
        <v>-4405.9688207199997</v>
      </c>
      <c r="F11">
        <f>-($E$10+$E$54*(D14-D11)/2)</f>
        <v>1.8687887360909414</v>
      </c>
      <c r="G11">
        <f>G8-F11</f>
        <v>-3.4188736090941418E-2</v>
      </c>
      <c r="H11">
        <f>H8-F11</f>
        <v>1.1612112639090584</v>
      </c>
    </row>
    <row r="12" spans="2:13" x14ac:dyDescent="0.25">
      <c r="C12">
        <v>0</v>
      </c>
      <c r="D12">
        <v>-4406.0092808899999</v>
      </c>
    </row>
    <row r="13" spans="2:13" x14ac:dyDescent="0.25">
      <c r="C13">
        <v>1</v>
      </c>
      <c r="D13">
        <v>-4406.7402999200003</v>
      </c>
    </row>
    <row r="14" spans="2:13" x14ac:dyDescent="0.25">
      <c r="C14">
        <v>2</v>
      </c>
      <c r="D14">
        <v>-4407.5231825299998</v>
      </c>
    </row>
    <row r="15" spans="2:13" x14ac:dyDescent="0.25">
      <c r="G15">
        <v>2.7923999999999989</v>
      </c>
      <c r="H15">
        <v>3.03</v>
      </c>
    </row>
    <row r="16" spans="2:13" x14ac:dyDescent="0.25">
      <c r="F16" t="s">
        <v>326</v>
      </c>
      <c r="G16" t="s">
        <v>327</v>
      </c>
      <c r="H16" t="s">
        <v>328</v>
      </c>
    </row>
    <row r="17" spans="1:14" x14ac:dyDescent="0.25">
      <c r="B17" t="s">
        <v>297</v>
      </c>
      <c r="C17" t="s">
        <v>57</v>
      </c>
      <c r="D17">
        <v>-4409.6804683999999</v>
      </c>
      <c r="E17">
        <v>7.4236000000000004</v>
      </c>
    </row>
    <row r="18" spans="1:14" x14ac:dyDescent="0.25">
      <c r="B18" t="s">
        <v>296</v>
      </c>
      <c r="C18" t="s">
        <v>320</v>
      </c>
      <c r="D18">
        <v>-4377.6033478918998</v>
      </c>
      <c r="F18">
        <f>-($E$17+$E$54*(D22-D18)/2)</f>
        <v>2.6499635952555156</v>
      </c>
      <c r="G18">
        <f>G15-F18</f>
        <v>0.14243640474448327</v>
      </c>
      <c r="H18">
        <f>H15-F18</f>
        <v>0.38003640474448419</v>
      </c>
    </row>
    <row r="19" spans="1:14" x14ac:dyDescent="0.25">
      <c r="B19" t="s">
        <v>300</v>
      </c>
      <c r="C19">
        <v>0</v>
      </c>
      <c r="D19">
        <v>-4377.62203847</v>
      </c>
    </row>
    <row r="20" spans="1:14" x14ac:dyDescent="0.25">
      <c r="C20" t="s">
        <v>298</v>
      </c>
      <c r="D20">
        <v>-4377.5241576199996</v>
      </c>
    </row>
    <row r="21" spans="1:14" x14ac:dyDescent="0.25">
      <c r="C21">
        <v>1</v>
      </c>
      <c r="D21">
        <v>-4378.3115662399996</v>
      </c>
    </row>
    <row r="22" spans="1:14" x14ac:dyDescent="0.25">
      <c r="A22" t="s">
        <v>294</v>
      </c>
      <c r="C22">
        <v>2</v>
      </c>
      <c r="D22">
        <v>-4379.08413389</v>
      </c>
    </row>
    <row r="23" spans="1:14" x14ac:dyDescent="0.25">
      <c r="C23" t="s">
        <v>299</v>
      </c>
      <c r="D23">
        <v>-4378.8595301599998</v>
      </c>
    </row>
    <row r="25" spans="1:14" x14ac:dyDescent="0.25">
      <c r="K25" t="s">
        <v>318</v>
      </c>
      <c r="L25">
        <v>-4405.9688207199997</v>
      </c>
      <c r="N25">
        <f>L25*J2</f>
        <v>-59946.281462926403</v>
      </c>
    </row>
    <row r="27" spans="1:14" x14ac:dyDescent="0.25">
      <c r="K27" t="s">
        <v>317</v>
      </c>
      <c r="L27">
        <v>-4406.0092808899999</v>
      </c>
      <c r="N27">
        <f>L27*J2</f>
        <v>-59946.831951783126</v>
      </c>
    </row>
    <row r="30" spans="1:14" x14ac:dyDescent="0.25">
      <c r="B30" t="s">
        <v>314</v>
      </c>
      <c r="C30" t="s">
        <v>295</v>
      </c>
      <c r="D30">
        <v>-16644.558188489998</v>
      </c>
      <c r="E30">
        <v>8.7052999999999994</v>
      </c>
      <c r="H30" t="s">
        <v>323</v>
      </c>
    </row>
    <row r="31" spans="1:14" x14ac:dyDescent="0.25">
      <c r="C31">
        <v>0</v>
      </c>
      <c r="D31">
        <v>-16612.069774970001</v>
      </c>
      <c r="F31">
        <f>-($E$10+$E$54*(D33-D32)/2)</f>
        <v>1.8584180648669602</v>
      </c>
      <c r="H31">
        <f>F31-F11</f>
        <v>-1.0370671223981276E-2</v>
      </c>
    </row>
    <row r="32" spans="1:14" x14ac:dyDescent="0.25">
      <c r="B32" t="s">
        <v>324</v>
      </c>
      <c r="C32" t="s">
        <v>322</v>
      </c>
      <c r="D32">
        <v>-16612.00770966</v>
      </c>
      <c r="J32">
        <v>72</v>
      </c>
      <c r="K32" t="s">
        <v>321</v>
      </c>
    </row>
    <row r="33" spans="2:14" x14ac:dyDescent="0.25">
      <c r="C33">
        <v>2</v>
      </c>
      <c r="D33">
        <v>-16613.560547010002</v>
      </c>
      <c r="J33">
        <v>270</v>
      </c>
      <c r="K33" t="s">
        <v>321</v>
      </c>
    </row>
    <row r="35" spans="2:14" x14ac:dyDescent="0.25">
      <c r="B35" t="s">
        <v>315</v>
      </c>
      <c r="C35" t="s">
        <v>295</v>
      </c>
      <c r="D35">
        <v>-16536.296035700001</v>
      </c>
      <c r="E35">
        <v>7.4236000000000004</v>
      </c>
      <c r="F35">
        <f>-($E$35+$E$54*(D38-D36)/2)</f>
        <v>2.7153905530014359</v>
      </c>
      <c r="H35">
        <f>F35-F18</f>
        <v>6.5426957745920333E-2</v>
      </c>
    </row>
    <row r="36" spans="2:14" x14ac:dyDescent="0.25">
      <c r="B36" t="s">
        <v>325</v>
      </c>
      <c r="C36">
        <v>0</v>
      </c>
      <c r="D36">
        <v>-16504.224662559998</v>
      </c>
      <c r="L36" t="s">
        <v>294</v>
      </c>
    </row>
    <row r="38" spans="2:14" ht="15.75" thickBot="1" x14ac:dyDescent="0.3">
      <c r="C38">
        <v>2</v>
      </c>
      <c r="D38">
        <v>-16505.715066140001</v>
      </c>
      <c r="L38" t="s">
        <v>326</v>
      </c>
      <c r="M38" t="s">
        <v>327</v>
      </c>
      <c r="N38" t="s">
        <v>328</v>
      </c>
    </row>
    <row r="39" spans="2:14" ht="15.75" thickTop="1" x14ac:dyDescent="0.25">
      <c r="K39" s="25" t="s">
        <v>68</v>
      </c>
      <c r="L39" s="26">
        <v>1.8687887360909414</v>
      </c>
      <c r="M39" s="26">
        <v>-3.4188736090941418E-2</v>
      </c>
      <c r="N39" s="26">
        <v>1.1612112639090584</v>
      </c>
    </row>
    <row r="40" spans="2:14" x14ac:dyDescent="0.25">
      <c r="K40" t="s">
        <v>331</v>
      </c>
      <c r="L40" s="1">
        <v>2.6499635952555156</v>
      </c>
      <c r="M40" s="1">
        <v>0.14243640474448327</v>
      </c>
      <c r="N40" s="1">
        <v>0.38003640474448419</v>
      </c>
    </row>
    <row r="41" spans="2:14" x14ac:dyDescent="0.25">
      <c r="G41">
        <v>3.13</v>
      </c>
      <c r="H41">
        <v>3.03</v>
      </c>
      <c r="K41" s="20" t="s">
        <v>114</v>
      </c>
      <c r="L41" s="24">
        <v>2.7371099999999999</v>
      </c>
      <c r="M41" s="24">
        <v>0.39288999999999996</v>
      </c>
      <c r="N41" s="24">
        <v>0.29288999999999987</v>
      </c>
    </row>
    <row r="42" spans="2:14" x14ac:dyDescent="0.25">
      <c r="C42">
        <v>0</v>
      </c>
      <c r="D42">
        <v>5.7938000000000001</v>
      </c>
      <c r="F42" t="s">
        <v>326</v>
      </c>
      <c r="G42" t="s">
        <v>327</v>
      </c>
      <c r="H42" t="s">
        <v>328</v>
      </c>
    </row>
    <row r="43" spans="2:14" x14ac:dyDescent="0.25">
      <c r="C43">
        <v>1</v>
      </c>
      <c r="D43">
        <v>3.298969</v>
      </c>
    </row>
    <row r="44" spans="2:14" x14ac:dyDescent="0.25">
      <c r="C44">
        <v>2</v>
      </c>
      <c r="D44">
        <v>0.31957999999999998</v>
      </c>
      <c r="F44">
        <f>(D42-D44)/2</f>
        <v>2.7371099999999999</v>
      </c>
      <c r="G44">
        <f>G41-F44</f>
        <v>0.39288999999999996</v>
      </c>
      <c r="H44">
        <f>H41-F44</f>
        <v>0.29288999999999987</v>
      </c>
    </row>
    <row r="52" spans="1:12" x14ac:dyDescent="0.25">
      <c r="I52" t="s">
        <v>68</v>
      </c>
      <c r="K52" t="s">
        <v>85</v>
      </c>
    </row>
    <row r="53" spans="1:12" x14ac:dyDescent="0.25">
      <c r="I53" t="s">
        <v>83</v>
      </c>
      <c r="J53">
        <v>10.186199999999999</v>
      </c>
      <c r="K53">
        <f>J54-J53</f>
        <v>3.6351000000000013</v>
      </c>
    </row>
    <row r="54" spans="1:12" x14ac:dyDescent="0.25">
      <c r="E54">
        <v>13.605698066</v>
      </c>
      <c r="I54" t="s">
        <v>84</v>
      </c>
      <c r="J54">
        <v>13.821300000000001</v>
      </c>
    </row>
    <row r="56" spans="1:12" x14ac:dyDescent="0.25">
      <c r="I56" t="s">
        <v>69</v>
      </c>
    </row>
    <row r="57" spans="1:12" x14ac:dyDescent="0.25">
      <c r="I57" t="s">
        <v>83</v>
      </c>
      <c r="J57">
        <v>8.3277999999999999</v>
      </c>
      <c r="K57" t="s">
        <v>85</v>
      </c>
    </row>
    <row r="58" spans="1:12" x14ac:dyDescent="0.25">
      <c r="I58" t="s">
        <v>84</v>
      </c>
      <c r="J58">
        <v>13.898899999999999</v>
      </c>
      <c r="K58">
        <f>J58-J57</f>
        <v>5.5710999999999995</v>
      </c>
    </row>
    <row r="60" spans="1:12" x14ac:dyDescent="0.25">
      <c r="A60" t="s">
        <v>301</v>
      </c>
      <c r="D60" t="s">
        <v>81</v>
      </c>
      <c r="G60">
        <v>3.6351000000000013</v>
      </c>
      <c r="H60">
        <v>5.59</v>
      </c>
      <c r="L60">
        <f t="shared" ref="L60:L69" si="0">J60*13.6</f>
        <v>0</v>
      </c>
    </row>
    <row r="61" spans="1:12" x14ac:dyDescent="0.25">
      <c r="E61" t="s">
        <v>313</v>
      </c>
      <c r="F61" t="s">
        <v>326</v>
      </c>
      <c r="G61" t="s">
        <v>327</v>
      </c>
      <c r="H61" t="s">
        <v>328</v>
      </c>
      <c r="L61">
        <f t="shared" si="0"/>
        <v>0</v>
      </c>
    </row>
    <row r="62" spans="1:12" x14ac:dyDescent="0.25">
      <c r="B62" t="s">
        <v>302</v>
      </c>
      <c r="C62" t="s">
        <v>295</v>
      </c>
      <c r="D62">
        <v>-5270.1885718100002</v>
      </c>
      <c r="E62">
        <v>10.186199999999999</v>
      </c>
      <c r="L62">
        <f t="shared" si="0"/>
        <v>0</v>
      </c>
    </row>
    <row r="63" spans="1:12" x14ac:dyDescent="0.25">
      <c r="B63" t="s">
        <v>115</v>
      </c>
      <c r="C63">
        <v>0</v>
      </c>
      <c r="D63">
        <v>-5237.4775902000001</v>
      </c>
      <c r="F63">
        <f>-($E$62+$E$54*(D65-D63)/2)</f>
        <v>2.8860360601221196</v>
      </c>
      <c r="G63">
        <f>G60-F63</f>
        <v>0.74906393987788178</v>
      </c>
      <c r="H63">
        <f>H60-F63</f>
        <v>2.7039639398778803</v>
      </c>
      <c r="L63">
        <f t="shared" si="0"/>
        <v>0</v>
      </c>
    </row>
    <row r="64" spans="1:12" x14ac:dyDescent="0.25">
      <c r="B64" t="s">
        <v>115</v>
      </c>
      <c r="C64">
        <v>1</v>
      </c>
      <c r="D64">
        <v>-5238.4399464999997</v>
      </c>
      <c r="L64">
        <f t="shared" si="0"/>
        <v>0</v>
      </c>
    </row>
    <row r="65" spans="2:15" x14ac:dyDescent="0.25">
      <c r="B65" t="s">
        <v>115</v>
      </c>
      <c r="C65">
        <v>2</v>
      </c>
      <c r="D65">
        <v>-5239.3991727599996</v>
      </c>
      <c r="L65">
        <f t="shared" si="0"/>
        <v>0</v>
      </c>
    </row>
    <row r="66" spans="2:15" x14ac:dyDescent="0.25">
      <c r="L66">
        <f t="shared" si="0"/>
        <v>0</v>
      </c>
    </row>
    <row r="67" spans="2:15" x14ac:dyDescent="0.25">
      <c r="B67" t="s">
        <v>116</v>
      </c>
      <c r="C67">
        <v>0</v>
      </c>
      <c r="D67">
        <v>-5237.4849771099998</v>
      </c>
      <c r="F67">
        <f>-($E$62+$E$54*(D69-D67)/2)</f>
        <v>2.5029117796866114</v>
      </c>
      <c r="G67">
        <f>G60-F67</f>
        <v>1.1321882203133899</v>
      </c>
      <c r="H67">
        <f>H60-F67</f>
        <v>3.0870882203133885</v>
      </c>
      <c r="L67">
        <f t="shared" si="0"/>
        <v>0</v>
      </c>
    </row>
    <row r="68" spans="2:15" x14ac:dyDescent="0.25">
      <c r="B68" t="s">
        <v>116</v>
      </c>
      <c r="C68">
        <v>1</v>
      </c>
      <c r="D68">
        <v>-5238.4158727100003</v>
      </c>
      <c r="L68">
        <f t="shared" si="0"/>
        <v>0</v>
      </c>
    </row>
    <row r="69" spans="2:15" x14ac:dyDescent="0.25">
      <c r="B69" t="s">
        <v>116</v>
      </c>
      <c r="C69">
        <v>2</v>
      </c>
      <c r="D69">
        <v>-5239.3502414599998</v>
      </c>
      <c r="F69">
        <f>-($E$62+$E$54*(D65-D67)/2)</f>
        <v>2.8357840265738332</v>
      </c>
      <c r="G69">
        <f>G60-F69</f>
        <v>0.79931597342616811</v>
      </c>
      <c r="H69">
        <f>H60-F69</f>
        <v>2.7542159734261666</v>
      </c>
      <c r="L69">
        <f t="shared" si="0"/>
        <v>0</v>
      </c>
    </row>
    <row r="70" spans="2:15" x14ac:dyDescent="0.25">
      <c r="D70">
        <f>D63-D67</f>
        <v>7.3869099996954901E-3</v>
      </c>
    </row>
    <row r="71" spans="2:15" x14ac:dyDescent="0.25">
      <c r="D71">
        <f>D64-D68</f>
        <v>-2.4073789999420114E-2</v>
      </c>
    </row>
    <row r="72" spans="2:15" x14ac:dyDescent="0.25">
      <c r="D72">
        <f>D65-D69</f>
        <v>-4.8931299999821931E-2</v>
      </c>
      <c r="G72">
        <v>5.5710999999999995</v>
      </c>
      <c r="H72">
        <v>5.59</v>
      </c>
    </row>
    <row r="73" spans="2:15" x14ac:dyDescent="0.25">
      <c r="B73" t="s">
        <v>303</v>
      </c>
      <c r="F73" t="s">
        <v>326</v>
      </c>
      <c r="G73" t="s">
        <v>327</v>
      </c>
      <c r="H73" t="s">
        <v>328</v>
      </c>
    </row>
    <row r="74" spans="2:15" x14ac:dyDescent="0.25">
      <c r="B74" t="s">
        <v>306</v>
      </c>
      <c r="C74" t="s">
        <v>295</v>
      </c>
      <c r="D74">
        <v>-5224.6516765599999</v>
      </c>
      <c r="E74">
        <v>8.3277999999999999</v>
      </c>
    </row>
    <row r="75" spans="2:15" ht="15.75" thickBot="1" x14ac:dyDescent="0.3">
      <c r="B75" t="s">
        <v>115</v>
      </c>
      <c r="C75">
        <v>0</v>
      </c>
      <c r="D75">
        <v>-5192.5594246299997</v>
      </c>
      <c r="E75">
        <v>8.3277999999999999</v>
      </c>
      <c r="F75">
        <f>-($E$74+$E$54*(D77-D75)/2)</f>
        <v>4.6074934165548047</v>
      </c>
      <c r="G75">
        <f>G72-F75</f>
        <v>0.96360658344519479</v>
      </c>
      <c r="H75">
        <f>H72-F75</f>
        <v>0.98250658344519515</v>
      </c>
      <c r="M75" t="s">
        <v>326</v>
      </c>
      <c r="N75" t="s">
        <v>327</v>
      </c>
      <c r="O75" t="s">
        <v>328</v>
      </c>
    </row>
    <row r="76" spans="2:15" ht="15.75" thickTop="1" x14ac:dyDescent="0.25">
      <c r="B76" t="s">
        <v>115</v>
      </c>
      <c r="C76">
        <v>1</v>
      </c>
      <c r="D76">
        <v>-5193.5094775099997</v>
      </c>
      <c r="E76">
        <v>8.3277999999999999</v>
      </c>
      <c r="L76" s="25" t="s">
        <v>333</v>
      </c>
      <c r="M76" s="26">
        <v>2.8860360601221196</v>
      </c>
      <c r="N76" s="26">
        <v>0.74906393987788178</v>
      </c>
      <c r="O76" s="26">
        <v>2.7039639398778803</v>
      </c>
    </row>
    <row r="77" spans="2:15" x14ac:dyDescent="0.25">
      <c r="B77" t="s">
        <v>115</v>
      </c>
      <c r="C77">
        <v>2</v>
      </c>
      <c r="D77">
        <v>-5194.4608770000004</v>
      </c>
      <c r="E77">
        <v>8.3277999999999999</v>
      </c>
      <c r="L77" t="s">
        <v>331</v>
      </c>
      <c r="M77" s="1">
        <v>4.5458299438900038</v>
      </c>
      <c r="N77" s="1">
        <v>1.0252700561099957</v>
      </c>
      <c r="O77" s="1">
        <v>1.044170056109996</v>
      </c>
    </row>
    <row r="78" spans="2:15" x14ac:dyDescent="0.25">
      <c r="L78" s="20" t="s">
        <v>119</v>
      </c>
      <c r="M78" s="24">
        <v>3.8948863634999995</v>
      </c>
      <c r="N78" s="24">
        <v>1.3251136365000002</v>
      </c>
      <c r="O78" s="24">
        <v>1.6951136365000004</v>
      </c>
    </row>
    <row r="79" spans="2:15" x14ac:dyDescent="0.25">
      <c r="B79" t="s">
        <v>116</v>
      </c>
      <c r="C79">
        <v>0</v>
      </c>
      <c r="D79">
        <v>-5192.6135919899998</v>
      </c>
      <c r="E79">
        <v>8.3277999999999999</v>
      </c>
      <c r="F79">
        <f>-($E$74+$E$54*(D81-D79)/2)</f>
        <v>4.2903045258518571</v>
      </c>
      <c r="G79">
        <f>G72-F79</f>
        <v>1.2807954741481424</v>
      </c>
      <c r="H79">
        <f>H72-F79</f>
        <v>1.2996954741481428</v>
      </c>
    </row>
    <row r="80" spans="2:15" x14ac:dyDescent="0.25">
      <c r="B80" t="s">
        <v>116</v>
      </c>
      <c r="C80">
        <v>1</v>
      </c>
      <c r="D80">
        <v>-5193.5368255399999</v>
      </c>
      <c r="E80">
        <v>8.3277999999999999</v>
      </c>
    </row>
    <row r="81" spans="2:8" x14ac:dyDescent="0.25">
      <c r="B81" t="s">
        <v>116</v>
      </c>
      <c r="C81">
        <v>2</v>
      </c>
      <c r="D81">
        <v>-5194.46841847</v>
      </c>
      <c r="E81">
        <v>8.3277999999999999</v>
      </c>
      <c r="F81">
        <f>-($E$62+$E$54*(D77-D79)/2)</f>
        <v>2.3806010439581993</v>
      </c>
      <c r="G81">
        <f>G72-F81</f>
        <v>3.1904989560418002</v>
      </c>
      <c r="H81">
        <f>H72-F81</f>
        <v>3.2093989560418006</v>
      </c>
    </row>
    <row r="82" spans="2:8" x14ac:dyDescent="0.25">
      <c r="D82">
        <f>D75-D79</f>
        <v>5.4167360000064946E-2</v>
      </c>
    </row>
    <row r="83" spans="2:8" x14ac:dyDescent="0.25">
      <c r="D83">
        <f t="shared" ref="D83:D84" si="1">D76-D80</f>
        <v>2.734803000021202E-2</v>
      </c>
    </row>
    <row r="84" spans="2:8" x14ac:dyDescent="0.25">
      <c r="B84" t="s">
        <v>309</v>
      </c>
      <c r="D84">
        <f t="shared" si="1"/>
        <v>7.5414699995235424E-3</v>
      </c>
    </row>
    <row r="85" spans="2:8" x14ac:dyDescent="0.25">
      <c r="H85" t="s">
        <v>332</v>
      </c>
    </row>
    <row r="86" spans="2:8" x14ac:dyDescent="0.25">
      <c r="G86">
        <v>5.5710999999999995</v>
      </c>
      <c r="H86">
        <v>5.59</v>
      </c>
    </row>
    <row r="87" spans="2:8" x14ac:dyDescent="0.25">
      <c r="B87" t="s">
        <v>303</v>
      </c>
      <c r="F87" t="s">
        <v>326</v>
      </c>
      <c r="G87" t="s">
        <v>327</v>
      </c>
      <c r="H87" t="s">
        <v>328</v>
      </c>
    </row>
    <row r="88" spans="2:8" x14ac:dyDescent="0.25">
      <c r="B88" t="s">
        <v>306</v>
      </c>
      <c r="C88" t="s">
        <v>295</v>
      </c>
      <c r="D88">
        <v>-5224.6456857100002</v>
      </c>
      <c r="E88">
        <v>8.1995000000000005</v>
      </c>
    </row>
    <row r="89" spans="2:8" x14ac:dyDescent="0.25">
      <c r="B89" t="s">
        <v>115</v>
      </c>
      <c r="C89">
        <v>0</v>
      </c>
      <c r="D89">
        <v>-5192.5740624700002</v>
      </c>
      <c r="E89">
        <v>8.1995000000000005</v>
      </c>
      <c r="F89">
        <f>-($E$74+$E$54*(D91-D89)/2)</f>
        <v>4.5458299438900038</v>
      </c>
      <c r="G89">
        <f>G86-F89</f>
        <v>1.0252700561099957</v>
      </c>
      <c r="H89">
        <f>H86-F89</f>
        <v>1.044170056109996</v>
      </c>
    </row>
    <row r="90" spans="2:8" x14ac:dyDescent="0.25">
      <c r="B90" t="s">
        <v>115</v>
      </c>
      <c r="C90">
        <v>1</v>
      </c>
      <c r="D90">
        <v>-5193.5198633600003</v>
      </c>
      <c r="E90">
        <v>8.1995000000000005</v>
      </c>
    </row>
    <row r="91" spans="2:8" x14ac:dyDescent="0.25">
      <c r="B91" t="s">
        <v>115</v>
      </c>
      <c r="C91">
        <v>2</v>
      </c>
      <c r="D91">
        <v>-5194.4664504800003</v>
      </c>
      <c r="E91">
        <v>8.1995000000000005</v>
      </c>
    </row>
    <row r="93" spans="2:8" x14ac:dyDescent="0.25">
      <c r="B93" t="s">
        <v>116</v>
      </c>
      <c r="C93">
        <v>0</v>
      </c>
      <c r="D93">
        <v>-5192.5723402599997</v>
      </c>
      <c r="E93">
        <v>8.1995000000000005</v>
      </c>
      <c r="F93">
        <f>-($E$74+$E$54*(D95-D93)/2)</f>
        <v>4.2240837565948457</v>
      </c>
      <c r="G93">
        <f>G86-F93</f>
        <v>1.3470162434051538</v>
      </c>
      <c r="H93">
        <f>H86-F93</f>
        <v>1.3659162434051542</v>
      </c>
    </row>
    <row r="94" spans="2:8" x14ac:dyDescent="0.25">
      <c r="B94" t="s">
        <v>116</v>
      </c>
      <c r="C94">
        <v>1</v>
      </c>
      <c r="D94">
        <v>-5193.49054136</v>
      </c>
      <c r="E94">
        <v>8.1995000000000005</v>
      </c>
    </row>
    <row r="95" spans="2:8" x14ac:dyDescent="0.25">
      <c r="B95" t="s">
        <v>116</v>
      </c>
      <c r="C95">
        <v>2</v>
      </c>
      <c r="D95">
        <v>-5194.4174324699998</v>
      </c>
      <c r="E95">
        <v>8.1995000000000005</v>
      </c>
    </row>
    <row r="96" spans="2:8" x14ac:dyDescent="0.25">
      <c r="D96">
        <f>D89-D93</f>
        <v>-1.7222100004801177E-3</v>
      </c>
    </row>
    <row r="97" spans="2:9" x14ac:dyDescent="0.25">
      <c r="D97">
        <f t="shared" ref="D97:D98" si="2">D90-D94</f>
        <v>-2.9322000000320259E-2</v>
      </c>
    </row>
    <row r="98" spans="2:9" x14ac:dyDescent="0.25">
      <c r="D98">
        <f t="shared" si="2"/>
        <v>-4.9018010000509094E-2</v>
      </c>
    </row>
    <row r="106" spans="2:9" x14ac:dyDescent="0.25">
      <c r="B106" t="s">
        <v>304</v>
      </c>
    </row>
    <row r="107" spans="2:9" x14ac:dyDescent="0.25">
      <c r="B107" t="s">
        <v>307</v>
      </c>
      <c r="C107" t="s">
        <v>295</v>
      </c>
      <c r="D107">
        <v>-17786.884923090001</v>
      </c>
      <c r="E107">
        <v>10.186199999999999</v>
      </c>
    </row>
    <row r="108" spans="2:9" x14ac:dyDescent="0.25">
      <c r="B108" t="s">
        <v>115</v>
      </c>
      <c r="C108">
        <v>0</v>
      </c>
      <c r="D108">
        <v>-17754.175608559999</v>
      </c>
      <c r="E108">
        <v>10.186199999999999</v>
      </c>
      <c r="F108">
        <f>-($E$62+$E$54*(D110-D108)/2)</f>
        <v>2.8775669892740261</v>
      </c>
      <c r="I108">
        <f>F108-F63</f>
        <v>-8.4690708480934518E-3</v>
      </c>
    </row>
    <row r="109" spans="2:9" x14ac:dyDescent="0.25">
      <c r="B109" t="s">
        <v>115</v>
      </c>
      <c r="C109">
        <v>1</v>
      </c>
      <c r="E109">
        <v>10.186199999999999</v>
      </c>
    </row>
    <row r="110" spans="2:9" x14ac:dyDescent="0.25">
      <c r="B110" t="s">
        <v>115</v>
      </c>
      <c r="C110">
        <v>2</v>
      </c>
      <c r="D110">
        <v>-17756.095946189998</v>
      </c>
      <c r="E110">
        <v>10.186199999999999</v>
      </c>
    </row>
    <row r="111" spans="2:9" x14ac:dyDescent="0.25">
      <c r="E111">
        <v>10.186199999999999</v>
      </c>
    </row>
    <row r="112" spans="2:9" x14ac:dyDescent="0.25">
      <c r="B112" t="s">
        <v>116</v>
      </c>
      <c r="C112">
        <v>0</v>
      </c>
      <c r="D112">
        <v>-17754.182199129998</v>
      </c>
      <c r="E112">
        <v>10.186199999999999</v>
      </c>
      <c r="F112">
        <f>-($E$62+$E$54*(D114-D112)/2)</f>
        <v>2.5361460782114911</v>
      </c>
      <c r="I112">
        <f>F112-F67</f>
        <v>3.3234298524879691E-2</v>
      </c>
    </row>
    <row r="113" spans="2:9" x14ac:dyDescent="0.25">
      <c r="B113" t="s">
        <v>116</v>
      </c>
      <c r="C113">
        <v>1</v>
      </c>
      <c r="E113">
        <v>10.186199999999999</v>
      </c>
    </row>
    <row r="114" spans="2:9" x14ac:dyDescent="0.25">
      <c r="B114" t="s">
        <v>116</v>
      </c>
      <c r="C114">
        <v>2</v>
      </c>
      <c r="D114">
        <v>-17756.052348829999</v>
      </c>
      <c r="E114">
        <v>10.186199999999999</v>
      </c>
    </row>
    <row r="116" spans="2:9" x14ac:dyDescent="0.25">
      <c r="B116" t="s">
        <v>308</v>
      </c>
    </row>
    <row r="117" spans="2:9" x14ac:dyDescent="0.25">
      <c r="B117" t="s">
        <v>307</v>
      </c>
      <c r="C117" t="s">
        <v>295</v>
      </c>
      <c r="D117">
        <v>-17633.17771281</v>
      </c>
      <c r="E117">
        <v>8.3277999999999999</v>
      </c>
    </row>
    <row r="118" spans="2:9" x14ac:dyDescent="0.25">
      <c r="C118">
        <v>0</v>
      </c>
      <c r="D118">
        <v>-17601.114590429999</v>
      </c>
      <c r="E118">
        <v>8.3277999999999999</v>
      </c>
      <c r="F118">
        <f>-($E$74+$E$54*(D120-D118)/2)</f>
        <v>4.5891670854772961</v>
      </c>
      <c r="I118">
        <f>F118-F75</f>
        <v>-1.8326331077508584E-2</v>
      </c>
    </row>
    <row r="119" spans="2:9" x14ac:dyDescent="0.25">
      <c r="C119">
        <v>1</v>
      </c>
      <c r="E119">
        <v>8.3277999999999999</v>
      </c>
    </row>
    <row r="120" spans="2:9" x14ac:dyDescent="0.25">
      <c r="C120">
        <v>2</v>
      </c>
      <c r="D120">
        <v>-17603.013348879998</v>
      </c>
      <c r="E120">
        <v>8.3277999999999999</v>
      </c>
    </row>
    <row r="121" spans="2:9" x14ac:dyDescent="0.25">
      <c r="E121">
        <v>8.3277999999999999</v>
      </c>
    </row>
    <row r="122" spans="2:9" x14ac:dyDescent="0.25">
      <c r="C122">
        <v>0</v>
      </c>
      <c r="D122">
        <v>-17601.112722900001</v>
      </c>
      <c r="E122">
        <v>8.3277999999999999</v>
      </c>
      <c r="F122">
        <f>-($E$74+$E$54*(D124-D122)/2)</f>
        <v>4.3186455350664286</v>
      </c>
      <c r="I122">
        <f>F122-F79</f>
        <v>2.83410092145715E-2</v>
      </c>
    </row>
    <row r="123" spans="2:9" x14ac:dyDescent="0.25">
      <c r="C123">
        <v>1</v>
      </c>
      <c r="E123">
        <v>8.3277999999999999</v>
      </c>
    </row>
    <row r="124" spans="2:9" x14ac:dyDescent="0.25">
      <c r="C124">
        <v>2</v>
      </c>
      <c r="D124">
        <v>-17602.971715430001</v>
      </c>
      <c r="E124">
        <v>8.3277999999999999</v>
      </c>
    </row>
    <row r="126" spans="2:9" x14ac:dyDescent="0.25">
      <c r="G126">
        <v>5.22</v>
      </c>
      <c r="H126">
        <v>5.59</v>
      </c>
    </row>
    <row r="127" spans="2:9" x14ac:dyDescent="0.25">
      <c r="B127" t="s">
        <v>335</v>
      </c>
      <c r="F127" t="s">
        <v>326</v>
      </c>
      <c r="G127" t="s">
        <v>327</v>
      </c>
      <c r="H127" t="s">
        <v>328</v>
      </c>
    </row>
    <row r="128" spans="2:9" x14ac:dyDescent="0.25">
      <c r="B128" t="s">
        <v>115</v>
      </c>
      <c r="C128">
        <v>0</v>
      </c>
      <c r="D128">
        <v>5.4715909089999997</v>
      </c>
    </row>
    <row r="129" spans="2:11" x14ac:dyDescent="0.25">
      <c r="C129">
        <v>1</v>
      </c>
      <c r="D129">
        <v>1.3091360350000001</v>
      </c>
    </row>
    <row r="130" spans="2:11" x14ac:dyDescent="0.25">
      <c r="C130">
        <v>2</v>
      </c>
      <c r="D130">
        <v>-2.3181818179999998</v>
      </c>
      <c r="F130">
        <f>(D128-D130)/2</f>
        <v>3.8948863634999995</v>
      </c>
      <c r="G130">
        <f>G126-F130</f>
        <v>1.3251136365000002</v>
      </c>
      <c r="H130">
        <f>H126-F130</f>
        <v>1.6951136365000004</v>
      </c>
    </row>
    <row r="132" spans="2:11" x14ac:dyDescent="0.25">
      <c r="C132">
        <v>0</v>
      </c>
      <c r="D132">
        <v>5.4715909094999997</v>
      </c>
      <c r="F132">
        <f>(D132-D134)/2</f>
        <v>3.5948863637499997</v>
      </c>
      <c r="G132">
        <f>G126-F132</f>
        <v>1.62511363625</v>
      </c>
      <c r="H132">
        <f>H126-F132</f>
        <v>1.9951136362500002</v>
      </c>
    </row>
    <row r="133" spans="2:11" x14ac:dyDescent="0.25">
      <c r="C133">
        <v>1</v>
      </c>
      <c r="D133">
        <v>1.709136035</v>
      </c>
    </row>
    <row r="134" spans="2:11" x14ac:dyDescent="0.25">
      <c r="C134">
        <v>2</v>
      </c>
      <c r="D134">
        <v>-1.7181818179999999</v>
      </c>
      <c r="K134">
        <v>8.7128999999999994</v>
      </c>
    </row>
    <row r="135" spans="2:11" x14ac:dyDescent="0.25">
      <c r="K135">
        <v>10.780200000000001</v>
      </c>
    </row>
    <row r="136" spans="2:11" x14ac:dyDescent="0.25">
      <c r="B136" s="52" t="s">
        <v>305</v>
      </c>
      <c r="G136">
        <v>4.2039999999999997</v>
      </c>
      <c r="H136">
        <v>5.78</v>
      </c>
    </row>
    <row r="137" spans="2:11" x14ac:dyDescent="0.25">
      <c r="F137" t="s">
        <v>326</v>
      </c>
      <c r="G137" t="s">
        <v>327</v>
      </c>
      <c r="H137" t="s">
        <v>328</v>
      </c>
    </row>
    <row r="138" spans="2:11" x14ac:dyDescent="0.25">
      <c r="B138" t="s">
        <v>302</v>
      </c>
      <c r="C138" t="s">
        <v>295</v>
      </c>
      <c r="D138">
        <v>-6086.7681401899999</v>
      </c>
      <c r="E138">
        <v>10.780200000000001</v>
      </c>
      <c r="K138" t="s">
        <v>330</v>
      </c>
    </row>
    <row r="139" spans="2:11" x14ac:dyDescent="0.25">
      <c r="B139" t="s">
        <v>115</v>
      </c>
      <c r="C139">
        <v>0</v>
      </c>
      <c r="D139">
        <v>-6054.0162170599997</v>
      </c>
      <c r="E139">
        <v>10.780200000000001</v>
      </c>
      <c r="F139">
        <f>-($E$138+$E$54*(D141-D139)/2)</f>
        <v>3.018843539079592</v>
      </c>
      <c r="G139">
        <f>G136-F139</f>
        <v>1.1851564609204077</v>
      </c>
      <c r="H139">
        <f>H136-F139</f>
        <v>2.7611564609204082</v>
      </c>
    </row>
    <row r="140" spans="2:11" x14ac:dyDescent="0.25">
      <c r="B140" t="s">
        <v>115</v>
      </c>
      <c r="C140">
        <v>1</v>
      </c>
      <c r="D140">
        <v>-6055.0296001099996</v>
      </c>
      <c r="E140">
        <v>10.780200000000001</v>
      </c>
      <c r="K140">
        <v>5.78</v>
      </c>
    </row>
    <row r="141" spans="2:11" x14ac:dyDescent="0.25">
      <c r="B141" t="s">
        <v>115</v>
      </c>
      <c r="C141">
        <v>2</v>
      </c>
      <c r="D141">
        <v>-6056.0446383099998</v>
      </c>
      <c r="E141">
        <v>10.780200000000001</v>
      </c>
    </row>
    <row r="143" spans="2:11" x14ac:dyDescent="0.25">
      <c r="B143" t="s">
        <v>116</v>
      </c>
      <c r="C143">
        <v>0</v>
      </c>
      <c r="D143">
        <v>-6054.0276735400003</v>
      </c>
      <c r="E143">
        <v>10.780200000000001</v>
      </c>
      <c r="F143">
        <f>-($E$138+$E$54*(D145-D143)/2)</f>
        <v>2.6399888627490729</v>
      </c>
      <c r="G143">
        <f>G136-F143</f>
        <v>1.5640111372509269</v>
      </c>
      <c r="H143">
        <f>H136-F143</f>
        <v>3.1400111372509274</v>
      </c>
    </row>
    <row r="144" spans="2:11" x14ac:dyDescent="0.25">
      <c r="B144" t="s">
        <v>116</v>
      </c>
      <c r="C144">
        <v>1</v>
      </c>
      <c r="D144">
        <v>-6055.0106536200001</v>
      </c>
      <c r="E144">
        <v>10.780200000000001</v>
      </c>
    </row>
    <row r="145" spans="2:8" x14ac:dyDescent="0.25">
      <c r="B145" t="s">
        <v>116</v>
      </c>
      <c r="C145">
        <v>2</v>
      </c>
      <c r="D145">
        <v>-6056.0004042</v>
      </c>
      <c r="E145">
        <v>10.780200000000001</v>
      </c>
      <c r="F145">
        <f>-($E$143+$E$54*(D141-D143)/2)</f>
        <v>2.9409068351861922</v>
      </c>
      <c r="G145">
        <f>G136-F145</f>
        <v>1.2630931648138075</v>
      </c>
      <c r="H145">
        <f>H136-F145</f>
        <v>2.839093164813808</v>
      </c>
    </row>
    <row r="146" spans="2:8" x14ac:dyDescent="0.25">
      <c r="D146">
        <f>D139-D143</f>
        <v>1.1456480000560987E-2</v>
      </c>
    </row>
    <row r="147" spans="2:8" x14ac:dyDescent="0.25">
      <c r="D147">
        <f t="shared" ref="D147:D148" si="3">D140-D144</f>
        <v>-1.8946489999507321E-2</v>
      </c>
      <c r="G147">
        <v>6.3860000000000001</v>
      </c>
      <c r="H147">
        <v>5.78</v>
      </c>
    </row>
    <row r="148" spans="2:8" x14ac:dyDescent="0.25">
      <c r="D148">
        <f t="shared" si="3"/>
        <v>-4.4234109999706561E-2</v>
      </c>
      <c r="G148">
        <v>6.3860000000000001</v>
      </c>
      <c r="H148">
        <v>5.78</v>
      </c>
    </row>
    <row r="149" spans="2:8" x14ac:dyDescent="0.25">
      <c r="B149" t="s">
        <v>303</v>
      </c>
      <c r="F149" t="s">
        <v>326</v>
      </c>
      <c r="G149" t="s">
        <v>327</v>
      </c>
      <c r="H149" t="s">
        <v>328</v>
      </c>
    </row>
    <row r="150" spans="2:8" x14ac:dyDescent="0.25">
      <c r="B150" t="s">
        <v>306</v>
      </c>
      <c r="C150" t="s">
        <v>295</v>
      </c>
      <c r="D150">
        <v>-6034.5329665299996</v>
      </c>
      <c r="E150">
        <v>8.7128999999999994</v>
      </c>
    </row>
    <row r="151" spans="2:8" x14ac:dyDescent="0.25">
      <c r="B151" t="s">
        <v>115</v>
      </c>
      <c r="C151">
        <v>0</v>
      </c>
      <c r="D151">
        <v>-6002.4990588299997</v>
      </c>
      <c r="E151">
        <v>8.7128999999999994</v>
      </c>
      <c r="F151">
        <f>-($E$150+$E$54*(D153-D151)/2)</f>
        <v>4.9713820609765218</v>
      </c>
      <c r="G151">
        <f>G148-F151</f>
        <v>1.4146179390234783</v>
      </c>
      <c r="H151">
        <f>H148-F151</f>
        <v>0.80861793902347845</v>
      </c>
    </row>
    <row r="152" spans="2:8" x14ac:dyDescent="0.25">
      <c r="B152" t="s">
        <v>115</v>
      </c>
      <c r="C152">
        <v>1</v>
      </c>
      <c r="D152">
        <v>-6003.5021185699998</v>
      </c>
      <c r="E152">
        <v>8.7128999999999994</v>
      </c>
    </row>
    <row r="153" spans="2:8" x14ac:dyDescent="0.25">
      <c r="B153" t="s">
        <v>115</v>
      </c>
      <c r="C153">
        <v>2</v>
      </c>
      <c r="D153">
        <v>-6004.51061046</v>
      </c>
      <c r="E153">
        <v>8.7128999999999994</v>
      </c>
    </row>
    <row r="155" spans="2:8" x14ac:dyDescent="0.25">
      <c r="B155" t="s">
        <v>116</v>
      </c>
      <c r="C155">
        <v>0</v>
      </c>
      <c r="D155">
        <v>-6002.5798847100004</v>
      </c>
      <c r="E155">
        <v>8.7128999999999994</v>
      </c>
      <c r="F155">
        <f>-($E$150+$E$54*(D157-D155)/2)</f>
        <v>4.6504374533761101</v>
      </c>
      <c r="G155">
        <f>G148-F155</f>
        <v>1.73556254662389</v>
      </c>
      <c r="H155">
        <f>H148-F155</f>
        <v>1.1295625466238901</v>
      </c>
    </row>
    <row r="156" spans="2:8" x14ac:dyDescent="0.25">
      <c r="B156" t="s">
        <v>116</v>
      </c>
      <c r="C156">
        <v>1</v>
      </c>
      <c r="D156">
        <v>-6003.5566926600004</v>
      </c>
      <c r="E156">
        <v>8.7128999999999994</v>
      </c>
    </row>
    <row r="157" spans="2:8" x14ac:dyDescent="0.25">
      <c r="B157" t="s">
        <v>116</v>
      </c>
      <c r="C157">
        <v>2</v>
      </c>
      <c r="D157">
        <v>-6004.5442583699996</v>
      </c>
      <c r="E157">
        <v>8.7128999999999994</v>
      </c>
    </row>
    <row r="160" spans="2:8" x14ac:dyDescent="0.25">
      <c r="G160">
        <v>6.3860000000000001</v>
      </c>
      <c r="H160">
        <v>5.78</v>
      </c>
    </row>
    <row r="161" spans="2:14" x14ac:dyDescent="0.25">
      <c r="B161" t="s">
        <v>334</v>
      </c>
      <c r="F161" t="s">
        <v>326</v>
      </c>
      <c r="G161" t="s">
        <v>327</v>
      </c>
      <c r="H161" t="s">
        <v>328</v>
      </c>
    </row>
    <row r="162" spans="2:14" ht="15.75" thickBot="1" x14ac:dyDescent="0.3">
      <c r="B162" t="s">
        <v>306</v>
      </c>
      <c r="C162" t="s">
        <v>295</v>
      </c>
      <c r="D162">
        <v>-6034.5265470200002</v>
      </c>
      <c r="E162">
        <v>8.7128999999999994</v>
      </c>
      <c r="L162" t="s">
        <v>326</v>
      </c>
      <c r="M162" t="s">
        <v>327</v>
      </c>
      <c r="N162" t="s">
        <v>328</v>
      </c>
    </row>
    <row r="163" spans="2:14" ht="15.75" thickTop="1" x14ac:dyDescent="0.25">
      <c r="B163" t="s">
        <v>115</v>
      </c>
      <c r="C163">
        <v>0</v>
      </c>
      <c r="D163">
        <v>-6002.53134383</v>
      </c>
      <c r="E163">
        <v>8.7128999999999994</v>
      </c>
      <c r="F163">
        <f>-($E$150+$E$54*(D165-D163)/2)</f>
        <v>4.9692810010541564</v>
      </c>
      <c r="G163">
        <f>G160-F163</f>
        <v>1.4167189989458437</v>
      </c>
      <c r="H163">
        <f>H160-F163</f>
        <v>0.81071899894584387</v>
      </c>
      <c r="K163" s="25" t="s">
        <v>333</v>
      </c>
      <c r="L163" s="26">
        <v>2.94090683518619</v>
      </c>
      <c r="M163" s="26">
        <v>1.2630931648138075</v>
      </c>
      <c r="N163" s="26">
        <v>2.839093164813808</v>
      </c>
    </row>
    <row r="164" spans="2:14" x14ac:dyDescent="0.25">
      <c r="B164" t="s">
        <v>115</v>
      </c>
      <c r="C164">
        <v>1</v>
      </c>
      <c r="D164">
        <v>-6003.5341785237997</v>
      </c>
      <c r="E164">
        <v>8.7128999999999994</v>
      </c>
      <c r="K164" t="s">
        <v>331</v>
      </c>
      <c r="L164" s="1">
        <v>4.9438034470523053</v>
      </c>
      <c r="M164" s="1">
        <v>1.4421965529476948</v>
      </c>
      <c r="N164" s="1">
        <v>0.8361965529476949</v>
      </c>
    </row>
    <row r="165" spans="2:14" x14ac:dyDescent="0.25">
      <c r="B165" t="s">
        <v>115</v>
      </c>
      <c r="C165">
        <v>2</v>
      </c>
      <c r="D165">
        <v>-6004.5425866100004</v>
      </c>
      <c r="E165">
        <v>8.7128999999999994</v>
      </c>
      <c r="K165" s="20" t="s">
        <v>118</v>
      </c>
      <c r="L165" s="24">
        <v>3.8859877329999999</v>
      </c>
      <c r="M165" s="24">
        <v>1.9740122670000004</v>
      </c>
      <c r="N165" s="24">
        <v>1.8940122670000004</v>
      </c>
    </row>
    <row r="167" spans="2:14" x14ac:dyDescent="0.25">
      <c r="B167" t="s">
        <v>116</v>
      </c>
      <c r="C167">
        <v>0</v>
      </c>
      <c r="D167">
        <v>-6002.5350889600004</v>
      </c>
      <c r="E167">
        <v>8.7128999999999994</v>
      </c>
      <c r="F167">
        <f>-($E$150+$E$54*(D169-D167)/2)</f>
        <v>4.645625390084275</v>
      </c>
      <c r="G167">
        <f>G160-F167</f>
        <v>1.7403746099157251</v>
      </c>
      <c r="H167">
        <f>H160-F167</f>
        <v>1.1343746099157253</v>
      </c>
    </row>
    <row r="168" spans="2:14" x14ac:dyDescent="0.25">
      <c r="B168" t="s">
        <v>116</v>
      </c>
      <c r="C168">
        <v>1</v>
      </c>
      <c r="D168">
        <v>-6003.5115921792003</v>
      </c>
      <c r="E168">
        <v>8.7128999999999994</v>
      </c>
    </row>
    <row r="169" spans="2:14" x14ac:dyDescent="0.25">
      <c r="B169" t="s">
        <v>116</v>
      </c>
      <c r="C169">
        <v>2</v>
      </c>
      <c r="D169">
        <v>-6004.4987552599996</v>
      </c>
      <c r="E169">
        <v>8.7128999999999994</v>
      </c>
      <c r="F169">
        <f>-($E$169+$E$54*(D165-D167)/2)</f>
        <v>4.9438034470523053</v>
      </c>
      <c r="G169">
        <f>G160-F169</f>
        <v>1.4421965529476948</v>
      </c>
      <c r="H169">
        <f>H160-F169</f>
        <v>0.8361965529476949</v>
      </c>
    </row>
    <row r="170" spans="2:14" x14ac:dyDescent="0.25">
      <c r="D170">
        <f>D163-D167</f>
        <v>3.7451300004249788E-3</v>
      </c>
    </row>
    <row r="171" spans="2:14" x14ac:dyDescent="0.25">
      <c r="D171">
        <f t="shared" ref="D171:D172" si="4">D164-D168</f>
        <v>-2.2586344599403674E-2</v>
      </c>
    </row>
    <row r="172" spans="2:14" x14ac:dyDescent="0.25">
      <c r="D172">
        <f t="shared" si="4"/>
        <v>-4.383135000080074E-2</v>
      </c>
      <c r="I172">
        <v>4.2039999999999997</v>
      </c>
    </row>
    <row r="174" spans="2:14" x14ac:dyDescent="0.25">
      <c r="B174" t="s">
        <v>304</v>
      </c>
    </row>
    <row r="175" spans="2:14" x14ac:dyDescent="0.25">
      <c r="B175" t="s">
        <v>307</v>
      </c>
      <c r="C175" t="s">
        <v>295</v>
      </c>
      <c r="D175">
        <v>-20542.839817839998</v>
      </c>
      <c r="E175">
        <v>10.780200000000001</v>
      </c>
    </row>
    <row r="176" spans="2:14" x14ac:dyDescent="0.25">
      <c r="B176" t="s">
        <v>115</v>
      </c>
      <c r="C176">
        <v>0</v>
      </c>
      <c r="D176">
        <v>-20510.088513679999</v>
      </c>
      <c r="E176">
        <v>10.780200000000001</v>
      </c>
      <c r="F176">
        <f>-($E$138+$E$54*(D178-D176)/2)</f>
        <v>3.0153202755377873</v>
      </c>
      <c r="I176">
        <f>F176-F139</f>
        <v>-3.5232635418047664E-3</v>
      </c>
    </row>
    <row r="177" spans="2:9" x14ac:dyDescent="0.25">
      <c r="B177" t="s">
        <v>115</v>
      </c>
    </row>
    <row r="178" spans="2:9" x14ac:dyDescent="0.25">
      <c r="B178" t="s">
        <v>115</v>
      </c>
      <c r="C178">
        <v>2</v>
      </c>
      <c r="D178">
        <v>-20512.116417019999</v>
      </c>
      <c r="E178">
        <v>10.780200000000001</v>
      </c>
    </row>
    <row r="180" spans="2:9" x14ac:dyDescent="0.25">
      <c r="B180" t="s">
        <v>116</v>
      </c>
      <c r="C180">
        <v>0</v>
      </c>
      <c r="D180">
        <v>-20510.100050720001</v>
      </c>
      <c r="E180">
        <v>10.780200000000001</v>
      </c>
      <c r="F180">
        <f>-($E$138+$E$54*(D182-D180)/2)</f>
        <v>2.680319961412355</v>
      </c>
      <c r="I180">
        <f>F180-F143</f>
        <v>4.0331098663282106E-2</v>
      </c>
    </row>
    <row r="181" spans="2:9" x14ac:dyDescent="0.25">
      <c r="B181" t="s">
        <v>116</v>
      </c>
    </row>
    <row r="182" spans="2:9" x14ac:dyDescent="0.25">
      <c r="B182" t="s">
        <v>116</v>
      </c>
      <c r="C182">
        <v>2</v>
      </c>
      <c r="D182">
        <v>-20512.07870994</v>
      </c>
      <c r="E182">
        <v>10.780200000000001</v>
      </c>
    </row>
    <row r="184" spans="2:9" x14ac:dyDescent="0.25">
      <c r="B184" t="s">
        <v>308</v>
      </c>
    </row>
    <row r="185" spans="2:9" x14ac:dyDescent="0.25">
      <c r="B185" t="s">
        <v>307</v>
      </c>
      <c r="C185" t="s">
        <v>295</v>
      </c>
      <c r="D185">
        <v>-20366.52493005</v>
      </c>
      <c r="E185">
        <v>8.7128999999999994</v>
      </c>
    </row>
    <row r="186" spans="2:9" x14ac:dyDescent="0.25">
      <c r="B186" t="s">
        <v>115</v>
      </c>
      <c r="C186">
        <v>0</v>
      </c>
      <c r="D186">
        <v>-20334.530282840002</v>
      </c>
      <c r="E186">
        <v>8.7128999999999994</v>
      </c>
      <c r="F186">
        <f>-($E$185+$E$54*(D188-D186)/2)</f>
        <v>4.9508939205213949</v>
      </c>
      <c r="I186">
        <f>F186-F151</f>
        <v>-2.0488140455126924E-2</v>
      </c>
    </row>
    <row r="187" spans="2:9" x14ac:dyDescent="0.25">
      <c r="B187" t="s">
        <v>115</v>
      </c>
    </row>
    <row r="188" spans="2:9" x14ac:dyDescent="0.25">
      <c r="B188" t="s">
        <v>115</v>
      </c>
      <c r="C188">
        <v>2</v>
      </c>
      <c r="D188">
        <v>-20336.538822769999</v>
      </c>
      <c r="E188">
        <v>8.7128999999999994</v>
      </c>
    </row>
    <row r="190" spans="2:9" x14ac:dyDescent="0.25">
      <c r="B190" t="s">
        <v>116</v>
      </c>
      <c r="C190">
        <v>0</v>
      </c>
      <c r="D190">
        <v>-20334.534217280001</v>
      </c>
      <c r="E190">
        <v>8.7128999999999994</v>
      </c>
      <c r="F190">
        <f>-($E$185+$E$54*(D192-D190)/2)</f>
        <v>4.6857400220851133</v>
      </c>
      <c r="I190">
        <f>F190-F155</f>
        <v>3.5302568709003168E-2</v>
      </c>
    </row>
    <row r="191" spans="2:9" x14ac:dyDescent="0.25">
      <c r="B191" t="s">
        <v>116</v>
      </c>
    </row>
    <row r="192" spans="2:9" x14ac:dyDescent="0.25">
      <c r="B192" t="s">
        <v>116</v>
      </c>
      <c r="C192">
        <v>2</v>
      </c>
      <c r="D192">
        <v>-20336.503780319999</v>
      </c>
      <c r="E192">
        <v>8.7128999999999994</v>
      </c>
    </row>
    <row r="194" spans="3:8" x14ac:dyDescent="0.25">
      <c r="G194">
        <v>5.86</v>
      </c>
      <c r="H194">
        <v>5.78</v>
      </c>
    </row>
    <row r="195" spans="3:8" x14ac:dyDescent="0.25">
      <c r="F195" t="s">
        <v>326</v>
      </c>
      <c r="G195" t="s">
        <v>327</v>
      </c>
      <c r="H195" t="s">
        <v>328</v>
      </c>
    </row>
    <row r="196" spans="3:8" x14ac:dyDescent="0.25">
      <c r="C196">
        <v>0</v>
      </c>
      <c r="D196">
        <v>5.4382476549999996</v>
      </c>
    </row>
    <row r="197" spans="3:8" x14ac:dyDescent="0.25">
      <c r="C197">
        <v>1</v>
      </c>
      <c r="D197">
        <v>1.2909894390000001</v>
      </c>
    </row>
    <row r="198" spans="3:8" x14ac:dyDescent="0.25">
      <c r="C198">
        <v>2</v>
      </c>
      <c r="D198">
        <v>-2.3337278110000002</v>
      </c>
      <c r="F198">
        <f>(D196-D198)/2</f>
        <v>3.8859877329999999</v>
      </c>
      <c r="G198">
        <f>G194-F198</f>
        <v>1.9740122670000004</v>
      </c>
      <c r="H198">
        <f>H194-F198</f>
        <v>1.8940122670000004</v>
      </c>
    </row>
    <row r="200" spans="3:8" x14ac:dyDescent="0.25">
      <c r="C200">
        <v>0</v>
      </c>
      <c r="D200">
        <v>5.4382476549999996</v>
      </c>
      <c r="F200">
        <f>(D200-D202)/2</f>
        <v>3.5859877329999996</v>
      </c>
      <c r="G200">
        <f>G194-F200</f>
        <v>2.2740122670000007</v>
      </c>
      <c r="H200">
        <f>H194-F200</f>
        <v>2.1940122670000006</v>
      </c>
    </row>
    <row r="201" spans="3:8" x14ac:dyDescent="0.25">
      <c r="C201">
        <v>1</v>
      </c>
      <c r="D201">
        <v>1.690989439</v>
      </c>
    </row>
    <row r="202" spans="3:8" x14ac:dyDescent="0.25">
      <c r="C202">
        <v>2</v>
      </c>
      <c r="D202">
        <v>-1.7337278110000001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7EFF7-E9E9-483C-A78C-3825F461F3E8}">
  <dimension ref="A1:E37"/>
  <sheetViews>
    <sheetView topLeftCell="A25" workbookViewId="0">
      <selection activeCell="H39" sqref="H39"/>
    </sheetView>
  </sheetViews>
  <sheetFormatPr defaultRowHeight="15" x14ac:dyDescent="0.25"/>
  <cols>
    <col min="2" max="2" width="15.5703125" bestFit="1" customWidth="1"/>
    <col min="3" max="3" width="12" bestFit="1" customWidth="1"/>
  </cols>
  <sheetData>
    <row r="1" spans="1:5" x14ac:dyDescent="0.25">
      <c r="C1" t="s">
        <v>72</v>
      </c>
    </row>
    <row r="3" spans="1:5" x14ac:dyDescent="0.25">
      <c r="B3" t="s">
        <v>70</v>
      </c>
      <c r="E3">
        <v>13.605698066</v>
      </c>
    </row>
    <row r="5" spans="1:5" x14ac:dyDescent="0.25">
      <c r="A5" t="s">
        <v>68</v>
      </c>
    </row>
    <row r="6" spans="1:5" x14ac:dyDescent="0.25">
      <c r="B6" t="s">
        <v>73</v>
      </c>
    </row>
    <row r="7" spans="1:5" x14ac:dyDescent="0.25">
      <c r="A7" t="s">
        <v>71</v>
      </c>
      <c r="B7">
        <v>-4438.5520279399998</v>
      </c>
      <c r="C7" s="11">
        <f>B7*$E$3</f>
        <v>-60389.598742383634</v>
      </c>
    </row>
    <row r="10" spans="1:5" x14ac:dyDescent="0.25">
      <c r="A10" t="s">
        <v>69</v>
      </c>
    </row>
    <row r="12" spans="1:5" x14ac:dyDescent="0.25">
      <c r="A12" t="s">
        <v>71</v>
      </c>
      <c r="B12">
        <v>-4409.6804683999999</v>
      </c>
      <c r="C12" s="11">
        <f>B12*$E$3</f>
        <v>-59996.781020587856</v>
      </c>
    </row>
    <row r="16" spans="1:5" x14ac:dyDescent="0.25">
      <c r="B16" t="s">
        <v>75</v>
      </c>
    </row>
    <row r="18" spans="1:3" x14ac:dyDescent="0.25">
      <c r="A18" t="s">
        <v>68</v>
      </c>
    </row>
    <row r="19" spans="1:3" x14ac:dyDescent="0.25">
      <c r="B19" t="s">
        <v>73</v>
      </c>
    </row>
    <row r="20" spans="1:3" x14ac:dyDescent="0.25">
      <c r="A20" t="s">
        <v>74</v>
      </c>
      <c r="B20">
        <v>-5270.1885718100002</v>
      </c>
      <c r="C20" s="11">
        <f>B20*$E$3</f>
        <v>-71704.594458930631</v>
      </c>
    </row>
    <row r="22" spans="1:3" x14ac:dyDescent="0.25">
      <c r="A22" t="s">
        <v>69</v>
      </c>
    </row>
    <row r="24" spans="1:3" x14ac:dyDescent="0.25">
      <c r="A24" t="s">
        <v>74</v>
      </c>
      <c r="B24">
        <v>-5224.6516765599999</v>
      </c>
      <c r="C24" s="11">
        <f>B24*$E$3</f>
        <v>-71085.033211296046</v>
      </c>
    </row>
    <row r="29" spans="1:3" x14ac:dyDescent="0.25">
      <c r="B29" t="s">
        <v>76</v>
      </c>
    </row>
    <row r="31" spans="1:3" x14ac:dyDescent="0.25">
      <c r="A31" t="s">
        <v>68</v>
      </c>
    </row>
    <row r="32" spans="1:3" x14ac:dyDescent="0.25">
      <c r="B32" t="s">
        <v>73</v>
      </c>
    </row>
    <row r="33" spans="1:3" x14ac:dyDescent="0.25">
      <c r="A33" t="s">
        <v>74</v>
      </c>
      <c r="B33">
        <v>-6086.7681401899999</v>
      </c>
      <c r="C33" s="11">
        <f>B33*$E$3</f>
        <v>-82814.729513173501</v>
      </c>
    </row>
    <row r="35" spans="1:3" x14ac:dyDescent="0.25">
      <c r="A35" t="s">
        <v>69</v>
      </c>
    </row>
    <row r="37" spans="1:3" x14ac:dyDescent="0.25">
      <c r="A37" t="s">
        <v>74</v>
      </c>
      <c r="B37">
        <v>-6034.5329665299996</v>
      </c>
      <c r="C37" s="11">
        <f>B37*$E$3</f>
        <v>-82104.033511930465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67867-294E-4358-A6AF-DF35490D37A3}">
  <dimension ref="A3:T264"/>
  <sheetViews>
    <sheetView topLeftCell="B1" workbookViewId="0">
      <selection activeCell="G44" sqref="G44"/>
    </sheetView>
  </sheetViews>
  <sheetFormatPr defaultRowHeight="15" x14ac:dyDescent="0.25"/>
  <cols>
    <col min="7" max="7" width="22.140625" bestFit="1" customWidth="1"/>
    <col min="9" max="9" width="18.7109375" bestFit="1" customWidth="1"/>
    <col min="19" max="19" width="14.7109375" bestFit="1" customWidth="1"/>
  </cols>
  <sheetData>
    <row r="3" spans="3:15" x14ac:dyDescent="0.25">
      <c r="C3" t="s">
        <v>409</v>
      </c>
    </row>
    <row r="5" spans="3:15" x14ac:dyDescent="0.25">
      <c r="N5">
        <v>13.605698066</v>
      </c>
    </row>
    <row r="8" spans="3:15" x14ac:dyDescent="0.25">
      <c r="E8" t="s">
        <v>68</v>
      </c>
    </row>
    <row r="11" spans="3:15" x14ac:dyDescent="0.25">
      <c r="D11">
        <v>0.61499999999999999</v>
      </c>
      <c r="E11" t="s">
        <v>337</v>
      </c>
      <c r="F11" t="s">
        <v>338</v>
      </c>
      <c r="G11" t="s">
        <v>339</v>
      </c>
      <c r="H11" t="s">
        <v>340</v>
      </c>
      <c r="I11" t="s">
        <v>341</v>
      </c>
      <c r="J11" t="s">
        <v>55</v>
      </c>
      <c r="K11" t="s">
        <v>342</v>
      </c>
      <c r="L11">
        <v>-64.511118909999993</v>
      </c>
      <c r="M11" t="s">
        <v>343</v>
      </c>
      <c r="O11">
        <f>(L11*$N$5)/2</f>
        <v>-438.85940289464151</v>
      </c>
    </row>
    <row r="12" spans="3:15" x14ac:dyDescent="0.25">
      <c r="D12">
        <v>0.61599999999999999</v>
      </c>
      <c r="E12" t="s">
        <v>337</v>
      </c>
      <c r="F12" t="s">
        <v>338</v>
      </c>
      <c r="G12" t="s">
        <v>344</v>
      </c>
      <c r="H12" t="s">
        <v>340</v>
      </c>
      <c r="I12" t="s">
        <v>341</v>
      </c>
      <c r="J12" t="s">
        <v>55</v>
      </c>
      <c r="K12" t="s">
        <v>342</v>
      </c>
      <c r="L12">
        <v>-64.516073039999995</v>
      </c>
      <c r="M12" t="s">
        <v>343</v>
      </c>
      <c r="O12">
        <f t="shared" ref="O12:O21" si="0">(L12*$N$5)/2</f>
        <v>-438.89310509312133</v>
      </c>
    </row>
    <row r="13" spans="3:15" x14ac:dyDescent="0.25">
      <c r="D13">
        <v>0.61699999999999999</v>
      </c>
      <c r="E13" t="s">
        <v>337</v>
      </c>
      <c r="F13" t="s">
        <v>338</v>
      </c>
      <c r="G13" t="s">
        <v>345</v>
      </c>
      <c r="H13" t="s">
        <v>340</v>
      </c>
      <c r="I13" t="s">
        <v>341</v>
      </c>
      <c r="J13" t="s">
        <v>55</v>
      </c>
      <c r="K13" t="s">
        <v>342</v>
      </c>
      <c r="L13">
        <v>-64.520198440000001</v>
      </c>
      <c r="M13" t="s">
        <v>343</v>
      </c>
      <c r="O13">
        <f t="shared" si="0"/>
        <v>-438.92116956652211</v>
      </c>
    </row>
    <row r="14" spans="3:15" x14ac:dyDescent="0.25">
      <c r="D14">
        <v>0.61799999999999999</v>
      </c>
      <c r="E14" t="s">
        <v>337</v>
      </c>
      <c r="F14" t="s">
        <v>338</v>
      </c>
      <c r="G14" t="s">
        <v>346</v>
      </c>
      <c r="H14" t="s">
        <v>340</v>
      </c>
      <c r="I14" t="s">
        <v>341</v>
      </c>
      <c r="J14" t="s">
        <v>55</v>
      </c>
      <c r="K14" t="s">
        <v>342</v>
      </c>
      <c r="L14">
        <v>-64.523549090000003</v>
      </c>
      <c r="M14" t="s">
        <v>343</v>
      </c>
      <c r="O14">
        <f t="shared" si="0"/>
        <v>-438.94396353263454</v>
      </c>
    </row>
    <row r="15" spans="3:15" x14ac:dyDescent="0.25">
      <c r="D15">
        <v>0.61899999999999999</v>
      </c>
      <c r="E15" t="s">
        <v>337</v>
      </c>
      <c r="F15" t="s">
        <v>338</v>
      </c>
      <c r="G15" t="s">
        <v>347</v>
      </c>
      <c r="H15" t="s">
        <v>340</v>
      </c>
      <c r="I15" t="s">
        <v>341</v>
      </c>
      <c r="J15" t="s">
        <v>55</v>
      </c>
      <c r="K15" t="s">
        <v>342</v>
      </c>
      <c r="L15">
        <v>-64.526176160000006</v>
      </c>
      <c r="M15" t="s">
        <v>343</v>
      </c>
      <c r="O15">
        <f t="shared" si="0"/>
        <v>-438.96183509324368</v>
      </c>
    </row>
    <row r="16" spans="3:15" x14ac:dyDescent="0.25">
      <c r="D16">
        <v>0.62</v>
      </c>
      <c r="E16" t="s">
        <v>337</v>
      </c>
      <c r="F16" t="s">
        <v>338</v>
      </c>
      <c r="G16" t="s">
        <v>348</v>
      </c>
      <c r="H16" t="s">
        <v>340</v>
      </c>
      <c r="I16" t="s">
        <v>341</v>
      </c>
      <c r="J16" t="s">
        <v>55</v>
      </c>
      <c r="K16" t="s">
        <v>342</v>
      </c>
      <c r="L16">
        <v>-64.528130509999997</v>
      </c>
      <c r="M16" t="s">
        <v>343</v>
      </c>
      <c r="O16">
        <f t="shared" si="0"/>
        <v>-438.97513024125129</v>
      </c>
    </row>
    <row r="17" spans="3:20" x14ac:dyDescent="0.25">
      <c r="D17">
        <v>0.621</v>
      </c>
      <c r="E17" t="s">
        <v>337</v>
      </c>
      <c r="F17" t="s">
        <v>338</v>
      </c>
      <c r="G17" t="s">
        <v>349</v>
      </c>
      <c r="H17" t="s">
        <v>340</v>
      </c>
      <c r="I17" t="s">
        <v>341</v>
      </c>
      <c r="J17" t="s">
        <v>55</v>
      </c>
      <c r="K17" t="s">
        <v>342</v>
      </c>
      <c r="L17">
        <v>-64.529454880000003</v>
      </c>
      <c r="M17" t="s">
        <v>343</v>
      </c>
      <c r="O17">
        <f t="shared" si="0"/>
        <v>-438.98413973042517</v>
      </c>
    </row>
    <row r="18" spans="3:20" x14ac:dyDescent="0.25">
      <c r="D18">
        <v>0.622</v>
      </c>
      <c r="E18" t="s">
        <v>337</v>
      </c>
      <c r="F18" t="s">
        <v>338</v>
      </c>
      <c r="G18" t="s">
        <v>350</v>
      </c>
      <c r="H18" t="s">
        <v>340</v>
      </c>
      <c r="I18" t="s">
        <v>341</v>
      </c>
      <c r="J18" t="s">
        <v>55</v>
      </c>
      <c r="K18" t="s">
        <v>342</v>
      </c>
      <c r="L18">
        <v>-64.530192569999997</v>
      </c>
      <c r="M18" t="s">
        <v>343</v>
      </c>
      <c r="O18">
        <f t="shared" si="0"/>
        <v>-438.98915812412827</v>
      </c>
    </row>
    <row r="19" spans="3:20" x14ac:dyDescent="0.25">
      <c r="C19" t="s">
        <v>360</v>
      </c>
      <c r="D19">
        <v>0.623</v>
      </c>
      <c r="E19" t="s">
        <v>337</v>
      </c>
      <c r="F19" t="s">
        <v>338</v>
      </c>
      <c r="G19" t="s">
        <v>351</v>
      </c>
      <c r="H19" t="s">
        <v>340</v>
      </c>
      <c r="I19" t="s">
        <v>341</v>
      </c>
      <c r="J19" t="s">
        <v>55</v>
      </c>
      <c r="K19" t="s">
        <v>342</v>
      </c>
      <c r="L19">
        <v>-64.530383259999994</v>
      </c>
      <c r="M19" t="s">
        <v>343</v>
      </c>
      <c r="O19">
        <f t="shared" si="0"/>
        <v>-438.99045535941036</v>
      </c>
    </row>
    <row r="20" spans="3:20" x14ac:dyDescent="0.25">
      <c r="D20">
        <v>0.624</v>
      </c>
      <c r="E20" t="s">
        <v>337</v>
      </c>
      <c r="F20" t="s">
        <v>338</v>
      </c>
      <c r="G20" t="s">
        <v>352</v>
      </c>
      <c r="H20" t="s">
        <v>340</v>
      </c>
      <c r="I20" t="s">
        <v>341</v>
      </c>
      <c r="J20" t="s">
        <v>55</v>
      </c>
      <c r="K20" t="s">
        <v>342</v>
      </c>
      <c r="L20">
        <v>-64.530063870000006</v>
      </c>
      <c r="M20" t="s">
        <v>343</v>
      </c>
      <c r="O20">
        <f t="shared" si="0"/>
        <v>-438.98828259745778</v>
      </c>
    </row>
    <row r="21" spans="3:20" x14ac:dyDescent="0.25">
      <c r="D21">
        <v>0.625</v>
      </c>
      <c r="E21" t="s">
        <v>337</v>
      </c>
      <c r="F21" t="s">
        <v>338</v>
      </c>
      <c r="G21" t="s">
        <v>353</v>
      </c>
      <c r="H21" t="s">
        <v>340</v>
      </c>
      <c r="I21" t="s">
        <v>341</v>
      </c>
      <c r="J21" t="s">
        <v>55</v>
      </c>
      <c r="K21" t="s">
        <v>342</v>
      </c>
      <c r="L21">
        <v>-64.52926909</v>
      </c>
      <c r="M21" t="s">
        <v>343</v>
      </c>
      <c r="O21">
        <f t="shared" si="0"/>
        <v>-438.98287582910331</v>
      </c>
    </row>
    <row r="24" spans="3:20" x14ac:dyDescent="0.25">
      <c r="L24">
        <f>MIN(L11:L21)</f>
        <v>-64.530383259999994</v>
      </c>
    </row>
    <row r="25" spans="3:20" x14ac:dyDescent="0.25">
      <c r="L25">
        <f>L24*$N$5/2</f>
        <v>-438.99045535941036</v>
      </c>
      <c r="O25">
        <v>-438.99045535941036</v>
      </c>
    </row>
    <row r="27" spans="3:20" x14ac:dyDescent="0.25">
      <c r="C27" t="s">
        <v>407</v>
      </c>
      <c r="E27" t="s">
        <v>115</v>
      </c>
      <c r="S27" t="s">
        <v>301</v>
      </c>
    </row>
    <row r="28" spans="3:20" x14ac:dyDescent="0.25">
      <c r="L28" t="s">
        <v>115</v>
      </c>
      <c r="S28" t="s">
        <v>115</v>
      </c>
    </row>
    <row r="30" spans="3:20" x14ac:dyDescent="0.25">
      <c r="D30">
        <v>0.61499999999999999</v>
      </c>
      <c r="E30" t="s">
        <v>337</v>
      </c>
      <c r="F30" t="s">
        <v>338</v>
      </c>
      <c r="G30" t="s">
        <v>339</v>
      </c>
      <c r="H30" t="s">
        <v>340</v>
      </c>
      <c r="I30" t="s">
        <v>341</v>
      </c>
      <c r="J30" t="s">
        <v>55</v>
      </c>
      <c r="K30" t="s">
        <v>342</v>
      </c>
      <c r="L30">
        <v>-63.152498190000003</v>
      </c>
      <c r="M30" t="s">
        <v>343</v>
      </c>
      <c r="Q30" t="s">
        <v>354</v>
      </c>
      <c r="S30" t="s">
        <v>357</v>
      </c>
      <c r="T30">
        <v>14.2765</v>
      </c>
    </row>
    <row r="31" spans="3:20" x14ac:dyDescent="0.25">
      <c r="D31">
        <v>0.61599999999999999</v>
      </c>
      <c r="E31" t="s">
        <v>337</v>
      </c>
      <c r="F31" t="s">
        <v>338</v>
      </c>
      <c r="G31" t="s">
        <v>344</v>
      </c>
      <c r="H31" t="s">
        <v>340</v>
      </c>
      <c r="I31" t="s">
        <v>341</v>
      </c>
      <c r="J31" t="s">
        <v>55</v>
      </c>
      <c r="K31" t="s">
        <v>342</v>
      </c>
      <c r="L31">
        <v>-63.156882750000001</v>
      </c>
      <c r="M31" t="s">
        <v>343</v>
      </c>
      <c r="S31" t="s">
        <v>126</v>
      </c>
      <c r="T31">
        <v>2.3387199999999999</v>
      </c>
    </row>
    <row r="32" spans="3:20" x14ac:dyDescent="0.25">
      <c r="D32">
        <v>0.61699999999999999</v>
      </c>
      <c r="E32" t="s">
        <v>337</v>
      </c>
      <c r="F32" t="s">
        <v>338</v>
      </c>
      <c r="G32" t="s">
        <v>345</v>
      </c>
      <c r="H32" t="s">
        <v>340</v>
      </c>
      <c r="I32" t="s">
        <v>341</v>
      </c>
      <c r="J32" t="s">
        <v>55</v>
      </c>
      <c r="K32" t="s">
        <v>342</v>
      </c>
      <c r="L32">
        <v>-63.16043758</v>
      </c>
      <c r="M32" t="s">
        <v>343</v>
      </c>
    </row>
    <row r="33" spans="3:20" x14ac:dyDescent="0.25">
      <c r="D33">
        <v>0.61799999999999999</v>
      </c>
      <c r="E33" t="s">
        <v>337</v>
      </c>
      <c r="F33" t="s">
        <v>338</v>
      </c>
      <c r="G33" t="s">
        <v>346</v>
      </c>
      <c r="H33" t="s">
        <v>340</v>
      </c>
      <c r="I33" t="s">
        <v>341</v>
      </c>
      <c r="J33" t="s">
        <v>55</v>
      </c>
      <c r="K33" t="s">
        <v>342</v>
      </c>
      <c r="L33">
        <v>-63.163214060000001</v>
      </c>
      <c r="M33" t="s">
        <v>343</v>
      </c>
      <c r="S33" t="s">
        <v>116</v>
      </c>
    </row>
    <row r="34" spans="3:20" x14ac:dyDescent="0.25">
      <c r="D34">
        <v>0.61899999999999999</v>
      </c>
      <c r="E34" t="s">
        <v>337</v>
      </c>
      <c r="F34" t="s">
        <v>338</v>
      </c>
      <c r="G34" t="s">
        <v>347</v>
      </c>
      <c r="H34" t="s">
        <v>340</v>
      </c>
      <c r="I34" t="s">
        <v>341</v>
      </c>
      <c r="J34" t="s">
        <v>55</v>
      </c>
      <c r="K34" t="s">
        <v>342</v>
      </c>
      <c r="L34">
        <v>-63.165269309999999</v>
      </c>
      <c r="M34" t="s">
        <v>343</v>
      </c>
      <c r="S34" t="s">
        <v>129</v>
      </c>
      <c r="T34">
        <v>15.453490560000001</v>
      </c>
    </row>
    <row r="35" spans="3:20" x14ac:dyDescent="0.25">
      <c r="D35">
        <v>0.62</v>
      </c>
      <c r="E35" t="s">
        <v>337</v>
      </c>
      <c r="F35" t="s">
        <v>338</v>
      </c>
      <c r="G35" t="s">
        <v>348</v>
      </c>
      <c r="H35" t="s">
        <v>340</v>
      </c>
      <c r="I35" t="s">
        <v>341</v>
      </c>
      <c r="J35" t="s">
        <v>55</v>
      </c>
      <c r="K35" t="s">
        <v>342</v>
      </c>
      <c r="L35">
        <v>-63.166661300000001</v>
      </c>
      <c r="M35" t="s">
        <v>343</v>
      </c>
      <c r="S35" t="s">
        <v>130</v>
      </c>
      <c r="T35">
        <v>2.5638525369999998</v>
      </c>
    </row>
    <row r="36" spans="3:20" x14ac:dyDescent="0.25">
      <c r="D36">
        <v>0.621</v>
      </c>
      <c r="E36" t="s">
        <v>337</v>
      </c>
      <c r="F36" t="s">
        <v>338</v>
      </c>
      <c r="G36" t="s">
        <v>349</v>
      </c>
      <c r="H36" t="s">
        <v>340</v>
      </c>
      <c r="I36" t="s">
        <v>341</v>
      </c>
      <c r="J36" t="s">
        <v>55</v>
      </c>
      <c r="K36" t="s">
        <v>342</v>
      </c>
      <c r="L36">
        <v>-63.167434020000002</v>
      </c>
      <c r="M36" t="s">
        <v>343</v>
      </c>
    </row>
    <row r="37" spans="3:20" x14ac:dyDescent="0.25">
      <c r="C37" t="s">
        <v>360</v>
      </c>
      <c r="D37">
        <v>0.622</v>
      </c>
      <c r="E37" t="s">
        <v>337</v>
      </c>
      <c r="F37" t="s">
        <v>338</v>
      </c>
      <c r="G37" t="s">
        <v>350</v>
      </c>
      <c r="H37" t="s">
        <v>340</v>
      </c>
      <c r="I37" t="s">
        <v>341</v>
      </c>
      <c r="J37" t="s">
        <v>55</v>
      </c>
      <c r="K37" t="s">
        <v>342</v>
      </c>
      <c r="L37">
        <v>-63.167631630000002</v>
      </c>
      <c r="M37" t="s">
        <v>343</v>
      </c>
      <c r="S37" t="s">
        <v>355</v>
      </c>
    </row>
    <row r="38" spans="3:20" x14ac:dyDescent="0.25">
      <c r="D38">
        <v>0.623</v>
      </c>
      <c r="E38" t="s">
        <v>337</v>
      </c>
      <c r="F38" t="s">
        <v>338</v>
      </c>
      <c r="G38" t="s">
        <v>351</v>
      </c>
      <c r="H38" t="s">
        <v>340</v>
      </c>
      <c r="I38" t="s">
        <v>341</v>
      </c>
      <c r="J38" t="s">
        <v>55</v>
      </c>
      <c r="K38" t="s">
        <v>342</v>
      </c>
      <c r="L38">
        <v>-63.167289340000004</v>
      </c>
      <c r="M38" t="s">
        <v>343</v>
      </c>
      <c r="S38" t="s">
        <v>125</v>
      </c>
      <c r="T38">
        <v>14.86499528</v>
      </c>
    </row>
    <row r="39" spans="3:20" x14ac:dyDescent="0.25">
      <c r="D39">
        <v>0.624</v>
      </c>
      <c r="E39" t="s">
        <v>337</v>
      </c>
      <c r="F39" t="s">
        <v>338</v>
      </c>
      <c r="G39" t="s">
        <v>352</v>
      </c>
      <c r="H39" t="s">
        <v>340</v>
      </c>
      <c r="I39" t="s">
        <v>341</v>
      </c>
      <c r="J39" t="s">
        <v>55</v>
      </c>
      <c r="K39" t="s">
        <v>342</v>
      </c>
      <c r="L39">
        <v>-63.166500159999998</v>
      </c>
      <c r="M39" t="s">
        <v>343</v>
      </c>
      <c r="S39" t="s">
        <v>126</v>
      </c>
      <c r="T39">
        <v>2.4512862690000001</v>
      </c>
    </row>
    <row r="40" spans="3:20" x14ac:dyDescent="0.25">
      <c r="D40">
        <v>0.625</v>
      </c>
      <c r="E40" t="s">
        <v>337</v>
      </c>
      <c r="F40" t="s">
        <v>338</v>
      </c>
      <c r="G40" t="s">
        <v>353</v>
      </c>
      <c r="H40" t="s">
        <v>340</v>
      </c>
      <c r="I40" t="s">
        <v>341</v>
      </c>
      <c r="J40" t="s">
        <v>55</v>
      </c>
      <c r="K40" t="s">
        <v>342</v>
      </c>
      <c r="L40">
        <v>-63.165220599999998</v>
      </c>
      <c r="M40" t="s">
        <v>343</v>
      </c>
    </row>
    <row r="41" spans="3:20" x14ac:dyDescent="0.25">
      <c r="S41" t="s">
        <v>227</v>
      </c>
    </row>
    <row r="42" spans="3:20" x14ac:dyDescent="0.25">
      <c r="Q42" t="s">
        <v>305</v>
      </c>
      <c r="S42" t="s">
        <v>129</v>
      </c>
      <c r="T42">
        <v>16.18709381</v>
      </c>
    </row>
    <row r="43" spans="3:20" x14ac:dyDescent="0.25">
      <c r="L43">
        <f>MIN(L30:L40)</f>
        <v>-63.167631630000002</v>
      </c>
      <c r="S43" t="s">
        <v>130</v>
      </c>
      <c r="T43">
        <v>2.828762486</v>
      </c>
    </row>
    <row r="44" spans="3:20" x14ac:dyDescent="0.25">
      <c r="L44">
        <f>L43*$N$5/2</f>
        <v>-429.71986175104576</v>
      </c>
    </row>
    <row r="45" spans="3:20" x14ac:dyDescent="0.25">
      <c r="C45" t="s">
        <v>407</v>
      </c>
      <c r="E45" t="s">
        <v>116</v>
      </c>
      <c r="S45" t="s">
        <v>228</v>
      </c>
    </row>
    <row r="46" spans="3:20" x14ac:dyDescent="0.25">
      <c r="S46" t="s">
        <v>125</v>
      </c>
      <c r="T46">
        <v>17.814900000000002</v>
      </c>
    </row>
    <row r="47" spans="3:20" x14ac:dyDescent="0.25">
      <c r="D47">
        <v>0.61499999999999999</v>
      </c>
      <c r="E47" t="s">
        <v>337</v>
      </c>
      <c r="F47" t="s">
        <v>338</v>
      </c>
      <c r="G47" t="s">
        <v>339</v>
      </c>
      <c r="H47" t="s">
        <v>340</v>
      </c>
      <c r="I47" t="s">
        <v>341</v>
      </c>
      <c r="J47" t="s">
        <v>55</v>
      </c>
      <c r="K47" t="s">
        <v>342</v>
      </c>
      <c r="L47">
        <v>-63.033873419999999</v>
      </c>
      <c r="M47" t="s">
        <v>343</v>
      </c>
      <c r="S47" t="s">
        <v>126</v>
      </c>
      <c r="T47">
        <v>3.1438700000000002</v>
      </c>
    </row>
    <row r="48" spans="3:20" x14ac:dyDescent="0.25">
      <c r="D48">
        <v>0.61599999999999999</v>
      </c>
      <c r="E48" t="s">
        <v>337</v>
      </c>
      <c r="F48" t="s">
        <v>338</v>
      </c>
      <c r="G48" t="s">
        <v>344</v>
      </c>
      <c r="H48" t="s">
        <v>340</v>
      </c>
      <c r="I48" t="s">
        <v>341</v>
      </c>
      <c r="J48" t="s">
        <v>55</v>
      </c>
      <c r="K48" t="s">
        <v>342</v>
      </c>
      <c r="L48">
        <v>-63.038246909999998</v>
      </c>
      <c r="M48" t="s">
        <v>343</v>
      </c>
    </row>
    <row r="49" spans="3:20" x14ac:dyDescent="0.25">
      <c r="D49">
        <v>0.61699999999999999</v>
      </c>
      <c r="E49" t="s">
        <v>337</v>
      </c>
      <c r="F49" t="s">
        <v>338</v>
      </c>
      <c r="G49" t="s">
        <v>345</v>
      </c>
      <c r="H49" t="s">
        <v>340</v>
      </c>
      <c r="I49" t="s">
        <v>341</v>
      </c>
      <c r="J49" t="s">
        <v>55</v>
      </c>
      <c r="K49" t="s">
        <v>342</v>
      </c>
      <c r="L49">
        <v>-63.04178435</v>
      </c>
      <c r="M49" t="s">
        <v>343</v>
      </c>
      <c r="S49" t="s">
        <v>355</v>
      </c>
    </row>
    <row r="50" spans="3:20" x14ac:dyDescent="0.25">
      <c r="D50">
        <v>0.61799999999999999</v>
      </c>
      <c r="E50" t="s">
        <v>337</v>
      </c>
      <c r="F50" t="s">
        <v>338</v>
      </c>
      <c r="G50" t="s">
        <v>346</v>
      </c>
      <c r="H50" t="s">
        <v>340</v>
      </c>
      <c r="I50" t="s">
        <v>341</v>
      </c>
      <c r="J50" t="s">
        <v>55</v>
      </c>
      <c r="K50" t="s">
        <v>342</v>
      </c>
      <c r="L50">
        <v>-63.044556409999998</v>
      </c>
      <c r="M50" t="s">
        <v>343</v>
      </c>
      <c r="S50" t="s">
        <v>125</v>
      </c>
      <c r="T50">
        <v>17.000996910000001</v>
      </c>
    </row>
    <row r="51" spans="3:20" x14ac:dyDescent="0.25">
      <c r="D51">
        <v>0.61899999999999999</v>
      </c>
      <c r="E51" t="s">
        <v>337</v>
      </c>
      <c r="F51" t="s">
        <v>338</v>
      </c>
      <c r="G51" t="s">
        <v>347</v>
      </c>
      <c r="H51" t="s">
        <v>340</v>
      </c>
      <c r="I51" t="s">
        <v>341</v>
      </c>
      <c r="J51" t="s">
        <v>55</v>
      </c>
      <c r="K51" t="s">
        <v>342</v>
      </c>
      <c r="L51">
        <v>-63.046586939999997</v>
      </c>
      <c r="M51" t="s">
        <v>343</v>
      </c>
      <c r="S51" t="s">
        <v>126</v>
      </c>
      <c r="T51">
        <v>2.9863162430000001</v>
      </c>
    </row>
    <row r="52" spans="3:20" x14ac:dyDescent="0.25">
      <c r="D52">
        <v>0.62</v>
      </c>
      <c r="E52" t="s">
        <v>337</v>
      </c>
      <c r="F52" t="s">
        <v>338</v>
      </c>
      <c r="G52" t="s">
        <v>348</v>
      </c>
      <c r="H52" t="s">
        <v>340</v>
      </c>
      <c r="I52" t="s">
        <v>341</v>
      </c>
      <c r="J52" t="s">
        <v>55</v>
      </c>
      <c r="K52" t="s">
        <v>342</v>
      </c>
      <c r="L52">
        <v>-63.047986969999997</v>
      </c>
      <c r="M52" t="s">
        <v>343</v>
      </c>
    </row>
    <row r="53" spans="3:20" x14ac:dyDescent="0.25">
      <c r="D53">
        <v>0.621</v>
      </c>
      <c r="E53" t="s">
        <v>337</v>
      </c>
      <c r="F53" t="s">
        <v>338</v>
      </c>
      <c r="G53" t="s">
        <v>349</v>
      </c>
      <c r="H53" t="s">
        <v>340</v>
      </c>
      <c r="I53" t="s">
        <v>341</v>
      </c>
      <c r="J53" t="s">
        <v>55</v>
      </c>
      <c r="K53" t="s">
        <v>342</v>
      </c>
      <c r="L53">
        <v>-63.048867479999998</v>
      </c>
      <c r="M53" t="s">
        <v>343</v>
      </c>
      <c r="Q53" t="s">
        <v>356</v>
      </c>
    </row>
    <row r="54" spans="3:20" x14ac:dyDescent="0.25">
      <c r="D54">
        <v>0.622</v>
      </c>
      <c r="E54" t="s">
        <v>337</v>
      </c>
      <c r="F54" t="s">
        <v>338</v>
      </c>
      <c r="G54" t="s">
        <v>350</v>
      </c>
      <c r="H54" t="s">
        <v>340</v>
      </c>
      <c r="I54" t="s">
        <v>341</v>
      </c>
      <c r="J54" t="s">
        <v>55</v>
      </c>
      <c r="K54" t="s">
        <v>342</v>
      </c>
      <c r="L54">
        <v>-63.048950849999997</v>
      </c>
      <c r="M54" t="s">
        <v>343</v>
      </c>
    </row>
    <row r="55" spans="3:20" x14ac:dyDescent="0.25">
      <c r="D55">
        <v>0.623</v>
      </c>
      <c r="E55" t="s">
        <v>337</v>
      </c>
      <c r="F55" t="s">
        <v>338</v>
      </c>
      <c r="G55" t="s">
        <v>351</v>
      </c>
      <c r="H55" t="s">
        <v>340</v>
      </c>
      <c r="I55" t="s">
        <v>341</v>
      </c>
      <c r="J55" t="s">
        <v>55</v>
      </c>
      <c r="K55" t="s">
        <v>342</v>
      </c>
      <c r="L55">
        <v>-63.048617989999997</v>
      </c>
      <c r="M55" t="s">
        <v>343</v>
      </c>
      <c r="S55" t="s">
        <v>125</v>
      </c>
      <c r="T55">
        <v>11.240500000000001</v>
      </c>
    </row>
    <row r="56" spans="3:20" x14ac:dyDescent="0.25">
      <c r="D56">
        <v>0.624</v>
      </c>
      <c r="E56" t="s">
        <v>337</v>
      </c>
      <c r="F56" t="s">
        <v>338</v>
      </c>
      <c r="G56" t="s">
        <v>352</v>
      </c>
      <c r="H56" t="s">
        <v>340</v>
      </c>
      <c r="I56" t="s">
        <v>341</v>
      </c>
      <c r="J56" t="s">
        <v>55</v>
      </c>
      <c r="K56" t="s">
        <v>342</v>
      </c>
      <c r="L56">
        <v>-63.04779138</v>
      </c>
      <c r="M56" t="s">
        <v>343</v>
      </c>
      <c r="S56" t="s">
        <v>126</v>
      </c>
      <c r="T56">
        <v>1.6988700000000001</v>
      </c>
    </row>
    <row r="57" spans="3:20" x14ac:dyDescent="0.25">
      <c r="D57">
        <v>0.625</v>
      </c>
    </row>
    <row r="60" spans="3:20" x14ac:dyDescent="0.25">
      <c r="L60">
        <f>MIN(L47:L57)</f>
        <v>-63.048950849999997</v>
      </c>
    </row>
    <row r="61" spans="3:20" x14ac:dyDescent="0.25">
      <c r="L61">
        <f>L60*$N$5/2</f>
        <v>-428.91249432158702</v>
      </c>
    </row>
    <row r="63" spans="3:20" x14ac:dyDescent="0.25">
      <c r="C63" t="s">
        <v>407</v>
      </c>
      <c r="E63" t="s">
        <v>355</v>
      </c>
    </row>
    <row r="64" spans="3:20" x14ac:dyDescent="0.25">
      <c r="D64">
        <v>0.61499999999999999</v>
      </c>
      <c r="E64" t="s">
        <v>337</v>
      </c>
      <c r="F64" t="s">
        <v>338</v>
      </c>
      <c r="G64" t="s">
        <v>339</v>
      </c>
      <c r="H64" t="s">
        <v>340</v>
      </c>
      <c r="I64" t="s">
        <v>341</v>
      </c>
      <c r="J64" t="s">
        <v>55</v>
      </c>
      <c r="K64" t="s">
        <v>342</v>
      </c>
      <c r="L64">
        <v>-63.093178309999999</v>
      </c>
      <c r="M64" t="s">
        <v>343</v>
      </c>
    </row>
    <row r="65" spans="4:13" x14ac:dyDescent="0.25">
      <c r="D65">
        <v>0.61599999999999999</v>
      </c>
      <c r="E65" t="s">
        <v>337</v>
      </c>
      <c r="F65" t="s">
        <v>338</v>
      </c>
      <c r="G65" t="s">
        <v>344</v>
      </c>
      <c r="H65" t="s">
        <v>340</v>
      </c>
      <c r="I65" t="s">
        <v>341</v>
      </c>
      <c r="J65" t="s">
        <v>55</v>
      </c>
      <c r="K65" t="s">
        <v>342</v>
      </c>
      <c r="L65">
        <v>-63.097562570000001</v>
      </c>
      <c r="M65" t="s">
        <v>343</v>
      </c>
    </row>
    <row r="66" spans="4:13" x14ac:dyDescent="0.25">
      <c r="D66">
        <v>0.61699999999999999</v>
      </c>
      <c r="E66" t="s">
        <v>337</v>
      </c>
      <c r="F66" t="s">
        <v>338</v>
      </c>
      <c r="G66" t="s">
        <v>345</v>
      </c>
      <c r="H66" t="s">
        <v>340</v>
      </c>
      <c r="I66" t="s">
        <v>341</v>
      </c>
      <c r="J66" t="s">
        <v>55</v>
      </c>
      <c r="K66" t="s">
        <v>342</v>
      </c>
      <c r="L66">
        <v>-63.101109829999999</v>
      </c>
      <c r="M66" t="s">
        <v>343</v>
      </c>
    </row>
    <row r="67" spans="4:13" x14ac:dyDescent="0.25">
      <c r="D67">
        <v>0.61799999999999999</v>
      </c>
      <c r="E67" t="s">
        <v>337</v>
      </c>
      <c r="F67" t="s">
        <v>338</v>
      </c>
      <c r="G67" t="s">
        <v>346</v>
      </c>
      <c r="H67" t="s">
        <v>340</v>
      </c>
      <c r="I67" t="s">
        <v>341</v>
      </c>
      <c r="J67" t="s">
        <v>55</v>
      </c>
      <c r="K67" t="s">
        <v>342</v>
      </c>
      <c r="L67">
        <v>-63.103880850000003</v>
      </c>
      <c r="M67" t="s">
        <v>343</v>
      </c>
    </row>
    <row r="68" spans="4:13" x14ac:dyDescent="0.25">
      <c r="D68">
        <v>0.61899999999999999</v>
      </c>
      <c r="E68" t="s">
        <v>337</v>
      </c>
      <c r="F68" t="s">
        <v>338</v>
      </c>
      <c r="G68" t="s">
        <v>347</v>
      </c>
      <c r="H68" t="s">
        <v>340</v>
      </c>
      <c r="I68" t="s">
        <v>341</v>
      </c>
      <c r="J68" t="s">
        <v>55</v>
      </c>
      <c r="K68" t="s">
        <v>342</v>
      </c>
      <c r="L68">
        <v>-63.105932160000002</v>
      </c>
      <c r="M68" t="s">
        <v>343</v>
      </c>
    </row>
    <row r="69" spans="4:13" x14ac:dyDescent="0.25">
      <c r="D69">
        <v>0.62</v>
      </c>
      <c r="E69" t="s">
        <v>337</v>
      </c>
      <c r="F69" t="s">
        <v>338</v>
      </c>
      <c r="G69" t="s">
        <v>348</v>
      </c>
      <c r="H69" t="s">
        <v>340</v>
      </c>
      <c r="I69" t="s">
        <v>341</v>
      </c>
      <c r="J69" t="s">
        <v>55</v>
      </c>
      <c r="K69" t="s">
        <v>342</v>
      </c>
      <c r="L69">
        <v>-63.107316259999997</v>
      </c>
      <c r="M69" t="s">
        <v>343</v>
      </c>
    </row>
    <row r="70" spans="4:13" x14ac:dyDescent="0.25">
      <c r="D70">
        <v>0.621</v>
      </c>
      <c r="E70" t="s">
        <v>337</v>
      </c>
      <c r="F70" t="s">
        <v>338</v>
      </c>
      <c r="G70" t="s">
        <v>349</v>
      </c>
      <c r="H70" t="s">
        <v>340</v>
      </c>
      <c r="I70" t="s">
        <v>341</v>
      </c>
      <c r="J70" t="s">
        <v>55</v>
      </c>
      <c r="K70" t="s">
        <v>342</v>
      </c>
      <c r="L70">
        <v>-63.108091729999998</v>
      </c>
      <c r="M70" t="s">
        <v>343</v>
      </c>
    </row>
    <row r="71" spans="4:13" x14ac:dyDescent="0.25">
      <c r="D71">
        <v>0.622</v>
      </c>
      <c r="E71" t="s">
        <v>337</v>
      </c>
      <c r="F71" t="s">
        <v>338</v>
      </c>
      <c r="G71" t="s">
        <v>350</v>
      </c>
      <c r="H71" t="s">
        <v>340</v>
      </c>
      <c r="I71" t="s">
        <v>341</v>
      </c>
      <c r="J71" t="s">
        <v>55</v>
      </c>
      <c r="K71" t="s">
        <v>342</v>
      </c>
      <c r="L71">
        <v>-63.10828996</v>
      </c>
      <c r="M71" t="s">
        <v>343</v>
      </c>
    </row>
    <row r="72" spans="4:13" x14ac:dyDescent="0.25">
      <c r="D72">
        <v>0.623</v>
      </c>
      <c r="E72" t="s">
        <v>337</v>
      </c>
      <c r="F72" t="s">
        <v>338</v>
      </c>
      <c r="G72" t="s">
        <v>351</v>
      </c>
      <c r="H72" t="s">
        <v>340</v>
      </c>
      <c r="I72" t="s">
        <v>341</v>
      </c>
      <c r="J72" t="s">
        <v>55</v>
      </c>
      <c r="K72" t="s">
        <v>342</v>
      </c>
      <c r="L72">
        <v>-63.107960089999999</v>
      </c>
      <c r="M72" t="s">
        <v>343</v>
      </c>
    </row>
    <row r="73" spans="4:13" x14ac:dyDescent="0.25">
      <c r="D73">
        <v>0.624</v>
      </c>
      <c r="E73" t="s">
        <v>337</v>
      </c>
      <c r="F73" t="s">
        <v>338</v>
      </c>
      <c r="G73" t="s">
        <v>352</v>
      </c>
      <c r="H73" t="s">
        <v>340</v>
      </c>
      <c r="I73" t="s">
        <v>341</v>
      </c>
      <c r="J73" t="s">
        <v>55</v>
      </c>
      <c r="K73" t="s">
        <v>342</v>
      </c>
      <c r="L73">
        <v>-63.107138990000003</v>
      </c>
      <c r="M73" t="s">
        <v>343</v>
      </c>
    </row>
    <row r="74" spans="4:13" x14ac:dyDescent="0.25">
      <c r="D74">
        <v>0.625</v>
      </c>
      <c r="E74" t="s">
        <v>337</v>
      </c>
      <c r="F74" t="s">
        <v>338</v>
      </c>
      <c r="G74" t="s">
        <v>353</v>
      </c>
      <c r="H74" t="s">
        <v>340</v>
      </c>
      <c r="I74" t="s">
        <v>358</v>
      </c>
      <c r="K74" t="s">
        <v>342</v>
      </c>
      <c r="M74" t="s">
        <v>343</v>
      </c>
    </row>
    <row r="78" spans="4:13" x14ac:dyDescent="0.25">
      <c r="L78">
        <f>MIN(L65:L75)</f>
        <v>-63.10828996</v>
      </c>
    </row>
    <row r="79" spans="4:13" x14ac:dyDescent="0.25">
      <c r="L79">
        <f>L78*$N$5/2</f>
        <v>-429.31616932866962</v>
      </c>
    </row>
    <row r="83" spans="3:13" x14ac:dyDescent="0.25">
      <c r="E83" t="s">
        <v>408</v>
      </c>
    </row>
    <row r="86" spans="3:13" x14ac:dyDescent="0.25">
      <c r="D86">
        <v>0.61499999999999999</v>
      </c>
      <c r="E86" t="s">
        <v>337</v>
      </c>
      <c r="F86" t="s">
        <v>338</v>
      </c>
      <c r="G86" t="s">
        <v>339</v>
      </c>
      <c r="H86" t="s">
        <v>340</v>
      </c>
      <c r="I86" t="s">
        <v>341</v>
      </c>
      <c r="J86" t="s">
        <v>55</v>
      </c>
      <c r="K86" t="s">
        <v>342</v>
      </c>
      <c r="L86">
        <v>-63.471422369999999</v>
      </c>
      <c r="M86" t="s">
        <v>343</v>
      </c>
    </row>
    <row r="87" spans="3:13" x14ac:dyDescent="0.25">
      <c r="D87">
        <v>0.61599999999999999</v>
      </c>
      <c r="E87" t="s">
        <v>337</v>
      </c>
      <c r="F87" t="s">
        <v>338</v>
      </c>
      <c r="G87" t="s">
        <v>344</v>
      </c>
      <c r="H87" t="s">
        <v>340</v>
      </c>
      <c r="I87" t="s">
        <v>341</v>
      </c>
      <c r="J87" t="s">
        <v>55</v>
      </c>
      <c r="K87" t="s">
        <v>342</v>
      </c>
      <c r="L87">
        <v>-63.475740610000003</v>
      </c>
      <c r="M87" t="s">
        <v>343</v>
      </c>
    </row>
    <row r="88" spans="3:13" x14ac:dyDescent="0.25">
      <c r="D88">
        <v>0.61699999999999999</v>
      </c>
      <c r="E88" t="s">
        <v>337</v>
      </c>
      <c r="F88" t="s">
        <v>338</v>
      </c>
      <c r="G88" t="s">
        <v>345</v>
      </c>
      <c r="H88" t="s">
        <v>340</v>
      </c>
      <c r="I88" t="s">
        <v>341</v>
      </c>
      <c r="J88" t="s">
        <v>55</v>
      </c>
      <c r="K88" t="s">
        <v>342</v>
      </c>
      <c r="L88">
        <v>-63.479223310000002</v>
      </c>
      <c r="M88" t="s">
        <v>343</v>
      </c>
    </row>
    <row r="89" spans="3:13" x14ac:dyDescent="0.25">
      <c r="D89">
        <v>0.61799999999999999</v>
      </c>
      <c r="E89" t="s">
        <v>337</v>
      </c>
      <c r="F89" t="s">
        <v>338</v>
      </c>
      <c r="G89" t="s">
        <v>346</v>
      </c>
      <c r="H89" t="s">
        <v>340</v>
      </c>
      <c r="I89" t="s">
        <v>341</v>
      </c>
      <c r="J89" t="s">
        <v>55</v>
      </c>
      <c r="K89" t="s">
        <v>342</v>
      </c>
      <c r="L89">
        <v>-63.48193096</v>
      </c>
      <c r="M89" t="s">
        <v>343</v>
      </c>
    </row>
    <row r="90" spans="3:13" x14ac:dyDescent="0.25">
      <c r="D90">
        <v>0.61899999999999999</v>
      </c>
      <c r="E90" t="s">
        <v>337</v>
      </c>
      <c r="F90" t="s">
        <v>338</v>
      </c>
      <c r="G90" t="s">
        <v>347</v>
      </c>
      <c r="H90" t="s">
        <v>340</v>
      </c>
      <c r="I90" t="s">
        <v>341</v>
      </c>
      <c r="J90" t="s">
        <v>55</v>
      </c>
      <c r="K90" t="s">
        <v>342</v>
      </c>
      <c r="L90">
        <v>-63.483917630000001</v>
      </c>
      <c r="M90" t="s">
        <v>343</v>
      </c>
    </row>
    <row r="91" spans="3:13" x14ac:dyDescent="0.25">
      <c r="D91">
        <v>0.62</v>
      </c>
      <c r="E91" t="s">
        <v>337</v>
      </c>
      <c r="F91" t="s">
        <v>338</v>
      </c>
      <c r="G91" t="s">
        <v>348</v>
      </c>
      <c r="H91" t="s">
        <v>340</v>
      </c>
      <c r="I91" t="s">
        <v>341</v>
      </c>
      <c r="J91" t="s">
        <v>55</v>
      </c>
      <c r="K91" t="s">
        <v>342</v>
      </c>
      <c r="L91">
        <v>-63.485236450000002</v>
      </c>
      <c r="M91" t="s">
        <v>343</v>
      </c>
    </row>
    <row r="92" spans="3:13" x14ac:dyDescent="0.25">
      <c r="D92">
        <v>0.621</v>
      </c>
      <c r="E92" t="s">
        <v>337</v>
      </c>
      <c r="F92" t="s">
        <v>338</v>
      </c>
      <c r="G92" t="s">
        <v>349</v>
      </c>
      <c r="H92" t="s">
        <v>340</v>
      </c>
      <c r="I92" t="s">
        <v>341</v>
      </c>
      <c r="J92" t="s">
        <v>55</v>
      </c>
      <c r="K92" t="s">
        <v>342</v>
      </c>
      <c r="L92">
        <v>-63.485932910000002</v>
      </c>
      <c r="M92" t="s">
        <v>343</v>
      </c>
    </row>
    <row r="93" spans="3:13" x14ac:dyDescent="0.25">
      <c r="C93" t="s">
        <v>360</v>
      </c>
      <c r="D93">
        <v>0.622</v>
      </c>
      <c r="E93" t="s">
        <v>337</v>
      </c>
      <c r="F93" t="s">
        <v>338</v>
      </c>
      <c r="G93" t="s">
        <v>350</v>
      </c>
      <c r="H93" t="s">
        <v>340</v>
      </c>
      <c r="I93" t="s">
        <v>341</v>
      </c>
      <c r="J93" t="s">
        <v>55</v>
      </c>
      <c r="K93" t="s">
        <v>342</v>
      </c>
      <c r="L93">
        <v>-63.48605697</v>
      </c>
      <c r="M93" t="s">
        <v>343</v>
      </c>
    </row>
    <row r="94" spans="3:13" x14ac:dyDescent="0.25">
      <c r="D94">
        <v>0.623</v>
      </c>
      <c r="E94" t="s">
        <v>337</v>
      </c>
      <c r="F94" t="s">
        <v>338</v>
      </c>
      <c r="G94" t="s">
        <v>351</v>
      </c>
      <c r="H94" t="s">
        <v>340</v>
      </c>
      <c r="I94" t="s">
        <v>341</v>
      </c>
      <c r="J94" t="s">
        <v>55</v>
      </c>
      <c r="K94" t="s">
        <v>342</v>
      </c>
      <c r="L94">
        <v>-63.485644999999998</v>
      </c>
      <c r="M94" t="s">
        <v>343</v>
      </c>
    </row>
    <row r="95" spans="3:13" x14ac:dyDescent="0.25">
      <c r="D95">
        <v>0.624</v>
      </c>
      <c r="E95" t="s">
        <v>337</v>
      </c>
      <c r="F95" t="s">
        <v>338</v>
      </c>
      <c r="G95" t="s">
        <v>352</v>
      </c>
      <c r="H95" t="s">
        <v>340</v>
      </c>
      <c r="I95" t="s">
        <v>341</v>
      </c>
      <c r="J95" t="s">
        <v>55</v>
      </c>
      <c r="K95" t="s">
        <v>342</v>
      </c>
      <c r="L95">
        <v>-63.484741130000003</v>
      </c>
      <c r="M95" t="s">
        <v>343</v>
      </c>
    </row>
    <row r="96" spans="3:13" x14ac:dyDescent="0.25">
      <c r="D96">
        <v>0.625</v>
      </c>
      <c r="E96" t="s">
        <v>337</v>
      </c>
      <c r="F96" t="s">
        <v>338</v>
      </c>
      <c r="G96" t="s">
        <v>353</v>
      </c>
      <c r="H96" t="s">
        <v>340</v>
      </c>
      <c r="I96" t="s">
        <v>341</v>
      </c>
      <c r="J96" t="s">
        <v>55</v>
      </c>
      <c r="K96" t="s">
        <v>342</v>
      </c>
      <c r="L96">
        <v>-63.483379640000003</v>
      </c>
      <c r="M96" t="s">
        <v>343</v>
      </c>
    </row>
    <row r="99" spans="12:12" x14ac:dyDescent="0.25">
      <c r="L99">
        <f>MIN(L86:L96)</f>
        <v>-63.48605697</v>
      </c>
    </row>
    <row r="100" spans="12:12" x14ac:dyDescent="0.25">
      <c r="L100">
        <f>L99*$N$5/2</f>
        <v>-431.88606126734743</v>
      </c>
    </row>
    <row r="168" spans="2:12" x14ac:dyDescent="0.25">
      <c r="B168" t="s">
        <v>361</v>
      </c>
    </row>
    <row r="169" spans="2:12" x14ac:dyDescent="0.25">
      <c r="B169" t="s">
        <v>362</v>
      </c>
    </row>
    <row r="175" spans="2:12" x14ac:dyDescent="0.25">
      <c r="D175" t="s">
        <v>337</v>
      </c>
      <c r="E175" t="s">
        <v>338</v>
      </c>
      <c r="F175" t="s">
        <v>339</v>
      </c>
      <c r="G175" t="s">
        <v>340</v>
      </c>
      <c r="H175" t="s">
        <v>341</v>
      </c>
      <c r="I175" t="s">
        <v>55</v>
      </c>
      <c r="J175" t="s">
        <v>342</v>
      </c>
      <c r="K175">
        <v>-62.932982879999997</v>
      </c>
      <c r="L175" t="s">
        <v>343</v>
      </c>
    </row>
    <row r="176" spans="2:12" x14ac:dyDescent="0.25">
      <c r="D176" t="s">
        <v>337</v>
      </c>
      <c r="E176" t="s">
        <v>338</v>
      </c>
      <c r="F176" t="s">
        <v>344</v>
      </c>
      <c r="G176" t="s">
        <v>340</v>
      </c>
      <c r="H176" t="s">
        <v>341</v>
      </c>
      <c r="I176" t="s">
        <v>55</v>
      </c>
      <c r="J176" t="s">
        <v>342</v>
      </c>
      <c r="K176">
        <v>-62.937542929999999</v>
      </c>
      <c r="L176" t="s">
        <v>343</v>
      </c>
    </row>
    <row r="177" spans="1:12" x14ac:dyDescent="0.25">
      <c r="D177" t="s">
        <v>337</v>
      </c>
      <c r="E177" t="s">
        <v>338</v>
      </c>
      <c r="F177" t="s">
        <v>345</v>
      </c>
      <c r="G177" t="s">
        <v>340</v>
      </c>
      <c r="H177" t="s">
        <v>341</v>
      </c>
      <c r="I177" t="s">
        <v>55</v>
      </c>
      <c r="J177" t="s">
        <v>342</v>
      </c>
      <c r="K177">
        <v>-62.941269650000002</v>
      </c>
      <c r="L177" t="s">
        <v>343</v>
      </c>
    </row>
    <row r="178" spans="1:12" x14ac:dyDescent="0.25">
      <c r="D178" t="s">
        <v>337</v>
      </c>
      <c r="E178" t="s">
        <v>338</v>
      </c>
      <c r="F178" t="s">
        <v>346</v>
      </c>
      <c r="G178" t="s">
        <v>340</v>
      </c>
      <c r="H178" t="s">
        <v>341</v>
      </c>
      <c r="I178" t="s">
        <v>55</v>
      </c>
      <c r="J178" t="s">
        <v>342</v>
      </c>
      <c r="K178">
        <v>-62.944222940000003</v>
      </c>
      <c r="L178" t="s">
        <v>343</v>
      </c>
    </row>
    <row r="179" spans="1:12" x14ac:dyDescent="0.25">
      <c r="D179" t="s">
        <v>337</v>
      </c>
      <c r="E179" t="s">
        <v>338</v>
      </c>
      <c r="F179" t="s">
        <v>347</v>
      </c>
      <c r="G179" t="s">
        <v>340</v>
      </c>
      <c r="H179" t="s">
        <v>341</v>
      </c>
      <c r="I179" t="s">
        <v>55</v>
      </c>
      <c r="J179" t="s">
        <v>342</v>
      </c>
      <c r="K179">
        <v>-62.946458450000002</v>
      </c>
      <c r="L179" t="s">
        <v>343</v>
      </c>
    </row>
    <row r="180" spans="1:12" x14ac:dyDescent="0.25">
      <c r="D180" t="s">
        <v>337</v>
      </c>
      <c r="E180" t="s">
        <v>338</v>
      </c>
      <c r="F180" t="s">
        <v>348</v>
      </c>
      <c r="G180" t="s">
        <v>340</v>
      </c>
      <c r="H180" t="s">
        <v>341</v>
      </c>
      <c r="I180" t="s">
        <v>55</v>
      </c>
      <c r="J180" t="s">
        <v>342</v>
      </c>
      <c r="K180">
        <v>-62.948029009999999</v>
      </c>
      <c r="L180" t="s">
        <v>343</v>
      </c>
    </row>
    <row r="181" spans="1:12" x14ac:dyDescent="0.25">
      <c r="D181" t="s">
        <v>337</v>
      </c>
      <c r="E181" t="s">
        <v>338</v>
      </c>
      <c r="F181" t="s">
        <v>349</v>
      </c>
      <c r="G181" t="s">
        <v>340</v>
      </c>
      <c r="H181" t="s">
        <v>341</v>
      </c>
      <c r="I181" t="s">
        <v>55</v>
      </c>
      <c r="J181" t="s">
        <v>342</v>
      </c>
      <c r="K181">
        <v>-62.948982860000001</v>
      </c>
      <c r="L181" t="s">
        <v>343</v>
      </c>
    </row>
    <row r="182" spans="1:12" x14ac:dyDescent="0.25">
      <c r="D182" t="s">
        <v>337</v>
      </c>
      <c r="E182" t="s">
        <v>338</v>
      </c>
      <c r="F182" t="s">
        <v>350</v>
      </c>
      <c r="G182" t="s">
        <v>340</v>
      </c>
      <c r="H182" t="s">
        <v>341</v>
      </c>
      <c r="I182" t="s">
        <v>55</v>
      </c>
      <c r="J182" t="s">
        <v>342</v>
      </c>
      <c r="K182">
        <v>-62.949365970000002</v>
      </c>
      <c r="L182" t="s">
        <v>343</v>
      </c>
    </row>
    <row r="183" spans="1:12" x14ac:dyDescent="0.25">
      <c r="D183" t="s">
        <v>337</v>
      </c>
      <c r="E183" t="s">
        <v>338</v>
      </c>
      <c r="F183" t="s">
        <v>351</v>
      </c>
      <c r="G183" t="s">
        <v>340</v>
      </c>
      <c r="H183" t="s">
        <v>341</v>
      </c>
      <c r="I183" t="s">
        <v>55</v>
      </c>
      <c r="J183" t="s">
        <v>342</v>
      </c>
      <c r="K183">
        <v>-62.949220850000003</v>
      </c>
      <c r="L183" t="s">
        <v>343</v>
      </c>
    </row>
    <row r="184" spans="1:12" x14ac:dyDescent="0.25">
      <c r="D184" t="s">
        <v>337</v>
      </c>
      <c r="E184" t="s">
        <v>338</v>
      </c>
      <c r="F184" t="s">
        <v>352</v>
      </c>
      <c r="G184" t="s">
        <v>340</v>
      </c>
      <c r="H184" t="s">
        <v>341</v>
      </c>
      <c r="I184" t="s">
        <v>55</v>
      </c>
      <c r="J184" t="s">
        <v>342</v>
      </c>
      <c r="K184">
        <v>-62.9485873</v>
      </c>
      <c r="L184" t="s">
        <v>343</v>
      </c>
    </row>
    <row r="185" spans="1:12" x14ac:dyDescent="0.25">
      <c r="D185" t="s">
        <v>337</v>
      </c>
      <c r="E185" t="s">
        <v>338</v>
      </c>
      <c r="F185" t="s">
        <v>353</v>
      </c>
      <c r="G185" t="s">
        <v>340</v>
      </c>
      <c r="H185" t="s">
        <v>341</v>
      </c>
      <c r="I185" t="s">
        <v>55</v>
      </c>
      <c r="J185" t="s">
        <v>342</v>
      </c>
      <c r="K185">
        <v>-62.947502569999997</v>
      </c>
      <c r="L185" t="s">
        <v>343</v>
      </c>
    </row>
    <row r="190" spans="1:12" x14ac:dyDescent="0.25">
      <c r="A190" t="s">
        <v>195</v>
      </c>
      <c r="C190" t="s">
        <v>115</v>
      </c>
    </row>
    <row r="193" spans="3:12" x14ac:dyDescent="0.25">
      <c r="D193" t="s">
        <v>337</v>
      </c>
      <c r="E193" t="s">
        <v>338</v>
      </c>
      <c r="F193" t="s">
        <v>339</v>
      </c>
      <c r="G193" t="s">
        <v>340</v>
      </c>
      <c r="H193" t="s">
        <v>341</v>
      </c>
      <c r="I193" t="s">
        <v>55</v>
      </c>
      <c r="J193" t="s">
        <v>342</v>
      </c>
      <c r="K193">
        <v>-62.932982879999997</v>
      </c>
      <c r="L193" t="s">
        <v>343</v>
      </c>
    </row>
    <row r="194" spans="3:12" x14ac:dyDescent="0.25">
      <c r="D194" t="s">
        <v>337</v>
      </c>
      <c r="E194" t="s">
        <v>338</v>
      </c>
      <c r="F194" t="s">
        <v>344</v>
      </c>
      <c r="G194" t="s">
        <v>340</v>
      </c>
      <c r="H194" t="s">
        <v>341</v>
      </c>
      <c r="I194" t="s">
        <v>55</v>
      </c>
      <c r="J194" t="s">
        <v>342</v>
      </c>
      <c r="K194">
        <v>-62.937542929999999</v>
      </c>
      <c r="L194" t="s">
        <v>343</v>
      </c>
    </row>
    <row r="195" spans="3:12" x14ac:dyDescent="0.25">
      <c r="D195" t="s">
        <v>337</v>
      </c>
      <c r="E195" t="s">
        <v>338</v>
      </c>
      <c r="F195" t="s">
        <v>345</v>
      </c>
      <c r="G195" t="s">
        <v>340</v>
      </c>
      <c r="H195" t="s">
        <v>341</v>
      </c>
      <c r="I195" t="s">
        <v>55</v>
      </c>
      <c r="J195" t="s">
        <v>342</v>
      </c>
      <c r="K195">
        <v>-62.941269650000002</v>
      </c>
      <c r="L195" t="s">
        <v>343</v>
      </c>
    </row>
    <row r="196" spans="3:12" x14ac:dyDescent="0.25">
      <c r="D196" t="s">
        <v>337</v>
      </c>
      <c r="E196" t="s">
        <v>338</v>
      </c>
      <c r="F196" t="s">
        <v>346</v>
      </c>
      <c r="G196" t="s">
        <v>340</v>
      </c>
      <c r="H196" t="s">
        <v>341</v>
      </c>
      <c r="I196" t="s">
        <v>55</v>
      </c>
      <c r="J196" t="s">
        <v>342</v>
      </c>
      <c r="K196">
        <v>-62.944222940000003</v>
      </c>
      <c r="L196" t="s">
        <v>343</v>
      </c>
    </row>
    <row r="197" spans="3:12" x14ac:dyDescent="0.25">
      <c r="D197" t="s">
        <v>337</v>
      </c>
      <c r="E197" t="s">
        <v>338</v>
      </c>
      <c r="F197" t="s">
        <v>347</v>
      </c>
      <c r="G197" t="s">
        <v>340</v>
      </c>
      <c r="H197" t="s">
        <v>341</v>
      </c>
      <c r="I197" t="s">
        <v>55</v>
      </c>
      <c r="J197" t="s">
        <v>342</v>
      </c>
      <c r="K197">
        <v>-62.946458450000002</v>
      </c>
      <c r="L197" t="s">
        <v>343</v>
      </c>
    </row>
    <row r="198" spans="3:12" x14ac:dyDescent="0.25">
      <c r="D198" t="s">
        <v>337</v>
      </c>
      <c r="E198" t="s">
        <v>338</v>
      </c>
      <c r="F198" t="s">
        <v>348</v>
      </c>
      <c r="G198" t="s">
        <v>340</v>
      </c>
      <c r="H198" t="s">
        <v>341</v>
      </c>
      <c r="I198" t="s">
        <v>55</v>
      </c>
      <c r="J198" t="s">
        <v>342</v>
      </c>
      <c r="K198">
        <v>-62.948029009999999</v>
      </c>
      <c r="L198" t="s">
        <v>343</v>
      </c>
    </row>
    <row r="199" spans="3:12" x14ac:dyDescent="0.25">
      <c r="D199" t="s">
        <v>337</v>
      </c>
      <c r="E199" t="s">
        <v>338</v>
      </c>
      <c r="F199" t="s">
        <v>349</v>
      </c>
      <c r="G199" t="s">
        <v>340</v>
      </c>
      <c r="H199" t="s">
        <v>341</v>
      </c>
      <c r="I199" t="s">
        <v>55</v>
      </c>
      <c r="J199" t="s">
        <v>342</v>
      </c>
      <c r="K199">
        <v>-62.948982860000001</v>
      </c>
      <c r="L199" t="s">
        <v>343</v>
      </c>
    </row>
    <row r="200" spans="3:12" x14ac:dyDescent="0.25">
      <c r="D200" t="s">
        <v>337</v>
      </c>
      <c r="E200" t="s">
        <v>338</v>
      </c>
      <c r="F200" t="s">
        <v>350</v>
      </c>
      <c r="G200" t="s">
        <v>340</v>
      </c>
      <c r="H200" t="s">
        <v>341</v>
      </c>
      <c r="I200" t="s">
        <v>55</v>
      </c>
      <c r="J200" t="s">
        <v>342</v>
      </c>
      <c r="K200">
        <v>-62.949365970000002</v>
      </c>
      <c r="L200" t="s">
        <v>343</v>
      </c>
    </row>
    <row r="201" spans="3:12" x14ac:dyDescent="0.25">
      <c r="D201" t="s">
        <v>337</v>
      </c>
      <c r="E201" t="s">
        <v>338</v>
      </c>
      <c r="F201" t="s">
        <v>351</v>
      </c>
      <c r="G201" t="s">
        <v>340</v>
      </c>
      <c r="H201" t="s">
        <v>341</v>
      </c>
      <c r="I201" t="s">
        <v>55</v>
      </c>
      <c r="J201" t="s">
        <v>342</v>
      </c>
      <c r="K201">
        <v>-62.949220850000003</v>
      </c>
      <c r="L201" t="s">
        <v>343</v>
      </c>
    </row>
    <row r="202" spans="3:12" x14ac:dyDescent="0.25">
      <c r="D202" t="s">
        <v>337</v>
      </c>
      <c r="E202" t="s">
        <v>338</v>
      </c>
      <c r="F202" t="s">
        <v>352</v>
      </c>
      <c r="G202" t="s">
        <v>340</v>
      </c>
      <c r="H202" t="s">
        <v>341</v>
      </c>
      <c r="I202" t="s">
        <v>55</v>
      </c>
      <c r="J202" t="s">
        <v>342</v>
      </c>
      <c r="K202">
        <v>-62.9485873</v>
      </c>
      <c r="L202" t="s">
        <v>343</v>
      </c>
    </row>
    <row r="203" spans="3:12" x14ac:dyDescent="0.25">
      <c r="D203" t="s">
        <v>337</v>
      </c>
      <c r="E203" t="s">
        <v>338</v>
      </c>
      <c r="F203" t="s">
        <v>353</v>
      </c>
      <c r="G203" t="s">
        <v>340</v>
      </c>
      <c r="H203" t="s">
        <v>341</v>
      </c>
      <c r="I203" t="s">
        <v>55</v>
      </c>
      <c r="J203" t="s">
        <v>342</v>
      </c>
      <c r="K203">
        <v>-62.947502569999997</v>
      </c>
      <c r="L203" t="s">
        <v>343</v>
      </c>
    </row>
    <row r="206" spans="3:12" x14ac:dyDescent="0.25">
      <c r="K206">
        <f>MIN(K193:K203)</f>
        <v>-62.949365970000002</v>
      </c>
    </row>
    <row r="207" spans="3:12" x14ac:dyDescent="0.25">
      <c r="K207">
        <f>K206*$N$5/2</f>
        <v>-428.23503341697761</v>
      </c>
    </row>
    <row r="208" spans="3:12" x14ac:dyDescent="0.25">
      <c r="C208" t="s">
        <v>116</v>
      </c>
    </row>
    <row r="211" spans="4:12" x14ac:dyDescent="0.25">
      <c r="D211" t="s">
        <v>337</v>
      </c>
      <c r="E211" t="s">
        <v>338</v>
      </c>
      <c r="F211" t="s">
        <v>339</v>
      </c>
      <c r="G211" t="s">
        <v>340</v>
      </c>
      <c r="H211" t="s">
        <v>341</v>
      </c>
      <c r="I211" t="s">
        <v>55</v>
      </c>
      <c r="J211" t="s">
        <v>342</v>
      </c>
      <c r="K211">
        <v>-62.768165760000002</v>
      </c>
      <c r="L211" t="s">
        <v>343</v>
      </c>
    </row>
    <row r="212" spans="4:12" x14ac:dyDescent="0.25">
      <c r="D212" t="s">
        <v>337</v>
      </c>
      <c r="E212" t="s">
        <v>338</v>
      </c>
      <c r="F212" t="s">
        <v>344</v>
      </c>
      <c r="G212" t="s">
        <v>340</v>
      </c>
      <c r="H212" t="s">
        <v>341</v>
      </c>
      <c r="I212" t="s">
        <v>55</v>
      </c>
      <c r="J212" t="s">
        <v>342</v>
      </c>
      <c r="K212">
        <v>-62.772713969999998</v>
      </c>
      <c r="L212" t="s">
        <v>343</v>
      </c>
    </row>
    <row r="213" spans="4:12" x14ac:dyDescent="0.25">
      <c r="D213" t="s">
        <v>337</v>
      </c>
      <c r="E213" t="s">
        <v>338</v>
      </c>
      <c r="F213" t="s">
        <v>345</v>
      </c>
      <c r="G213" t="s">
        <v>340</v>
      </c>
      <c r="H213" t="s">
        <v>341</v>
      </c>
      <c r="I213" t="s">
        <v>55</v>
      </c>
      <c r="J213" t="s">
        <v>342</v>
      </c>
      <c r="K213">
        <v>-62.776429020000002</v>
      </c>
      <c r="L213" t="s">
        <v>343</v>
      </c>
    </row>
    <row r="214" spans="4:12" x14ac:dyDescent="0.25">
      <c r="D214" t="s">
        <v>337</v>
      </c>
      <c r="E214" t="s">
        <v>338</v>
      </c>
      <c r="F214" t="s">
        <v>346</v>
      </c>
      <c r="G214" t="s">
        <v>340</v>
      </c>
      <c r="H214" t="s">
        <v>341</v>
      </c>
      <c r="I214" t="s">
        <v>55</v>
      </c>
      <c r="J214" t="s">
        <v>342</v>
      </c>
      <c r="K214">
        <v>-62.779370829999998</v>
      </c>
      <c r="L214" t="s">
        <v>343</v>
      </c>
    </row>
    <row r="215" spans="4:12" x14ac:dyDescent="0.25">
      <c r="D215" t="s">
        <v>337</v>
      </c>
      <c r="E215" t="s">
        <v>338</v>
      </c>
      <c r="F215" t="s">
        <v>347</v>
      </c>
      <c r="G215" t="s">
        <v>340</v>
      </c>
      <c r="H215" t="s">
        <v>341</v>
      </c>
      <c r="I215" t="s">
        <v>55</v>
      </c>
      <c r="J215" t="s">
        <v>342</v>
      </c>
      <c r="K215">
        <v>-62.781595469999999</v>
      </c>
      <c r="L215" t="s">
        <v>343</v>
      </c>
    </row>
    <row r="216" spans="4:12" x14ac:dyDescent="0.25">
      <c r="D216" t="s">
        <v>337</v>
      </c>
      <c r="E216" t="s">
        <v>338</v>
      </c>
      <c r="F216" t="s">
        <v>348</v>
      </c>
      <c r="G216" t="s">
        <v>340</v>
      </c>
      <c r="H216" t="s">
        <v>341</v>
      </c>
      <c r="I216" t="s">
        <v>55</v>
      </c>
      <c r="J216" t="s">
        <v>342</v>
      </c>
      <c r="K216">
        <v>-62.783156609999999</v>
      </c>
      <c r="L216" t="s">
        <v>343</v>
      </c>
    </row>
    <row r="217" spans="4:12" x14ac:dyDescent="0.25">
      <c r="D217" t="s">
        <v>337</v>
      </c>
      <c r="E217" t="s">
        <v>338</v>
      </c>
      <c r="F217" t="s">
        <v>349</v>
      </c>
      <c r="G217" t="s">
        <v>340</v>
      </c>
      <c r="H217" t="s">
        <v>341</v>
      </c>
      <c r="I217" t="s">
        <v>55</v>
      </c>
      <c r="J217" t="s">
        <v>342</v>
      </c>
      <c r="K217">
        <v>-62.784102869999998</v>
      </c>
      <c r="L217" t="s">
        <v>343</v>
      </c>
    </row>
    <row r="218" spans="4:12" x14ac:dyDescent="0.25">
      <c r="D218" t="s">
        <v>337</v>
      </c>
      <c r="E218" t="s">
        <v>338</v>
      </c>
      <c r="F218" t="s">
        <v>350</v>
      </c>
      <c r="G218" t="s">
        <v>340</v>
      </c>
      <c r="H218" t="s">
        <v>341</v>
      </c>
      <c r="I218" t="s">
        <v>55</v>
      </c>
      <c r="J218" t="s">
        <v>342</v>
      </c>
      <c r="K218">
        <v>-62.784481339999999</v>
      </c>
      <c r="L218" t="s">
        <v>343</v>
      </c>
    </row>
    <row r="219" spans="4:12" x14ac:dyDescent="0.25">
      <c r="D219" t="s">
        <v>337</v>
      </c>
      <c r="E219" t="s">
        <v>338</v>
      </c>
      <c r="F219" t="s">
        <v>351</v>
      </c>
      <c r="G219" t="s">
        <v>340</v>
      </c>
      <c r="H219" t="s">
        <v>341</v>
      </c>
      <c r="I219" t="s">
        <v>55</v>
      </c>
      <c r="J219" t="s">
        <v>342</v>
      </c>
      <c r="K219">
        <v>-62.784331010000002</v>
      </c>
      <c r="L219" t="s">
        <v>343</v>
      </c>
    </row>
    <row r="220" spans="4:12" x14ac:dyDescent="0.25">
      <c r="D220" t="s">
        <v>337</v>
      </c>
      <c r="E220" t="s">
        <v>338</v>
      </c>
      <c r="F220" t="s">
        <v>352</v>
      </c>
      <c r="G220" t="s">
        <v>340</v>
      </c>
      <c r="H220" t="s">
        <v>341</v>
      </c>
      <c r="I220" t="s">
        <v>55</v>
      </c>
      <c r="J220" t="s">
        <v>342</v>
      </c>
      <c r="K220">
        <v>-62.783695340000001</v>
      </c>
      <c r="L220" t="s">
        <v>343</v>
      </c>
    </row>
    <row r="221" spans="4:12" x14ac:dyDescent="0.25">
      <c r="D221" t="s">
        <v>337</v>
      </c>
      <c r="E221" t="s">
        <v>338</v>
      </c>
      <c r="F221" t="s">
        <v>353</v>
      </c>
      <c r="G221" t="s">
        <v>340</v>
      </c>
      <c r="H221" t="s">
        <v>341</v>
      </c>
      <c r="I221" t="s">
        <v>55</v>
      </c>
      <c r="J221" t="s">
        <v>342</v>
      </c>
      <c r="K221">
        <v>-62.782611920000001</v>
      </c>
      <c r="L221" t="s">
        <v>343</v>
      </c>
    </row>
    <row r="224" spans="4:12" x14ac:dyDescent="0.25">
      <c r="K224">
        <f>MIN(K211:K221)</f>
        <v>-62.784481339999999</v>
      </c>
    </row>
    <row r="225" spans="3:12" x14ac:dyDescent="0.25">
      <c r="K225">
        <f>K224*$N$5/2</f>
        <v>-427.11334817122554</v>
      </c>
    </row>
    <row r="227" spans="3:12" x14ac:dyDescent="0.25">
      <c r="C227" t="s">
        <v>359</v>
      </c>
    </row>
    <row r="228" spans="3:12" x14ac:dyDescent="0.25">
      <c r="D228" t="s">
        <v>337</v>
      </c>
      <c r="E228" t="s">
        <v>338</v>
      </c>
      <c r="F228" t="s">
        <v>339</v>
      </c>
      <c r="G228" t="s">
        <v>340</v>
      </c>
      <c r="H228" t="s">
        <v>341</v>
      </c>
      <c r="I228" t="s">
        <v>55</v>
      </c>
      <c r="J228" t="s">
        <v>342</v>
      </c>
      <c r="K228">
        <v>-62.850565889999999</v>
      </c>
      <c r="L228" t="s">
        <v>343</v>
      </c>
    </row>
    <row r="229" spans="3:12" x14ac:dyDescent="0.25">
      <c r="D229" t="s">
        <v>337</v>
      </c>
      <c r="E229" t="s">
        <v>338</v>
      </c>
      <c r="F229" t="s">
        <v>344</v>
      </c>
      <c r="G229" t="s">
        <v>340</v>
      </c>
      <c r="H229" t="s">
        <v>341</v>
      </c>
      <c r="I229" t="s">
        <v>55</v>
      </c>
      <c r="J229" t="s">
        <v>342</v>
      </c>
      <c r="K229">
        <v>-62.855120380000002</v>
      </c>
      <c r="L229" t="s">
        <v>343</v>
      </c>
    </row>
    <row r="230" spans="3:12" x14ac:dyDescent="0.25">
      <c r="D230" t="s">
        <v>337</v>
      </c>
      <c r="E230" t="s">
        <v>338</v>
      </c>
      <c r="F230" t="s">
        <v>345</v>
      </c>
      <c r="G230" t="s">
        <v>340</v>
      </c>
      <c r="H230" t="s">
        <v>341</v>
      </c>
      <c r="I230" t="s">
        <v>55</v>
      </c>
      <c r="J230" t="s">
        <v>342</v>
      </c>
      <c r="K230">
        <v>-62.858841490000003</v>
      </c>
      <c r="L230" t="s">
        <v>343</v>
      </c>
    </row>
    <row r="231" spans="3:12" x14ac:dyDescent="0.25">
      <c r="D231" t="s">
        <v>337</v>
      </c>
      <c r="E231" t="s">
        <v>338</v>
      </c>
      <c r="F231" t="s">
        <v>346</v>
      </c>
      <c r="G231" t="s">
        <v>340</v>
      </c>
      <c r="H231" t="s">
        <v>341</v>
      </c>
      <c r="I231" t="s">
        <v>55</v>
      </c>
      <c r="J231" t="s">
        <v>342</v>
      </c>
      <c r="K231">
        <v>-62.861789440000003</v>
      </c>
      <c r="L231" t="s">
        <v>343</v>
      </c>
    </row>
    <row r="232" spans="3:12" x14ac:dyDescent="0.25">
      <c r="D232" t="s">
        <v>337</v>
      </c>
      <c r="E232" t="s">
        <v>338</v>
      </c>
      <c r="F232" t="s">
        <v>347</v>
      </c>
      <c r="G232" t="s">
        <v>340</v>
      </c>
      <c r="H232" t="s">
        <v>341</v>
      </c>
      <c r="I232" t="s">
        <v>55</v>
      </c>
      <c r="J232" t="s">
        <v>342</v>
      </c>
      <c r="K232">
        <v>-62.864020080000003</v>
      </c>
      <c r="L232" t="s">
        <v>343</v>
      </c>
    </row>
    <row r="233" spans="3:12" x14ac:dyDescent="0.25">
      <c r="D233" t="s">
        <v>337</v>
      </c>
      <c r="E233" t="s">
        <v>338</v>
      </c>
      <c r="F233" t="s">
        <v>348</v>
      </c>
      <c r="G233" t="s">
        <v>340</v>
      </c>
      <c r="H233" t="s">
        <v>341</v>
      </c>
      <c r="I233" t="s">
        <v>55</v>
      </c>
      <c r="J233" t="s">
        <v>342</v>
      </c>
      <c r="K233">
        <v>-62.865586020000002</v>
      </c>
      <c r="L233" t="s">
        <v>343</v>
      </c>
    </row>
    <row r="234" spans="3:12" x14ac:dyDescent="0.25">
      <c r="D234" t="s">
        <v>337</v>
      </c>
      <c r="E234" t="s">
        <v>338</v>
      </c>
      <c r="F234" t="s">
        <v>349</v>
      </c>
      <c r="G234" t="s">
        <v>340</v>
      </c>
      <c r="H234" t="s">
        <v>341</v>
      </c>
      <c r="I234" t="s">
        <v>55</v>
      </c>
      <c r="J234" t="s">
        <v>342</v>
      </c>
      <c r="K234">
        <v>-62.866534919999999</v>
      </c>
      <c r="L234" t="s">
        <v>343</v>
      </c>
    </row>
    <row r="235" spans="3:12" x14ac:dyDescent="0.25">
      <c r="D235" t="s">
        <v>337</v>
      </c>
      <c r="E235" t="s">
        <v>338</v>
      </c>
      <c r="F235" t="s">
        <v>350</v>
      </c>
      <c r="G235" t="s">
        <v>340</v>
      </c>
      <c r="H235" t="s">
        <v>341</v>
      </c>
      <c r="I235" t="s">
        <v>55</v>
      </c>
      <c r="J235" t="s">
        <v>342</v>
      </c>
      <c r="K235">
        <v>-62.866916660000001</v>
      </c>
      <c r="L235" t="s">
        <v>343</v>
      </c>
    </row>
    <row r="236" spans="3:12" x14ac:dyDescent="0.25">
      <c r="D236" t="s">
        <v>337</v>
      </c>
      <c r="E236" t="s">
        <v>338</v>
      </c>
      <c r="F236" t="s">
        <v>351</v>
      </c>
      <c r="G236" t="s">
        <v>340</v>
      </c>
      <c r="H236" t="s">
        <v>341</v>
      </c>
      <c r="I236" t="s">
        <v>55</v>
      </c>
      <c r="J236" t="s">
        <v>342</v>
      </c>
      <c r="K236">
        <v>-62.86677005</v>
      </c>
      <c r="L236" t="s">
        <v>343</v>
      </c>
    </row>
    <row r="237" spans="3:12" x14ac:dyDescent="0.25">
      <c r="D237" t="s">
        <v>337</v>
      </c>
      <c r="E237" t="s">
        <v>338</v>
      </c>
      <c r="F237" t="s">
        <v>352</v>
      </c>
      <c r="G237" t="s">
        <v>340</v>
      </c>
      <c r="H237" t="s">
        <v>341</v>
      </c>
      <c r="I237" t="s">
        <v>55</v>
      </c>
      <c r="J237" t="s">
        <v>342</v>
      </c>
      <c r="K237">
        <v>-62.866135589999999</v>
      </c>
      <c r="L237" t="s">
        <v>343</v>
      </c>
    </row>
    <row r="238" spans="3:12" x14ac:dyDescent="0.25">
      <c r="D238" t="s">
        <v>337</v>
      </c>
      <c r="E238" t="s">
        <v>338</v>
      </c>
      <c r="F238" t="s">
        <v>353</v>
      </c>
      <c r="G238" t="s">
        <v>340</v>
      </c>
      <c r="H238" t="s">
        <v>341</v>
      </c>
      <c r="I238" t="s">
        <v>55</v>
      </c>
      <c r="J238" t="s">
        <v>342</v>
      </c>
      <c r="K238">
        <v>-62.865051680000001</v>
      </c>
      <c r="L238" t="s">
        <v>343</v>
      </c>
    </row>
    <row r="241" spans="4:12" x14ac:dyDescent="0.25">
      <c r="K241">
        <f>MIN(K228:K238)</f>
        <v>-62.866916660000001</v>
      </c>
    </row>
    <row r="242" spans="4:12" x14ac:dyDescent="0.25">
      <c r="K242">
        <f>K241*$N$5/2</f>
        <v>-427.67414320817261</v>
      </c>
    </row>
    <row r="251" spans="4:12" x14ac:dyDescent="0.25">
      <c r="D251" t="s">
        <v>337</v>
      </c>
      <c r="E251" t="s">
        <v>338</v>
      </c>
      <c r="F251" t="s">
        <v>339</v>
      </c>
      <c r="G251" t="s">
        <v>340</v>
      </c>
      <c r="H251" t="s">
        <v>341</v>
      </c>
      <c r="I251" t="s">
        <v>55</v>
      </c>
      <c r="J251" t="s">
        <v>342</v>
      </c>
      <c r="K251">
        <v>-63.841732540000002</v>
      </c>
      <c r="L251" t="s">
        <v>343</v>
      </c>
    </row>
    <row r="252" spans="4:12" x14ac:dyDescent="0.25">
      <c r="D252" t="s">
        <v>337</v>
      </c>
      <c r="E252" t="s">
        <v>338</v>
      </c>
      <c r="F252" t="s">
        <v>344</v>
      </c>
      <c r="G252" t="s">
        <v>340</v>
      </c>
      <c r="H252" t="s">
        <v>341</v>
      </c>
      <c r="I252" t="s">
        <v>55</v>
      </c>
      <c r="J252" t="s">
        <v>342</v>
      </c>
      <c r="K252">
        <v>-63.843424079999998</v>
      </c>
      <c r="L252" t="s">
        <v>343</v>
      </c>
    </row>
    <row r="253" spans="4:12" x14ac:dyDescent="0.25">
      <c r="D253" t="s">
        <v>337</v>
      </c>
      <c r="E253" t="s">
        <v>338</v>
      </c>
      <c r="F253" t="s">
        <v>345</v>
      </c>
      <c r="G253" t="s">
        <v>340</v>
      </c>
      <c r="H253" t="s">
        <v>341</v>
      </c>
      <c r="I253" t="s">
        <v>55</v>
      </c>
      <c r="J253" t="s">
        <v>342</v>
      </c>
      <c r="K253">
        <v>-63.844265219999997</v>
      </c>
      <c r="L253" t="s">
        <v>343</v>
      </c>
    </row>
    <row r="254" spans="4:12" x14ac:dyDescent="0.25">
      <c r="D254" t="s">
        <v>337</v>
      </c>
      <c r="E254" t="s">
        <v>338</v>
      </c>
      <c r="F254" t="s">
        <v>346</v>
      </c>
      <c r="G254" t="s">
        <v>340</v>
      </c>
      <c r="H254" t="s">
        <v>341</v>
      </c>
      <c r="I254" t="s">
        <v>55</v>
      </c>
      <c r="J254" t="s">
        <v>342</v>
      </c>
      <c r="K254">
        <v>-63.844319560000002</v>
      </c>
      <c r="L254" t="s">
        <v>343</v>
      </c>
    </row>
    <row r="255" spans="4:12" x14ac:dyDescent="0.25">
      <c r="D255" t="s">
        <v>337</v>
      </c>
      <c r="E255" t="s">
        <v>338</v>
      </c>
      <c r="F255" t="s">
        <v>347</v>
      </c>
      <c r="G255" t="s">
        <v>340</v>
      </c>
      <c r="H255" t="s">
        <v>341</v>
      </c>
      <c r="I255" t="s">
        <v>55</v>
      </c>
      <c r="J255" t="s">
        <v>342</v>
      </c>
      <c r="K255">
        <v>-63.843644750000003</v>
      </c>
      <c r="L255" t="s">
        <v>343</v>
      </c>
    </row>
    <row r="256" spans="4:12" x14ac:dyDescent="0.25">
      <c r="D256" t="s">
        <v>337</v>
      </c>
      <c r="E256" t="s">
        <v>338</v>
      </c>
      <c r="F256" t="s">
        <v>348</v>
      </c>
      <c r="G256" t="s">
        <v>340</v>
      </c>
      <c r="H256" t="s">
        <v>341</v>
      </c>
      <c r="I256" t="s">
        <v>55</v>
      </c>
      <c r="J256" t="s">
        <v>342</v>
      </c>
      <c r="K256">
        <v>-63.842298329999998</v>
      </c>
      <c r="L256" t="s">
        <v>343</v>
      </c>
    </row>
    <row r="257" spans="4:12" x14ac:dyDescent="0.25">
      <c r="D257" t="s">
        <v>337</v>
      </c>
      <c r="E257" t="s">
        <v>338</v>
      </c>
      <c r="F257" t="s">
        <v>349</v>
      </c>
      <c r="G257" t="s">
        <v>340</v>
      </c>
      <c r="H257" t="s">
        <v>341</v>
      </c>
      <c r="I257" t="s">
        <v>55</v>
      </c>
      <c r="J257" t="s">
        <v>342</v>
      </c>
      <c r="K257">
        <v>-63.840334040000002</v>
      </c>
      <c r="L257" t="s">
        <v>343</v>
      </c>
    </row>
    <row r="258" spans="4:12" x14ac:dyDescent="0.25">
      <c r="D258" t="s">
        <v>337</v>
      </c>
      <c r="E258" t="s">
        <v>338</v>
      </c>
      <c r="F258" t="s">
        <v>350</v>
      </c>
      <c r="G258" t="s">
        <v>340</v>
      </c>
      <c r="H258" t="s">
        <v>341</v>
      </c>
      <c r="I258" t="s">
        <v>55</v>
      </c>
      <c r="J258" t="s">
        <v>342</v>
      </c>
      <c r="K258">
        <v>-63.837797430000002</v>
      </c>
      <c r="L258" t="s">
        <v>343</v>
      </c>
    </row>
    <row r="259" spans="4:12" x14ac:dyDescent="0.25">
      <c r="D259" t="s">
        <v>337</v>
      </c>
      <c r="E259" t="s">
        <v>338</v>
      </c>
      <c r="F259" t="s">
        <v>351</v>
      </c>
      <c r="G259" t="s">
        <v>340</v>
      </c>
      <c r="H259" t="s">
        <v>341</v>
      </c>
      <c r="I259" t="s">
        <v>55</v>
      </c>
      <c r="J259" t="s">
        <v>342</v>
      </c>
      <c r="K259">
        <v>-63.834739460000002</v>
      </c>
      <c r="L259" t="s">
        <v>343</v>
      </c>
    </row>
    <row r="260" spans="4:12" x14ac:dyDescent="0.25">
      <c r="D260" t="s">
        <v>337</v>
      </c>
      <c r="E260" t="s">
        <v>338</v>
      </c>
      <c r="F260" t="s">
        <v>352</v>
      </c>
      <c r="G260" t="s">
        <v>340</v>
      </c>
      <c r="H260" t="s">
        <v>341</v>
      </c>
      <c r="I260" t="s">
        <v>55</v>
      </c>
      <c r="J260" t="s">
        <v>342</v>
      </c>
      <c r="K260">
        <v>-63.831197709999998</v>
      </c>
      <c r="L260" t="s">
        <v>343</v>
      </c>
    </row>
    <row r="261" spans="4:12" x14ac:dyDescent="0.25">
      <c r="D261" t="s">
        <v>337</v>
      </c>
      <c r="E261" t="s">
        <v>338</v>
      </c>
      <c r="F261" t="s">
        <v>353</v>
      </c>
      <c r="G261" t="s">
        <v>340</v>
      </c>
      <c r="H261" t="s">
        <v>341</v>
      </c>
      <c r="I261" t="s">
        <v>55</v>
      </c>
      <c r="J261" t="s">
        <v>342</v>
      </c>
      <c r="K261">
        <v>-63.827212250000002</v>
      </c>
      <c r="L261" t="s">
        <v>343</v>
      </c>
    </row>
    <row r="263" spans="4:12" x14ac:dyDescent="0.25">
      <c r="K263">
        <f>MIN(K251:K261)</f>
        <v>-63.844319560000002</v>
      </c>
    </row>
    <row r="264" spans="4:12" x14ac:dyDescent="0.25">
      <c r="K264">
        <f>K263*$N$5/2</f>
        <v>-434.32326758128903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032CD-2664-4DBA-9207-CCB135EFD1B9}">
  <dimension ref="C5:Q71"/>
  <sheetViews>
    <sheetView topLeftCell="A7" workbookViewId="0">
      <selection activeCell="H26" sqref="H26"/>
    </sheetView>
  </sheetViews>
  <sheetFormatPr defaultRowHeight="15" x14ac:dyDescent="0.25"/>
  <cols>
    <col min="10" max="10" width="12.28515625" bestFit="1" customWidth="1"/>
    <col min="11" max="11" width="16.42578125" bestFit="1" customWidth="1"/>
    <col min="12" max="12" width="21.140625" bestFit="1" customWidth="1"/>
  </cols>
  <sheetData>
    <row r="5" spans="3:17" x14ac:dyDescent="0.25">
      <c r="C5" t="s">
        <v>106</v>
      </c>
    </row>
    <row r="6" spans="3:17" x14ac:dyDescent="0.25">
      <c r="C6" t="s">
        <v>75</v>
      </c>
    </row>
    <row r="7" spans="3:17" x14ac:dyDescent="0.25">
      <c r="C7" t="s">
        <v>76</v>
      </c>
    </row>
    <row r="8" spans="3:17" x14ac:dyDescent="0.25">
      <c r="G8" t="s">
        <v>252</v>
      </c>
      <c r="H8" t="s">
        <v>253</v>
      </c>
    </row>
    <row r="9" spans="3:17" ht="15.75" thickBot="1" x14ac:dyDescent="0.3"/>
    <row r="10" spans="3:17" ht="15.75" thickTop="1" x14ac:dyDescent="0.25">
      <c r="C10" s="22" t="s">
        <v>139</v>
      </c>
      <c r="D10" s="22" t="s">
        <v>231</v>
      </c>
      <c r="E10" s="22" t="s">
        <v>232</v>
      </c>
      <c r="F10" s="22" t="s">
        <v>233</v>
      </c>
      <c r="G10" s="22" t="s">
        <v>234</v>
      </c>
      <c r="H10" s="22" t="s">
        <v>235</v>
      </c>
      <c r="I10" s="22" t="s">
        <v>236</v>
      </c>
      <c r="J10" s="22" t="s">
        <v>237</v>
      </c>
      <c r="K10" s="22" t="s">
        <v>238</v>
      </c>
      <c r="L10" s="22" t="s">
        <v>239</v>
      </c>
    </row>
    <row r="11" spans="3:17" x14ac:dyDescent="0.25">
      <c r="C11" s="19" t="s">
        <v>106</v>
      </c>
      <c r="D11" s="23">
        <v>3.2363228467678899</v>
      </c>
      <c r="E11" s="23">
        <v>0.38396786324959098</v>
      </c>
      <c r="F11" s="23">
        <v>11.240496749113399</v>
      </c>
      <c r="G11" s="23">
        <v>1.69886711989892</v>
      </c>
      <c r="H11" s="23" t="s">
        <v>137</v>
      </c>
      <c r="I11" s="23" t="s">
        <v>137</v>
      </c>
      <c r="J11" s="23">
        <v>1.8346</v>
      </c>
      <c r="K11" s="23">
        <v>2.7923999899999998</v>
      </c>
      <c r="L11" s="23">
        <v>3.03</v>
      </c>
    </row>
    <row r="12" spans="3:17" x14ac:dyDescent="0.25">
      <c r="C12" t="s">
        <v>75</v>
      </c>
      <c r="D12" s="1">
        <v>1.7363319881997601</v>
      </c>
      <c r="E12" s="1">
        <v>0.33807409811491701</v>
      </c>
      <c r="F12" s="1">
        <v>14.276514907594599</v>
      </c>
      <c r="G12" s="1">
        <v>2.33871878883761</v>
      </c>
      <c r="H12" s="1">
        <v>15.4534905601154</v>
      </c>
      <c r="I12" s="1">
        <v>2.5638525372898302</v>
      </c>
      <c r="J12" s="1">
        <v>3.6351</v>
      </c>
      <c r="K12" s="1">
        <v>5.5654000000000003</v>
      </c>
      <c r="L12" s="1">
        <v>5.59</v>
      </c>
    </row>
    <row r="13" spans="3:17" x14ac:dyDescent="0.25">
      <c r="C13" s="20" t="s">
        <v>76</v>
      </c>
      <c r="D13" s="24">
        <v>1.4409437061371499</v>
      </c>
      <c r="E13" s="24">
        <v>0.32326107833724599</v>
      </c>
      <c r="F13" s="24">
        <v>16.1870938126646</v>
      </c>
      <c r="G13" s="24">
        <v>2.8287624859723799</v>
      </c>
      <c r="H13" s="24">
        <v>17.814901338502001</v>
      </c>
      <c r="I13" s="24">
        <v>3.1438738164647102</v>
      </c>
      <c r="J13" s="24">
        <v>4.2037999999999904</v>
      </c>
      <c r="K13" s="24">
        <v>6.3864999999999998</v>
      </c>
      <c r="L13" s="24">
        <v>5.78</v>
      </c>
    </row>
    <row r="15" spans="3:17" x14ac:dyDescent="0.25">
      <c r="O15" t="s">
        <v>141</v>
      </c>
      <c r="P15" t="s">
        <v>142</v>
      </c>
    </row>
    <row r="16" spans="3:17" ht="15.75" thickBot="1" x14ac:dyDescent="0.3">
      <c r="N16" t="s">
        <v>240</v>
      </c>
      <c r="O16">
        <v>3.2363228467678899</v>
      </c>
      <c r="P16">
        <v>0.38396786324959098</v>
      </c>
      <c r="Q16">
        <v>8.4286294675244218</v>
      </c>
    </row>
    <row r="17" spans="3:17" ht="15.75" thickTop="1" x14ac:dyDescent="0.25">
      <c r="C17" s="22" t="s">
        <v>139</v>
      </c>
      <c r="D17" s="22" t="s">
        <v>237</v>
      </c>
      <c r="E17" s="22" t="s">
        <v>238</v>
      </c>
      <c r="F17" s="22" t="s">
        <v>239</v>
      </c>
      <c r="N17" t="s">
        <v>241</v>
      </c>
      <c r="O17">
        <v>11.240496749113399</v>
      </c>
      <c r="P17">
        <v>1.69886711989892</v>
      </c>
      <c r="Q17">
        <v>6.6164661246620575</v>
      </c>
    </row>
    <row r="18" spans="3:17" x14ac:dyDescent="0.25">
      <c r="C18" s="19" t="s">
        <v>106</v>
      </c>
      <c r="D18" s="23">
        <v>1.8346</v>
      </c>
      <c r="E18" s="23">
        <v>2.7923999899999998</v>
      </c>
      <c r="F18" s="23">
        <v>3.03</v>
      </c>
      <c r="N18" t="s">
        <v>242</v>
      </c>
      <c r="O18" s="11">
        <v>1.7363319881997601</v>
      </c>
      <c r="P18" s="11">
        <v>0.33807409811491701</v>
      </c>
      <c r="Q18">
        <v>5.1359509583297092</v>
      </c>
    </row>
    <row r="19" spans="3:17" x14ac:dyDescent="0.25">
      <c r="C19" t="s">
        <v>75</v>
      </c>
      <c r="D19" s="1">
        <v>3.6351</v>
      </c>
      <c r="E19" s="1">
        <v>5.5654000000000003</v>
      </c>
      <c r="F19" s="1">
        <v>5.59</v>
      </c>
      <c r="N19" t="s">
        <v>243</v>
      </c>
      <c r="O19" s="11">
        <v>14.276514907594599</v>
      </c>
      <c r="P19" s="11">
        <v>2.33871878883761</v>
      </c>
      <c r="Q19">
        <v>6.1044170747395894</v>
      </c>
    </row>
    <row r="20" spans="3:17" x14ac:dyDescent="0.25">
      <c r="C20" s="20" t="s">
        <v>76</v>
      </c>
      <c r="D20" s="24">
        <v>4.2037999999999904</v>
      </c>
      <c r="E20" s="24">
        <v>6.3864999999999998</v>
      </c>
      <c r="F20" s="24">
        <v>5.78</v>
      </c>
      <c r="N20" t="s">
        <v>244</v>
      </c>
      <c r="O20" s="11">
        <v>15.4534905601154</v>
      </c>
      <c r="P20" s="11">
        <v>2.5638525372898302</v>
      </c>
      <c r="Q20">
        <v>6.0274490577569688</v>
      </c>
    </row>
    <row r="21" spans="3:17" x14ac:dyDescent="0.25">
      <c r="N21" t="s">
        <v>245</v>
      </c>
      <c r="O21">
        <v>1.4409437061371499</v>
      </c>
      <c r="P21">
        <v>0.32326107833724599</v>
      </c>
      <c r="Q21">
        <v>4.4575230446823797</v>
      </c>
    </row>
    <row r="22" spans="3:17" x14ac:dyDescent="0.25">
      <c r="N22" t="s">
        <v>246</v>
      </c>
      <c r="O22">
        <v>17.814901338502001</v>
      </c>
      <c r="P22">
        <v>3.1438738164647102</v>
      </c>
      <c r="Q22">
        <v>5.666544644764044</v>
      </c>
    </row>
    <row r="23" spans="3:17" x14ac:dyDescent="0.25">
      <c r="N23" t="s">
        <v>247</v>
      </c>
      <c r="O23">
        <v>16.1870938126646</v>
      </c>
      <c r="P23">
        <v>2.8287624859723799</v>
      </c>
      <c r="Q23">
        <v>5.7223234163119665</v>
      </c>
    </row>
    <row r="24" spans="3:17" x14ac:dyDescent="0.25">
      <c r="N24" t="s">
        <v>248</v>
      </c>
      <c r="O24">
        <v>12.4759979531733</v>
      </c>
      <c r="P24">
        <v>1.9535030628191501</v>
      </c>
      <c r="Q24">
        <v>6.3864747338398686</v>
      </c>
    </row>
    <row r="25" spans="3:17" x14ac:dyDescent="0.25">
      <c r="N25" t="s">
        <v>249</v>
      </c>
      <c r="O25">
        <v>20.407097030366302</v>
      </c>
      <c r="P25">
        <v>3.1906433655950099</v>
      </c>
      <c r="Q25">
        <v>6.3959191586304618</v>
      </c>
    </row>
    <row r="26" spans="3:17" x14ac:dyDescent="0.25">
      <c r="N26" t="s">
        <v>250</v>
      </c>
      <c r="O26">
        <v>83.193581191246807</v>
      </c>
      <c r="P26">
        <v>15.112647252650101</v>
      </c>
      <c r="Q26">
        <v>5.5048979705827694</v>
      </c>
    </row>
    <row r="27" spans="3:17" x14ac:dyDescent="0.25">
      <c r="N27" t="s">
        <v>251</v>
      </c>
      <c r="O27">
        <v>19.363493596717198</v>
      </c>
      <c r="P27">
        <v>3.7020324335749999</v>
      </c>
      <c r="Q27">
        <v>5.2305034988626904</v>
      </c>
    </row>
    <row r="32" spans="3:17" x14ac:dyDescent="0.25">
      <c r="L32" t="s">
        <v>254</v>
      </c>
      <c r="M32" t="s">
        <v>255</v>
      </c>
      <c r="N32" t="s">
        <v>256</v>
      </c>
    </row>
    <row r="33" spans="8:14" x14ac:dyDescent="0.25">
      <c r="L33" t="s">
        <v>257</v>
      </c>
      <c r="N33" t="s">
        <v>258</v>
      </c>
    </row>
    <row r="34" spans="8:14" x14ac:dyDescent="0.25">
      <c r="L34" t="s">
        <v>259</v>
      </c>
      <c r="N34">
        <v>5.78</v>
      </c>
    </row>
    <row r="35" spans="8:14" x14ac:dyDescent="0.25">
      <c r="L35" t="s">
        <v>260</v>
      </c>
      <c r="N35">
        <v>5.6929999999999996</v>
      </c>
    </row>
    <row r="36" spans="8:14" x14ac:dyDescent="0.25">
      <c r="L36" t="s">
        <v>261</v>
      </c>
      <c r="N36">
        <v>6.5086666666666666</v>
      </c>
    </row>
    <row r="37" spans="8:14" x14ac:dyDescent="0.25">
      <c r="L37" t="s">
        <v>262</v>
      </c>
      <c r="N37">
        <v>5.7724999999999991</v>
      </c>
    </row>
    <row r="38" spans="8:14" x14ac:dyDescent="0.25">
      <c r="L38" t="s">
        <v>263</v>
      </c>
      <c r="N38">
        <v>6.0549999999999997</v>
      </c>
    </row>
    <row r="39" spans="8:14" x14ac:dyDescent="0.25">
      <c r="L39" t="s">
        <v>264</v>
      </c>
      <c r="M39">
        <v>4.70929999999999</v>
      </c>
      <c r="N39">
        <v>4.2037999999999904</v>
      </c>
    </row>
    <row r="40" spans="8:14" x14ac:dyDescent="0.25">
      <c r="L40" t="s">
        <v>265</v>
      </c>
      <c r="M40">
        <v>4.7770000000000001</v>
      </c>
      <c r="N40">
        <v>4.3183999999999996</v>
      </c>
    </row>
    <row r="41" spans="8:14" x14ac:dyDescent="0.25">
      <c r="L41" t="s">
        <v>266</v>
      </c>
      <c r="M41">
        <v>9.5285998999999997</v>
      </c>
      <c r="N41">
        <v>9.1486999999999892</v>
      </c>
    </row>
    <row r="42" spans="8:14" x14ac:dyDescent="0.25">
      <c r="L42" t="s">
        <v>267</v>
      </c>
      <c r="M42">
        <v>8.5917999999999992</v>
      </c>
      <c r="N42">
        <v>8.1982999999999997</v>
      </c>
    </row>
    <row r="43" spans="8:14" x14ac:dyDescent="0.25">
      <c r="L43" t="s">
        <v>268</v>
      </c>
      <c r="M43">
        <v>6.782</v>
      </c>
      <c r="N43">
        <v>6.3864999999999998</v>
      </c>
    </row>
    <row r="44" spans="8:14" x14ac:dyDescent="0.25">
      <c r="H44">
        <v>6.3864999999999998</v>
      </c>
    </row>
    <row r="47" spans="8:14" x14ac:dyDescent="0.25">
      <c r="L47" t="s">
        <v>269</v>
      </c>
      <c r="M47" t="s">
        <v>255</v>
      </c>
      <c r="N47" t="s">
        <v>256</v>
      </c>
    </row>
    <row r="48" spans="8:14" x14ac:dyDescent="0.25">
      <c r="L48" t="s">
        <v>257</v>
      </c>
      <c r="N48" t="s">
        <v>270</v>
      </c>
    </row>
    <row r="49" spans="12:14" x14ac:dyDescent="0.25">
      <c r="L49" t="s">
        <v>271</v>
      </c>
      <c r="N49">
        <v>5.59</v>
      </c>
    </row>
    <row r="50" spans="12:14" x14ac:dyDescent="0.25">
      <c r="L50" t="s">
        <v>260</v>
      </c>
      <c r="N50">
        <v>5.0975000000000001</v>
      </c>
    </row>
    <row r="51" spans="12:14" x14ac:dyDescent="0.25">
      <c r="L51" t="s">
        <v>261</v>
      </c>
      <c r="N51">
        <v>6.18</v>
      </c>
    </row>
    <row r="52" spans="12:14" x14ac:dyDescent="0.25">
      <c r="L52" t="s">
        <v>263</v>
      </c>
      <c r="N52">
        <v>5.5999999999999988</v>
      </c>
    </row>
    <row r="53" spans="12:14" x14ac:dyDescent="0.25">
      <c r="L53" t="s">
        <v>264</v>
      </c>
      <c r="M53">
        <v>4.0373999999999999</v>
      </c>
      <c r="N53">
        <v>3.6351</v>
      </c>
    </row>
    <row r="54" spans="12:14" x14ac:dyDescent="0.25">
      <c r="L54" t="s">
        <v>272</v>
      </c>
      <c r="M54">
        <v>4.1328999999999896</v>
      </c>
      <c r="N54">
        <v>3.7919</v>
      </c>
    </row>
    <row r="55" spans="12:14" x14ac:dyDescent="0.25">
      <c r="L55" t="s">
        <v>273</v>
      </c>
      <c r="M55">
        <v>7.9389000000000003</v>
      </c>
      <c r="N55">
        <v>7.7262999999999904</v>
      </c>
    </row>
    <row r="56" spans="12:14" x14ac:dyDescent="0.25">
      <c r="L56" t="s">
        <v>267</v>
      </c>
      <c r="M56">
        <v>7.1806999999999999</v>
      </c>
      <c r="N56">
        <v>6.9371999999999998</v>
      </c>
    </row>
    <row r="57" spans="12:14" x14ac:dyDescent="0.25">
      <c r="L57" t="s">
        <v>274</v>
      </c>
      <c r="M57">
        <v>5.8342999999999998</v>
      </c>
      <c r="N57">
        <v>5.5710990000000002</v>
      </c>
    </row>
    <row r="58" spans="12:14" x14ac:dyDescent="0.25">
      <c r="L58" t="s">
        <v>275</v>
      </c>
      <c r="M58">
        <v>7.8319999999999999</v>
      </c>
      <c r="N58">
        <v>7.6249999999999902</v>
      </c>
    </row>
    <row r="59" spans="12:14" x14ac:dyDescent="0.25">
      <c r="L59" t="s">
        <v>276</v>
      </c>
      <c r="M59">
        <v>5.8294999999999897</v>
      </c>
      <c r="N59">
        <v>5.5654000000000003</v>
      </c>
    </row>
    <row r="62" spans="12:14" x14ac:dyDescent="0.25">
      <c r="M62" t="s">
        <v>136</v>
      </c>
    </row>
    <row r="63" spans="12:14" x14ac:dyDescent="0.25">
      <c r="L63" t="s">
        <v>277</v>
      </c>
      <c r="M63">
        <v>3.03</v>
      </c>
    </row>
    <row r="64" spans="12:14" x14ac:dyDescent="0.25">
      <c r="L64" t="s">
        <v>260</v>
      </c>
      <c r="M64">
        <v>3.2733333333333334</v>
      </c>
    </row>
    <row r="65" spans="12:13" x14ac:dyDescent="0.25">
      <c r="L65" t="s">
        <v>261</v>
      </c>
      <c r="M65">
        <v>3.94</v>
      </c>
    </row>
    <row r="66" spans="12:13" x14ac:dyDescent="0.25">
      <c r="L66" t="s">
        <v>262</v>
      </c>
      <c r="M66">
        <v>3.4</v>
      </c>
    </row>
    <row r="67" spans="12:13" x14ac:dyDescent="0.25">
      <c r="L67" t="s">
        <v>278</v>
      </c>
      <c r="M67">
        <v>1.8346</v>
      </c>
    </row>
    <row r="68" spans="12:13" x14ac:dyDescent="0.25">
      <c r="L68" t="s">
        <v>140</v>
      </c>
      <c r="M68">
        <v>2.0407999999999999</v>
      </c>
    </row>
    <row r="69" spans="12:13" x14ac:dyDescent="0.25">
      <c r="L69" t="s">
        <v>279</v>
      </c>
      <c r="M69">
        <v>3.8273999999999901</v>
      </c>
    </row>
    <row r="70" spans="12:13" x14ac:dyDescent="0.25">
      <c r="L70" t="s">
        <v>267</v>
      </c>
      <c r="M70">
        <v>3.4253</v>
      </c>
    </row>
    <row r="71" spans="12:13" x14ac:dyDescent="0.25">
      <c r="L71" t="s">
        <v>280</v>
      </c>
      <c r="M71">
        <v>2.7923999899999998</v>
      </c>
    </row>
  </sheetData>
  <conditionalFormatting sqref="D10:E10">
    <cfRule type="duplicateValues" dxfId="0" priority="1"/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E1EB-CC36-4144-BB3E-DF324086835F}">
  <dimension ref="C6:K83"/>
  <sheetViews>
    <sheetView topLeftCell="A74" zoomScale="104" workbookViewId="0">
      <selection activeCell="E95" sqref="E95"/>
    </sheetView>
  </sheetViews>
  <sheetFormatPr defaultRowHeight="15" x14ac:dyDescent="0.25"/>
  <cols>
    <col min="3" max="3" width="32.7109375" bestFit="1" customWidth="1"/>
    <col min="4" max="4" width="13.42578125" customWidth="1"/>
    <col min="5" max="5" width="15.7109375" customWidth="1"/>
    <col min="6" max="6" width="22.140625" customWidth="1"/>
    <col min="7" max="7" width="23.28515625" customWidth="1"/>
  </cols>
  <sheetData>
    <row r="6" spans="3:7" ht="15.75" thickBot="1" x14ac:dyDescent="0.3"/>
    <row r="7" spans="3:7" ht="16.5" thickTop="1" thickBot="1" x14ac:dyDescent="0.3">
      <c r="C7" s="35" t="s">
        <v>139</v>
      </c>
      <c r="D7" s="35" t="s">
        <v>237</v>
      </c>
      <c r="E7" s="35" t="s">
        <v>238</v>
      </c>
      <c r="F7" s="36" t="s">
        <v>367</v>
      </c>
      <c r="G7" s="35" t="s">
        <v>239</v>
      </c>
    </row>
    <row r="8" spans="3:7" ht="18" x14ac:dyDescent="0.25">
      <c r="C8" s="29" t="s">
        <v>368</v>
      </c>
      <c r="D8" s="29">
        <v>1.83</v>
      </c>
      <c r="E8" s="29">
        <v>2.79</v>
      </c>
      <c r="F8" s="37" t="s">
        <v>369</v>
      </c>
      <c r="G8" s="29">
        <v>3.03</v>
      </c>
    </row>
    <row r="9" spans="3:7" ht="18" x14ac:dyDescent="0.25">
      <c r="C9" s="28" t="s">
        <v>370</v>
      </c>
      <c r="D9" s="29">
        <v>3.64</v>
      </c>
      <c r="E9" s="29">
        <v>5.57</v>
      </c>
      <c r="F9" s="37">
        <v>5.61</v>
      </c>
      <c r="G9" s="29">
        <v>5.59</v>
      </c>
    </row>
    <row r="10" spans="3:7" ht="18.75" thickBot="1" x14ac:dyDescent="0.3">
      <c r="C10" s="33" t="s">
        <v>371</v>
      </c>
      <c r="D10" s="33">
        <v>4.2</v>
      </c>
      <c r="E10" s="33">
        <v>6.39</v>
      </c>
      <c r="F10" s="38">
        <v>6.48</v>
      </c>
      <c r="G10" s="33">
        <v>5.78</v>
      </c>
    </row>
    <row r="16" spans="3:7" x14ac:dyDescent="0.25">
      <c r="C16" t="s">
        <v>372</v>
      </c>
    </row>
    <row r="18" spans="3:7" ht="15.75" thickBot="1" x14ac:dyDescent="0.3">
      <c r="D18" s="29" t="s">
        <v>326</v>
      </c>
      <c r="E18" s="29" t="s">
        <v>363</v>
      </c>
      <c r="F18" s="29" t="s">
        <v>364</v>
      </c>
    </row>
    <row r="19" spans="3:7" ht="15.75" thickTop="1" x14ac:dyDescent="0.25">
      <c r="C19" s="30" t="s">
        <v>68</v>
      </c>
      <c r="D19" s="31">
        <v>2.89</v>
      </c>
      <c r="E19" s="31">
        <v>0.75</v>
      </c>
      <c r="F19" s="31">
        <v>2.7</v>
      </c>
    </row>
    <row r="20" spans="3:7" x14ac:dyDescent="0.25">
      <c r="C20" s="29" t="s">
        <v>365</v>
      </c>
      <c r="D20" s="32">
        <v>4.55</v>
      </c>
      <c r="E20" s="32">
        <v>1.03</v>
      </c>
      <c r="F20" s="32">
        <v>1.04</v>
      </c>
    </row>
    <row r="21" spans="3:7" ht="15.75" thickBot="1" x14ac:dyDescent="0.3">
      <c r="C21" s="33" t="s">
        <v>366</v>
      </c>
      <c r="D21" s="34">
        <v>3.89</v>
      </c>
      <c r="E21" s="34">
        <v>1.33</v>
      </c>
      <c r="F21" s="34">
        <v>1.7</v>
      </c>
    </row>
    <row r="32" spans="3:7" x14ac:dyDescent="0.25">
      <c r="C32" t="s">
        <v>301</v>
      </c>
      <c r="G32" s="29">
        <v>5.59</v>
      </c>
    </row>
    <row r="34" spans="3:9" x14ac:dyDescent="0.25">
      <c r="E34" t="s">
        <v>376</v>
      </c>
    </row>
    <row r="35" spans="3:9" ht="15.75" thickBot="1" x14ac:dyDescent="0.3">
      <c r="C35" s="29" t="s">
        <v>379</v>
      </c>
      <c r="D35" t="s">
        <v>381</v>
      </c>
      <c r="E35" s="29" t="s">
        <v>377</v>
      </c>
      <c r="F35" s="29" t="s">
        <v>378</v>
      </c>
      <c r="G35" s="29" t="s">
        <v>364</v>
      </c>
    </row>
    <row r="36" spans="3:9" ht="15.75" thickTop="1" x14ac:dyDescent="0.25">
      <c r="C36" s="30" t="s">
        <v>388</v>
      </c>
      <c r="D36" s="41">
        <v>3.64</v>
      </c>
      <c r="E36" s="46">
        <v>2.8357864075697798</v>
      </c>
      <c r="F36" s="41">
        <f t="shared" ref="F36:F41" si="0">D36-E36</f>
        <v>0.80421359243022028</v>
      </c>
      <c r="G36" s="41">
        <f t="shared" ref="G36:G41" si="1">$G$32-E36</f>
        <v>2.75421359243022</v>
      </c>
      <c r="I36">
        <f>E36/D36</f>
        <v>0.77906219988180758</v>
      </c>
    </row>
    <row r="37" spans="3:9" x14ac:dyDescent="0.25">
      <c r="C37" t="s">
        <v>389</v>
      </c>
      <c r="D37" s="43">
        <v>5.57</v>
      </c>
      <c r="E37" s="47">
        <v>4.2903012604865802</v>
      </c>
      <c r="F37" s="43">
        <f t="shared" si="0"/>
        <v>1.2796987395134201</v>
      </c>
      <c r="G37" s="43">
        <f t="shared" si="1"/>
        <v>1.2996987395134196</v>
      </c>
      <c r="I37">
        <f t="shared" ref="I37:I41" si="2">E37/D37</f>
        <v>0.7702515727983088</v>
      </c>
    </row>
    <row r="38" spans="3:9" x14ac:dyDescent="0.25">
      <c r="C38" t="s">
        <v>390</v>
      </c>
      <c r="D38" s="43">
        <v>5.57</v>
      </c>
      <c r="E38" s="47">
        <v>4.7251869906167698</v>
      </c>
      <c r="F38" s="43">
        <f t="shared" si="0"/>
        <v>0.84481300938323045</v>
      </c>
      <c r="G38" s="43">
        <f t="shared" si="1"/>
        <v>0.86481300938323002</v>
      </c>
      <c r="I38">
        <f t="shared" si="2"/>
        <v>0.84832800549672704</v>
      </c>
    </row>
    <row r="39" spans="3:9" x14ac:dyDescent="0.25">
      <c r="C39" s="29" t="s">
        <v>391</v>
      </c>
      <c r="D39" s="43">
        <v>5.57</v>
      </c>
      <c r="E39" s="47">
        <v>4.6074908994987904</v>
      </c>
      <c r="F39" s="43">
        <f t="shared" si="0"/>
        <v>0.96250910050120986</v>
      </c>
      <c r="G39" s="43">
        <f t="shared" si="1"/>
        <v>0.98250910050120943</v>
      </c>
      <c r="I39">
        <f t="shared" si="2"/>
        <v>0.82719764802491746</v>
      </c>
    </row>
    <row r="40" spans="3:9" x14ac:dyDescent="0.25">
      <c r="C40" t="s">
        <v>392</v>
      </c>
      <c r="D40" s="43">
        <v>5.57</v>
      </c>
      <c r="E40" s="47">
        <v>4.6741298758667504</v>
      </c>
      <c r="F40" s="43">
        <f t="shared" si="0"/>
        <v>0.89587012413324985</v>
      </c>
      <c r="G40" s="43">
        <f t="shared" si="1"/>
        <v>0.91587012413324942</v>
      </c>
      <c r="I40">
        <f t="shared" si="2"/>
        <v>0.83916155760623878</v>
      </c>
    </row>
    <row r="41" spans="3:9" x14ac:dyDescent="0.25">
      <c r="C41" s="39" t="s">
        <v>393</v>
      </c>
      <c r="D41" s="48">
        <v>5.22</v>
      </c>
      <c r="E41" s="24">
        <v>3.873085339168485</v>
      </c>
      <c r="F41" s="44">
        <f t="shared" si="0"/>
        <v>1.3469146608315148</v>
      </c>
      <c r="G41" s="44">
        <f t="shared" si="1"/>
        <v>1.7169146608315149</v>
      </c>
      <c r="I41">
        <f t="shared" si="2"/>
        <v>0.74197037148821554</v>
      </c>
    </row>
    <row r="42" spans="3:9" x14ac:dyDescent="0.25">
      <c r="D42" s="13"/>
      <c r="E42" s="13"/>
      <c r="F42" s="13"/>
      <c r="G42" s="13"/>
    </row>
    <row r="43" spans="3:9" ht="15.75" thickBot="1" x14ac:dyDescent="0.3">
      <c r="D43" s="13"/>
      <c r="F43" s="13"/>
      <c r="G43" s="34">
        <v>5.78</v>
      </c>
    </row>
    <row r="46" spans="3:9" x14ac:dyDescent="0.25">
      <c r="E46" s="47">
        <f t="shared" ref="E46:E51" si="3">E36-$E$41</f>
        <v>-1.0372989315987051</v>
      </c>
      <c r="F46" s="47">
        <f t="shared" ref="F46:F51" si="4">F36-$F$41</f>
        <v>-0.54270106840129451</v>
      </c>
      <c r="G46" s="47">
        <f t="shared" ref="G46:G51" si="5">G36-$G$41</f>
        <v>1.0372989315987051</v>
      </c>
    </row>
    <row r="47" spans="3:9" x14ac:dyDescent="0.25">
      <c r="D47" t="s">
        <v>340</v>
      </c>
      <c r="E47" s="47">
        <f t="shared" si="3"/>
        <v>0.41721592131809526</v>
      </c>
      <c r="F47" s="47">
        <f t="shared" si="4"/>
        <v>-6.7215921318094729E-2</v>
      </c>
      <c r="G47" s="47">
        <f t="shared" si="5"/>
        <v>-0.41721592131809526</v>
      </c>
    </row>
    <row r="48" spans="3:9" x14ac:dyDescent="0.25">
      <c r="E48" s="47">
        <f t="shared" si="3"/>
        <v>0.85210165144828487</v>
      </c>
      <c r="F48" s="47">
        <f t="shared" si="4"/>
        <v>-0.50210165144828434</v>
      </c>
      <c r="G48" s="47">
        <f t="shared" si="5"/>
        <v>-0.85210165144828487</v>
      </c>
    </row>
    <row r="49" spans="3:11" x14ac:dyDescent="0.25">
      <c r="D49" t="s">
        <v>340</v>
      </c>
      <c r="E49" s="47">
        <f t="shared" si="3"/>
        <v>0.73440556033030546</v>
      </c>
      <c r="F49" s="47">
        <f t="shared" si="4"/>
        <v>-0.38440556033030493</v>
      </c>
      <c r="G49" s="47">
        <f t="shared" si="5"/>
        <v>-0.73440556033030546</v>
      </c>
    </row>
    <row r="50" spans="3:11" x14ac:dyDescent="0.25">
      <c r="E50" s="47">
        <f t="shared" si="3"/>
        <v>0.80104453669826547</v>
      </c>
      <c r="F50" s="47">
        <f t="shared" si="4"/>
        <v>-0.45104453669826494</v>
      </c>
      <c r="G50" s="47">
        <f t="shared" si="5"/>
        <v>-0.80104453669826547</v>
      </c>
    </row>
    <row r="51" spans="3:11" x14ac:dyDescent="0.25">
      <c r="E51" s="47">
        <f t="shared" si="3"/>
        <v>0</v>
      </c>
      <c r="F51" s="47">
        <f t="shared" si="4"/>
        <v>0</v>
      </c>
      <c r="G51" s="47">
        <f t="shared" si="5"/>
        <v>0</v>
      </c>
    </row>
    <row r="53" spans="3:11" x14ac:dyDescent="0.25">
      <c r="J53" t="s">
        <v>385</v>
      </c>
      <c r="K53" t="s">
        <v>386</v>
      </c>
    </row>
    <row r="54" spans="3:11" x14ac:dyDescent="0.25">
      <c r="J54" t="s">
        <v>382</v>
      </c>
      <c r="K54">
        <v>1.8442211055276301</v>
      </c>
    </row>
    <row r="55" spans="3:11" x14ac:dyDescent="0.25">
      <c r="J55" t="s">
        <v>383</v>
      </c>
      <c r="K55">
        <v>1.80402010050251</v>
      </c>
    </row>
    <row r="56" spans="3:11" x14ac:dyDescent="0.25">
      <c r="H56" t="s">
        <v>340</v>
      </c>
      <c r="J56" t="s">
        <v>384</v>
      </c>
      <c r="K56">
        <v>-4.5879396984924599</v>
      </c>
    </row>
    <row r="57" spans="3:11" x14ac:dyDescent="0.25">
      <c r="C57" t="s">
        <v>305</v>
      </c>
      <c r="D57" s="13"/>
      <c r="E57" s="13"/>
      <c r="F57" s="13"/>
      <c r="G57" s="13"/>
    </row>
    <row r="58" spans="3:11" x14ac:dyDescent="0.25">
      <c r="D58" s="13"/>
      <c r="E58" s="13" t="s">
        <v>376</v>
      </c>
      <c r="G58" s="13"/>
    </row>
    <row r="59" spans="3:11" ht="15.75" thickBot="1" x14ac:dyDescent="0.3">
      <c r="D59" s="13" t="s">
        <v>381</v>
      </c>
      <c r="E59" s="29" t="s">
        <v>377</v>
      </c>
      <c r="F59" s="29" t="s">
        <v>378</v>
      </c>
      <c r="G59" s="29" t="s">
        <v>364</v>
      </c>
    </row>
    <row r="60" spans="3:11" ht="15.75" thickTop="1" x14ac:dyDescent="0.25">
      <c r="C60" s="30" t="s">
        <v>68</v>
      </c>
      <c r="D60" s="41">
        <v>4.2</v>
      </c>
      <c r="E60" s="41">
        <v>2.94</v>
      </c>
      <c r="F60" s="41">
        <f>D60-E60</f>
        <v>1.2600000000000002</v>
      </c>
      <c r="G60" s="41">
        <f t="shared" ref="G60:G65" si="6">$G$43-E60</f>
        <v>2.8400000000000003</v>
      </c>
      <c r="I60">
        <f t="shared" ref="I60:I65" si="7">E60/D60</f>
        <v>0.7</v>
      </c>
    </row>
    <row r="61" spans="3:11" x14ac:dyDescent="0.25">
      <c r="C61" t="s">
        <v>373</v>
      </c>
      <c r="D61" s="43">
        <v>6.39</v>
      </c>
      <c r="E61" s="49">
        <v>4.6504329634976598</v>
      </c>
      <c r="F61" s="43">
        <f t="shared" ref="F61:F64" si="8">D61-E61</f>
        <v>1.7395670365023399</v>
      </c>
      <c r="G61" s="43">
        <f t="shared" si="6"/>
        <v>1.1295670365023405</v>
      </c>
      <c r="I61">
        <f t="shared" si="7"/>
        <v>0.72776728693234116</v>
      </c>
    </row>
    <row r="62" spans="3:11" x14ac:dyDescent="0.25">
      <c r="C62" t="s">
        <v>374</v>
      </c>
      <c r="D62" s="43">
        <v>6.39</v>
      </c>
      <c r="E62" s="49">
        <v>5.0490186911906498</v>
      </c>
      <c r="F62" s="43">
        <f t="shared" si="8"/>
        <v>1.3409813088093498</v>
      </c>
      <c r="G62" s="43">
        <f t="shared" si="6"/>
        <v>0.73098130880935042</v>
      </c>
      <c r="I62">
        <f t="shared" si="7"/>
        <v>0.79014377013938186</v>
      </c>
    </row>
    <row r="63" spans="3:11" x14ac:dyDescent="0.25">
      <c r="C63" s="29" t="s">
        <v>380</v>
      </c>
      <c r="D63" s="43">
        <v>6.39</v>
      </c>
      <c r="E63" s="49">
        <v>4.9713777751808097</v>
      </c>
      <c r="F63" s="43">
        <f t="shared" si="8"/>
        <v>1.41862222481919</v>
      </c>
      <c r="G63" s="43">
        <f t="shared" si="6"/>
        <v>0.80862222481919055</v>
      </c>
      <c r="I63">
        <f t="shared" si="7"/>
        <v>0.77799339204707507</v>
      </c>
    </row>
    <row r="64" spans="3:11" x14ac:dyDescent="0.25">
      <c r="C64" t="s">
        <v>375</v>
      </c>
      <c r="D64" s="43">
        <v>6.39</v>
      </c>
      <c r="E64" s="49">
        <v>4.9438058280488697</v>
      </c>
      <c r="F64" s="43">
        <f t="shared" si="8"/>
        <v>1.44619417195113</v>
      </c>
      <c r="G64" s="43">
        <f t="shared" si="6"/>
        <v>0.83619417195113055</v>
      </c>
      <c r="I64">
        <f t="shared" si="7"/>
        <v>0.77367853334098124</v>
      </c>
    </row>
    <row r="65" spans="3:9" x14ac:dyDescent="0.25">
      <c r="C65" s="39" t="s">
        <v>387</v>
      </c>
      <c r="D65" s="50">
        <v>5.8</v>
      </c>
      <c r="E65" s="50">
        <v>4.1265822784810098</v>
      </c>
      <c r="F65" s="44">
        <f>D65-E65</f>
        <v>1.67341772151899</v>
      </c>
      <c r="G65" s="44">
        <f t="shared" si="6"/>
        <v>1.6534177215189905</v>
      </c>
      <c r="I65">
        <f t="shared" si="7"/>
        <v>0.71147970318638099</v>
      </c>
    </row>
    <row r="66" spans="3:9" x14ac:dyDescent="0.25">
      <c r="D66" s="13"/>
      <c r="E66" s="13"/>
      <c r="F66" s="13"/>
      <c r="G66" s="13"/>
    </row>
    <row r="67" spans="3:9" x14ac:dyDescent="0.25">
      <c r="D67" s="13"/>
      <c r="E67" s="13"/>
      <c r="F67" s="13"/>
      <c r="G67" s="13"/>
    </row>
    <row r="68" spans="3:9" x14ac:dyDescent="0.25">
      <c r="D68" s="13"/>
      <c r="E68" s="47">
        <f t="shared" ref="E68:E73" si="9">E60-$E$65</f>
        <v>-1.1865822784810098</v>
      </c>
      <c r="F68" s="47">
        <f t="shared" ref="F68:F73" si="10">F60-$F$65</f>
        <v>-0.41341772151898981</v>
      </c>
      <c r="G68" s="47">
        <f t="shared" ref="G68:G73" si="11">G60-$G$65</f>
        <v>1.1865822784810098</v>
      </c>
    </row>
    <row r="69" spans="3:9" x14ac:dyDescent="0.25">
      <c r="D69" s="13" t="s">
        <v>340</v>
      </c>
      <c r="E69" s="47">
        <f t="shared" si="9"/>
        <v>0.52385068501665</v>
      </c>
      <c r="F69" s="47">
        <f t="shared" si="10"/>
        <v>6.6149314983349861E-2</v>
      </c>
      <c r="G69" s="47">
        <f t="shared" si="11"/>
        <v>-0.52385068501665</v>
      </c>
    </row>
    <row r="70" spans="3:9" x14ac:dyDescent="0.25">
      <c r="E70" s="47">
        <f t="shared" si="9"/>
        <v>0.92243641270964005</v>
      </c>
      <c r="F70" s="47">
        <f t="shared" si="10"/>
        <v>-0.33243641270964019</v>
      </c>
      <c r="G70" s="47">
        <f t="shared" si="11"/>
        <v>-0.92243641270964005</v>
      </c>
    </row>
    <row r="71" spans="3:9" x14ac:dyDescent="0.25">
      <c r="E71" s="47">
        <f t="shared" si="9"/>
        <v>0.84479549669979992</v>
      </c>
      <c r="F71" s="47">
        <f t="shared" si="10"/>
        <v>-0.25479549669980006</v>
      </c>
      <c r="G71" s="47">
        <f t="shared" si="11"/>
        <v>-0.84479549669979992</v>
      </c>
    </row>
    <row r="72" spans="3:9" x14ac:dyDescent="0.25">
      <c r="E72" s="47">
        <f t="shared" si="9"/>
        <v>0.81722354956785992</v>
      </c>
      <c r="F72" s="47">
        <f t="shared" si="10"/>
        <v>-0.22722354956786006</v>
      </c>
      <c r="G72" s="47">
        <f t="shared" si="11"/>
        <v>-0.81722354956785992</v>
      </c>
    </row>
    <row r="73" spans="3:9" x14ac:dyDescent="0.25">
      <c r="E73" s="47">
        <f t="shared" si="9"/>
        <v>0</v>
      </c>
      <c r="F73" s="47">
        <f t="shared" si="10"/>
        <v>0</v>
      </c>
      <c r="G73" s="47">
        <f t="shared" si="11"/>
        <v>0</v>
      </c>
    </row>
    <row r="74" spans="3:9" x14ac:dyDescent="0.25">
      <c r="E74" s="47"/>
    </row>
    <row r="75" spans="3:9" x14ac:dyDescent="0.25">
      <c r="E75" s="47"/>
    </row>
    <row r="76" spans="3:9" x14ac:dyDescent="0.25">
      <c r="D76" s="13"/>
      <c r="E76" s="13"/>
      <c r="F76" s="15">
        <v>2.6439797650255801</v>
      </c>
      <c r="G76" s="13"/>
    </row>
    <row r="77" spans="3:9" x14ac:dyDescent="0.25">
      <c r="C77" t="s">
        <v>356</v>
      </c>
      <c r="D77" s="13"/>
      <c r="E77" s="15">
        <v>1.8685396211963801</v>
      </c>
      <c r="F77" s="13"/>
      <c r="G77" s="32">
        <v>3.03</v>
      </c>
    </row>
    <row r="78" spans="3:9" x14ac:dyDescent="0.25">
      <c r="D78" s="13"/>
      <c r="E78" s="13"/>
      <c r="F78" s="13"/>
      <c r="G78" s="13"/>
    </row>
    <row r="79" spans="3:9" x14ac:dyDescent="0.25">
      <c r="D79" s="13"/>
      <c r="E79" s="13" t="s">
        <v>376</v>
      </c>
      <c r="G79" s="13"/>
    </row>
    <row r="80" spans="3:9" ht="15.75" thickBot="1" x14ac:dyDescent="0.3">
      <c r="D80" s="13" t="s">
        <v>381</v>
      </c>
      <c r="E80" s="29" t="s">
        <v>377</v>
      </c>
      <c r="F80" s="29" t="s">
        <v>378</v>
      </c>
      <c r="G80" s="29" t="s">
        <v>364</v>
      </c>
    </row>
    <row r="81" spans="3:9" ht="15.75" thickTop="1" x14ac:dyDescent="0.25">
      <c r="C81" s="40" t="s">
        <v>68</v>
      </c>
      <c r="D81" s="41">
        <v>1.83</v>
      </c>
      <c r="E81" s="41">
        <v>1.8685396211963801</v>
      </c>
      <c r="F81" s="41">
        <f>D81-E81</f>
        <v>-3.8539621196379992E-2</v>
      </c>
      <c r="G81" s="41">
        <f>$G$77-E81</f>
        <v>1.1614603788036197</v>
      </c>
      <c r="I81">
        <f>E81/D81</f>
        <v>1.0210599022931037</v>
      </c>
    </row>
    <row r="82" spans="3:9" x14ac:dyDescent="0.25">
      <c r="C82" s="42" t="s">
        <v>331</v>
      </c>
      <c r="D82" s="43">
        <v>2.79</v>
      </c>
      <c r="E82" s="43">
        <v>2.6439797650255801</v>
      </c>
      <c r="F82" s="43">
        <f t="shared" ref="F82" si="12">D82-E82</f>
        <v>0.14602023497441996</v>
      </c>
      <c r="G82" s="43">
        <f>$G$77-E82</f>
        <v>0.38602023497441973</v>
      </c>
      <c r="I82">
        <f>E82/D82</f>
        <v>0.9476629982170538</v>
      </c>
    </row>
    <row r="83" spans="3:9" x14ac:dyDescent="0.25">
      <c r="C83" s="45" t="s">
        <v>114</v>
      </c>
      <c r="D83" s="48">
        <v>3.13</v>
      </c>
      <c r="E83" s="48">
        <v>2.7371099999999999</v>
      </c>
      <c r="F83" s="44">
        <f>D83-E83</f>
        <v>0.39288999999999996</v>
      </c>
      <c r="G83" s="44">
        <f>$G$77-E83</f>
        <v>0.29288999999999987</v>
      </c>
      <c r="I83">
        <f>E83/D83</f>
        <v>0.87447603833865817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Previous work</vt:lpstr>
      <vt:lpstr>TiO2rawresults</vt:lpstr>
      <vt:lpstr>ZrO2rawresults</vt:lpstr>
      <vt:lpstr>HfO2rawresults</vt:lpstr>
      <vt:lpstr>More Raw results</vt:lpstr>
      <vt:lpstr>Pure cell results</vt:lpstr>
      <vt:lpstr>O references</vt:lpstr>
      <vt:lpstr>summary graphs</vt:lpstr>
      <vt:lpstr>papertables</vt:lpstr>
      <vt:lpstr>papertablepreparation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Lambert</dc:creator>
  <cp:lastModifiedBy>Daniel Lambert</cp:lastModifiedBy>
  <dcterms:created xsi:type="dcterms:W3CDTF">2021-04-19T06:49:20Z</dcterms:created>
  <dcterms:modified xsi:type="dcterms:W3CDTF">2024-10-31T08:30:56Z</dcterms:modified>
</cp:coreProperties>
</file>