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01_20_2024\torsion_mode_analysis\using_CO_projectors\"/>
    </mc:Choice>
  </mc:AlternateContent>
  <xr:revisionPtr revIDLastSave="0" documentId="13_ncr:1_{3F2739D1-4DBB-4A44-BAEC-CBDBC59A6E1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hart" sheetId="7" r:id="rId1"/>
    <sheet name="predict_norms" sheetId="8" r:id="rId2"/>
    <sheet name="p10_inclination_relax" sheetId="6" r:id="rId3"/>
    <sheet name="n10_inclination_relax" sheetId="5" r:id="rId4"/>
    <sheet name="opt_angle_relax" sheetId="4" r:id="rId5"/>
    <sheet name="opt_angle_no_relax" sheetId="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22" i="1" l="1"/>
  <c r="U22" i="1"/>
  <c r="V21" i="1"/>
  <c r="U21" i="1"/>
  <c r="V20" i="1"/>
  <c r="U20" i="1"/>
  <c r="V19" i="1"/>
  <c r="U19" i="1"/>
  <c r="V18" i="1"/>
  <c r="U18" i="1"/>
  <c r="V17" i="1"/>
  <c r="U17" i="1"/>
  <c r="V16" i="1"/>
  <c r="U16" i="1"/>
  <c r="V15" i="1"/>
  <c r="U15" i="1"/>
  <c r="V14" i="1"/>
  <c r="U14" i="1"/>
  <c r="V13" i="1"/>
  <c r="U13" i="1"/>
  <c r="V12" i="1"/>
  <c r="U12" i="1"/>
  <c r="V11" i="1"/>
  <c r="U11" i="1"/>
  <c r="V10" i="1"/>
  <c r="U10" i="1"/>
  <c r="V9" i="1"/>
  <c r="U9" i="1"/>
  <c r="V8" i="1"/>
  <c r="U8" i="1"/>
  <c r="V7" i="1"/>
  <c r="U7" i="1"/>
  <c r="V6" i="1"/>
  <c r="U6" i="1"/>
  <c r="V5" i="1"/>
  <c r="V3" i="1" s="1"/>
  <c r="X3" i="1" s="1"/>
  <c r="U5" i="1"/>
  <c r="U3" i="1"/>
  <c r="V22" i="4"/>
  <c r="U22" i="4"/>
  <c r="V21" i="4"/>
  <c r="U21" i="4"/>
  <c r="V20" i="4"/>
  <c r="U20" i="4"/>
  <c r="V19" i="4"/>
  <c r="U19" i="4"/>
  <c r="V18" i="4"/>
  <c r="U18" i="4"/>
  <c r="V17" i="4"/>
  <c r="U17" i="4"/>
  <c r="V16" i="4"/>
  <c r="U16" i="4"/>
  <c r="V15" i="4"/>
  <c r="U15" i="4"/>
  <c r="V14" i="4"/>
  <c r="U14" i="4"/>
  <c r="V13" i="4"/>
  <c r="U13" i="4"/>
  <c r="V12" i="4"/>
  <c r="U12" i="4"/>
  <c r="V11" i="4"/>
  <c r="U11" i="4"/>
  <c r="V10" i="4"/>
  <c r="U10" i="4"/>
  <c r="V9" i="4"/>
  <c r="U9" i="4"/>
  <c r="U3" i="4" s="1"/>
  <c r="V8" i="4"/>
  <c r="U8" i="4"/>
  <c r="V7" i="4"/>
  <c r="U7" i="4"/>
  <c r="V6" i="4"/>
  <c r="U6" i="4"/>
  <c r="V5" i="4"/>
  <c r="V3" i="4" s="1"/>
  <c r="X3" i="4" s="1"/>
  <c r="U5" i="4"/>
  <c r="K28" i="5"/>
  <c r="J28" i="5"/>
  <c r="I28" i="5"/>
  <c r="H28" i="5"/>
  <c r="K27" i="5"/>
  <c r="J27" i="5"/>
  <c r="I27" i="5"/>
  <c r="H27" i="5"/>
  <c r="J28" i="6"/>
  <c r="I28" i="6"/>
  <c r="H28" i="6"/>
  <c r="K27" i="6"/>
  <c r="K28" i="6" s="1"/>
  <c r="J27" i="6"/>
  <c r="I27" i="6"/>
  <c r="H27" i="6"/>
  <c r="H6" i="6"/>
  <c r="I6" i="6"/>
  <c r="J6" i="6"/>
  <c r="K6" i="6"/>
  <c r="H7" i="6"/>
  <c r="I7" i="6"/>
  <c r="J7" i="6"/>
  <c r="K7" i="6"/>
  <c r="H8" i="6"/>
  <c r="I8" i="6"/>
  <c r="J8" i="6"/>
  <c r="K8" i="6"/>
  <c r="H9" i="6"/>
  <c r="I9" i="6"/>
  <c r="J9" i="6"/>
  <c r="K9" i="6"/>
  <c r="H10" i="6"/>
  <c r="I10" i="6"/>
  <c r="J10" i="6"/>
  <c r="K10" i="6"/>
  <c r="H11" i="6"/>
  <c r="I11" i="6"/>
  <c r="J11" i="6"/>
  <c r="K11" i="6"/>
  <c r="H12" i="6"/>
  <c r="I12" i="6"/>
  <c r="J12" i="6"/>
  <c r="K12" i="6"/>
  <c r="H13" i="6"/>
  <c r="I13" i="6"/>
  <c r="J13" i="6"/>
  <c r="K13" i="6"/>
  <c r="H14" i="6"/>
  <c r="I14" i="6"/>
  <c r="J14" i="6"/>
  <c r="K14" i="6"/>
  <c r="H15" i="6"/>
  <c r="I15" i="6"/>
  <c r="J15" i="6"/>
  <c r="K15" i="6"/>
  <c r="H16" i="6"/>
  <c r="I16" i="6"/>
  <c r="J16" i="6"/>
  <c r="K16" i="6"/>
  <c r="H17" i="6"/>
  <c r="I17" i="6"/>
  <c r="J17" i="6"/>
  <c r="K17" i="6"/>
  <c r="H18" i="6"/>
  <c r="I18" i="6"/>
  <c r="J18" i="6"/>
  <c r="K18" i="6"/>
  <c r="H19" i="6"/>
  <c r="I19" i="6"/>
  <c r="J19" i="6"/>
  <c r="K19" i="6"/>
  <c r="H20" i="6"/>
  <c r="I20" i="6"/>
  <c r="J20" i="6"/>
  <c r="K20" i="6"/>
  <c r="H21" i="6"/>
  <c r="I21" i="6"/>
  <c r="J21" i="6"/>
  <c r="K21" i="6"/>
  <c r="H22" i="6"/>
  <c r="I22" i="6"/>
  <c r="J22" i="6"/>
  <c r="K22" i="6"/>
  <c r="K5" i="6"/>
  <c r="J5" i="6"/>
  <c r="I5" i="6"/>
  <c r="H5" i="6"/>
  <c r="F3" i="6"/>
  <c r="H6" i="5"/>
  <c r="I6" i="5"/>
  <c r="J6" i="5"/>
  <c r="K6" i="5"/>
  <c r="H7" i="5"/>
  <c r="I7" i="5"/>
  <c r="J7" i="5"/>
  <c r="K7" i="5"/>
  <c r="H8" i="5"/>
  <c r="I8" i="5"/>
  <c r="J8" i="5"/>
  <c r="K8" i="5"/>
  <c r="H9" i="5"/>
  <c r="I9" i="5"/>
  <c r="J9" i="5"/>
  <c r="K9" i="5"/>
  <c r="H10" i="5"/>
  <c r="I10" i="5"/>
  <c r="J10" i="5"/>
  <c r="K10" i="5"/>
  <c r="H11" i="5"/>
  <c r="I11" i="5"/>
  <c r="J11" i="5"/>
  <c r="K11" i="5"/>
  <c r="H12" i="5"/>
  <c r="I12" i="5"/>
  <c r="J12" i="5"/>
  <c r="K12" i="5"/>
  <c r="H13" i="5"/>
  <c r="I13" i="5"/>
  <c r="J13" i="5"/>
  <c r="K13" i="5"/>
  <c r="H14" i="5"/>
  <c r="I14" i="5"/>
  <c r="J14" i="5"/>
  <c r="K14" i="5"/>
  <c r="H15" i="5"/>
  <c r="I15" i="5"/>
  <c r="J15" i="5"/>
  <c r="K15" i="5"/>
  <c r="H16" i="5"/>
  <c r="I16" i="5"/>
  <c r="J16" i="5"/>
  <c r="K16" i="5"/>
  <c r="H17" i="5"/>
  <c r="I17" i="5"/>
  <c r="J17" i="5"/>
  <c r="K17" i="5"/>
  <c r="H18" i="5"/>
  <c r="I18" i="5"/>
  <c r="J18" i="5"/>
  <c r="K18" i="5"/>
  <c r="H19" i="5"/>
  <c r="I19" i="5"/>
  <c r="J19" i="5"/>
  <c r="K19" i="5"/>
  <c r="H20" i="5"/>
  <c r="I20" i="5"/>
  <c r="J20" i="5"/>
  <c r="K20" i="5"/>
  <c r="H21" i="5"/>
  <c r="I21" i="5"/>
  <c r="J21" i="5"/>
  <c r="K21" i="5"/>
  <c r="H22" i="5"/>
  <c r="I22" i="5"/>
  <c r="J22" i="5"/>
  <c r="K22" i="5"/>
  <c r="K5" i="5"/>
  <c r="J5" i="5"/>
  <c r="I5" i="5"/>
  <c r="H5" i="5"/>
  <c r="F3" i="5"/>
  <c r="Z5" i="4"/>
  <c r="Z5" i="1"/>
  <c r="D11" i="8" l="1"/>
  <c r="E11" i="8" s="1"/>
  <c r="G11" i="8" s="1"/>
  <c r="B11" i="8"/>
  <c r="C11" i="8" s="1"/>
  <c r="F11" i="8" s="1"/>
  <c r="D10" i="8"/>
  <c r="E10" i="8" s="1"/>
  <c r="G10" i="8" s="1"/>
  <c r="B10" i="8"/>
  <c r="C10" i="8" s="1"/>
  <c r="F10" i="8" s="1"/>
  <c r="D9" i="8"/>
  <c r="E9" i="8" s="1"/>
  <c r="G9" i="8" s="1"/>
  <c r="B9" i="8"/>
  <c r="C9" i="8" s="1"/>
  <c r="F9" i="8" s="1"/>
  <c r="O11" i="8" l="1"/>
  <c r="W11" i="8" s="1"/>
  <c r="M11" i="8"/>
  <c r="U11" i="8" s="1"/>
  <c r="L11" i="8"/>
  <c r="T11" i="8" s="1"/>
  <c r="N11" i="8"/>
  <c r="V11" i="8" s="1"/>
  <c r="K11" i="8"/>
  <c r="S11" i="8" s="1"/>
  <c r="J11" i="8"/>
  <c r="R11" i="8" s="1"/>
  <c r="I11" i="8"/>
  <c r="Q11" i="8" s="1"/>
  <c r="H11" i="8"/>
  <c r="P11" i="8" s="1"/>
  <c r="N9" i="8"/>
  <c r="V9" i="8" s="1"/>
  <c r="O9" i="8"/>
  <c r="W9" i="8" s="1"/>
  <c r="M9" i="8"/>
  <c r="U9" i="8" s="1"/>
  <c r="L9" i="8"/>
  <c r="T9" i="8" s="1"/>
  <c r="K10" i="8"/>
  <c r="S10" i="8" s="1"/>
  <c r="J10" i="8"/>
  <c r="R10" i="8" s="1"/>
  <c r="I10" i="8"/>
  <c r="Q10" i="8" s="1"/>
  <c r="H10" i="8"/>
  <c r="P10" i="8" s="1"/>
  <c r="K9" i="8"/>
  <c r="S9" i="8" s="1"/>
  <c r="I9" i="8"/>
  <c r="Q9" i="8" s="1"/>
  <c r="H9" i="8"/>
  <c r="P9" i="8" s="1"/>
  <c r="J9" i="8"/>
  <c r="R9" i="8" s="1"/>
  <c r="M10" i="8"/>
  <c r="U10" i="8" s="1"/>
  <c r="O10" i="8"/>
  <c r="W10" i="8" s="1"/>
  <c r="N10" i="8"/>
  <c r="V10" i="8" s="1"/>
  <c r="L10" i="8"/>
  <c r="T10" i="8" s="1"/>
  <c r="E5" i="8"/>
  <c r="C5" i="8"/>
  <c r="E4" i="8"/>
  <c r="C4" i="8"/>
  <c r="E3" i="8"/>
  <c r="C3" i="8"/>
  <c r="B23" i="1"/>
  <c r="C23" i="1" s="1"/>
  <c r="B22" i="1"/>
  <c r="B21" i="1"/>
  <c r="B20" i="1"/>
  <c r="B19" i="1"/>
  <c r="B18" i="1"/>
  <c r="B17" i="1"/>
  <c r="B16" i="1"/>
  <c r="B15" i="1"/>
  <c r="B23" i="4"/>
  <c r="C23" i="4" s="1"/>
  <c r="B22" i="4"/>
  <c r="B21" i="4"/>
  <c r="B20" i="4"/>
  <c r="B19" i="4"/>
  <c r="B18" i="4"/>
  <c r="B17" i="4"/>
  <c r="B16" i="4"/>
  <c r="B15" i="4"/>
  <c r="D4" i="6"/>
  <c r="D4" i="5"/>
  <c r="G3" i="8" l="1"/>
  <c r="H5" i="8"/>
  <c r="F3" i="8"/>
  <c r="I3" i="8"/>
  <c r="F4" i="8"/>
  <c r="F5" i="8"/>
  <c r="I5" i="8"/>
  <c r="G5" i="8"/>
  <c r="H4" i="8"/>
  <c r="I4" i="8"/>
  <c r="H3" i="8"/>
  <c r="G4" i="8"/>
  <c r="D22" i="6"/>
  <c r="C22" i="6"/>
  <c r="D21" i="6"/>
  <c r="C21" i="6"/>
  <c r="D20" i="6"/>
  <c r="C20" i="6"/>
  <c r="D19" i="6"/>
  <c r="C19" i="6"/>
  <c r="D18" i="6"/>
  <c r="C18" i="6"/>
  <c r="D17" i="6"/>
  <c r="C17" i="6"/>
  <c r="D16" i="6"/>
  <c r="D25" i="6" s="1"/>
  <c r="C16" i="6"/>
  <c r="D15" i="6"/>
  <c r="C15" i="6"/>
  <c r="C14" i="6"/>
  <c r="C13" i="6"/>
  <c r="C12" i="6"/>
  <c r="C11" i="6"/>
  <c r="C10" i="6"/>
  <c r="C9" i="6"/>
  <c r="C8" i="6"/>
  <c r="C7" i="6"/>
  <c r="C6" i="6"/>
  <c r="C5" i="6"/>
  <c r="C4" i="6"/>
  <c r="D22" i="5"/>
  <c r="C22" i="5"/>
  <c r="D21" i="5"/>
  <c r="C21" i="5"/>
  <c r="D20" i="5"/>
  <c r="C20" i="5"/>
  <c r="D19" i="5"/>
  <c r="C19" i="5"/>
  <c r="D18" i="5"/>
  <c r="C18" i="5"/>
  <c r="D17" i="5"/>
  <c r="C17" i="5"/>
  <c r="D16" i="5"/>
  <c r="C16" i="5"/>
  <c r="D15" i="5"/>
  <c r="C15" i="5"/>
  <c r="D25" i="5"/>
  <c r="C14" i="5"/>
  <c r="C13" i="5"/>
  <c r="C12" i="5"/>
  <c r="C11" i="5"/>
  <c r="C10" i="5"/>
  <c r="C9" i="5"/>
  <c r="C8" i="5"/>
  <c r="C7" i="5"/>
  <c r="C6" i="5"/>
  <c r="C5" i="5"/>
  <c r="C4" i="5"/>
  <c r="D22" i="4"/>
  <c r="C22" i="4"/>
  <c r="D21" i="4"/>
  <c r="C21" i="4"/>
  <c r="D20" i="4"/>
  <c r="C20" i="4"/>
  <c r="D19" i="4"/>
  <c r="C19" i="4"/>
  <c r="D18" i="4"/>
  <c r="C18" i="4"/>
  <c r="D17" i="4"/>
  <c r="C17" i="4"/>
  <c r="D16" i="4"/>
  <c r="C16" i="4"/>
  <c r="D15" i="4"/>
  <c r="C15" i="4"/>
  <c r="D14" i="4"/>
  <c r="C14" i="4"/>
  <c r="C13" i="4"/>
  <c r="C12" i="4"/>
  <c r="C11" i="4"/>
  <c r="C10" i="4"/>
  <c r="C9" i="4"/>
  <c r="C8" i="4"/>
  <c r="C7" i="4"/>
  <c r="C6" i="4"/>
  <c r="C5" i="4"/>
  <c r="C4" i="4"/>
  <c r="Z11" i="4" l="1"/>
  <c r="Z17" i="4"/>
  <c r="Z14" i="4"/>
  <c r="Z7" i="4"/>
  <c r="Z21" i="4"/>
  <c r="Z15" i="4"/>
  <c r="Z13" i="4"/>
  <c r="Z18" i="4"/>
  <c r="Z10" i="4"/>
  <c r="Z8" i="4"/>
  <c r="Z20" i="4"/>
  <c r="Z16" i="4"/>
  <c r="Z12" i="4"/>
  <c r="Z6" i="4"/>
  <c r="Z22" i="4"/>
  <c r="Z19" i="4"/>
  <c r="Z9" i="4"/>
  <c r="D24" i="6"/>
  <c r="E6" i="6" s="1"/>
  <c r="F6" i="6" s="1"/>
  <c r="D26" i="6"/>
  <c r="D27" i="6" s="1"/>
  <c r="D28" i="6" s="1"/>
  <c r="D24" i="4"/>
  <c r="E4" i="4" s="1"/>
  <c r="D24" i="5"/>
  <c r="D26" i="5"/>
  <c r="D27" i="5" s="1"/>
  <c r="D28" i="5" s="1"/>
  <c r="D25" i="4"/>
  <c r="T15" i="4" s="1"/>
  <c r="D26" i="4"/>
  <c r="D1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4" i="1"/>
  <c r="D22" i="1"/>
  <c r="D21" i="1"/>
  <c r="D20" i="1"/>
  <c r="D19" i="1"/>
  <c r="D18" i="1"/>
  <c r="D17" i="1"/>
  <c r="D16" i="1"/>
  <c r="D15" i="1"/>
  <c r="T20" i="4" l="1"/>
  <c r="T12" i="4"/>
  <c r="T11" i="4"/>
  <c r="T7" i="4"/>
  <c r="T5" i="4"/>
  <c r="T10" i="4"/>
  <c r="T6" i="4"/>
  <c r="T8" i="4"/>
  <c r="T13" i="4"/>
  <c r="T9" i="4"/>
  <c r="Z4" i="4"/>
  <c r="T16" i="4"/>
  <c r="T14" i="4"/>
  <c r="T23" i="4" s="1"/>
  <c r="T17" i="4"/>
  <c r="T22" i="4"/>
  <c r="T18" i="4"/>
  <c r="T21" i="4"/>
  <c r="T19" i="4"/>
  <c r="Z20" i="1"/>
  <c r="Z8" i="1"/>
  <c r="Z22" i="1"/>
  <c r="Z6" i="1"/>
  <c r="Z13" i="1"/>
  <c r="Z15" i="1"/>
  <c r="Z21" i="1"/>
  <c r="Z7" i="1"/>
  <c r="Z17" i="1"/>
  <c r="Z11" i="1"/>
  <c r="Z14" i="1"/>
  <c r="Z16" i="1"/>
  <c r="Z12" i="1"/>
  <c r="Z18" i="1"/>
  <c r="Z10" i="1"/>
  <c r="Z9" i="1"/>
  <c r="Z19" i="1"/>
  <c r="E15" i="6"/>
  <c r="F15" i="6" s="1"/>
  <c r="E22" i="6"/>
  <c r="F22" i="6" s="1"/>
  <c r="E9" i="6"/>
  <c r="F9" i="6" s="1"/>
  <c r="E16" i="6"/>
  <c r="F16" i="6" s="1"/>
  <c r="E8" i="6"/>
  <c r="F8" i="6" s="1"/>
  <c r="E21" i="6"/>
  <c r="F21" i="6" s="1"/>
  <c r="E10" i="6"/>
  <c r="E12" i="6"/>
  <c r="F12" i="6" s="1"/>
  <c r="E14" i="6"/>
  <c r="E11" i="6"/>
  <c r="F11" i="6" s="1"/>
  <c r="E7" i="6"/>
  <c r="F7" i="6" s="1"/>
  <c r="E20" i="6"/>
  <c r="F20" i="6" s="1"/>
  <c r="E19" i="6"/>
  <c r="F19" i="6" s="1"/>
  <c r="E13" i="6"/>
  <c r="F13" i="6" s="1"/>
  <c r="E4" i="6"/>
  <c r="E5" i="6"/>
  <c r="F5" i="6" s="1"/>
  <c r="E18" i="6"/>
  <c r="F18" i="6" s="1"/>
  <c r="E17" i="6"/>
  <c r="F17" i="6" s="1"/>
  <c r="E9" i="4"/>
  <c r="E10" i="4"/>
  <c r="E15" i="4"/>
  <c r="E22" i="4"/>
  <c r="E11" i="4"/>
  <c r="F11" i="4" s="1"/>
  <c r="E14" i="4"/>
  <c r="E13" i="4"/>
  <c r="E5" i="4"/>
  <c r="E20" i="4"/>
  <c r="E7" i="4"/>
  <c r="E16" i="4"/>
  <c r="E18" i="4"/>
  <c r="E8" i="4"/>
  <c r="E17" i="4"/>
  <c r="D26" i="1"/>
  <c r="E12" i="4"/>
  <c r="E19" i="4"/>
  <c r="E6" i="4"/>
  <c r="E21" i="4"/>
  <c r="F14" i="6"/>
  <c r="F10" i="6"/>
  <c r="E6" i="5"/>
  <c r="E7" i="5"/>
  <c r="E4" i="5"/>
  <c r="E20" i="5"/>
  <c r="E13" i="5"/>
  <c r="E8" i="5"/>
  <c r="E12" i="5"/>
  <c r="E22" i="5"/>
  <c r="E17" i="5"/>
  <c r="E9" i="5"/>
  <c r="E21" i="5"/>
  <c r="E15" i="5"/>
  <c r="E10" i="5"/>
  <c r="E18" i="5"/>
  <c r="E11" i="5"/>
  <c r="E16" i="5"/>
  <c r="E5" i="5"/>
  <c r="E19" i="5"/>
  <c r="E14" i="5"/>
  <c r="D27" i="4"/>
  <c r="D28" i="4" s="1"/>
  <c r="F10" i="4"/>
  <c r="D25" i="1"/>
  <c r="T14" i="1" s="1"/>
  <c r="T23" i="1" s="1"/>
  <c r="D24" i="1"/>
  <c r="E17" i="1" s="1"/>
  <c r="F14" i="4" l="1"/>
  <c r="F17" i="4"/>
  <c r="F5" i="4"/>
  <c r="F21" i="4"/>
  <c r="F12" i="4"/>
  <c r="F15" i="4"/>
  <c r="F8" i="4"/>
  <c r="F20" i="4"/>
  <c r="F19" i="4"/>
  <c r="F22" i="4"/>
  <c r="F13" i="4"/>
  <c r="F6" i="4"/>
  <c r="F9" i="4"/>
  <c r="F18" i="4"/>
  <c r="F16" i="4"/>
  <c r="F7" i="4"/>
  <c r="T20" i="1"/>
  <c r="T17" i="1"/>
  <c r="T19" i="1"/>
  <c r="T15" i="1"/>
  <c r="F17" i="1"/>
  <c r="T10" i="1"/>
  <c r="T13" i="1"/>
  <c r="T9" i="1"/>
  <c r="T5" i="1"/>
  <c r="T12" i="1"/>
  <c r="T8" i="1"/>
  <c r="T11" i="1"/>
  <c r="T7" i="1"/>
  <c r="T6" i="1"/>
  <c r="T22" i="1"/>
  <c r="Z4" i="1"/>
  <c r="T16" i="1"/>
  <c r="T18" i="1"/>
  <c r="T21" i="1"/>
  <c r="D27" i="1"/>
  <c r="D28" i="1" s="1"/>
  <c r="F24" i="6"/>
  <c r="F22" i="5"/>
  <c r="F14" i="5"/>
  <c r="F12" i="5"/>
  <c r="F9" i="5"/>
  <c r="F13" i="5"/>
  <c r="F15" i="5"/>
  <c r="F19" i="5"/>
  <c r="F8" i="5"/>
  <c r="F5" i="5"/>
  <c r="F16" i="5"/>
  <c r="F20" i="5"/>
  <c r="F17" i="5"/>
  <c r="F7" i="5"/>
  <c r="F21" i="5"/>
  <c r="F11" i="5"/>
  <c r="F18" i="5"/>
  <c r="F10" i="5"/>
  <c r="F6" i="5"/>
  <c r="E9" i="1"/>
  <c r="E10" i="1"/>
  <c r="E11" i="1"/>
  <c r="E4" i="1"/>
  <c r="E12" i="1"/>
  <c r="E13" i="1"/>
  <c r="E14" i="1"/>
  <c r="E5" i="1"/>
  <c r="E6" i="1"/>
  <c r="E7" i="1"/>
  <c r="E8" i="1"/>
  <c r="E22" i="1"/>
  <c r="E20" i="1"/>
  <c r="E18" i="1"/>
  <c r="E16" i="1"/>
  <c r="E15" i="1"/>
  <c r="E21" i="1"/>
  <c r="E19" i="1"/>
  <c r="F24" i="4" l="1"/>
  <c r="G13" i="4" s="1"/>
  <c r="G18" i="4"/>
  <c r="F3" i="4"/>
  <c r="AA4" i="4" s="1"/>
  <c r="F7" i="1"/>
  <c r="F14" i="1"/>
  <c r="F13" i="1"/>
  <c r="F21" i="1"/>
  <c r="F12" i="1"/>
  <c r="F8" i="1"/>
  <c r="F19" i="1"/>
  <c r="F15" i="1"/>
  <c r="F6" i="1"/>
  <c r="F5" i="1"/>
  <c r="F16" i="1"/>
  <c r="F11" i="1"/>
  <c r="F24" i="1" s="1"/>
  <c r="F18" i="1"/>
  <c r="F10" i="1"/>
  <c r="F20" i="1"/>
  <c r="F9" i="1"/>
  <c r="F22" i="1"/>
  <c r="F24" i="5"/>
  <c r="F25" i="5" s="1"/>
  <c r="G11" i="6"/>
  <c r="F25" i="6"/>
  <c r="G6" i="6"/>
  <c r="G18" i="6"/>
  <c r="G19" i="6"/>
  <c r="G20" i="6"/>
  <c r="G17" i="6"/>
  <c r="G22" i="6"/>
  <c r="G9" i="6"/>
  <c r="G15" i="6"/>
  <c r="G7" i="6"/>
  <c r="G21" i="6"/>
  <c r="G16" i="6"/>
  <c r="G8" i="6"/>
  <c r="G5" i="6"/>
  <c r="G10" i="6"/>
  <c r="G12" i="6"/>
  <c r="G14" i="6"/>
  <c r="G13" i="6"/>
  <c r="G22" i="4" l="1"/>
  <c r="H22" i="4" s="1"/>
  <c r="G9" i="4"/>
  <c r="G10" i="4"/>
  <c r="G5" i="4"/>
  <c r="F25" i="4"/>
  <c r="G8" i="4"/>
  <c r="G16" i="4"/>
  <c r="K16" i="4" s="1"/>
  <c r="G7" i="4"/>
  <c r="G21" i="4"/>
  <c r="J21" i="4" s="1"/>
  <c r="G12" i="4"/>
  <c r="K12" i="4" s="1"/>
  <c r="G11" i="4"/>
  <c r="I11" i="4" s="1"/>
  <c r="G6" i="4"/>
  <c r="J6" i="4" s="1"/>
  <c r="G19" i="4"/>
  <c r="K19" i="4" s="1"/>
  <c r="G15" i="4"/>
  <c r="H15" i="4" s="1"/>
  <c r="G20" i="4"/>
  <c r="H20" i="4" s="1"/>
  <c r="G14" i="4"/>
  <c r="H14" i="4" s="1"/>
  <c r="G17" i="4"/>
  <c r="J17" i="4" s="1"/>
  <c r="K20" i="4"/>
  <c r="J20" i="4"/>
  <c r="I20" i="4"/>
  <c r="K18" i="4"/>
  <c r="I18" i="4"/>
  <c r="J18" i="4"/>
  <c r="H18" i="4"/>
  <c r="K14" i="4"/>
  <c r="I14" i="4"/>
  <c r="J14" i="4"/>
  <c r="K13" i="4"/>
  <c r="I13" i="4"/>
  <c r="J13" i="4"/>
  <c r="H13" i="4"/>
  <c r="K10" i="4"/>
  <c r="I10" i="4"/>
  <c r="J10" i="4"/>
  <c r="H10" i="4"/>
  <c r="K5" i="4"/>
  <c r="I5" i="4"/>
  <c r="J5" i="4"/>
  <c r="H5" i="4"/>
  <c r="I16" i="4"/>
  <c r="K7" i="4"/>
  <c r="H7" i="4"/>
  <c r="J7" i="4"/>
  <c r="I7" i="4"/>
  <c r="K9" i="4"/>
  <c r="J9" i="4"/>
  <c r="I9" i="4"/>
  <c r="H9" i="4"/>
  <c r="K17" i="4"/>
  <c r="H17" i="4"/>
  <c r="K8" i="4"/>
  <c r="I8" i="4"/>
  <c r="J8" i="4"/>
  <c r="H8" i="4"/>
  <c r="K21" i="4"/>
  <c r="H21" i="4"/>
  <c r="I21" i="4"/>
  <c r="H12" i="4"/>
  <c r="I12" i="4"/>
  <c r="K15" i="4"/>
  <c r="G17" i="1"/>
  <c r="G19" i="1"/>
  <c r="G18" i="1"/>
  <c r="G14" i="1"/>
  <c r="G10" i="1"/>
  <c r="G13" i="1"/>
  <c r="G6" i="1"/>
  <c r="G21" i="1"/>
  <c r="G5" i="1"/>
  <c r="G9" i="1"/>
  <c r="G7" i="1"/>
  <c r="G15" i="1"/>
  <c r="G16" i="1"/>
  <c r="G8" i="1"/>
  <c r="G12" i="1"/>
  <c r="G20" i="1"/>
  <c r="G22" i="1"/>
  <c r="G11" i="1"/>
  <c r="F3" i="1"/>
  <c r="AA4" i="1" s="1"/>
  <c r="F30" i="6"/>
  <c r="F31" i="5"/>
  <c r="F25" i="1"/>
  <c r="G16" i="5"/>
  <c r="G21" i="5"/>
  <c r="G17" i="5"/>
  <c r="G9" i="5"/>
  <c r="G22" i="5"/>
  <c r="G11" i="5"/>
  <c r="G18" i="5"/>
  <c r="G14" i="5"/>
  <c r="G13" i="5"/>
  <c r="G20" i="5"/>
  <c r="G10" i="5"/>
  <c r="G8" i="5"/>
  <c r="G6" i="5"/>
  <c r="G15" i="5"/>
  <c r="G7" i="5"/>
  <c r="G19" i="5"/>
  <c r="G12" i="5"/>
  <c r="G5" i="5"/>
  <c r="K11" i="4" l="1"/>
  <c r="J22" i="4"/>
  <c r="I22" i="4"/>
  <c r="J19" i="4"/>
  <c r="K22" i="4"/>
  <c r="H16" i="4"/>
  <c r="J12" i="4"/>
  <c r="J16" i="4"/>
  <c r="H19" i="4"/>
  <c r="I6" i="4"/>
  <c r="K6" i="4"/>
  <c r="K24" i="4" s="1"/>
  <c r="K27" i="4" s="1"/>
  <c r="K28" i="4" s="1"/>
  <c r="H11" i="4"/>
  <c r="J11" i="4"/>
  <c r="J24" i="4" s="1"/>
  <c r="J27" i="4" s="1"/>
  <c r="J28" i="4" s="1"/>
  <c r="I19" i="4"/>
  <c r="J15" i="4"/>
  <c r="I15" i="4"/>
  <c r="H6" i="4"/>
  <c r="I17" i="4"/>
  <c r="K13" i="1"/>
  <c r="H13" i="1"/>
  <c r="I13" i="1"/>
  <c r="J13" i="1"/>
  <c r="K15" i="1"/>
  <c r="J15" i="1"/>
  <c r="I15" i="1"/>
  <c r="H15" i="1"/>
  <c r="K7" i="1"/>
  <c r="H7" i="1"/>
  <c r="I7" i="1"/>
  <c r="J7" i="1"/>
  <c r="K9" i="1"/>
  <c r="J9" i="1"/>
  <c r="I9" i="1"/>
  <c r="H9" i="1"/>
  <c r="K5" i="1"/>
  <c r="J5" i="1"/>
  <c r="H5" i="1"/>
  <c r="I5" i="1"/>
  <c r="K21" i="1"/>
  <c r="J21" i="1"/>
  <c r="I21" i="1"/>
  <c r="H21" i="1"/>
  <c r="K6" i="1"/>
  <c r="H6" i="1"/>
  <c r="I6" i="1"/>
  <c r="J6" i="1"/>
  <c r="K22" i="1"/>
  <c r="J22" i="1"/>
  <c r="I22" i="1"/>
  <c r="H22" i="1"/>
  <c r="K20" i="1"/>
  <c r="I20" i="1"/>
  <c r="J20" i="1"/>
  <c r="H20" i="1"/>
  <c r="K19" i="1"/>
  <c r="I19" i="1"/>
  <c r="J19" i="1"/>
  <c r="H19" i="1"/>
  <c r="K11" i="1"/>
  <c r="H11" i="1"/>
  <c r="I11" i="1"/>
  <c r="J11" i="1"/>
  <c r="K10" i="1"/>
  <c r="H10" i="1"/>
  <c r="J10" i="1"/>
  <c r="I10" i="1"/>
  <c r="K14" i="1"/>
  <c r="H14" i="1"/>
  <c r="J14" i="1"/>
  <c r="I14" i="1"/>
  <c r="K12" i="1"/>
  <c r="H12" i="1"/>
  <c r="I12" i="1"/>
  <c r="J12" i="1"/>
  <c r="K18" i="1"/>
  <c r="I18" i="1"/>
  <c r="H18" i="1"/>
  <c r="J18" i="1"/>
  <c r="K8" i="1"/>
  <c r="I8" i="1"/>
  <c r="H8" i="1"/>
  <c r="J8" i="1"/>
  <c r="K16" i="1"/>
  <c r="I16" i="1"/>
  <c r="H16" i="1"/>
  <c r="J16" i="1"/>
  <c r="K17" i="1"/>
  <c r="I17" i="1"/>
  <c r="H17" i="1"/>
  <c r="J17" i="1"/>
  <c r="K24" i="6"/>
  <c r="K25" i="6" s="1"/>
  <c r="J24" i="6"/>
  <c r="J25" i="6" s="1"/>
  <c r="H24" i="6"/>
  <c r="H25" i="6" s="1"/>
  <c r="I24" i="6"/>
  <c r="I25" i="6" s="1"/>
  <c r="H24" i="4" l="1"/>
  <c r="H27" i="4" s="1"/>
  <c r="H28" i="4" s="1"/>
  <c r="D15" i="8" s="1"/>
  <c r="L15" i="8" s="1"/>
  <c r="I24" i="4"/>
  <c r="I27" i="4" s="1"/>
  <c r="I28" i="4" s="1"/>
  <c r="E15" i="8" s="1"/>
  <c r="M15" i="8" s="1"/>
  <c r="K25" i="4"/>
  <c r="J25" i="4"/>
  <c r="O12" i="4"/>
  <c r="O18" i="4"/>
  <c r="O7" i="4"/>
  <c r="O9" i="4"/>
  <c r="O15" i="4"/>
  <c r="O6" i="4"/>
  <c r="O17" i="4"/>
  <c r="O13" i="4"/>
  <c r="O5" i="4"/>
  <c r="O22" i="4"/>
  <c r="O16" i="4"/>
  <c r="O11" i="4"/>
  <c r="O8" i="4"/>
  <c r="O19" i="4"/>
  <c r="O23" i="4"/>
  <c r="O20" i="4"/>
  <c r="O21" i="4"/>
  <c r="O10" i="4"/>
  <c r="O14" i="4"/>
  <c r="P20" i="4"/>
  <c r="P18" i="4"/>
  <c r="P9" i="4"/>
  <c r="P13" i="4"/>
  <c r="P14" i="4"/>
  <c r="P12" i="4"/>
  <c r="P11" i="4"/>
  <c r="P10" i="4"/>
  <c r="P7" i="4"/>
  <c r="P5" i="4"/>
  <c r="P17" i="4"/>
  <c r="P22" i="4"/>
  <c r="P6" i="4"/>
  <c r="P19" i="4"/>
  <c r="P16" i="4"/>
  <c r="P8" i="4"/>
  <c r="P23" i="4"/>
  <c r="P15" i="4"/>
  <c r="P21" i="4"/>
  <c r="H24" i="1"/>
  <c r="J24" i="1"/>
  <c r="I24" i="1"/>
  <c r="K24" i="1"/>
  <c r="F15" i="8"/>
  <c r="N15" i="8" s="1"/>
  <c r="G15" i="8"/>
  <c r="O15" i="8" s="1"/>
  <c r="J24" i="5"/>
  <c r="J25" i="5" s="1"/>
  <c r="H24" i="5"/>
  <c r="H25" i="5" s="1"/>
  <c r="K24" i="5"/>
  <c r="K25" i="5" s="1"/>
  <c r="I24" i="5"/>
  <c r="I25" i="5" s="1"/>
  <c r="G25" i="6"/>
  <c r="H25" i="4" l="1"/>
  <c r="I25" i="4"/>
  <c r="M22" i="4"/>
  <c r="M10" i="4"/>
  <c r="M21" i="4"/>
  <c r="M9" i="4"/>
  <c r="M20" i="4"/>
  <c r="R20" i="4" s="1"/>
  <c r="M8" i="4"/>
  <c r="R8" i="4" s="1"/>
  <c r="M19" i="4"/>
  <c r="M7" i="4"/>
  <c r="M18" i="4"/>
  <c r="R18" i="4" s="1"/>
  <c r="M6" i="4"/>
  <c r="M17" i="4"/>
  <c r="M5" i="4"/>
  <c r="M16" i="4"/>
  <c r="M23" i="4"/>
  <c r="M15" i="4"/>
  <c r="M14" i="4"/>
  <c r="M13" i="4"/>
  <c r="M12" i="4"/>
  <c r="M11" i="4"/>
  <c r="N13" i="4"/>
  <c r="N12" i="4"/>
  <c r="N11" i="4"/>
  <c r="N22" i="4"/>
  <c r="N10" i="4"/>
  <c r="N21" i="4"/>
  <c r="N9" i="4"/>
  <c r="N20" i="4"/>
  <c r="N8" i="4"/>
  <c r="N19" i="4"/>
  <c r="N7" i="4"/>
  <c r="N18" i="4"/>
  <c r="N6" i="4"/>
  <c r="N17" i="4"/>
  <c r="N5" i="4"/>
  <c r="N16" i="4"/>
  <c r="N23" i="4"/>
  <c r="N15" i="4"/>
  <c r="N14" i="4"/>
  <c r="J27" i="1"/>
  <c r="J28" i="1" s="1"/>
  <c r="J25" i="1"/>
  <c r="K27" i="1"/>
  <c r="K28" i="1" s="1"/>
  <c r="K25" i="1"/>
  <c r="I27" i="1"/>
  <c r="I28" i="1" s="1"/>
  <c r="I25" i="1"/>
  <c r="H25" i="1"/>
  <c r="G25" i="1" s="1"/>
  <c r="H27" i="1"/>
  <c r="H28" i="1" s="1"/>
  <c r="U15" i="8"/>
  <c r="N16" i="8"/>
  <c r="N17" i="8"/>
  <c r="L17" i="8"/>
  <c r="L16" i="8"/>
  <c r="O17" i="8"/>
  <c r="O16" i="8"/>
  <c r="M17" i="8"/>
  <c r="M16" i="8"/>
  <c r="G25" i="5"/>
  <c r="R17" i="4" l="1"/>
  <c r="G25" i="4"/>
  <c r="R6" i="4"/>
  <c r="R19" i="4"/>
  <c r="R9" i="4"/>
  <c r="R14" i="4"/>
  <c r="R23" i="4" s="1"/>
  <c r="R5" i="4"/>
  <c r="R7" i="4"/>
  <c r="R12" i="4"/>
  <c r="R11" i="4"/>
  <c r="U16" i="8"/>
  <c r="R15" i="4"/>
  <c r="R21" i="4"/>
  <c r="U17" i="8"/>
  <c r="R10" i="4"/>
  <c r="R13" i="4"/>
  <c r="R16" i="4"/>
  <c r="R22" i="4"/>
  <c r="M11" i="1"/>
  <c r="M22" i="1"/>
  <c r="M18" i="1"/>
  <c r="M9" i="1"/>
  <c r="M7" i="1"/>
  <c r="M5" i="1"/>
  <c r="M19" i="1"/>
  <c r="M16" i="1"/>
  <c r="M8" i="1"/>
  <c r="M6" i="1"/>
  <c r="M13" i="1"/>
  <c r="R13" i="1" s="1"/>
  <c r="M14" i="1"/>
  <c r="M23" i="1"/>
  <c r="M21" i="1"/>
  <c r="M17" i="1"/>
  <c r="M10" i="1"/>
  <c r="M20" i="1"/>
  <c r="M12" i="1"/>
  <c r="M15" i="1"/>
  <c r="N20" i="1"/>
  <c r="N8" i="1"/>
  <c r="N5" i="1"/>
  <c r="N22" i="1"/>
  <c r="N9" i="1"/>
  <c r="N19" i="1"/>
  <c r="N7" i="1"/>
  <c r="N6" i="1"/>
  <c r="N21" i="1"/>
  <c r="N18" i="1"/>
  <c r="N14" i="1"/>
  <c r="N17" i="1"/>
  <c r="N10" i="1"/>
  <c r="N16" i="1"/>
  <c r="N23" i="1"/>
  <c r="N12" i="1"/>
  <c r="N15" i="1"/>
  <c r="N13" i="1"/>
  <c r="N11" i="1"/>
  <c r="P20" i="1"/>
  <c r="P19" i="1"/>
  <c r="P7" i="1"/>
  <c r="P21" i="1"/>
  <c r="P17" i="1"/>
  <c r="P16" i="1"/>
  <c r="P12" i="1"/>
  <c r="P10" i="1"/>
  <c r="P6" i="1"/>
  <c r="P22" i="1"/>
  <c r="P14" i="1"/>
  <c r="P11" i="1"/>
  <c r="P9" i="1"/>
  <c r="P5" i="1"/>
  <c r="P18" i="1"/>
  <c r="P13" i="1"/>
  <c r="P15" i="1"/>
  <c r="P8" i="1"/>
  <c r="P23" i="1"/>
  <c r="O11" i="1"/>
  <c r="O9" i="1"/>
  <c r="O8" i="1"/>
  <c r="O7" i="1"/>
  <c r="O17" i="1"/>
  <c r="O22" i="1"/>
  <c r="O10" i="1"/>
  <c r="O21" i="1"/>
  <c r="O5" i="1"/>
  <c r="O13" i="1"/>
  <c r="O19" i="1"/>
  <c r="O18" i="1"/>
  <c r="O16" i="1"/>
  <c r="O15" i="1"/>
  <c r="O14" i="1"/>
  <c r="O20" i="1"/>
  <c r="O6" i="1"/>
  <c r="O23" i="1"/>
  <c r="O12" i="1"/>
  <c r="V15" i="8"/>
  <c r="R6" i="1" l="1"/>
  <c r="R8" i="1"/>
  <c r="R16" i="1"/>
  <c r="R15" i="1"/>
  <c r="R19" i="1"/>
  <c r="R12" i="1"/>
  <c r="R5" i="1"/>
  <c r="R14" i="1"/>
  <c r="R23" i="1" s="1"/>
  <c r="R20" i="1"/>
  <c r="R7" i="1"/>
  <c r="R10" i="1"/>
  <c r="R9" i="1"/>
  <c r="R17" i="1"/>
  <c r="R18" i="1"/>
  <c r="R21" i="1"/>
  <c r="R22" i="1"/>
  <c r="R11" i="1"/>
  <c r="V17" i="8"/>
  <c r="V16" i="8"/>
</calcChain>
</file>

<file path=xl/sharedStrings.xml><?xml version="1.0" encoding="utf-8"?>
<sst xmlns="http://schemas.openxmlformats.org/spreadsheetml/2006/main" count="148" uniqueCount="66">
  <si>
    <t>dihedral</t>
  </si>
  <si>
    <t>energy</t>
  </si>
  <si>
    <t>opt</t>
  </si>
  <si>
    <t>E-Eavg</t>
  </si>
  <si>
    <t>avg</t>
  </si>
  <si>
    <t>min</t>
  </si>
  <si>
    <t>max</t>
  </si>
  <si>
    <t>m=1</t>
  </si>
  <si>
    <t>radians</t>
  </si>
  <si>
    <t>norm_E-Eavg</t>
  </si>
  <si>
    <t>coeffs--&gt;</t>
  </si>
  <si>
    <t>m=2</t>
  </si>
  <si>
    <t>m=3</t>
  </si>
  <si>
    <t>m=4</t>
  </si>
  <si>
    <t>angle</t>
  </si>
  <si>
    <t>pred (kJ/mol)</t>
  </si>
  <si>
    <t>sum</t>
  </si>
  <si>
    <t>tanh_multiplier</t>
  </si>
  <si>
    <t>predicted modal results for the inclined angles</t>
  </si>
  <si>
    <t>angle_1(constrained)</t>
  </si>
  <si>
    <t>angle_2</t>
  </si>
  <si>
    <t>cos(theta_1/2)</t>
  </si>
  <si>
    <t>cos(theta_2/2)</t>
  </si>
  <si>
    <t>pred_norm_ratio</t>
  </si>
  <si>
    <t>equilibrium structure</t>
  </si>
  <si>
    <t>n10_inclination_relax</t>
  </si>
  <si>
    <t>p10_inclination_relax</t>
  </si>
  <si>
    <t>kangal_A</t>
  </si>
  <si>
    <t>kangal_B</t>
  </si>
  <si>
    <t>arg1_A</t>
  </si>
  <si>
    <t>arg2_A</t>
  </si>
  <si>
    <t>arg3_A</t>
  </si>
  <si>
    <t>arg4_A</t>
  </si>
  <si>
    <t>arg1_B</t>
  </si>
  <si>
    <t>arg2_B</t>
  </si>
  <si>
    <t>arg3_B</t>
  </si>
  <si>
    <t>arg4_B</t>
  </si>
  <si>
    <t>f1_A</t>
  </si>
  <si>
    <t>f2_A</t>
  </si>
  <si>
    <t>f3_A</t>
  </si>
  <si>
    <t>f4_A</t>
  </si>
  <si>
    <t>f1_B</t>
  </si>
  <si>
    <t>f2_B</t>
  </si>
  <si>
    <t>f3_B</t>
  </si>
  <si>
    <t>f4_B</t>
  </si>
  <si>
    <t>mode_1</t>
  </si>
  <si>
    <t>mode_2</t>
  </si>
  <si>
    <t>mode_3</t>
  </si>
  <si>
    <t>mode_4</t>
  </si>
  <si>
    <t>am10</t>
  </si>
  <si>
    <t>ap10</t>
  </si>
  <si>
    <t>mode_1_ratio</t>
  </si>
  <si>
    <t>mode_2_ratio</t>
  </si>
  <si>
    <t>mode_3_ratio</t>
  </si>
  <si>
    <t>mode_4_ratio</t>
  </si>
  <si>
    <t>coefficients</t>
  </si>
  <si>
    <t>predicted_norm</t>
  </si>
  <si>
    <t>kJ/mol</t>
  </si>
  <si>
    <t>QM</t>
  </si>
  <si>
    <t>calculate</t>
  </si>
  <si>
    <t>sym_value</t>
  </si>
  <si>
    <t>full coeffs</t>
  </si>
  <si>
    <t>SST</t>
  </si>
  <si>
    <t>SSE</t>
  </si>
  <si>
    <t>R-squared</t>
  </si>
  <si>
    <t>barrier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</si>
</sst>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rgb="FF000000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2" fontId="0" fillId="0" borderId="0" xfId="0" applyNumberFormat="1"/>
    <xf numFmtId="164" fontId="0" fillId="0" borderId="0" xfId="0" applyNumberFormat="1"/>
    <xf numFmtId="0" fontId="3" fillId="0" borderId="0" xfId="0" applyFont="1"/>
    <xf numFmtId="165" fontId="0" fillId="0" borderId="0" xfId="0" applyNumberForma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IF</a:t>
            </a:r>
            <a:r>
              <a:rPr lang="en-US" sz="2800" baseline="-25000">
                <a:solidFill>
                  <a:schemeClr val="tx1"/>
                </a:solidFill>
              </a:rPr>
              <a:t>3</a:t>
            </a:r>
            <a:r>
              <a:rPr lang="en-US" sz="2800">
                <a:solidFill>
                  <a:schemeClr val="tx1"/>
                </a:solidFill>
              </a:rPr>
              <a:t>ClOH</a:t>
            </a:r>
          </a:p>
        </c:rich>
      </c:tx>
      <c:layout>
        <c:manualLayout>
          <c:xMode val="edge"/>
          <c:yMode val="edge"/>
          <c:x val="0.47724017871641372"/>
          <c:y val="4.6418028454263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predicted 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(opt_angle_no_relax!$B$23,opt_angle_no_relax!$B$15:$B$22,opt_angle_no_relax!$B$5:$B$14)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(opt_angle_no_relax!$R$23,opt_angle_no_relax!$R$15:$R$22,opt_angle_no_relax!$R$5:$R$14)</c:f>
              <c:numCache>
                <c:formatCode>General</c:formatCode>
                <c:ptCount val="19"/>
                <c:pt idx="0">
                  <c:v>-1.0401464005031793E-7</c:v>
                </c:pt>
                <c:pt idx="1">
                  <c:v>1.1489159009025236</c:v>
                </c:pt>
                <c:pt idx="2">
                  <c:v>3.8266153608573918</c:v>
                </c:pt>
                <c:pt idx="3">
                  <c:v>6.5042299177440155</c:v>
                </c:pt>
                <c:pt idx="4">
                  <c:v>8.2263014139987369</c:v>
                </c:pt>
                <c:pt idx="5">
                  <c:v>8.9513535898541399</c:v>
                </c:pt>
                <c:pt idx="6">
                  <c:v>8.9284484001938456</c:v>
                </c:pt>
                <c:pt idx="7">
                  <c:v>8.3306315191083389</c:v>
                </c:pt>
                <c:pt idx="8">
                  <c:v>7.5259928619927683</c:v>
                </c:pt>
                <c:pt idx="9">
                  <c:v>7.1444541148528158</c:v>
                </c:pt>
                <c:pt idx="10">
                  <c:v>7.5259928619927683</c:v>
                </c:pt>
                <c:pt idx="11">
                  <c:v>8.3306315191083389</c:v>
                </c:pt>
                <c:pt idx="12">
                  <c:v>8.9284484001938456</c:v>
                </c:pt>
                <c:pt idx="13">
                  <c:v>8.9513535898541399</c:v>
                </c:pt>
                <c:pt idx="14">
                  <c:v>8.2263014139987369</c:v>
                </c:pt>
                <c:pt idx="15">
                  <c:v>6.5042299177440155</c:v>
                </c:pt>
                <c:pt idx="16">
                  <c:v>3.8266153608573918</c:v>
                </c:pt>
                <c:pt idx="17">
                  <c:v>1.1489159009025236</c:v>
                </c:pt>
                <c:pt idx="18">
                  <c:v>-1.0401464005031793E-7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B6-49BC-8E2B-4AF2FB3CAB7C}"/>
            </c:ext>
          </c:extLst>
        </c:ser>
        <c:ser>
          <c:idx val="1"/>
          <c:order val="1"/>
          <c:tx>
            <c:v>QM unrelaxed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xVal>
            <c:numRef>
              <c:f>opt_angle_no_relax!$B$5:$B$23</c:f>
              <c:numCache>
                <c:formatCode>General</c:formatCode>
                <c:ptCount val="1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-160</c:v>
                </c:pt>
                <c:pt idx="11">
                  <c:v>-140</c:v>
                </c:pt>
                <c:pt idx="12">
                  <c:v>-120</c:v>
                </c:pt>
                <c:pt idx="13">
                  <c:v>-100</c:v>
                </c:pt>
                <c:pt idx="14">
                  <c:v>-80</c:v>
                </c:pt>
                <c:pt idx="15">
                  <c:v>-60</c:v>
                </c:pt>
                <c:pt idx="16">
                  <c:v>-40</c:v>
                </c:pt>
                <c:pt idx="17">
                  <c:v>-20</c:v>
                </c:pt>
                <c:pt idx="18">
                  <c:v>-180</c:v>
                </c:pt>
              </c:numCache>
            </c:numRef>
          </c:xVal>
          <c:yVal>
            <c:numRef>
              <c:f>opt_angle_no_relax!$T$5:$T$23</c:f>
              <c:numCache>
                <c:formatCode>General</c:formatCode>
                <c:ptCount val="19"/>
                <c:pt idx="0">
                  <c:v>7.092551955261797</c:v>
                </c:pt>
                <c:pt idx="1">
                  <c:v>7.544558035051864</c:v>
                </c:pt>
                <c:pt idx="2">
                  <c:v>8.3732971099145743</c:v>
                </c:pt>
                <c:pt idx="3">
                  <c:v>8.8853746301977026</c:v>
                </c:pt>
                <c:pt idx="4">
                  <c:v>8.9490692599831618</c:v>
                </c:pt>
                <c:pt idx="5">
                  <c:v>8.262238460165122</c:v>
                </c:pt>
                <c:pt idx="6">
                  <c:v>6.4877417754396447</c:v>
                </c:pt>
                <c:pt idx="7">
                  <c:v>3.8206276000247499</c:v>
                </c:pt>
                <c:pt idx="8">
                  <c:v>1.1583180901379819</c:v>
                </c:pt>
                <c:pt idx="9">
                  <c:v>0</c:v>
                </c:pt>
                <c:pt idx="10">
                  <c:v>1.1583180901379819</c:v>
                </c:pt>
                <c:pt idx="11">
                  <c:v>3.8206276000247499</c:v>
                </c:pt>
                <c:pt idx="12">
                  <c:v>6.4877417754396447</c:v>
                </c:pt>
                <c:pt idx="13">
                  <c:v>8.262238460165122</c:v>
                </c:pt>
                <c:pt idx="14">
                  <c:v>8.9490692599831618</c:v>
                </c:pt>
                <c:pt idx="15">
                  <c:v>8.8853746301977026</c:v>
                </c:pt>
                <c:pt idx="16">
                  <c:v>8.3732971099145743</c:v>
                </c:pt>
                <c:pt idx="17">
                  <c:v>7.544558035051864</c:v>
                </c:pt>
                <c:pt idx="1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0B6-49BC-8E2B-4AF2FB3CAB7C}"/>
            </c:ext>
          </c:extLst>
        </c:ser>
        <c:ser>
          <c:idx val="2"/>
          <c:order val="2"/>
          <c:tx>
            <c:v>predicted 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(opt_angle_relax!$B$23,opt_angle_relax!$B$15:$B$22,opt_angle_relax!$B$5:$B$14)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(opt_angle_relax!$R$23,opt_angle_relax!$R$15:$R$22,opt_angle_relax!$R$5:$R$14)</c:f>
              <c:numCache>
                <c:formatCode>General</c:formatCode>
                <c:ptCount val="19"/>
                <c:pt idx="0">
                  <c:v>-8.7682211996875208E-8</c:v>
                </c:pt>
                <c:pt idx="1">
                  <c:v>0.89422430014044851</c:v>
                </c:pt>
                <c:pt idx="2">
                  <c:v>2.2902564583463536</c:v>
                </c:pt>
                <c:pt idx="3">
                  <c:v>2.3335997456145239</c:v>
                </c:pt>
                <c:pt idx="4">
                  <c:v>1.4033588254269216</c:v>
                </c:pt>
                <c:pt idx="5">
                  <c:v>1.287519473101419</c:v>
                </c:pt>
                <c:pt idx="6">
                  <c:v>2.2253899063350109</c:v>
                </c:pt>
                <c:pt idx="7">
                  <c:v>2.6534004001366309</c:v>
                </c:pt>
                <c:pt idx="8">
                  <c:v>1.9102577863866006</c:v>
                </c:pt>
                <c:pt idx="9">
                  <c:v>1.3210380273215159</c:v>
                </c:pt>
                <c:pt idx="10">
                  <c:v>1.9102577863866006</c:v>
                </c:pt>
                <c:pt idx="11">
                  <c:v>2.6534004001366309</c:v>
                </c:pt>
                <c:pt idx="12">
                  <c:v>2.2253899063350109</c:v>
                </c:pt>
                <c:pt idx="13">
                  <c:v>1.287519473101419</c:v>
                </c:pt>
                <c:pt idx="14">
                  <c:v>1.4033588254269216</c:v>
                </c:pt>
                <c:pt idx="15">
                  <c:v>2.3335997456145239</c:v>
                </c:pt>
                <c:pt idx="16">
                  <c:v>2.2902564583463536</c:v>
                </c:pt>
                <c:pt idx="17">
                  <c:v>0.89422430014044851</c:v>
                </c:pt>
                <c:pt idx="18">
                  <c:v>-8.7682211996875208E-8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0B6-49BC-8E2B-4AF2FB3CAB7C}"/>
            </c:ext>
          </c:extLst>
        </c:ser>
        <c:ser>
          <c:idx val="3"/>
          <c:order val="3"/>
          <c:tx>
            <c:v>QM 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opt_angle_relax!$B$5:$B$23</c:f>
              <c:numCache>
                <c:formatCode>General</c:formatCode>
                <c:ptCount val="1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-160</c:v>
                </c:pt>
                <c:pt idx="11">
                  <c:v>-140</c:v>
                </c:pt>
                <c:pt idx="12">
                  <c:v>-120</c:v>
                </c:pt>
                <c:pt idx="13">
                  <c:v>-100</c:v>
                </c:pt>
                <c:pt idx="14">
                  <c:v>-80</c:v>
                </c:pt>
                <c:pt idx="15">
                  <c:v>-60</c:v>
                </c:pt>
                <c:pt idx="16">
                  <c:v>-40</c:v>
                </c:pt>
                <c:pt idx="17">
                  <c:v>-20</c:v>
                </c:pt>
                <c:pt idx="18">
                  <c:v>-180</c:v>
                </c:pt>
              </c:numCache>
            </c:numRef>
          </c:xVal>
          <c:yVal>
            <c:numRef>
              <c:f>opt_angle_relax!$T$5:$T$23</c:f>
              <c:numCache>
                <c:formatCode>General</c:formatCode>
                <c:ptCount val="19"/>
                <c:pt idx="0">
                  <c:v>1.2912734099455747</c:v>
                </c:pt>
                <c:pt idx="1">
                  <c:v>1.952768135260385</c:v>
                </c:pt>
                <c:pt idx="2">
                  <c:v>2.6993815700438972</c:v>
                </c:pt>
                <c:pt idx="3">
                  <c:v>2.2051049401516138</c:v>
                </c:pt>
                <c:pt idx="4">
                  <c:v>1.3179747449348724</c:v>
                </c:pt>
                <c:pt idx="5">
                  <c:v>1.4462829299362738</c:v>
                </c:pt>
                <c:pt idx="6">
                  <c:v>2.3271644349717917</c:v>
                </c:pt>
                <c:pt idx="7">
                  <c:v>2.3164523954286551</c:v>
                </c:pt>
                <c:pt idx="8">
                  <c:v>0.92735285488834052</c:v>
                </c:pt>
                <c:pt idx="9">
                  <c:v>0</c:v>
                </c:pt>
                <c:pt idx="10">
                  <c:v>0.92735285488834052</c:v>
                </c:pt>
                <c:pt idx="11">
                  <c:v>2.3164523954286551</c:v>
                </c:pt>
                <c:pt idx="12">
                  <c:v>2.3271644349717917</c:v>
                </c:pt>
                <c:pt idx="13">
                  <c:v>1.4462829299362738</c:v>
                </c:pt>
                <c:pt idx="14">
                  <c:v>1.3179747449348724</c:v>
                </c:pt>
                <c:pt idx="15">
                  <c:v>2.2051049401516138</c:v>
                </c:pt>
                <c:pt idx="16">
                  <c:v>2.6993815700438972</c:v>
                </c:pt>
                <c:pt idx="17">
                  <c:v>1.952768135260385</c:v>
                </c:pt>
                <c:pt idx="1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0B6-49BC-8E2B-4AF2FB3CAB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057736"/>
        <c:axId val="591058520"/>
      </c:scatterChart>
      <c:valAx>
        <c:axId val="591057736"/>
        <c:scaling>
          <c:orientation val="minMax"/>
          <c:max val="180"/>
          <c:min val="-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ClIOH dihedral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 angle (°)</a:t>
                </a:r>
                <a:endParaRPr lang="en-US" sz="2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058520"/>
        <c:crosses val="autoZero"/>
        <c:crossBetween val="midCat"/>
        <c:majorUnit val="90"/>
      </c:valAx>
      <c:valAx>
        <c:axId val="59105852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057736"/>
        <c:crossesAt val="-180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94DC2E8-DE25-21A1-445F-0E73F8D3DE0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0.3048</cdr:x>
      <cdr:y>0.39851</cdr:y>
    </cdr:from>
    <cdr:to>
      <cdr:x>0.84148</cdr:x>
      <cdr:y>0.60222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A421F50-7C6B-2993-7146-7AF905F568DB}"/>
            </a:ext>
          </a:extLst>
        </cdr:cNvPr>
        <cdr:cNvSpPr txBox="1"/>
      </cdr:nvSpPr>
      <cdr:spPr>
        <a:xfrm xmlns:a="http://schemas.openxmlformats.org/drawingml/2006/main">
          <a:off x="2640932" y="2507247"/>
          <a:ext cx="4649960" cy="12816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>
              <a:solidFill>
                <a:schemeClr val="accent1"/>
              </a:solidFill>
            </a:rPr>
            <a:t>relaxed</a:t>
          </a:r>
          <a:r>
            <a:rPr lang="en-US" sz="2400" baseline="0">
              <a:solidFill>
                <a:schemeClr val="accent1"/>
              </a:solidFill>
            </a:rPr>
            <a:t> scan: </a:t>
          </a:r>
          <a:r>
            <a:rPr lang="en-US" sz="2400">
              <a:solidFill>
                <a:schemeClr val="accent1"/>
              </a:solidFill>
            </a:rPr>
            <a:t>R-squared = 0.9979</a:t>
          </a:r>
        </a:p>
        <a:p xmlns:a="http://schemas.openxmlformats.org/drawingml/2006/main">
          <a:r>
            <a:rPr lang="en-US" sz="2400">
              <a:solidFill>
                <a:schemeClr val="accent2"/>
              </a:solidFill>
            </a:rPr>
            <a:t>rigid scan: R-squared = 0.9999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17"/>
  <sheetViews>
    <sheetView workbookViewId="0"/>
  </sheetViews>
  <sheetFormatPr defaultRowHeight="15" x14ac:dyDescent="0.25"/>
  <cols>
    <col min="1" max="1" width="24.28515625" customWidth="1"/>
    <col min="2" max="2" width="20.85546875" customWidth="1"/>
    <col min="3" max="4" width="8.7109375" customWidth="1"/>
    <col min="6" max="7" width="13.85546875" customWidth="1"/>
    <col min="8" max="9" width="14" customWidth="1"/>
    <col min="10" max="10" width="10.140625" customWidth="1"/>
    <col min="11" max="11" width="11.85546875" customWidth="1"/>
    <col min="12" max="12" width="11.140625" customWidth="1"/>
    <col min="13" max="13" width="12" customWidth="1"/>
    <col min="15" max="16" width="10.42578125" customWidth="1"/>
    <col min="17" max="17" width="10.5703125" customWidth="1"/>
    <col min="18" max="18" width="12.28515625" customWidth="1"/>
    <col min="19" max="20" width="11.140625" customWidth="1"/>
    <col min="21" max="21" width="15.85546875" customWidth="1"/>
    <col min="22" max="22" width="16.28515625" customWidth="1"/>
    <col min="23" max="23" width="11.85546875" customWidth="1"/>
    <col min="24" max="24" width="13" customWidth="1"/>
    <col min="25" max="25" width="13.28515625" customWidth="1"/>
    <col min="26" max="26" width="16.140625" customWidth="1"/>
    <col min="28" max="28" width="16.7109375" customWidth="1"/>
    <col min="29" max="29" width="18.42578125" customWidth="1"/>
    <col min="30" max="30" width="12.7109375" bestFit="1" customWidth="1"/>
  </cols>
  <sheetData>
    <row r="1" spans="1:38" x14ac:dyDescent="0.25">
      <c r="A1" t="s">
        <v>17</v>
      </c>
      <c r="B1">
        <v>2.8158916161173799</v>
      </c>
    </row>
    <row r="2" spans="1:38" x14ac:dyDescent="0.25">
      <c r="B2" t="s">
        <v>19</v>
      </c>
      <c r="C2" t="s">
        <v>8</v>
      </c>
      <c r="D2" t="s">
        <v>20</v>
      </c>
      <c r="E2" t="s">
        <v>8</v>
      </c>
      <c r="F2" t="s">
        <v>51</v>
      </c>
      <c r="G2" t="s">
        <v>52</v>
      </c>
      <c r="H2" t="s">
        <v>53</v>
      </c>
      <c r="I2" t="s">
        <v>54</v>
      </c>
    </row>
    <row r="3" spans="1:38" x14ac:dyDescent="0.25">
      <c r="A3" t="s">
        <v>24</v>
      </c>
      <c r="B3">
        <v>107.07971999999999</v>
      </c>
      <c r="C3">
        <f>B3*PI()/180</f>
        <v>1.8688936761136223</v>
      </c>
      <c r="D3">
        <v>83.511189999999999</v>
      </c>
      <c r="E3">
        <f>D3*PI()/180</f>
        <v>1.4575452277585634</v>
      </c>
      <c r="F3">
        <f>P9*T9/(P$9*T$9)</f>
        <v>1</v>
      </c>
      <c r="G3">
        <f t="shared" ref="G3:I5" si="0">Q9*U9/(Q$9*U$9)</f>
        <v>1</v>
      </c>
      <c r="H3">
        <f t="shared" si="0"/>
        <v>1</v>
      </c>
      <c r="I3">
        <f t="shared" si="0"/>
        <v>1</v>
      </c>
      <c r="Y3" s="3"/>
      <c r="Z3" s="3"/>
    </row>
    <row r="4" spans="1:38" x14ac:dyDescent="0.25">
      <c r="A4" t="s">
        <v>25</v>
      </c>
      <c r="B4">
        <v>97.079719999999995</v>
      </c>
      <c r="C4">
        <f t="shared" ref="C4:C5" si="1">B4*PI()/180</f>
        <v>1.6943607509141894</v>
      </c>
      <c r="D4">
        <v>84.395570000000006</v>
      </c>
      <c r="E4">
        <f t="shared" ref="E4:E5" si="2">D4*PI()/180</f>
        <v>1.4729805705973509</v>
      </c>
      <c r="F4">
        <f t="shared" ref="F4:F5" si="3">P10*T10/(P$9*T$9)</f>
        <v>1.131307754077713</v>
      </c>
      <c r="G4">
        <f t="shared" si="0"/>
        <v>1.1454681979966854</v>
      </c>
      <c r="H4">
        <f t="shared" si="0"/>
        <v>1.1908758978919913</v>
      </c>
      <c r="I4">
        <f t="shared" si="0"/>
        <v>1.2678647043664386</v>
      </c>
      <c r="Y4" s="3"/>
      <c r="Z4" s="3"/>
    </row>
    <row r="5" spans="1:38" x14ac:dyDescent="0.25">
      <c r="A5" t="s">
        <v>26</v>
      </c>
      <c r="B5">
        <v>117.07971999999999</v>
      </c>
      <c r="C5">
        <f t="shared" si="1"/>
        <v>2.0434266013130555</v>
      </c>
      <c r="D5">
        <v>82.980739999999997</v>
      </c>
      <c r="E5">
        <f t="shared" si="2"/>
        <v>1.4482871287413595</v>
      </c>
      <c r="F5">
        <f t="shared" si="3"/>
        <v>0.83960145129716801</v>
      </c>
      <c r="G5">
        <f t="shared" si="0"/>
        <v>0.81787831344181028</v>
      </c>
      <c r="H5">
        <f t="shared" si="0"/>
        <v>0.76355626743536498</v>
      </c>
      <c r="I5">
        <f t="shared" si="0"/>
        <v>0.69160047296495875</v>
      </c>
      <c r="Y5" s="3"/>
      <c r="Z5" s="3"/>
    </row>
    <row r="7" spans="1:38" x14ac:dyDescent="0.25">
      <c r="F7" t="s">
        <v>27</v>
      </c>
      <c r="G7" t="s">
        <v>28</v>
      </c>
      <c r="AK7" s="3"/>
      <c r="AL7" s="3"/>
    </row>
    <row r="8" spans="1:38" x14ac:dyDescent="0.25">
      <c r="B8" t="s">
        <v>19</v>
      </c>
      <c r="C8" t="s">
        <v>8</v>
      </c>
      <c r="D8" t="s">
        <v>20</v>
      </c>
      <c r="E8" t="s">
        <v>8</v>
      </c>
      <c r="F8" t="s">
        <v>21</v>
      </c>
      <c r="G8" t="s">
        <v>22</v>
      </c>
      <c r="H8" t="s">
        <v>29</v>
      </c>
      <c r="I8" t="s">
        <v>30</v>
      </c>
      <c r="J8" t="s">
        <v>31</v>
      </c>
      <c r="K8" t="s">
        <v>32</v>
      </c>
      <c r="L8" t="s">
        <v>33</v>
      </c>
      <c r="M8" t="s">
        <v>34</v>
      </c>
      <c r="N8" t="s">
        <v>35</v>
      </c>
      <c r="O8" t="s">
        <v>36</v>
      </c>
      <c r="P8" t="s">
        <v>37</v>
      </c>
      <c r="Q8" t="s">
        <v>38</v>
      </c>
      <c r="R8" t="s">
        <v>39</v>
      </c>
      <c r="S8" t="s">
        <v>40</v>
      </c>
      <c r="T8" t="s">
        <v>41</v>
      </c>
      <c r="U8" t="s">
        <v>42</v>
      </c>
      <c r="V8" t="s">
        <v>43</v>
      </c>
      <c r="W8" t="s">
        <v>44</v>
      </c>
      <c r="AK8" s="3"/>
      <c r="AL8" s="3"/>
    </row>
    <row r="9" spans="1:38" x14ac:dyDescent="0.25">
      <c r="A9" t="s">
        <v>24</v>
      </c>
      <c r="B9">
        <f>B3</f>
        <v>107.07971999999999</v>
      </c>
      <c r="C9">
        <f>B9*PI()/180</f>
        <v>1.8688936761136223</v>
      </c>
      <c r="D9">
        <f>D3</f>
        <v>83.511189999999999</v>
      </c>
      <c r="E9">
        <f>D9*PI()/180</f>
        <v>1.4575452277585634</v>
      </c>
      <c r="F9">
        <f>COS(C9/2)</f>
        <v>0.59426340909020814</v>
      </c>
      <c r="G9">
        <f>COS(E9/2)</f>
        <v>0.74599234737982945</v>
      </c>
      <c r="H9">
        <f>(F9+3*F9^3)/4</f>
        <v>0.30596349849038507</v>
      </c>
      <c r="I9">
        <f>(3*F9^2+F9^4)/4</f>
        <v>0.29604030347903176</v>
      </c>
      <c r="J9">
        <f>(6*F9^3-3*F9^5+F9^7)/4</f>
        <v>0.26575371250565272</v>
      </c>
      <c r="K9">
        <f>(10*F9^4-9*F9^6+3*F9^8)/4</f>
        <v>0.22435468998480754</v>
      </c>
      <c r="L9">
        <f>(G9+3*G9^3)/4</f>
        <v>0.49785920663072902</v>
      </c>
      <c r="M9">
        <f>(3*G9^2+G9^4)/4</f>
        <v>0.49480277430588443</v>
      </c>
      <c r="N9">
        <f>(6*G9^3-3*G9^5+G9^7)/4</f>
        <v>0.48159092089382954</v>
      </c>
      <c r="O9">
        <f>(10*G9^4-9*G9^6+3*G9^8)/4</f>
        <v>0.45839472431173811</v>
      </c>
      <c r="P9">
        <f>TANH($B$1*H9)</f>
        <v>0.69706057720130199</v>
      </c>
      <c r="Q9">
        <f t="shared" ref="Q9:W11" si="4">TANH($B$1*I9)</f>
        <v>0.68241360439486198</v>
      </c>
      <c r="R9">
        <f t="shared" si="4"/>
        <v>0.63415377987088839</v>
      </c>
      <c r="S9">
        <f t="shared" si="4"/>
        <v>0.5592618846607561</v>
      </c>
      <c r="T9">
        <f t="shared" si="4"/>
        <v>0.88576543180355749</v>
      </c>
      <c r="U9">
        <f t="shared" si="4"/>
        <v>0.88389720921500148</v>
      </c>
      <c r="V9">
        <f t="shared" si="4"/>
        <v>0.8754872525774402</v>
      </c>
      <c r="W9">
        <f t="shared" si="4"/>
        <v>0.85933326375839991</v>
      </c>
      <c r="AK9" s="3"/>
      <c r="AL9" s="3"/>
    </row>
    <row r="10" spans="1:38" x14ac:dyDescent="0.25">
      <c r="A10" t="s">
        <v>49</v>
      </c>
      <c r="B10">
        <f>B4</f>
        <v>97.079719999999995</v>
      </c>
      <c r="C10">
        <f t="shared" ref="C10:C11" si="5">B10*PI()/180</f>
        <v>1.6943607509141894</v>
      </c>
      <c r="D10">
        <f>D4</f>
        <v>84.395570000000006</v>
      </c>
      <c r="E10">
        <f t="shared" ref="E10:E11" si="6">D10*PI()/180</f>
        <v>1.4729805705973509</v>
      </c>
      <c r="F10">
        <f>COS(C10/2)</f>
        <v>0.66209884822252529</v>
      </c>
      <c r="G10">
        <f t="shared" ref="G10:G11" si="7">COS(E10/2)</f>
        <v>0.74083056380827006</v>
      </c>
      <c r="H10">
        <f t="shared" ref="H10:H11" si="8">(F10+3*F10^3)/4</f>
        <v>0.38321034180118996</v>
      </c>
      <c r="I10">
        <f t="shared" ref="I10:I11" si="9">(3*F10^2+F10^4)/4</f>
        <v>0.37682429852290578</v>
      </c>
      <c r="J10">
        <f t="shared" ref="J10:J11" si="10">(6*F10^3-3*F10^5+F10^7)/4</f>
        <v>0.35388774672865719</v>
      </c>
      <c r="K10">
        <f t="shared" ref="K10:K11" si="11">(10*F10^4-9*F10^6+3*F10^8)/4</f>
        <v>0.31858092924964737</v>
      </c>
      <c r="L10">
        <f t="shared" ref="L10:L11" si="12">(G10+3*G10^3)/4</f>
        <v>0.49015012762729082</v>
      </c>
      <c r="M10">
        <f t="shared" ref="M10:M11" si="13">(3*G10^2+G10^4)/4</f>
        <v>0.48692601464859331</v>
      </c>
      <c r="N10">
        <f t="shared" ref="N10:N11" si="14">(6*G10^3-3*G10^5+G10^7)/4</f>
        <v>0.47314108925666221</v>
      </c>
      <c r="O10">
        <f t="shared" ref="O10:O11" si="15">(10*G10^4-9*G10^6+3*G10^8)/4</f>
        <v>0.44912356819074556</v>
      </c>
      <c r="P10">
        <f t="shared" ref="P10:P11" si="16">TANH($B$1*H10)</f>
        <v>0.7928572298021046</v>
      </c>
      <c r="Q10">
        <f t="shared" si="4"/>
        <v>0.78608311888597104</v>
      </c>
      <c r="R10">
        <f t="shared" si="4"/>
        <v>0.76012435068465545</v>
      </c>
      <c r="S10">
        <f t="shared" si="4"/>
        <v>0.71487767589058282</v>
      </c>
      <c r="T10">
        <f t="shared" si="4"/>
        <v>0.88099820187287436</v>
      </c>
      <c r="U10">
        <f t="shared" si="4"/>
        <v>0.87894966552302667</v>
      </c>
      <c r="V10">
        <f t="shared" si="4"/>
        <v>0.86981375784287429</v>
      </c>
      <c r="W10">
        <f t="shared" si="4"/>
        <v>0.85235011028808982</v>
      </c>
      <c r="AK10" s="3"/>
      <c r="AL10" s="3"/>
    </row>
    <row r="11" spans="1:38" x14ac:dyDescent="0.25">
      <c r="A11" t="s">
        <v>50</v>
      </c>
      <c r="B11">
        <f>B5</f>
        <v>117.07971999999999</v>
      </c>
      <c r="C11">
        <f t="shared" si="5"/>
        <v>2.0434266013130555</v>
      </c>
      <c r="D11">
        <f>D5</f>
        <v>82.980739999999997</v>
      </c>
      <c r="E11">
        <f t="shared" si="6"/>
        <v>1.4482871287413595</v>
      </c>
      <c r="F11">
        <f>COS(C11/2)</f>
        <v>0.52190526658865743</v>
      </c>
      <c r="G11">
        <f t="shared" si="7"/>
        <v>0.74906708021149404</v>
      </c>
      <c r="H11">
        <f t="shared" si="8"/>
        <v>0.23709573317455551</v>
      </c>
      <c r="I11">
        <f t="shared" si="9"/>
        <v>0.22283724213848494</v>
      </c>
      <c r="J11">
        <f t="shared" si="10"/>
        <v>0.1868341196172971</v>
      </c>
      <c r="K11">
        <f t="shared" si="11"/>
        <v>0.14414183967015382</v>
      </c>
      <c r="L11">
        <f t="shared" si="12"/>
        <v>0.50249376153420044</v>
      </c>
      <c r="M11">
        <f t="shared" si="13"/>
        <v>0.49953483869668669</v>
      </c>
      <c r="N11">
        <f t="shared" si="14"/>
        <v>0.48666113245522391</v>
      </c>
      <c r="O11">
        <f t="shared" si="15"/>
        <v>0.46395573498790493</v>
      </c>
      <c r="P11">
        <f t="shared" si="16"/>
        <v>0.58342262225674213</v>
      </c>
      <c r="Q11">
        <f t="shared" si="4"/>
        <v>0.55631837265656814</v>
      </c>
      <c r="R11">
        <f t="shared" si="4"/>
        <v>0.48239782483875554</v>
      </c>
      <c r="S11">
        <f t="shared" si="4"/>
        <v>0.38497548773202006</v>
      </c>
      <c r="T11">
        <f t="shared" si="4"/>
        <v>0.88854446243401997</v>
      </c>
      <c r="U11">
        <f t="shared" si="4"/>
        <v>0.8867776293899583</v>
      </c>
      <c r="V11">
        <f t="shared" si="4"/>
        <v>0.87877990583409227</v>
      </c>
      <c r="W11">
        <f t="shared" si="4"/>
        <v>0.86337416454462268</v>
      </c>
      <c r="AK11" s="3"/>
      <c r="AL11" s="3"/>
    </row>
    <row r="13" spans="1:38" x14ac:dyDescent="0.25">
      <c r="L13" t="s">
        <v>18</v>
      </c>
    </row>
    <row r="14" spans="1:38" x14ac:dyDescent="0.25">
      <c r="B14" t="s">
        <v>55</v>
      </c>
      <c r="D14">
        <v>1</v>
      </c>
      <c r="E14">
        <v>2</v>
      </c>
      <c r="F14">
        <v>3</v>
      </c>
      <c r="G14">
        <v>4</v>
      </c>
      <c r="L14" t="s">
        <v>45</v>
      </c>
      <c r="M14" t="s">
        <v>46</v>
      </c>
      <c r="N14" t="s">
        <v>47</v>
      </c>
      <c r="O14" t="s">
        <v>48</v>
      </c>
      <c r="U14" t="s">
        <v>56</v>
      </c>
      <c r="V14" t="s">
        <v>23</v>
      </c>
    </row>
    <row r="15" spans="1:38" x14ac:dyDescent="0.25">
      <c r="A15" t="s">
        <v>24</v>
      </c>
      <c r="D15">
        <f>opt_angle_relax!H28</f>
        <v>0.28586636605979304</v>
      </c>
      <c r="E15">
        <f>opt_angle_relax!I28</f>
        <v>-0.17925304830103322</v>
      </c>
      <c r="F15">
        <f>opt_angle_relax!J28</f>
        <v>0.18119113860272204</v>
      </c>
      <c r="G15">
        <f>opt_angle_relax!K28</f>
        <v>-0.58393948934201911</v>
      </c>
      <c r="K15" t="s">
        <v>57</v>
      </c>
      <c r="L15">
        <f>D$15</f>
        <v>0.28586636605979304</v>
      </c>
      <c r="M15">
        <f t="shared" ref="M15:O15" si="17">E$15</f>
        <v>-0.17925304830103322</v>
      </c>
      <c r="N15">
        <f t="shared" si="17"/>
        <v>0.18119113860272204</v>
      </c>
      <c r="O15">
        <f t="shared" si="17"/>
        <v>-0.58393948934201911</v>
      </c>
      <c r="T15" t="s">
        <v>57</v>
      </c>
      <c r="U15" s="3">
        <f>SQRT(SUM(L15^2+M15^2+N15^2+O15^2))</f>
        <v>0.69833143312514079</v>
      </c>
      <c r="V15" s="3">
        <f>U15/$U$15</f>
        <v>1</v>
      </c>
    </row>
    <row r="16" spans="1:38" x14ac:dyDescent="0.25">
      <c r="A16" t="s">
        <v>49</v>
      </c>
      <c r="L16">
        <f>L$15*F4</f>
        <v>0.3234028365534618</v>
      </c>
      <c r="M16">
        <f t="shared" ref="M16:O17" si="18">M$15*G4</f>
        <v>-0.20532866622279733</v>
      </c>
      <c r="N16">
        <f t="shared" si="18"/>
        <v>0.21577615987358886</v>
      </c>
      <c r="O16">
        <f t="shared" si="18"/>
        <v>-0.7403562680225082</v>
      </c>
      <c r="U16" s="3">
        <f t="shared" ref="U16:U17" si="19">SQRT(SUM(L16^2+M16^2+N16^2+O16^2))</f>
        <v>0.86106678639561207</v>
      </c>
      <c r="V16" s="3">
        <f>U16/$U$15</f>
        <v>1.2330345528658297</v>
      </c>
    </row>
    <row r="17" spans="1:22" x14ac:dyDescent="0.25">
      <c r="A17" t="s">
        <v>50</v>
      </c>
      <c r="L17">
        <f>L$15*F5</f>
        <v>0.24001381582084974</v>
      </c>
      <c r="M17">
        <f t="shared" si="18"/>
        <v>-0.1466071808237524</v>
      </c>
      <c r="N17">
        <f t="shared" si="18"/>
        <v>0.13834962948385832</v>
      </c>
      <c r="O17">
        <f t="shared" si="18"/>
        <v>-0.40385282701185693</v>
      </c>
      <c r="U17" s="3">
        <f t="shared" si="19"/>
        <v>0.51121230728315115</v>
      </c>
      <c r="V17" s="3">
        <f>U17/$U$15</f>
        <v>0.73204825536120766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0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</cols>
  <sheetData>
    <row r="1" spans="1:11" ht="18.75" x14ac:dyDescent="0.3">
      <c r="A1" s="2">
        <v>2625.5</v>
      </c>
      <c r="F1" t="s">
        <v>14</v>
      </c>
      <c r="G1" s="5">
        <v>117.1</v>
      </c>
    </row>
    <row r="2" spans="1:11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</row>
    <row r="3" spans="1:11" x14ac:dyDescent="0.25">
      <c r="F3">
        <f>SUM(F4:F22)</f>
        <v>7.8388189186272961E-7</v>
      </c>
    </row>
    <row r="4" spans="1:11" x14ac:dyDescent="0.25">
      <c r="A4" t="s">
        <v>2</v>
      </c>
      <c r="B4" s="3">
        <v>-179.99417</v>
      </c>
      <c r="C4">
        <f>B4*PI()/180</f>
        <v>-3.1414909008944019</v>
      </c>
      <c r="D4">
        <f>D14</f>
        <v>-1131.6531477799999</v>
      </c>
      <c r="E4">
        <f>D4-$D$24</f>
        <v>-3.8839944454593933E-4</v>
      </c>
    </row>
    <row r="5" spans="1:11" x14ac:dyDescent="0.25">
      <c r="B5">
        <v>0</v>
      </c>
      <c r="C5">
        <f t="shared" ref="C5:C22" si="0">B5*PI()/180</f>
        <v>0</v>
      </c>
      <c r="D5">
        <v>-1131.65313941</v>
      </c>
      <c r="E5">
        <f t="shared" ref="E5:E22" si="1">D5-$D$24</f>
        <v>-3.8002944461368315E-4</v>
      </c>
      <c r="F5">
        <f t="shared" ref="F5:F22" si="2">E5^2</f>
        <v>1.4442237877338448E-7</v>
      </c>
      <c r="G5">
        <f t="shared" ref="G5:G22" si="3">E5/$F$24</f>
        <v>-1.8210764723551747</v>
      </c>
      <c r="H5">
        <f>COS(C5)*SQRT(2)*G5</f>
        <v>-2.5753910453232409</v>
      </c>
      <c r="I5">
        <f>SQRT(2)*COS(2*C5)*G5</f>
        <v>-2.5753910453232409</v>
      </c>
      <c r="J5">
        <f>COS(3*C5)*SQRT(2)*G5</f>
        <v>-2.5753910453232409</v>
      </c>
      <c r="K5">
        <f>COS(4*C5)*SQRT(2)*G5</f>
        <v>-2.5753910453232409</v>
      </c>
    </row>
    <row r="6" spans="1:11" x14ac:dyDescent="0.25">
      <c r="B6">
        <v>20</v>
      </c>
      <c r="C6">
        <f t="shared" si="0"/>
        <v>0.3490658503988659</v>
      </c>
      <c r="D6">
        <v>-1131.65293623</v>
      </c>
      <c r="E6">
        <f t="shared" si="1"/>
        <v>-1.7684944464235741E-4</v>
      </c>
      <c r="F6">
        <f t="shared" si="2"/>
        <v>3.127572607031024E-8</v>
      </c>
      <c r="G6">
        <f t="shared" si="3"/>
        <v>-0.84745107873065095</v>
      </c>
      <c r="H6">
        <f t="shared" ref="H6:H22" si="4">COS(C6)*SQRT(2)*G6</f>
        <v>-1.1261998135896265</v>
      </c>
      <c r="I6">
        <f t="shared" ref="I6:I22" si="5">SQRT(2)*COS(2*C6)*G6</f>
        <v>-0.91808649973267886</v>
      </c>
      <c r="J6">
        <f t="shared" ref="J6:J22" si="6">COS(3*C6)*SQRT(2)*G6</f>
        <v>-0.59923840449429822</v>
      </c>
      <c r="K6">
        <f t="shared" ref="K6:K22" si="7">COS(4*C6)*SQRT(2)*G6</f>
        <v>-0.20811331385694759</v>
      </c>
    </row>
    <row r="7" spans="1:11" x14ac:dyDescent="0.25">
      <c r="B7">
        <v>40</v>
      </c>
      <c r="C7">
        <f t="shared" si="0"/>
        <v>0.69813170079773179</v>
      </c>
      <c r="D7">
        <v>-1131.65265439</v>
      </c>
      <c r="E7">
        <f t="shared" si="1"/>
        <v>1.0499055542823044E-4</v>
      </c>
      <c r="F7">
        <f t="shared" si="2"/>
        <v>1.1023016729128327E-8</v>
      </c>
      <c r="G7">
        <f t="shared" si="3"/>
        <v>0.50310793813413957</v>
      </c>
      <c r="H7">
        <f t="shared" si="4"/>
        <v>0.54504220656742353</v>
      </c>
      <c r="I7">
        <f t="shared" si="5"/>
        <v>0.12355103776569776</v>
      </c>
      <c r="J7">
        <f t="shared" si="6"/>
        <v>-0.35575103472343195</v>
      </c>
      <c r="K7">
        <f t="shared" si="7"/>
        <v>-0.66859324433312117</v>
      </c>
    </row>
    <row r="8" spans="1:11" x14ac:dyDescent="0.25">
      <c r="B8">
        <v>60</v>
      </c>
      <c r="C8">
        <f t="shared" si="0"/>
        <v>1.0471975511965976</v>
      </c>
      <c r="D8">
        <v>-1131.65269255</v>
      </c>
      <c r="E8">
        <f t="shared" si="1"/>
        <v>6.6830555397245917E-5</v>
      </c>
      <c r="F8">
        <f t="shared" si="2"/>
        <v>4.4663231347043557E-9</v>
      </c>
      <c r="G8">
        <f t="shared" si="3"/>
        <v>0.32024769078635668</v>
      </c>
      <c r="H8">
        <f t="shared" si="4"/>
        <v>0.2264493138143655</v>
      </c>
      <c r="I8">
        <f t="shared" si="5"/>
        <v>-0.22644931381436534</v>
      </c>
      <c r="J8">
        <f t="shared" si="6"/>
        <v>-0.4528986276287309</v>
      </c>
      <c r="K8">
        <f t="shared" si="7"/>
        <v>-0.22644931381436567</v>
      </c>
    </row>
    <row r="9" spans="1:11" x14ac:dyDescent="0.25">
      <c r="B9">
        <v>80</v>
      </c>
      <c r="C9">
        <f t="shared" si="0"/>
        <v>1.3962634015954636</v>
      </c>
      <c r="D9">
        <v>-1131.6528513400001</v>
      </c>
      <c r="E9">
        <f t="shared" si="1"/>
        <v>-9.1959444716849248E-5</v>
      </c>
      <c r="F9">
        <f t="shared" si="2"/>
        <v>8.4565394726312534E-9</v>
      </c>
      <c r="G9">
        <f t="shared" si="3"/>
        <v>-0.44066370003233918</v>
      </c>
      <c r="H9">
        <f t="shared" si="4"/>
        <v>-0.10821625603162628</v>
      </c>
      <c r="I9">
        <f t="shared" si="5"/>
        <v>0.58560946972358363</v>
      </c>
      <c r="J9">
        <f t="shared" si="6"/>
        <v>0.31159629051562199</v>
      </c>
      <c r="K9">
        <f t="shared" si="7"/>
        <v>-0.47739321369195731</v>
      </c>
    </row>
    <row r="10" spans="1:11" x14ac:dyDescent="0.25">
      <c r="B10">
        <v>100</v>
      </c>
      <c r="C10">
        <f t="shared" si="0"/>
        <v>1.7453292519943295</v>
      </c>
      <c r="D10">
        <v>-1131.65275243</v>
      </c>
      <c r="E10">
        <f t="shared" si="1"/>
        <v>6.9505554165516514E-6</v>
      </c>
      <c r="F10">
        <f t="shared" si="2"/>
        <v>4.8310220598555501E-11</v>
      </c>
      <c r="G10">
        <f t="shared" si="3"/>
        <v>3.3306611154169746E-2</v>
      </c>
      <c r="H10">
        <f t="shared" si="4"/>
        <v>-8.1792912825379965E-3</v>
      </c>
      <c r="I10">
        <f t="shared" si="5"/>
        <v>-4.4262023159274397E-2</v>
      </c>
      <c r="J10">
        <f t="shared" si="6"/>
        <v>2.3551330605456937E-2</v>
      </c>
      <c r="K10">
        <f t="shared" si="7"/>
        <v>3.6082731876736399E-2</v>
      </c>
    </row>
    <row r="11" spans="1:11" x14ac:dyDescent="0.25">
      <c r="B11">
        <v>120</v>
      </c>
      <c r="C11">
        <f t="shared" si="0"/>
        <v>2.0943951023931953</v>
      </c>
      <c r="D11">
        <v>-1131.6524642500001</v>
      </c>
      <c r="E11">
        <f t="shared" si="1"/>
        <v>2.9513055528695986E-4</v>
      </c>
      <c r="F11">
        <f t="shared" si="2"/>
        <v>8.7102044663989268E-8</v>
      </c>
      <c r="G11">
        <f t="shared" si="3"/>
        <v>1.4142464962222807</v>
      </c>
      <c r="H11">
        <f t="shared" si="4"/>
        <v>-1.0000232877480895</v>
      </c>
      <c r="I11">
        <f t="shared" si="5"/>
        <v>-1.0000232877480908</v>
      </c>
      <c r="J11">
        <f t="shared" si="6"/>
        <v>2.0000465754961798</v>
      </c>
      <c r="K11">
        <f t="shared" si="7"/>
        <v>-1.0000232877480884</v>
      </c>
    </row>
    <row r="12" spans="1:11" x14ac:dyDescent="0.25">
      <c r="B12">
        <v>140</v>
      </c>
      <c r="C12">
        <f t="shared" si="0"/>
        <v>2.4434609527920612</v>
      </c>
      <c r="D12">
        <v>-1131.6524625899999</v>
      </c>
      <c r="E12">
        <f t="shared" si="1"/>
        <v>2.9679055546694144E-4</v>
      </c>
      <c r="F12">
        <f t="shared" si="2"/>
        <v>8.8084633814375648E-8</v>
      </c>
      <c r="G12">
        <f t="shared" si="3"/>
        <v>1.4222011095153186</v>
      </c>
      <c r="H12">
        <f t="shared" si="4"/>
        <v>-1.5407421989557095</v>
      </c>
      <c r="I12">
        <f t="shared" si="5"/>
        <v>0.34925790207924451</v>
      </c>
      <c r="J12">
        <f t="shared" si="6"/>
        <v>1.0056480487493147</v>
      </c>
      <c r="K12">
        <f t="shared" si="7"/>
        <v>-1.8900001010349552</v>
      </c>
    </row>
    <row r="13" spans="1:11" x14ac:dyDescent="0.25">
      <c r="B13">
        <v>160</v>
      </c>
      <c r="C13">
        <f t="shared" si="0"/>
        <v>2.7925268031909272</v>
      </c>
      <c r="D13">
        <v>-1131.6528770499999</v>
      </c>
      <c r="E13">
        <f t="shared" si="1"/>
        <v>-1.176694445348403E-4</v>
      </c>
      <c r="F13">
        <f t="shared" si="2"/>
        <v>1.3846098177137856E-8</v>
      </c>
      <c r="G13">
        <f t="shared" si="3"/>
        <v>-0.56386435313013739</v>
      </c>
      <c r="H13">
        <f t="shared" si="4"/>
        <v>0.74933402685162953</v>
      </c>
      <c r="I13">
        <f t="shared" si="5"/>
        <v>-0.61086269553715944</v>
      </c>
      <c r="J13">
        <f t="shared" si="6"/>
        <v>0.39871230776768563</v>
      </c>
      <c r="K13">
        <f t="shared" si="7"/>
        <v>-0.13847133131446951</v>
      </c>
    </row>
    <row r="14" spans="1:11" x14ac:dyDescent="0.25">
      <c r="B14">
        <v>180</v>
      </c>
      <c r="C14">
        <f t="shared" si="0"/>
        <v>3.1415926535897931</v>
      </c>
      <c r="D14">
        <v>-1131.6531477799999</v>
      </c>
      <c r="E14">
        <f t="shared" si="1"/>
        <v>-3.8839944454593933E-4</v>
      </c>
      <c r="F14">
        <f t="shared" si="2"/>
        <v>1.5085412852359421E-7</v>
      </c>
      <c r="G14">
        <f t="shared" si="3"/>
        <v>-1.8611849696473797</v>
      </c>
      <c r="H14">
        <f t="shared" si="4"/>
        <v>2.6321130261602819</v>
      </c>
      <c r="I14">
        <f t="shared" si="5"/>
        <v>-2.6321130261602819</v>
      </c>
      <c r="J14">
        <f t="shared" si="6"/>
        <v>2.6321130261602819</v>
      </c>
      <c r="K14">
        <f t="shared" si="7"/>
        <v>-2.6321130261602819</v>
      </c>
    </row>
    <row r="15" spans="1:11" x14ac:dyDescent="0.25">
      <c r="B15">
        <v>200</v>
      </c>
      <c r="C15">
        <f t="shared" si="0"/>
        <v>3.4906585039886591</v>
      </c>
      <c r="D15">
        <f>D13</f>
        <v>-1131.6528770499999</v>
      </c>
      <c r="E15">
        <f t="shared" si="1"/>
        <v>-1.176694445348403E-4</v>
      </c>
      <c r="F15">
        <f t="shared" si="2"/>
        <v>1.3846098177137856E-8</v>
      </c>
      <c r="G15">
        <f t="shared" si="3"/>
        <v>-0.56386435313013739</v>
      </c>
      <c r="H15">
        <f t="shared" si="4"/>
        <v>0.74933402685162964</v>
      </c>
      <c r="I15">
        <f t="shared" si="5"/>
        <v>-0.61086269553715966</v>
      </c>
      <c r="J15">
        <f t="shared" si="6"/>
        <v>0.39871230776768612</v>
      </c>
      <c r="K15">
        <f t="shared" si="7"/>
        <v>-0.13847133131447026</v>
      </c>
    </row>
    <row r="16" spans="1:11" x14ac:dyDescent="0.25">
      <c r="B16">
        <v>220</v>
      </c>
      <c r="C16">
        <f t="shared" si="0"/>
        <v>3.839724354387525</v>
      </c>
      <c r="D16">
        <f>D12</f>
        <v>-1131.6524625899999</v>
      </c>
      <c r="E16">
        <f t="shared" si="1"/>
        <v>2.9679055546694144E-4</v>
      </c>
      <c r="F16">
        <f t="shared" si="2"/>
        <v>8.8084633814375648E-8</v>
      </c>
      <c r="G16">
        <f t="shared" si="3"/>
        <v>1.4222011095153186</v>
      </c>
      <c r="H16">
        <f t="shared" si="4"/>
        <v>-1.5407421989557095</v>
      </c>
      <c r="I16">
        <f t="shared" si="5"/>
        <v>0.34925790207924545</v>
      </c>
      <c r="J16">
        <f t="shared" si="6"/>
        <v>1.0056480487493149</v>
      </c>
      <c r="K16">
        <f t="shared" si="7"/>
        <v>-1.8900001010349547</v>
      </c>
    </row>
    <row r="17" spans="2:12" x14ac:dyDescent="0.25">
      <c r="B17">
        <v>240</v>
      </c>
      <c r="C17">
        <f t="shared" si="0"/>
        <v>4.1887902047863905</v>
      </c>
      <c r="D17">
        <f>D11</f>
        <v>-1131.6524642500001</v>
      </c>
      <c r="E17">
        <f t="shared" si="1"/>
        <v>2.9513055528695986E-4</v>
      </c>
      <c r="F17">
        <f t="shared" si="2"/>
        <v>8.7102044663989268E-8</v>
      </c>
      <c r="G17">
        <f t="shared" si="3"/>
        <v>1.4142464962222807</v>
      </c>
      <c r="H17">
        <f t="shared" si="4"/>
        <v>-1.0000232877480908</v>
      </c>
      <c r="I17">
        <f t="shared" si="5"/>
        <v>-1.0000232877480884</v>
      </c>
      <c r="J17">
        <f t="shared" si="6"/>
        <v>2.0000465754961798</v>
      </c>
      <c r="K17">
        <f t="shared" si="7"/>
        <v>-1.000023287748093</v>
      </c>
    </row>
    <row r="18" spans="2:12" x14ac:dyDescent="0.25">
      <c r="B18">
        <v>260</v>
      </c>
      <c r="C18">
        <f t="shared" si="0"/>
        <v>4.5378560551852569</v>
      </c>
      <c r="D18">
        <f>D10</f>
        <v>-1131.65275243</v>
      </c>
      <c r="E18">
        <f t="shared" si="1"/>
        <v>6.9505554165516514E-6</v>
      </c>
      <c r="F18">
        <f t="shared" si="2"/>
        <v>4.8310220598555501E-11</v>
      </c>
      <c r="G18">
        <f t="shared" si="3"/>
        <v>3.3306611154169746E-2</v>
      </c>
      <c r="H18">
        <f t="shared" si="4"/>
        <v>-8.1792912825379982E-3</v>
      </c>
      <c r="I18">
        <f t="shared" si="5"/>
        <v>-4.4262023159274397E-2</v>
      </c>
      <c r="J18">
        <f t="shared" si="6"/>
        <v>2.3551330605456926E-2</v>
      </c>
      <c r="K18">
        <f t="shared" si="7"/>
        <v>3.6082731876736399E-2</v>
      </c>
    </row>
    <row r="19" spans="2:12" x14ac:dyDescent="0.25">
      <c r="B19">
        <v>280</v>
      </c>
      <c r="C19">
        <f t="shared" si="0"/>
        <v>4.8869219055841224</v>
      </c>
      <c r="D19">
        <f>D9</f>
        <v>-1131.6528513400001</v>
      </c>
      <c r="E19">
        <f t="shared" si="1"/>
        <v>-9.1959444716849248E-5</v>
      </c>
      <c r="F19">
        <f t="shared" si="2"/>
        <v>8.4565394726312534E-9</v>
      </c>
      <c r="G19">
        <f t="shared" si="3"/>
        <v>-0.44066370003233918</v>
      </c>
      <c r="H19">
        <f t="shared" si="4"/>
        <v>-0.108216256031626</v>
      </c>
      <c r="I19">
        <f t="shared" si="5"/>
        <v>0.58560946972358385</v>
      </c>
      <c r="J19">
        <f t="shared" si="6"/>
        <v>0.31159629051562104</v>
      </c>
      <c r="K19">
        <f t="shared" si="7"/>
        <v>-0.47739321369195808</v>
      </c>
    </row>
    <row r="20" spans="2:12" x14ac:dyDescent="0.25">
      <c r="B20">
        <v>300</v>
      </c>
      <c r="C20">
        <f t="shared" si="0"/>
        <v>5.2359877559829888</v>
      </c>
      <c r="D20">
        <f>D8</f>
        <v>-1131.65269255</v>
      </c>
      <c r="E20">
        <f t="shared" si="1"/>
        <v>6.6830555397245917E-5</v>
      </c>
      <c r="F20">
        <f t="shared" si="2"/>
        <v>4.4663231347043557E-9</v>
      </c>
      <c r="G20">
        <f t="shared" si="3"/>
        <v>0.32024769078635668</v>
      </c>
      <c r="H20">
        <f t="shared" si="4"/>
        <v>0.2264493138143655</v>
      </c>
      <c r="I20">
        <f t="shared" si="5"/>
        <v>-0.22644931381436539</v>
      </c>
      <c r="J20">
        <f t="shared" si="6"/>
        <v>-0.4528986276287309</v>
      </c>
      <c r="K20">
        <f t="shared" si="7"/>
        <v>-0.22644931381436559</v>
      </c>
    </row>
    <row r="21" spans="2:12" x14ac:dyDescent="0.25">
      <c r="B21">
        <v>320</v>
      </c>
      <c r="C21">
        <f t="shared" si="0"/>
        <v>5.5850536063818543</v>
      </c>
      <c r="D21">
        <f>D7</f>
        <v>-1131.65265439</v>
      </c>
      <c r="E21">
        <f t="shared" si="1"/>
        <v>1.0499055542823044E-4</v>
      </c>
      <c r="F21">
        <f t="shared" si="2"/>
        <v>1.1023016729128327E-8</v>
      </c>
      <c r="G21">
        <f t="shared" si="3"/>
        <v>0.50310793813413957</v>
      </c>
      <c r="H21">
        <f t="shared" si="4"/>
        <v>0.54504220656742342</v>
      </c>
      <c r="I21">
        <f t="shared" si="5"/>
        <v>0.12355103776569726</v>
      </c>
      <c r="J21">
        <f t="shared" si="6"/>
        <v>-0.35575103472343328</v>
      </c>
      <c r="K21">
        <f t="shared" si="7"/>
        <v>-0.66859324433312162</v>
      </c>
    </row>
    <row r="22" spans="2:12" x14ac:dyDescent="0.25">
      <c r="B22">
        <v>340</v>
      </c>
      <c r="C22">
        <f t="shared" si="0"/>
        <v>5.9341194567807207</v>
      </c>
      <c r="D22">
        <f>D6</f>
        <v>-1131.65293623</v>
      </c>
      <c r="E22">
        <f t="shared" si="1"/>
        <v>-1.7684944464235741E-4</v>
      </c>
      <c r="F22">
        <f t="shared" si="2"/>
        <v>3.127572607031024E-8</v>
      </c>
      <c r="G22">
        <f t="shared" si="3"/>
        <v>-0.84745107873065095</v>
      </c>
      <c r="H22">
        <f t="shared" si="4"/>
        <v>-1.1261998135896265</v>
      </c>
      <c r="I22">
        <f t="shared" si="5"/>
        <v>-0.91808649973267931</v>
      </c>
      <c r="J22">
        <f t="shared" si="6"/>
        <v>-0.59923840449429866</v>
      </c>
      <c r="K22">
        <f t="shared" si="7"/>
        <v>-0.20811331385694828</v>
      </c>
    </row>
    <row r="24" spans="2:12" x14ac:dyDescent="0.25">
      <c r="B24" t="s">
        <v>4</v>
      </c>
      <c r="D24">
        <f>AVERAGE(D5:D22)</f>
        <v>-1131.6527593805554</v>
      </c>
      <c r="F24">
        <f>SQRT(AVERAGE(F5:F22))</f>
        <v>2.0868395719933497E-4</v>
      </c>
      <c r="G24" t="s">
        <v>10</v>
      </c>
      <c r="H24" s="4">
        <f t="shared" ref="H24:K24" si="8">AVERAGE(H5:H22)</f>
        <v>-0.24824158999507237</v>
      </c>
      <c r="I24" s="4">
        <f t="shared" si="8"/>
        <v>-0.48277971624053362</v>
      </c>
      <c r="J24" s="4">
        <f t="shared" si="8"/>
        <v>0.26222527518959082</v>
      </c>
      <c r="K24" s="4">
        <f t="shared" si="8"/>
        <v>-0.79741256773988145</v>
      </c>
    </row>
    <row r="25" spans="2:12" x14ac:dyDescent="0.25">
      <c r="B25" t="s">
        <v>5</v>
      </c>
      <c r="D25">
        <f>MIN(D4:D22)</f>
        <v>-1131.6531477799999</v>
      </c>
      <c r="F25" s="3">
        <f>F24*$A$1</f>
        <v>0.54789972962685396</v>
      </c>
      <c r="G25" s="4">
        <f>SUM(H25:K25)</f>
        <v>0.99932903955433949</v>
      </c>
      <c r="H25">
        <f t="shared" ref="H25:K25" si="9">H24^2</f>
        <v>6.1623887003281613E-2</v>
      </c>
      <c r="I25">
        <f t="shared" si="9"/>
        <v>0.23307625441329016</v>
      </c>
      <c r="J25">
        <f t="shared" si="9"/>
        <v>6.8762094948256636E-2</v>
      </c>
      <c r="K25">
        <f t="shared" si="9"/>
        <v>0.63586680318951105</v>
      </c>
    </row>
    <row r="26" spans="2:12" x14ac:dyDescent="0.25">
      <c r="B26" t="s">
        <v>6</v>
      </c>
      <c r="D26">
        <f>MAX(D5:D22)</f>
        <v>-1131.6524625899999</v>
      </c>
    </row>
    <row r="27" spans="2:12" x14ac:dyDescent="0.25">
      <c r="B27" t="s">
        <v>65</v>
      </c>
      <c r="D27" s="1">
        <f>D26-D25</f>
        <v>6.8519000001288077E-4</v>
      </c>
      <c r="G27" t="s">
        <v>61</v>
      </c>
      <c r="H27">
        <f>H24*$F$24</f>
        <v>-5.1804037341626543E-5</v>
      </c>
      <c r="I27">
        <f t="shared" ref="I27:K27" si="10">I24*$F$24</f>
        <v>-1.0074838164064659E-4</v>
      </c>
      <c r="J27">
        <f t="shared" si="10"/>
        <v>5.4722208104248402E-5</v>
      </c>
      <c r="K27">
        <f t="shared" si="10"/>
        <v>-1.6640721015644122E-4</v>
      </c>
    </row>
    <row r="28" spans="2:12" x14ac:dyDescent="0.25">
      <c r="D28" s="3">
        <f>D27*$A$1</f>
        <v>1.7989663450338185</v>
      </c>
      <c r="H28">
        <f>$A$1*H27</f>
        <v>-0.13601150004044049</v>
      </c>
      <c r="I28">
        <f t="shared" ref="I28:K28" si="11">$A$1*I27</f>
        <v>-0.26451487599751761</v>
      </c>
      <c r="J28">
        <f t="shared" si="11"/>
        <v>0.14367315737770417</v>
      </c>
      <c r="K28">
        <f t="shared" si="11"/>
        <v>-0.43690213026573643</v>
      </c>
      <c r="L28" t="s">
        <v>57</v>
      </c>
    </row>
    <row r="30" spans="2:12" x14ac:dyDescent="0.25">
      <c r="F30">
        <f>F25/opt_angle_relax!F25</f>
        <v>0.78406732861224404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1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</cols>
  <sheetData>
    <row r="1" spans="1:11" ht="18.75" x14ac:dyDescent="0.3">
      <c r="A1" s="2">
        <v>2625.5</v>
      </c>
      <c r="F1" t="s">
        <v>14</v>
      </c>
      <c r="G1" s="5">
        <v>97.1</v>
      </c>
    </row>
    <row r="2" spans="1:11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</row>
    <row r="3" spans="1:11" x14ac:dyDescent="0.25">
      <c r="F3">
        <f>SUM(F4:F22)</f>
        <v>3.8450829925382911E-6</v>
      </c>
    </row>
    <row r="4" spans="1:11" x14ac:dyDescent="0.25">
      <c r="A4" t="s">
        <v>2</v>
      </c>
      <c r="B4" s="3">
        <v>-179.99417</v>
      </c>
      <c r="C4">
        <f>B4*PI()/180</f>
        <v>-3.1414909008944019</v>
      </c>
      <c r="D4">
        <f>D14</f>
        <v>-1131.65272785</v>
      </c>
      <c r="E4">
        <f>D4-$D$24</f>
        <v>-1.028042222287695E-3</v>
      </c>
    </row>
    <row r="5" spans="1:11" x14ac:dyDescent="0.25">
      <c r="B5">
        <v>0</v>
      </c>
      <c r="C5">
        <f t="shared" ref="C5:C22" si="0">B5*PI()/180</f>
        <v>0</v>
      </c>
      <c r="D5">
        <v>-1131.6515917300001</v>
      </c>
      <c r="E5">
        <f t="shared" ref="E5:E22" si="1">D5-$D$24</f>
        <v>1.0807777766785875E-4</v>
      </c>
      <c r="F5">
        <f t="shared" ref="F5:F22" si="2">E5^2</f>
        <v>1.1680806025623109E-8</v>
      </c>
      <c r="G5">
        <f t="shared" ref="G5:G22" si="3">E5/$F$24</f>
        <v>0.23384053690596468</v>
      </c>
      <c r="H5">
        <f>COS(C5)*SQRT(2)*G5</f>
        <v>0.33070045872502152</v>
      </c>
      <c r="I5">
        <f>SQRT(2)*COS(2*C5)*G5</f>
        <v>0.33070045872502152</v>
      </c>
      <c r="J5">
        <f>COS(3*C5)*SQRT(2)*G5</f>
        <v>0.33070045872502152</v>
      </c>
      <c r="K5">
        <f>COS(4*C5)*SQRT(2)*G5</f>
        <v>0.33070045872502152</v>
      </c>
    </row>
    <row r="6" spans="1:11" x14ac:dyDescent="0.25">
      <c r="B6">
        <v>20</v>
      </c>
      <c r="C6">
        <f t="shared" si="0"/>
        <v>0.3490658503988659</v>
      </c>
      <c r="D6">
        <v>-1131.65126616</v>
      </c>
      <c r="E6">
        <f t="shared" si="1"/>
        <v>4.3364777775423136E-4</v>
      </c>
      <c r="F6">
        <f t="shared" si="2"/>
        <v>1.8805039515118323E-7</v>
      </c>
      <c r="G6">
        <f t="shared" si="3"/>
        <v>0.93825420328090781</v>
      </c>
      <c r="H6">
        <f t="shared" ref="H6:H22" si="4">COS(C6)*SQRT(2)*G6</f>
        <v>1.246870451114837</v>
      </c>
      <c r="I6">
        <f t="shared" ref="I6:I22" si="5">SQRT(2)*COS(2*C6)*G6</f>
        <v>1.0164581047437951</v>
      </c>
      <c r="J6">
        <f t="shared" ref="J6:J22" si="6">COS(3*C6)*SQRT(2)*G6</f>
        <v>0.66344590961671146</v>
      </c>
      <c r="K6">
        <f t="shared" ref="K6:K22" si="7">COS(4*C6)*SQRT(2)*G6</f>
        <v>0.23041234637104191</v>
      </c>
    </row>
    <row r="7" spans="1:11" x14ac:dyDescent="0.25">
      <c r="B7">
        <v>40</v>
      </c>
      <c r="C7">
        <f t="shared" si="0"/>
        <v>0.69813170079773179</v>
      </c>
      <c r="D7">
        <v>-1131.6509564200001</v>
      </c>
      <c r="E7">
        <f t="shared" si="1"/>
        <v>7.4338777767479769E-4</v>
      </c>
      <c r="F7">
        <f t="shared" si="2"/>
        <v>5.5262538799627442E-7</v>
      </c>
      <c r="G7">
        <f t="shared" si="3"/>
        <v>1.6084175749341221</v>
      </c>
      <c r="H7">
        <f t="shared" si="4"/>
        <v>1.7424798888587258</v>
      </c>
      <c r="I7">
        <f t="shared" si="5"/>
        <v>0.39498812378252351</v>
      </c>
      <c r="J7">
        <f t="shared" si="6"/>
        <v>-1.1373229742155393</v>
      </c>
      <c r="K7">
        <f t="shared" si="7"/>
        <v>-2.1374680126412491</v>
      </c>
    </row>
    <row r="8" spans="1:11" x14ac:dyDescent="0.25">
      <c r="B8">
        <v>60</v>
      </c>
      <c r="C8">
        <f t="shared" si="0"/>
        <v>1.0471975511965976</v>
      </c>
      <c r="D8">
        <v>-1131.6513859900001</v>
      </c>
      <c r="E8">
        <f t="shared" si="1"/>
        <v>3.1381777762362617E-4</v>
      </c>
      <c r="F8">
        <f t="shared" si="2"/>
        <v>9.8481597552631693E-8</v>
      </c>
      <c r="G8">
        <f t="shared" si="3"/>
        <v>0.6789861819296904</v>
      </c>
      <c r="H8">
        <f t="shared" si="4"/>
        <v>0.48011573357444703</v>
      </c>
      <c r="I8">
        <f t="shared" si="5"/>
        <v>-0.48011573357444676</v>
      </c>
      <c r="J8">
        <f t="shared" si="6"/>
        <v>-0.96023146714889396</v>
      </c>
      <c r="K8">
        <f t="shared" si="7"/>
        <v>-0.48011573357444742</v>
      </c>
    </row>
    <row r="9" spans="1:11" x14ac:dyDescent="0.25">
      <c r="B9">
        <v>80</v>
      </c>
      <c r="C9">
        <f t="shared" si="0"/>
        <v>1.3962634015954636</v>
      </c>
      <c r="D9">
        <v>-1131.6519990500001</v>
      </c>
      <c r="E9">
        <f t="shared" si="1"/>
        <v>-2.9924222235422349E-4</v>
      </c>
      <c r="F9">
        <f t="shared" si="2"/>
        <v>8.9545907639494529E-8</v>
      </c>
      <c r="G9">
        <f t="shared" si="3"/>
        <v>-0.64745004431244457</v>
      </c>
      <c r="H9">
        <f t="shared" si="4"/>
        <v>-0.15899793824147854</v>
      </c>
      <c r="I9">
        <f t="shared" si="5"/>
        <v>0.86041322916885665</v>
      </c>
      <c r="J9">
        <f t="shared" si="6"/>
        <v>0.45781631681286072</v>
      </c>
      <c r="K9">
        <f t="shared" si="7"/>
        <v>-0.70141529092737809</v>
      </c>
    </row>
    <row r="10" spans="1:11" x14ac:dyDescent="0.25">
      <c r="B10">
        <v>100</v>
      </c>
      <c r="C10">
        <f t="shared" si="0"/>
        <v>1.7453292519943295</v>
      </c>
      <c r="D10">
        <v>-1131.65203129</v>
      </c>
      <c r="E10">
        <f t="shared" si="1"/>
        <v>-3.3148222223644552E-4</v>
      </c>
      <c r="F10">
        <f t="shared" si="2"/>
        <v>1.0988046365881226E-7</v>
      </c>
      <c r="G10">
        <f t="shared" si="3"/>
        <v>-0.7172055393363681</v>
      </c>
      <c r="H10">
        <f t="shared" si="4"/>
        <v>0.17612818633899077</v>
      </c>
      <c r="I10">
        <f t="shared" si="5"/>
        <v>0.95311312355150757</v>
      </c>
      <c r="J10">
        <f t="shared" si="6"/>
        <v>-0.50714090036930115</v>
      </c>
      <c r="K10">
        <f t="shared" si="7"/>
        <v>-0.77698493721251682</v>
      </c>
    </row>
    <row r="11" spans="1:11" x14ac:dyDescent="0.25">
      <c r="B11">
        <v>120</v>
      </c>
      <c r="C11">
        <f t="shared" si="0"/>
        <v>2.0943951023931953</v>
      </c>
      <c r="D11">
        <v>-1131.6516189399999</v>
      </c>
      <c r="E11">
        <f t="shared" si="1"/>
        <v>8.0867777796811424E-5</v>
      </c>
      <c r="F11">
        <f t="shared" si="2"/>
        <v>6.5395974857944668E-9</v>
      </c>
      <c r="G11">
        <f t="shared" si="3"/>
        <v>0.17496811080361735</v>
      </c>
      <c r="H11">
        <f t="shared" si="4"/>
        <v>-0.12372113764063701</v>
      </c>
      <c r="I11">
        <f t="shared" si="5"/>
        <v>-0.12372113764063718</v>
      </c>
      <c r="J11">
        <f t="shared" si="6"/>
        <v>0.24744227528127413</v>
      </c>
      <c r="K11">
        <f t="shared" si="7"/>
        <v>-0.12372113764063687</v>
      </c>
    </row>
    <row r="12" spans="1:11" x14ac:dyDescent="0.25">
      <c r="B12">
        <v>140</v>
      </c>
      <c r="C12">
        <f t="shared" si="0"/>
        <v>2.4434609527920612</v>
      </c>
      <c r="D12">
        <v>-1131.6516030800001</v>
      </c>
      <c r="E12">
        <f t="shared" si="1"/>
        <v>9.6727777645355673E-5</v>
      </c>
      <c r="F12">
        <f t="shared" si="2"/>
        <v>9.3562629682093685E-9</v>
      </c>
      <c r="G12">
        <f t="shared" si="3"/>
        <v>0.2092833137985346</v>
      </c>
      <c r="H12">
        <f t="shared" si="4"/>
        <v>-0.22672717026397371</v>
      </c>
      <c r="I12">
        <f t="shared" si="5"/>
        <v>5.1394877017342883E-2</v>
      </c>
      <c r="J12">
        <f t="shared" si="6"/>
        <v>0.14798565037613615</v>
      </c>
      <c r="K12">
        <f t="shared" si="7"/>
        <v>-0.27812204728131679</v>
      </c>
    </row>
    <row r="13" spans="1:11" x14ac:dyDescent="0.25">
      <c r="B13">
        <v>160</v>
      </c>
      <c r="C13">
        <f t="shared" si="0"/>
        <v>2.7925268031909272</v>
      </c>
      <c r="D13">
        <v>-1131.65227755</v>
      </c>
      <c r="E13">
        <f t="shared" si="1"/>
        <v>-5.7774222227635619E-4</v>
      </c>
      <c r="F13">
        <f t="shared" si="2"/>
        <v>3.3378607540082258E-7</v>
      </c>
      <c r="G13">
        <f t="shared" si="3"/>
        <v>-1.2500215526778504</v>
      </c>
      <c r="H13">
        <f t="shared" si="4"/>
        <v>1.661186202886703</v>
      </c>
      <c r="I13">
        <f t="shared" si="5"/>
        <v>-1.3542114001523049</v>
      </c>
      <c r="J13">
        <f t="shared" si="6"/>
        <v>0.8838987165278438</v>
      </c>
      <c r="K13">
        <f t="shared" si="7"/>
        <v>-0.30697480273439687</v>
      </c>
    </row>
    <row r="14" spans="1:11" x14ac:dyDescent="0.25">
      <c r="B14">
        <v>180</v>
      </c>
      <c r="C14">
        <f t="shared" si="0"/>
        <v>3.1415926535897931</v>
      </c>
      <c r="D14">
        <v>-1131.65272785</v>
      </c>
      <c r="E14">
        <f t="shared" si="1"/>
        <v>-1.028042222287695E-3</v>
      </c>
      <c r="F14">
        <f t="shared" si="2"/>
        <v>1.0568708108062227E-6</v>
      </c>
      <c r="G14">
        <f t="shared" si="3"/>
        <v>-2.2243050366981003</v>
      </c>
      <c r="H14">
        <f t="shared" si="4"/>
        <v>3.1456423497532384</v>
      </c>
      <c r="I14">
        <f t="shared" si="5"/>
        <v>-3.1456423497532384</v>
      </c>
      <c r="J14">
        <f t="shared" si="6"/>
        <v>3.1456423497532384</v>
      </c>
      <c r="K14">
        <f t="shared" si="7"/>
        <v>-3.1456423497532384</v>
      </c>
    </row>
    <row r="15" spans="1:11" x14ac:dyDescent="0.25">
      <c r="B15">
        <v>200</v>
      </c>
      <c r="C15">
        <f t="shared" si="0"/>
        <v>3.4906585039886591</v>
      </c>
      <c r="D15">
        <f>D13</f>
        <v>-1131.65227755</v>
      </c>
      <c r="E15">
        <f t="shared" si="1"/>
        <v>-5.7774222227635619E-4</v>
      </c>
      <c r="F15">
        <f t="shared" si="2"/>
        <v>3.3378607540082258E-7</v>
      </c>
      <c r="G15">
        <f t="shared" si="3"/>
        <v>-1.2500215526778504</v>
      </c>
      <c r="H15">
        <f t="shared" si="4"/>
        <v>1.6611862028867033</v>
      </c>
      <c r="I15">
        <f t="shared" si="5"/>
        <v>-1.3542114001523053</v>
      </c>
      <c r="J15">
        <f t="shared" si="6"/>
        <v>0.88389871652784491</v>
      </c>
      <c r="K15">
        <f t="shared" si="7"/>
        <v>-0.30697480273439853</v>
      </c>
    </row>
    <row r="16" spans="1:11" x14ac:dyDescent="0.25">
      <c r="B16">
        <v>220</v>
      </c>
      <c r="C16">
        <f t="shared" si="0"/>
        <v>3.839724354387525</v>
      </c>
      <c r="D16">
        <f>D12</f>
        <v>-1131.6516030800001</v>
      </c>
      <c r="E16">
        <f t="shared" si="1"/>
        <v>9.6727777645355673E-5</v>
      </c>
      <c r="F16">
        <f t="shared" si="2"/>
        <v>9.3562629682093685E-9</v>
      </c>
      <c r="G16">
        <f t="shared" si="3"/>
        <v>0.2092833137985346</v>
      </c>
      <c r="H16">
        <f t="shared" si="4"/>
        <v>-0.22672717026397371</v>
      </c>
      <c r="I16">
        <f t="shared" si="5"/>
        <v>5.1394877017343021E-2</v>
      </c>
      <c r="J16">
        <f t="shared" si="6"/>
        <v>0.14798565037613617</v>
      </c>
      <c r="K16">
        <f t="shared" si="7"/>
        <v>-0.27812204728131668</v>
      </c>
    </row>
    <row r="17" spans="2:12" x14ac:dyDescent="0.25">
      <c r="B17">
        <v>240</v>
      </c>
      <c r="C17">
        <f t="shared" si="0"/>
        <v>4.1887902047863905</v>
      </c>
      <c r="D17">
        <f>D11</f>
        <v>-1131.6516189399999</v>
      </c>
      <c r="E17">
        <f t="shared" si="1"/>
        <v>8.0867777796811424E-5</v>
      </c>
      <c r="F17">
        <f t="shared" si="2"/>
        <v>6.5395974857944668E-9</v>
      </c>
      <c r="G17">
        <f t="shared" si="3"/>
        <v>0.17496811080361735</v>
      </c>
      <c r="H17">
        <f t="shared" si="4"/>
        <v>-0.12372113764063718</v>
      </c>
      <c r="I17">
        <f t="shared" si="5"/>
        <v>-0.12372113764063687</v>
      </c>
      <c r="J17">
        <f t="shared" si="6"/>
        <v>0.24744227528127413</v>
      </c>
      <c r="K17">
        <f t="shared" si="7"/>
        <v>-0.12372113764063745</v>
      </c>
    </row>
    <row r="18" spans="2:12" x14ac:dyDescent="0.25">
      <c r="B18">
        <v>260</v>
      </c>
      <c r="C18">
        <f t="shared" si="0"/>
        <v>4.5378560551852569</v>
      </c>
      <c r="D18">
        <f>D10</f>
        <v>-1131.65203129</v>
      </c>
      <c r="E18">
        <f t="shared" si="1"/>
        <v>-3.3148222223644552E-4</v>
      </c>
      <c r="F18">
        <f t="shared" si="2"/>
        <v>1.0988046365881226E-7</v>
      </c>
      <c r="G18">
        <f t="shared" si="3"/>
        <v>-0.7172055393363681</v>
      </c>
      <c r="H18">
        <f t="shared" si="4"/>
        <v>0.17612818633899083</v>
      </c>
      <c r="I18">
        <f t="shared" si="5"/>
        <v>0.95311312355150757</v>
      </c>
      <c r="J18">
        <f t="shared" si="6"/>
        <v>-0.50714090036930104</v>
      </c>
      <c r="K18">
        <f t="shared" si="7"/>
        <v>-0.77698493721251682</v>
      </c>
    </row>
    <row r="19" spans="2:12" x14ac:dyDescent="0.25">
      <c r="B19">
        <v>280</v>
      </c>
      <c r="C19">
        <f t="shared" si="0"/>
        <v>4.8869219055841224</v>
      </c>
      <c r="D19">
        <f>D9</f>
        <v>-1131.6519990500001</v>
      </c>
      <c r="E19">
        <f t="shared" si="1"/>
        <v>-2.9924222235422349E-4</v>
      </c>
      <c r="F19">
        <f t="shared" si="2"/>
        <v>8.9545907639494529E-8</v>
      </c>
      <c r="G19">
        <f t="shared" si="3"/>
        <v>-0.64745004431244457</v>
      </c>
      <c r="H19">
        <f t="shared" si="4"/>
        <v>-0.15899793824147812</v>
      </c>
      <c r="I19">
        <f t="shared" si="5"/>
        <v>0.86041322916885699</v>
      </c>
      <c r="J19">
        <f t="shared" si="6"/>
        <v>0.45781631681285934</v>
      </c>
      <c r="K19">
        <f t="shared" si="7"/>
        <v>-0.70141529092737931</v>
      </c>
    </row>
    <row r="20" spans="2:12" x14ac:dyDescent="0.25">
      <c r="B20">
        <v>300</v>
      </c>
      <c r="C20">
        <f t="shared" si="0"/>
        <v>5.2359877559829888</v>
      </c>
      <c r="D20">
        <f>D8</f>
        <v>-1131.6513859900001</v>
      </c>
      <c r="E20">
        <f t="shared" si="1"/>
        <v>3.1381777762362617E-4</v>
      </c>
      <c r="F20">
        <f t="shared" si="2"/>
        <v>9.8481597552631693E-8</v>
      </c>
      <c r="G20">
        <f t="shared" si="3"/>
        <v>0.6789861819296904</v>
      </c>
      <c r="H20">
        <f t="shared" si="4"/>
        <v>0.48011573357444703</v>
      </c>
      <c r="I20">
        <f t="shared" si="5"/>
        <v>-0.48011573357444681</v>
      </c>
      <c r="J20">
        <f t="shared" si="6"/>
        <v>-0.96023146714889396</v>
      </c>
      <c r="K20">
        <f t="shared" si="7"/>
        <v>-0.48011573357444726</v>
      </c>
    </row>
    <row r="21" spans="2:12" x14ac:dyDescent="0.25">
      <c r="B21">
        <v>320</v>
      </c>
      <c r="C21">
        <f t="shared" si="0"/>
        <v>5.5850536063818543</v>
      </c>
      <c r="D21">
        <f>D7</f>
        <v>-1131.6509564200001</v>
      </c>
      <c r="E21">
        <f t="shared" si="1"/>
        <v>7.4338777767479769E-4</v>
      </c>
      <c r="F21">
        <f t="shared" si="2"/>
        <v>5.5262538799627442E-7</v>
      </c>
      <c r="G21">
        <f t="shared" si="3"/>
        <v>1.6084175749341221</v>
      </c>
      <c r="H21">
        <f t="shared" si="4"/>
        <v>1.7424798888587254</v>
      </c>
      <c r="I21">
        <f t="shared" si="5"/>
        <v>0.39498812378252196</v>
      </c>
      <c r="J21">
        <f t="shared" si="6"/>
        <v>-1.1373229742155433</v>
      </c>
      <c r="K21">
        <f t="shared" si="7"/>
        <v>-2.1374680126412504</v>
      </c>
    </row>
    <row r="22" spans="2:12" x14ac:dyDescent="0.25">
      <c r="B22">
        <v>340</v>
      </c>
      <c r="C22">
        <f t="shared" si="0"/>
        <v>5.9341194567807207</v>
      </c>
      <c r="D22">
        <f>D6</f>
        <v>-1131.65126616</v>
      </c>
      <c r="E22">
        <f t="shared" si="1"/>
        <v>4.3364777775423136E-4</v>
      </c>
      <c r="F22">
        <f t="shared" si="2"/>
        <v>1.8805039515118323E-7</v>
      </c>
      <c r="G22">
        <f t="shared" si="3"/>
        <v>0.93825420328090781</v>
      </c>
      <c r="H22">
        <f t="shared" si="4"/>
        <v>1.246870451114837</v>
      </c>
      <c r="I22">
        <f t="shared" si="5"/>
        <v>1.0164581047437953</v>
      </c>
      <c r="J22">
        <f t="shared" si="6"/>
        <v>0.66344590961671202</v>
      </c>
      <c r="K22">
        <f t="shared" si="7"/>
        <v>0.23041234637104271</v>
      </c>
    </row>
    <row r="24" spans="2:12" x14ac:dyDescent="0.25">
      <c r="B24" t="s">
        <v>4</v>
      </c>
      <c r="D24">
        <f>AVERAGE(D5:D22)</f>
        <v>-1131.6516998077777</v>
      </c>
      <c r="F24">
        <f>SQRT(AVERAGE(F5:F22))</f>
        <v>4.6218580874761054E-4</v>
      </c>
      <c r="G24" t="s">
        <v>10</v>
      </c>
      <c r="H24" s="4">
        <f t="shared" ref="H24:K24" si="8">AVERAGE(H5:H22)</f>
        <v>0.72616729120741608</v>
      </c>
      <c r="I24" s="4">
        <f t="shared" si="8"/>
        <v>-9.9057509574969182E-3</v>
      </c>
      <c r="J24" s="4">
        <f t="shared" si="8"/>
        <v>0.17045165901335776</v>
      </c>
      <c r="K24" s="4">
        <f t="shared" si="8"/>
        <v>-0.66465117346166769</v>
      </c>
    </row>
    <row r="25" spans="2:12" x14ac:dyDescent="0.25">
      <c r="B25" t="s">
        <v>5</v>
      </c>
      <c r="D25">
        <f>MIN(D4:D22)</f>
        <v>-1131.65272785</v>
      </c>
      <c r="F25" s="3">
        <f>F24*$A$1</f>
        <v>1.2134688408668515</v>
      </c>
      <c r="G25" s="4">
        <f>SUM(H25:K25)</f>
        <v>0.99823200916592592</v>
      </c>
      <c r="H25">
        <f t="shared" ref="H25:K25" si="9">H24^2</f>
        <v>0.52731893481951619</v>
      </c>
      <c r="I25">
        <f t="shared" si="9"/>
        <v>9.8123902031951109E-5</v>
      </c>
      <c r="J25">
        <f t="shared" si="9"/>
        <v>2.9053768060405986E-2</v>
      </c>
      <c r="K25">
        <f t="shared" si="9"/>
        <v>0.44176118238397188</v>
      </c>
    </row>
    <row r="26" spans="2:12" x14ac:dyDescent="0.25">
      <c r="B26" t="s">
        <v>6</v>
      </c>
      <c r="D26">
        <f>MAX(D5:D22)</f>
        <v>-1131.6509564200001</v>
      </c>
    </row>
    <row r="27" spans="2:12" x14ac:dyDescent="0.25">
      <c r="B27" t="s">
        <v>65</v>
      </c>
      <c r="D27" s="1">
        <f>D26-D25</f>
        <v>1.7714299999624927E-3</v>
      </c>
      <c r="G27" t="s">
        <v>61</v>
      </c>
      <c r="H27">
        <f>H24*$F$24</f>
        <v>3.3562421677276122E-4</v>
      </c>
      <c r="I27">
        <f t="shared" ref="I27:K27" si="10">I24*$F$24</f>
        <v>-4.5782975175431303E-6</v>
      </c>
      <c r="J27">
        <f t="shared" si="10"/>
        <v>7.8780337873460697E-5</v>
      </c>
      <c r="K27">
        <f t="shared" si="10"/>
        <v>-3.0719234014142926E-4</v>
      </c>
    </row>
    <row r="28" spans="2:12" x14ac:dyDescent="0.25">
      <c r="D28" s="3">
        <f>D27*$A$1</f>
        <v>4.6508894649015247</v>
      </c>
      <c r="H28">
        <f>$A$1*H27</f>
        <v>0.8811813811368846</v>
      </c>
      <c r="I28">
        <f t="shared" ref="I28:K28" si="11">$A$1*I27</f>
        <v>-1.2020320132309489E-2</v>
      </c>
      <c r="J28">
        <f t="shared" si="11"/>
        <v>0.20683777708677106</v>
      </c>
      <c r="K28">
        <f t="shared" si="11"/>
        <v>-0.80653348904132249</v>
      </c>
      <c r="L28" t="s">
        <v>57</v>
      </c>
    </row>
    <row r="31" spans="2:12" x14ac:dyDescent="0.25">
      <c r="F31">
        <f>F25/opt_angle_relax!F25</f>
        <v>1.7365244422745851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A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3" max="13" width="12" bestFit="1" customWidth="1"/>
  </cols>
  <sheetData>
    <row r="1" spans="1:27" ht="18.75" x14ac:dyDescent="0.3">
      <c r="A1" s="2">
        <v>2625.5</v>
      </c>
      <c r="R1" t="s">
        <v>15</v>
      </c>
      <c r="T1" t="s">
        <v>58</v>
      </c>
    </row>
    <row r="2" spans="1:27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16</v>
      </c>
      <c r="T2" t="s">
        <v>57</v>
      </c>
      <c r="U2" s="1" t="s">
        <v>62</v>
      </c>
      <c r="V2" s="1" t="s">
        <v>63</v>
      </c>
      <c r="X2" s="1" t="s">
        <v>64</v>
      </c>
      <c r="AA2" s="1" t="s">
        <v>59</v>
      </c>
    </row>
    <row r="3" spans="1:27" x14ac:dyDescent="0.25">
      <c r="F3">
        <f>SUM(F4:F22)</f>
        <v>1.2750990346888491E-6</v>
      </c>
      <c r="U3">
        <f>SUM(U5:U22)</f>
        <v>8.7895767396436675</v>
      </c>
      <c r="V3">
        <f>SUM(V5:V22)</f>
        <v>1.874197527399404E-2</v>
      </c>
      <c r="X3" s="7">
        <f>1-V3/U3</f>
        <v>0.99786770446073225</v>
      </c>
      <c r="AA3" s="1" t="s">
        <v>60</v>
      </c>
    </row>
    <row r="4" spans="1:27" x14ac:dyDescent="0.25">
      <c r="A4" t="s">
        <v>2</v>
      </c>
      <c r="B4" s="3">
        <v>-179.99417</v>
      </c>
      <c r="C4">
        <f>B4*PI()/180</f>
        <v>-3.1414909008944019</v>
      </c>
      <c r="D4">
        <v>-1131.6552481900001</v>
      </c>
      <c r="E4">
        <f>D4-$D$24</f>
        <v>-6.7026888905274973E-4</v>
      </c>
      <c r="Z4">
        <f>SUM(Z5:Z22)</f>
        <v>0</v>
      </c>
      <c r="AA4" s="6">
        <f>0.5*SQRT(Z4/F3)</f>
        <v>0</v>
      </c>
    </row>
    <row r="5" spans="1:27" x14ac:dyDescent="0.25">
      <c r="B5">
        <v>0</v>
      </c>
      <c r="C5">
        <f t="shared" ref="C5:C23" si="0">B5*PI()/180</f>
        <v>0</v>
      </c>
      <c r="D5">
        <v>-1131.6547563700001</v>
      </c>
      <c r="E5">
        <f t="shared" ref="E5:E22" si="1">D5-$D$24</f>
        <v>-1.7844888907347922E-4</v>
      </c>
      <c r="F5">
        <f t="shared" ref="F5:F22" si="2">E5^2</f>
        <v>3.1844006011558895E-8</v>
      </c>
      <c r="G5">
        <f t="shared" ref="G5:G22" si="3">E5/$F$24</f>
        <v>-0.67046813577537145</v>
      </c>
      <c r="H5">
        <f>COS(C5)*SQRT(2)*G5</f>
        <v>-0.94818513075253608</v>
      </c>
      <c r="I5">
        <f>SQRT(2)*COS(2*C5)*G5</f>
        <v>-0.94818513075253608</v>
      </c>
      <c r="J5">
        <f>COS(3*C5)*SQRT(2)*G5</f>
        <v>-0.94818513075253608</v>
      </c>
      <c r="K5">
        <f>COS(4*C5)*SQRT(2)*G5</f>
        <v>-0.94818513075253608</v>
      </c>
      <c r="M5">
        <f>H$28*(COS($C5)-COS($C$4))</f>
        <v>0.57173273063971142</v>
      </c>
      <c r="N5">
        <f>I$28*(COS(2*$C5)-COS(2*$C$4))</f>
        <v>-3.7118326540790931E-9</v>
      </c>
      <c r="O5">
        <f>J$28*(COS(3*$C5)-COS(3*$C$4))</f>
        <v>0.36238226876352259</v>
      </c>
      <c r="P5">
        <f>K$28*(COS(4*$C5)-COS(4*$C$4))</f>
        <v>-4.836705796085881E-8</v>
      </c>
      <c r="R5">
        <f t="shared" ref="R5:R22" si="4">SUM(M5:P5)*SQRT(2)</f>
        <v>1.3210380273215159</v>
      </c>
      <c r="T5">
        <f t="shared" ref="T5:T22" si="5">(D5-$D$25)*$A$1</f>
        <v>1.2912734099455747</v>
      </c>
      <c r="U5">
        <f>(E5*$A$1)^2</f>
        <v>0.21950870240017983</v>
      </c>
      <c r="V5">
        <f>(R5-T5)^2</f>
        <v>8.8593244753617845E-4</v>
      </c>
      <c r="Z5">
        <f>(D5-D5)^2</f>
        <v>0</v>
      </c>
    </row>
    <row r="6" spans="1:27" x14ac:dyDescent="0.25">
      <c r="B6">
        <v>20</v>
      </c>
      <c r="C6">
        <f t="shared" si="0"/>
        <v>0.3490658503988659</v>
      </c>
      <c r="D6">
        <v>-1131.65450442</v>
      </c>
      <c r="E6">
        <f t="shared" si="1"/>
        <v>7.3501111046425649E-5</v>
      </c>
      <c r="F6">
        <f t="shared" si="2"/>
        <v>5.4024133250589945E-9</v>
      </c>
      <c r="G6">
        <f t="shared" si="3"/>
        <v>0.2761583619633724</v>
      </c>
      <c r="H6">
        <f t="shared" ref="H6:H22" si="6">COS(C6)*SQRT(2)*G6</f>
        <v>0.36699404080080961</v>
      </c>
      <c r="I6">
        <f t="shared" ref="I6:I22" si="7">SQRT(2)*COS(2*C6)*G6</f>
        <v>0.29917628317450712</v>
      </c>
      <c r="J6">
        <f t="shared" ref="J6:J22" si="8">COS(3*C6)*SQRT(2)*G6</f>
        <v>0.19527345042566979</v>
      </c>
      <c r="K6">
        <f t="shared" ref="K6:K22" si="9">COS(4*C6)*SQRT(2)*G6</f>
        <v>6.7817757626302461E-2</v>
      </c>
      <c r="M6">
        <f t="shared" ref="M6:M23" si="10">H$28*(COS($C6)-COS($C$4))</f>
        <v>0.55449287929718916</v>
      </c>
      <c r="N6">
        <f t="shared" ref="N6:N23" si="11">I$28*(COS(2*$C6)-COS(2*$C$4))</f>
        <v>4.1937243026056309E-2</v>
      </c>
      <c r="O6">
        <f t="shared" ref="O6:O23" si="12">J$28*(COS(3*$C6)-COS(3*$C$4))</f>
        <v>0.27178669946216161</v>
      </c>
      <c r="P6">
        <f t="shared" ref="P6:P23" si="13">K$28*(COS(4*$C6)-COS(4*$C$4))</f>
        <v>0.48253941278296159</v>
      </c>
      <c r="R6">
        <f t="shared" si="4"/>
        <v>1.9102577863866006</v>
      </c>
      <c r="T6">
        <f t="shared" si="5"/>
        <v>1.952768135260385</v>
      </c>
      <c r="U6">
        <f t="shared" ref="U6:U22" si="14">(E6*$A$1)^2</f>
        <v>3.7240187003566246E-2</v>
      </c>
      <c r="V6">
        <f t="shared" ref="V6:V22" si="15">(R6-T6)^2</f>
        <v>1.8071297613708587E-3</v>
      </c>
      <c r="Z6">
        <f>(D6-D22)^2</f>
        <v>0</v>
      </c>
    </row>
    <row r="7" spans="1:27" x14ac:dyDescent="0.25">
      <c r="B7">
        <v>40</v>
      </c>
      <c r="C7">
        <f t="shared" si="0"/>
        <v>0.69813170079773179</v>
      </c>
      <c r="D7">
        <v>-1131.65422005</v>
      </c>
      <c r="E7">
        <f t="shared" si="1"/>
        <v>3.5787111096396984E-4</v>
      </c>
      <c r="F7">
        <f t="shared" si="2"/>
        <v>1.2807173206258601E-7</v>
      </c>
      <c r="G7">
        <f t="shared" si="3"/>
        <v>1.344593277445814</v>
      </c>
      <c r="H7">
        <f t="shared" si="6"/>
        <v>1.4566657198706212</v>
      </c>
      <c r="I7">
        <f t="shared" si="7"/>
        <v>0.33019931153803084</v>
      </c>
      <c r="J7">
        <f t="shared" si="8"/>
        <v>-0.95077102441977968</v>
      </c>
      <c r="K7">
        <f t="shared" si="9"/>
        <v>-1.7868650314086518</v>
      </c>
      <c r="M7">
        <f t="shared" si="10"/>
        <v>0.50485270577463859</v>
      </c>
      <c r="N7">
        <f t="shared" si="11"/>
        <v>0.14812607941048389</v>
      </c>
      <c r="O7">
        <f t="shared" si="12"/>
        <v>9.0595560859439567E-2</v>
      </c>
      <c r="P7">
        <f t="shared" si="13"/>
        <v>1.1326630700951481</v>
      </c>
      <c r="R7">
        <f t="shared" si="4"/>
        <v>2.6534004001366309</v>
      </c>
      <c r="T7">
        <f t="shared" si="5"/>
        <v>2.6993815700438972</v>
      </c>
      <c r="U7">
        <f t="shared" si="14"/>
        <v>0.88283049905835409</v>
      </c>
      <c r="V7">
        <f t="shared" si="15"/>
        <v>2.1142679860408926E-3</v>
      </c>
      <c r="Z7">
        <f>(D7-D21)^2</f>
        <v>0</v>
      </c>
    </row>
    <row r="8" spans="1:27" x14ac:dyDescent="0.25">
      <c r="B8">
        <v>60</v>
      </c>
      <c r="C8">
        <f t="shared" si="0"/>
        <v>1.0471975511965976</v>
      </c>
      <c r="D8">
        <v>-1131.65440831</v>
      </c>
      <c r="E8">
        <f t="shared" si="1"/>
        <v>1.6961111100499693E-4</v>
      </c>
      <c r="F8">
        <f t="shared" si="2"/>
        <v>2.8767928976349391E-8</v>
      </c>
      <c r="G8">
        <f t="shared" si="3"/>
        <v>0.63726283751469193</v>
      </c>
      <c r="H8">
        <f t="shared" si="6"/>
        <v>0.45061287380481974</v>
      </c>
      <c r="I8">
        <f t="shared" si="7"/>
        <v>-0.45061287380481946</v>
      </c>
      <c r="J8">
        <f t="shared" si="8"/>
        <v>-0.90122574760963936</v>
      </c>
      <c r="K8">
        <f t="shared" si="9"/>
        <v>-0.45061287380482012</v>
      </c>
      <c r="M8">
        <f t="shared" si="10"/>
        <v>0.42879954760981503</v>
      </c>
      <c r="N8">
        <f t="shared" si="11"/>
        <v>0.26887956873971713</v>
      </c>
      <c r="O8">
        <f t="shared" si="12"/>
        <v>-8.4419214900289914E-9</v>
      </c>
      <c r="P8">
        <f t="shared" si="13"/>
        <v>0.87590918564597109</v>
      </c>
      <c r="R8">
        <f t="shared" si="4"/>
        <v>2.2253899063350109</v>
      </c>
      <c r="T8">
        <f t="shared" si="5"/>
        <v>2.2051049401516138</v>
      </c>
      <c r="U8">
        <f t="shared" si="14"/>
        <v>0.19830453360820269</v>
      </c>
      <c r="V8">
        <f t="shared" si="15"/>
        <v>4.114798530615613E-4</v>
      </c>
      <c r="Z8">
        <f>(D8-D20)^2</f>
        <v>0</v>
      </c>
    </row>
    <row r="9" spans="1:27" x14ac:dyDescent="0.25">
      <c r="B9">
        <v>80</v>
      </c>
      <c r="C9">
        <f t="shared" si="0"/>
        <v>1.3962634015954636</v>
      </c>
      <c r="D9">
        <v>-1131.6547462000001</v>
      </c>
      <c r="E9">
        <f t="shared" si="1"/>
        <v>-1.682788890775555E-4</v>
      </c>
      <c r="F9">
        <f t="shared" si="2"/>
        <v>2.8317784509176231E-8</v>
      </c>
      <c r="G9">
        <f t="shared" si="3"/>
        <v>-0.63225741351475362</v>
      </c>
      <c r="H9">
        <f t="shared" si="6"/>
        <v>-0.15526699869715882</v>
      </c>
      <c r="I9">
        <f t="shared" si="7"/>
        <v>0.84022334635234819</v>
      </c>
      <c r="J9">
        <f t="shared" si="8"/>
        <v>0.44707350455174982</v>
      </c>
      <c r="K9">
        <f t="shared" si="9"/>
        <v>-0.68495634765518931</v>
      </c>
      <c r="M9">
        <f t="shared" si="10"/>
        <v>0.33550653810246917</v>
      </c>
      <c r="N9">
        <f t="shared" si="11"/>
        <v>0.34769581133106148</v>
      </c>
      <c r="O9">
        <f t="shared" si="12"/>
        <v>9.0595560859439456E-2</v>
      </c>
      <c r="P9">
        <f t="shared" si="13"/>
        <v>0.13661584004677385</v>
      </c>
      <c r="R9">
        <f t="shared" si="4"/>
        <v>1.287519473101419</v>
      </c>
      <c r="T9">
        <f t="shared" si="5"/>
        <v>1.3179747449348724</v>
      </c>
      <c r="U9">
        <f t="shared" si="14"/>
        <v>0.19520157514732517</v>
      </c>
      <c r="V9">
        <f t="shared" si="15"/>
        <v>9.2752358244954148E-4</v>
      </c>
      <c r="Z9">
        <f>(D9-D19)^2</f>
        <v>0</v>
      </c>
    </row>
    <row r="10" spans="1:27" x14ac:dyDescent="0.25">
      <c r="B10">
        <v>100</v>
      </c>
      <c r="C10">
        <f t="shared" si="0"/>
        <v>1.7453292519943295</v>
      </c>
      <c r="D10">
        <v>-1131.6546973300001</v>
      </c>
      <c r="E10">
        <f t="shared" si="1"/>
        <v>-1.1940888907702174E-4</v>
      </c>
      <c r="F10">
        <f t="shared" si="2"/>
        <v>1.4258482790608482E-8</v>
      </c>
      <c r="G10">
        <f t="shared" si="3"/>
        <v>-0.44864305779742308</v>
      </c>
      <c r="H10">
        <f t="shared" si="6"/>
        <v>0.11017579166574105</v>
      </c>
      <c r="I10">
        <f t="shared" si="7"/>
        <v>0.59621344611011751</v>
      </c>
      <c r="J10">
        <f t="shared" si="8"/>
        <v>-0.31723854850082611</v>
      </c>
      <c r="K10">
        <f t="shared" si="9"/>
        <v>-0.48603765444437647</v>
      </c>
      <c r="M10">
        <f t="shared" si="10"/>
        <v>0.23622619105736778</v>
      </c>
      <c r="N10">
        <f t="shared" si="11"/>
        <v>0.34769581133106153</v>
      </c>
      <c r="O10">
        <f t="shared" si="12"/>
        <v>0.27178669946216161</v>
      </c>
      <c r="P10">
        <f t="shared" si="13"/>
        <v>0.13661584004677366</v>
      </c>
      <c r="R10">
        <f t="shared" si="4"/>
        <v>1.4033588254269216</v>
      </c>
      <c r="T10">
        <f t="shared" si="5"/>
        <v>1.4462829299362738</v>
      </c>
      <c r="U10">
        <f t="shared" si="14"/>
        <v>9.8287290060982621E-2</v>
      </c>
      <c r="V10">
        <f t="shared" si="15"/>
        <v>1.8424787479297939E-3</v>
      </c>
      <c r="Z10">
        <f>(D10-D18)^2</f>
        <v>0</v>
      </c>
    </row>
    <row r="11" spans="1:27" x14ac:dyDescent="0.25">
      <c r="B11">
        <v>120</v>
      </c>
      <c r="C11">
        <f t="shared" si="0"/>
        <v>2.0943951023931953</v>
      </c>
      <c r="D11">
        <v>-1131.6543618200001</v>
      </c>
      <c r="E11">
        <f t="shared" si="1"/>
        <v>2.161011109365063E-4</v>
      </c>
      <c r="F11">
        <f t="shared" si="2"/>
        <v>4.6699690147992202E-8</v>
      </c>
      <c r="G11">
        <f t="shared" si="3"/>
        <v>0.81193505737615301</v>
      </c>
      <c r="H11">
        <f t="shared" si="6"/>
        <v>-0.57412478495376607</v>
      </c>
      <c r="I11">
        <f t="shared" si="7"/>
        <v>-0.57412478495376695</v>
      </c>
      <c r="J11">
        <f t="shared" si="8"/>
        <v>1.1482495699075328</v>
      </c>
      <c r="K11">
        <f t="shared" si="9"/>
        <v>-0.57412478495376551</v>
      </c>
      <c r="M11">
        <f t="shared" si="10"/>
        <v>0.14293318155002199</v>
      </c>
      <c r="N11">
        <f t="shared" si="11"/>
        <v>0.26887956873971725</v>
      </c>
      <c r="O11">
        <f t="shared" si="12"/>
        <v>0.36238226876352259</v>
      </c>
      <c r="P11">
        <f t="shared" si="13"/>
        <v>0.8759091856459702</v>
      </c>
      <c r="R11">
        <f t="shared" si="4"/>
        <v>2.3335997456145239</v>
      </c>
      <c r="T11">
        <f t="shared" si="5"/>
        <v>2.3271644349717917</v>
      </c>
      <c r="U11">
        <f t="shared" si="14"/>
        <v>0.32191265078756981</v>
      </c>
      <c r="V11">
        <f t="shared" si="15"/>
        <v>4.1413223068461968E-5</v>
      </c>
      <c r="Z11">
        <f>(D11-D17)^2</f>
        <v>0</v>
      </c>
    </row>
    <row r="12" spans="1:27" x14ac:dyDescent="0.25">
      <c r="B12">
        <v>140</v>
      </c>
      <c r="C12">
        <f t="shared" si="0"/>
        <v>2.4434609527920612</v>
      </c>
      <c r="D12">
        <v>-1131.6543658999999</v>
      </c>
      <c r="E12">
        <f t="shared" si="1"/>
        <v>2.1202111111051636E-4</v>
      </c>
      <c r="F12">
        <f t="shared" si="2"/>
        <v>4.4952951556537922E-8</v>
      </c>
      <c r="G12">
        <f t="shared" si="3"/>
        <v>0.79660568272160459</v>
      </c>
      <c r="H12">
        <f t="shared" si="6"/>
        <v>-0.86300311755162451</v>
      </c>
      <c r="I12">
        <f t="shared" si="7"/>
        <v>0.19562692482117991</v>
      </c>
      <c r="J12">
        <f t="shared" si="8"/>
        <v>0.56328528018418667</v>
      </c>
      <c r="K12">
        <f t="shared" si="9"/>
        <v>-1.0586300423728052</v>
      </c>
      <c r="M12">
        <f t="shared" si="10"/>
        <v>6.6880023385198412E-2</v>
      </c>
      <c r="N12">
        <f t="shared" si="11"/>
        <v>0.14812607941048397</v>
      </c>
      <c r="O12">
        <f t="shared" si="12"/>
        <v>0.27178669946216166</v>
      </c>
      <c r="P12">
        <f t="shared" si="13"/>
        <v>1.1326630700951481</v>
      </c>
      <c r="R12">
        <f t="shared" si="4"/>
        <v>2.2902564583463536</v>
      </c>
      <c r="T12">
        <f t="shared" si="5"/>
        <v>2.3164523954286551</v>
      </c>
      <c r="U12">
        <f t="shared" si="14"/>
        <v>0.30987194455534295</v>
      </c>
      <c r="V12">
        <f t="shared" si="15"/>
        <v>6.8622711961989892E-4</v>
      </c>
      <c r="Z12">
        <f>(D12-D16)^2</f>
        <v>0</v>
      </c>
    </row>
    <row r="13" spans="1:27" x14ac:dyDescent="0.25">
      <c r="B13">
        <v>160</v>
      </c>
      <c r="C13">
        <f t="shared" si="0"/>
        <v>2.7925268031909272</v>
      </c>
      <c r="D13">
        <v>-1131.6548949800001</v>
      </c>
      <c r="E13">
        <f t="shared" si="1"/>
        <v>-3.1705888909527857E-4</v>
      </c>
      <c r="F13">
        <f t="shared" si="2"/>
        <v>1.0052633915433216E-7</v>
      </c>
      <c r="G13">
        <f t="shared" si="3"/>
        <v>-1.1912536043594493</v>
      </c>
      <c r="H13">
        <f t="shared" si="6"/>
        <v>1.5830879455331788</v>
      </c>
      <c r="I13">
        <f t="shared" si="7"/>
        <v>-1.2905451174343376</v>
      </c>
      <c r="J13">
        <f t="shared" si="8"/>
        <v>0.84234350175548189</v>
      </c>
      <c r="K13">
        <f t="shared" si="9"/>
        <v>-0.29254282809883975</v>
      </c>
      <c r="M13">
        <f t="shared" si="10"/>
        <v>1.7239849862647701E-2</v>
      </c>
      <c r="N13">
        <f t="shared" si="11"/>
        <v>4.1937243026056344E-2</v>
      </c>
      <c r="O13">
        <f t="shared" si="12"/>
        <v>9.0595560859439678E-2</v>
      </c>
      <c r="P13">
        <f t="shared" si="13"/>
        <v>0.48253941278296197</v>
      </c>
      <c r="R13">
        <f t="shared" si="4"/>
        <v>0.89422430014044851</v>
      </c>
      <c r="T13">
        <f t="shared" si="5"/>
        <v>0.92735285488834052</v>
      </c>
      <c r="U13">
        <f t="shared" si="14"/>
        <v>0.69295321250718489</v>
      </c>
      <c r="V13">
        <f t="shared" si="15"/>
        <v>1.0975011396840777E-3</v>
      </c>
      <c r="Z13">
        <f>(D13-D15)^2</f>
        <v>0</v>
      </c>
    </row>
    <row r="14" spans="1:27" x14ac:dyDescent="0.25">
      <c r="B14">
        <v>180</v>
      </c>
      <c r="C14">
        <f t="shared" si="0"/>
        <v>3.1415926535897931</v>
      </c>
      <c r="D14">
        <f>D4</f>
        <v>-1131.6552481900001</v>
      </c>
      <c r="E14">
        <f t="shared" si="1"/>
        <v>-6.7026888905274973E-4</v>
      </c>
      <c r="F14">
        <f t="shared" si="2"/>
        <v>4.4926038363200733E-7</v>
      </c>
      <c r="G14">
        <f t="shared" si="3"/>
        <v>-2.5183341563218202</v>
      </c>
      <c r="H14">
        <f t="shared" si="6"/>
        <v>3.5614623184577243</v>
      </c>
      <c r="I14">
        <f t="shared" si="7"/>
        <v>-3.5614623184577243</v>
      </c>
      <c r="J14">
        <f t="shared" si="8"/>
        <v>3.5614623184577243</v>
      </c>
      <c r="K14">
        <f t="shared" si="9"/>
        <v>-3.5614623184577243</v>
      </c>
      <c r="M14">
        <f t="shared" si="10"/>
        <v>-1.4798745874600188E-9</v>
      </c>
      <c r="N14">
        <f t="shared" si="11"/>
        <v>-3.7118326540790931E-9</v>
      </c>
      <c r="O14">
        <f t="shared" si="12"/>
        <v>-8.4419214900289914E-9</v>
      </c>
      <c r="P14">
        <f t="shared" si="13"/>
        <v>-4.836705796085881E-8</v>
      </c>
      <c r="R14">
        <f t="shared" si="4"/>
        <v>-8.7682211996875208E-8</v>
      </c>
      <c r="T14">
        <f t="shared" si="5"/>
        <v>0</v>
      </c>
      <c r="U14">
        <f t="shared" si="14"/>
        <v>3.0968642517864304</v>
      </c>
      <c r="V14">
        <f t="shared" si="15"/>
        <v>7.6881703006649667E-15</v>
      </c>
      <c r="Z14">
        <f>(D14-D14)^2</f>
        <v>0</v>
      </c>
    </row>
    <row r="15" spans="1:27" x14ac:dyDescent="0.25">
      <c r="B15">
        <f>200-360</f>
        <v>-160</v>
      </c>
      <c r="C15">
        <f t="shared" si="0"/>
        <v>-2.7925268031909272</v>
      </c>
      <c r="D15">
        <f>D13</f>
        <v>-1131.6548949800001</v>
      </c>
      <c r="E15">
        <f t="shared" si="1"/>
        <v>-3.1705888909527857E-4</v>
      </c>
      <c r="F15">
        <f t="shared" si="2"/>
        <v>1.0052633915433216E-7</v>
      </c>
      <c r="G15">
        <f t="shared" si="3"/>
        <v>-1.1912536043594493</v>
      </c>
      <c r="H15">
        <f t="shared" si="6"/>
        <v>1.5830879455331788</v>
      </c>
      <c r="I15">
        <f t="shared" si="7"/>
        <v>-1.2905451174343376</v>
      </c>
      <c r="J15">
        <f t="shared" si="8"/>
        <v>0.84234350175548189</v>
      </c>
      <c r="K15">
        <f t="shared" si="9"/>
        <v>-0.29254282809883975</v>
      </c>
      <c r="M15">
        <f t="shared" si="10"/>
        <v>1.7239849862647701E-2</v>
      </c>
      <c r="N15">
        <f t="shared" si="11"/>
        <v>4.1937243026056344E-2</v>
      </c>
      <c r="O15">
        <f t="shared" si="12"/>
        <v>9.0595560859439678E-2</v>
      </c>
      <c r="P15">
        <f t="shared" si="13"/>
        <v>0.48253941278296197</v>
      </c>
      <c r="R15">
        <f t="shared" si="4"/>
        <v>0.89422430014044851</v>
      </c>
      <c r="T15">
        <f t="shared" si="5"/>
        <v>0.92735285488834052</v>
      </c>
      <c r="U15">
        <f t="shared" si="14"/>
        <v>0.69295321250718489</v>
      </c>
      <c r="V15">
        <f t="shared" si="15"/>
        <v>1.0975011396840777E-3</v>
      </c>
      <c r="Z15">
        <f>(D15-D13)^2</f>
        <v>0</v>
      </c>
    </row>
    <row r="16" spans="1:27" x14ac:dyDescent="0.25">
      <c r="B16">
        <f>220-360</f>
        <v>-140</v>
      </c>
      <c r="C16">
        <f t="shared" si="0"/>
        <v>-2.4434609527920612</v>
      </c>
      <c r="D16">
        <f>D12</f>
        <v>-1131.6543658999999</v>
      </c>
      <c r="E16">
        <f t="shared" si="1"/>
        <v>2.1202111111051636E-4</v>
      </c>
      <c r="F16">
        <f t="shared" si="2"/>
        <v>4.4952951556537922E-8</v>
      </c>
      <c r="G16">
        <f t="shared" si="3"/>
        <v>0.79660568272160459</v>
      </c>
      <c r="H16">
        <f t="shared" si="6"/>
        <v>-0.86300311755162451</v>
      </c>
      <c r="I16">
        <f t="shared" si="7"/>
        <v>0.19562692482117991</v>
      </c>
      <c r="J16">
        <f t="shared" si="8"/>
        <v>0.56328528018418667</v>
      </c>
      <c r="K16">
        <f t="shared" si="9"/>
        <v>-1.0586300423728052</v>
      </c>
      <c r="M16">
        <f t="shared" si="10"/>
        <v>6.6880023385198412E-2</v>
      </c>
      <c r="N16">
        <f t="shared" si="11"/>
        <v>0.14812607941048397</v>
      </c>
      <c r="O16">
        <f t="shared" si="12"/>
        <v>0.27178669946216166</v>
      </c>
      <c r="P16">
        <f t="shared" si="13"/>
        <v>1.1326630700951481</v>
      </c>
      <c r="R16">
        <f t="shared" si="4"/>
        <v>2.2902564583463536</v>
      </c>
      <c r="T16">
        <f t="shared" si="5"/>
        <v>2.3164523954286551</v>
      </c>
      <c r="U16">
        <f t="shared" si="14"/>
        <v>0.30987194455534295</v>
      </c>
      <c r="V16">
        <f t="shared" si="15"/>
        <v>6.8622711961989892E-4</v>
      </c>
      <c r="Z16">
        <f>(D16-D12)^2</f>
        <v>0</v>
      </c>
    </row>
    <row r="17" spans="2:26" x14ac:dyDescent="0.25">
      <c r="B17">
        <f>240-360</f>
        <v>-120</v>
      </c>
      <c r="C17">
        <f t="shared" si="0"/>
        <v>-2.0943951023931953</v>
      </c>
      <c r="D17">
        <f>D11</f>
        <v>-1131.6543618200001</v>
      </c>
      <c r="E17">
        <f t="shared" si="1"/>
        <v>2.161011109365063E-4</v>
      </c>
      <c r="F17">
        <f t="shared" si="2"/>
        <v>4.6699690147992202E-8</v>
      </c>
      <c r="G17">
        <f t="shared" si="3"/>
        <v>0.81193505737615301</v>
      </c>
      <c r="H17">
        <f t="shared" si="6"/>
        <v>-0.57412478495376607</v>
      </c>
      <c r="I17">
        <f t="shared" si="7"/>
        <v>-0.57412478495376695</v>
      </c>
      <c r="J17">
        <f t="shared" si="8"/>
        <v>1.1482495699075328</v>
      </c>
      <c r="K17">
        <f t="shared" si="9"/>
        <v>-0.57412478495376551</v>
      </c>
      <c r="M17">
        <f t="shared" si="10"/>
        <v>0.14293318155002199</v>
      </c>
      <c r="N17">
        <f t="shared" si="11"/>
        <v>0.26887956873971725</v>
      </c>
      <c r="O17">
        <f t="shared" si="12"/>
        <v>0.36238226876352259</v>
      </c>
      <c r="P17">
        <f t="shared" si="13"/>
        <v>0.8759091856459702</v>
      </c>
      <c r="R17">
        <f t="shared" si="4"/>
        <v>2.3335997456145239</v>
      </c>
      <c r="T17">
        <f t="shared" si="5"/>
        <v>2.3271644349717917</v>
      </c>
      <c r="U17">
        <f t="shared" si="14"/>
        <v>0.32191265078756981</v>
      </c>
      <c r="V17">
        <f t="shared" si="15"/>
        <v>4.1413223068461968E-5</v>
      </c>
      <c r="Z17">
        <f>(D17-D11)^2</f>
        <v>0</v>
      </c>
    </row>
    <row r="18" spans="2:26" x14ac:dyDescent="0.25">
      <c r="B18">
        <f>260-360</f>
        <v>-100</v>
      </c>
      <c r="C18">
        <f t="shared" si="0"/>
        <v>-1.7453292519943295</v>
      </c>
      <c r="D18">
        <f>D10</f>
        <v>-1131.6546973300001</v>
      </c>
      <c r="E18">
        <f t="shared" si="1"/>
        <v>-1.1940888907702174E-4</v>
      </c>
      <c r="F18">
        <f t="shared" si="2"/>
        <v>1.4258482790608482E-8</v>
      </c>
      <c r="G18">
        <f t="shared" si="3"/>
        <v>-0.44864305779742308</v>
      </c>
      <c r="H18">
        <f t="shared" si="6"/>
        <v>0.11017579166574105</v>
      </c>
      <c r="I18">
        <f t="shared" si="7"/>
        <v>0.59621344611011751</v>
      </c>
      <c r="J18">
        <f t="shared" si="8"/>
        <v>-0.31723854850082611</v>
      </c>
      <c r="K18">
        <f t="shared" si="9"/>
        <v>-0.48603765444437647</v>
      </c>
      <c r="M18">
        <f t="shared" si="10"/>
        <v>0.23622619105736778</v>
      </c>
      <c r="N18">
        <f t="shared" si="11"/>
        <v>0.34769581133106153</v>
      </c>
      <c r="O18">
        <f t="shared" si="12"/>
        <v>0.27178669946216161</v>
      </c>
      <c r="P18">
        <f t="shared" si="13"/>
        <v>0.13661584004677366</v>
      </c>
      <c r="R18">
        <f t="shared" si="4"/>
        <v>1.4033588254269216</v>
      </c>
      <c r="T18">
        <f t="shared" si="5"/>
        <v>1.4462829299362738</v>
      </c>
      <c r="U18">
        <f t="shared" si="14"/>
        <v>9.8287290060982621E-2</v>
      </c>
      <c r="V18">
        <f t="shared" si="15"/>
        <v>1.8424787479297939E-3</v>
      </c>
      <c r="Z18">
        <f>(D18-D10)^2</f>
        <v>0</v>
      </c>
    </row>
    <row r="19" spans="2:26" x14ac:dyDescent="0.25">
      <c r="B19">
        <f>280-360</f>
        <v>-80</v>
      </c>
      <c r="C19">
        <f t="shared" si="0"/>
        <v>-1.3962634015954636</v>
      </c>
      <c r="D19">
        <f>D9</f>
        <v>-1131.6547462000001</v>
      </c>
      <c r="E19">
        <f t="shared" si="1"/>
        <v>-1.682788890775555E-4</v>
      </c>
      <c r="F19">
        <f t="shared" si="2"/>
        <v>2.8317784509176231E-8</v>
      </c>
      <c r="G19">
        <f t="shared" si="3"/>
        <v>-0.63225741351475362</v>
      </c>
      <c r="H19">
        <f t="shared" si="6"/>
        <v>-0.15526699869715882</v>
      </c>
      <c r="I19">
        <f t="shared" si="7"/>
        <v>0.84022334635234819</v>
      </c>
      <c r="J19">
        <f t="shared" si="8"/>
        <v>0.44707350455174982</v>
      </c>
      <c r="K19">
        <f t="shared" si="9"/>
        <v>-0.68495634765518931</v>
      </c>
      <c r="M19">
        <f t="shared" si="10"/>
        <v>0.33550653810246917</v>
      </c>
      <c r="N19">
        <f t="shared" si="11"/>
        <v>0.34769581133106148</v>
      </c>
      <c r="O19">
        <f t="shared" si="12"/>
        <v>9.0595560859439456E-2</v>
      </c>
      <c r="P19">
        <f t="shared" si="13"/>
        <v>0.13661584004677385</v>
      </c>
      <c r="R19">
        <f t="shared" si="4"/>
        <v>1.287519473101419</v>
      </c>
      <c r="T19">
        <f t="shared" si="5"/>
        <v>1.3179747449348724</v>
      </c>
      <c r="U19">
        <f t="shared" si="14"/>
        <v>0.19520157514732517</v>
      </c>
      <c r="V19">
        <f t="shared" si="15"/>
        <v>9.2752358244954148E-4</v>
      </c>
      <c r="Z19">
        <f>(D19-D9)^2</f>
        <v>0</v>
      </c>
    </row>
    <row r="20" spans="2:26" x14ac:dyDescent="0.25">
      <c r="B20">
        <f>300-360</f>
        <v>-60</v>
      </c>
      <c r="C20">
        <f t="shared" si="0"/>
        <v>-1.0471975511965976</v>
      </c>
      <c r="D20">
        <f>D8</f>
        <v>-1131.65440831</v>
      </c>
      <c r="E20">
        <f t="shared" si="1"/>
        <v>1.6961111100499693E-4</v>
      </c>
      <c r="F20">
        <f t="shared" si="2"/>
        <v>2.8767928976349391E-8</v>
      </c>
      <c r="G20">
        <f t="shared" si="3"/>
        <v>0.63726283751469193</v>
      </c>
      <c r="H20">
        <f t="shared" si="6"/>
        <v>0.45061287380481974</v>
      </c>
      <c r="I20">
        <f t="shared" si="7"/>
        <v>-0.45061287380481946</v>
      </c>
      <c r="J20">
        <f t="shared" si="8"/>
        <v>-0.90122574760963936</v>
      </c>
      <c r="K20">
        <f t="shared" si="9"/>
        <v>-0.45061287380482012</v>
      </c>
      <c r="M20">
        <f t="shared" si="10"/>
        <v>0.42879954760981503</v>
      </c>
      <c r="N20">
        <f t="shared" si="11"/>
        <v>0.26887956873971713</v>
      </c>
      <c r="O20">
        <f t="shared" si="12"/>
        <v>-8.4419214900289914E-9</v>
      </c>
      <c r="P20">
        <f t="shared" si="13"/>
        <v>0.87590918564597109</v>
      </c>
      <c r="R20">
        <f t="shared" si="4"/>
        <v>2.2253899063350109</v>
      </c>
      <c r="T20">
        <f t="shared" si="5"/>
        <v>2.2051049401516138</v>
      </c>
      <c r="U20">
        <f t="shared" si="14"/>
        <v>0.19830453360820269</v>
      </c>
      <c r="V20">
        <f t="shared" si="15"/>
        <v>4.114798530615613E-4</v>
      </c>
      <c r="Z20">
        <f>(D20-D8)^2</f>
        <v>0</v>
      </c>
    </row>
    <row r="21" spans="2:26" x14ac:dyDescent="0.25">
      <c r="B21">
        <f>320-360</f>
        <v>-40</v>
      </c>
      <c r="C21">
        <f t="shared" si="0"/>
        <v>-0.69813170079773179</v>
      </c>
      <c r="D21">
        <f>D7</f>
        <v>-1131.65422005</v>
      </c>
      <c r="E21">
        <f t="shared" si="1"/>
        <v>3.5787111096396984E-4</v>
      </c>
      <c r="F21">
        <f t="shared" si="2"/>
        <v>1.2807173206258601E-7</v>
      </c>
      <c r="G21">
        <f t="shared" si="3"/>
        <v>1.344593277445814</v>
      </c>
      <c r="H21">
        <f t="shared" si="6"/>
        <v>1.4566657198706212</v>
      </c>
      <c r="I21">
        <f t="shared" si="7"/>
        <v>0.33019931153803084</v>
      </c>
      <c r="J21">
        <f t="shared" si="8"/>
        <v>-0.95077102441977968</v>
      </c>
      <c r="K21">
        <f t="shared" si="9"/>
        <v>-1.7868650314086518</v>
      </c>
      <c r="M21">
        <f t="shared" si="10"/>
        <v>0.50485270577463859</v>
      </c>
      <c r="N21">
        <f t="shared" si="11"/>
        <v>0.14812607941048389</v>
      </c>
      <c r="O21">
        <f t="shared" si="12"/>
        <v>9.0595560859439567E-2</v>
      </c>
      <c r="P21">
        <f t="shared" si="13"/>
        <v>1.1326630700951481</v>
      </c>
      <c r="R21">
        <f t="shared" si="4"/>
        <v>2.6534004001366309</v>
      </c>
      <c r="T21">
        <f t="shared" si="5"/>
        <v>2.6993815700438972</v>
      </c>
      <c r="U21">
        <f t="shared" si="14"/>
        <v>0.88283049905835409</v>
      </c>
      <c r="V21">
        <f t="shared" si="15"/>
        <v>2.1142679860408926E-3</v>
      </c>
      <c r="Z21">
        <f>(D21-D7)^2</f>
        <v>0</v>
      </c>
    </row>
    <row r="22" spans="2:26" x14ac:dyDescent="0.25">
      <c r="B22">
        <f>340-360</f>
        <v>-20</v>
      </c>
      <c r="C22">
        <f t="shared" si="0"/>
        <v>-0.3490658503988659</v>
      </c>
      <c r="D22">
        <f>D6</f>
        <v>-1131.65450442</v>
      </c>
      <c r="E22">
        <f t="shared" si="1"/>
        <v>7.3501111046425649E-5</v>
      </c>
      <c r="F22">
        <f t="shared" si="2"/>
        <v>5.4024133250589945E-9</v>
      </c>
      <c r="G22">
        <f t="shared" si="3"/>
        <v>0.2761583619633724</v>
      </c>
      <c r="H22">
        <f t="shared" si="6"/>
        <v>0.36699404080080961</v>
      </c>
      <c r="I22">
        <f t="shared" si="7"/>
        <v>0.29917628317450712</v>
      </c>
      <c r="J22">
        <f t="shared" si="8"/>
        <v>0.19527345042566979</v>
      </c>
      <c r="K22">
        <f t="shared" si="9"/>
        <v>6.7817757626302461E-2</v>
      </c>
      <c r="M22">
        <f t="shared" si="10"/>
        <v>0.55449287929718916</v>
      </c>
      <c r="N22">
        <f t="shared" si="11"/>
        <v>4.1937243026056309E-2</v>
      </c>
      <c r="O22">
        <f t="shared" si="12"/>
        <v>0.27178669946216161</v>
      </c>
      <c r="P22">
        <f t="shared" si="13"/>
        <v>0.48253941278296159</v>
      </c>
      <c r="R22">
        <f t="shared" si="4"/>
        <v>1.9102577863866006</v>
      </c>
      <c r="T22">
        <f t="shared" si="5"/>
        <v>1.952768135260385</v>
      </c>
      <c r="U22">
        <f t="shared" si="14"/>
        <v>3.7240187003566246E-2</v>
      </c>
      <c r="V22">
        <f t="shared" si="15"/>
        <v>1.8071297613708587E-3</v>
      </c>
      <c r="Z22">
        <f>(D22-D6)^2</f>
        <v>0</v>
      </c>
    </row>
    <row r="23" spans="2:26" x14ac:dyDescent="0.25">
      <c r="B23">
        <f>-180</f>
        <v>-180</v>
      </c>
      <c r="C23">
        <f t="shared" si="0"/>
        <v>-3.1415926535897931</v>
      </c>
      <c r="M23">
        <f t="shared" si="10"/>
        <v>-1.4798745874600188E-9</v>
      </c>
      <c r="N23">
        <f t="shared" si="11"/>
        <v>-3.7118326540790931E-9</v>
      </c>
      <c r="O23">
        <f t="shared" si="12"/>
        <v>-8.4419214900289914E-9</v>
      </c>
      <c r="P23">
        <f t="shared" si="13"/>
        <v>-4.836705796085881E-8</v>
      </c>
      <c r="R23">
        <f t="shared" ref="R23:T23" si="16">R14</f>
        <v>-8.7682211996875208E-8</v>
      </c>
      <c r="T23">
        <f t="shared" si="16"/>
        <v>0</v>
      </c>
    </row>
    <row r="24" spans="2:26" x14ac:dyDescent="0.25">
      <c r="B24" t="s">
        <v>4</v>
      </c>
      <c r="D24">
        <f>AVERAGE(D5:D22)</f>
        <v>-1131.654577921111</v>
      </c>
      <c r="F24">
        <f>SQRT(AVERAGE(F5:F22))</f>
        <v>2.6615565983178265E-4</v>
      </c>
      <c r="G24" t="s">
        <v>10</v>
      </c>
      <c r="H24" s="4">
        <f t="shared" ref="H24:K24" si="17">AVERAGE(H5:H22)</f>
        <v>0.40908667381391278</v>
      </c>
      <c r="I24" s="4">
        <f t="shared" si="17"/>
        <v>-0.25651857653354121</v>
      </c>
      <c r="J24" s="4">
        <f t="shared" si="17"/>
        <v>0.25929206446077446</v>
      </c>
      <c r="K24" s="4">
        <f t="shared" si="17"/>
        <v>-0.83564172552414162</v>
      </c>
    </row>
    <row r="25" spans="2:26" x14ac:dyDescent="0.25">
      <c r="B25" t="s">
        <v>5</v>
      </c>
      <c r="D25">
        <f>MIN(D4:D22)</f>
        <v>-1131.6552481900001</v>
      </c>
      <c r="F25" s="3">
        <f>F24*$A$1</f>
        <v>0.69879168488834531</v>
      </c>
      <c r="G25" s="4">
        <f>SUM(H25:K25)</f>
        <v>0.99868315492822024</v>
      </c>
      <c r="H25">
        <f t="shared" ref="H25:K25" si="18">H24^2</f>
        <v>0.16735190669213068</v>
      </c>
      <c r="I25">
        <f t="shared" si="18"/>
        <v>6.5801780106794244E-2</v>
      </c>
      <c r="J25">
        <f t="shared" si="18"/>
        <v>6.7232374692330413E-2</v>
      </c>
      <c r="K25">
        <f t="shared" si="18"/>
        <v>0.69829709343696489</v>
      </c>
    </row>
    <row r="26" spans="2:26" x14ac:dyDescent="0.25">
      <c r="B26" t="s">
        <v>6</v>
      </c>
      <c r="D26">
        <f>MAX(D5:D22)</f>
        <v>-1131.65422005</v>
      </c>
    </row>
    <row r="27" spans="2:26" x14ac:dyDescent="0.25">
      <c r="B27" t="s">
        <v>65</v>
      </c>
      <c r="D27" s="1">
        <f>D26-D25</f>
        <v>1.0281400000167196E-3</v>
      </c>
      <c r="G27" t="s">
        <v>61</v>
      </c>
      <c r="H27">
        <f>H24*$F$24</f>
        <v>1.088807335973312E-4</v>
      </c>
      <c r="I27">
        <f t="shared" ref="I27:K27" si="19">I24*$F$24</f>
        <v>-6.82738709963943E-5</v>
      </c>
      <c r="J27">
        <f t="shared" si="19"/>
        <v>6.9012050505702548E-5</v>
      </c>
      <c r="K27">
        <f t="shared" si="19"/>
        <v>-2.2241077483984732E-4</v>
      </c>
    </row>
    <row r="28" spans="2:26" x14ac:dyDescent="0.25">
      <c r="D28" s="3">
        <f>D27*$A$1</f>
        <v>2.6993815700438972</v>
      </c>
      <c r="H28">
        <f>$A$1*H27</f>
        <v>0.28586636605979304</v>
      </c>
      <c r="I28">
        <f t="shared" ref="I28:K28" si="20">$A$1*I27</f>
        <v>-0.17925304830103322</v>
      </c>
      <c r="J28">
        <f t="shared" si="20"/>
        <v>0.18119113860272204</v>
      </c>
      <c r="K28">
        <f t="shared" si="20"/>
        <v>-0.58393948934201911</v>
      </c>
      <c r="L28" t="s">
        <v>57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A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</cols>
  <sheetData>
    <row r="1" spans="1:27" ht="18.75" x14ac:dyDescent="0.3">
      <c r="A1" s="2">
        <v>2625.5</v>
      </c>
      <c r="R1" t="s">
        <v>15</v>
      </c>
      <c r="T1" t="s">
        <v>58</v>
      </c>
    </row>
    <row r="2" spans="1:27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16</v>
      </c>
      <c r="T2" t="s">
        <v>57</v>
      </c>
      <c r="U2" s="1" t="s">
        <v>62</v>
      </c>
      <c r="V2" s="1" t="s">
        <v>63</v>
      </c>
      <c r="X2" s="1" t="s">
        <v>64</v>
      </c>
      <c r="AA2" s="1" t="s">
        <v>59</v>
      </c>
    </row>
    <row r="3" spans="1:27" x14ac:dyDescent="0.25">
      <c r="F3">
        <f>SUM(F4:F22)</f>
        <v>2.2098769593193251E-5</v>
      </c>
      <c r="U3">
        <f>SUM(U5:U22)</f>
        <v>152.33234902297175</v>
      </c>
      <c r="V3">
        <f>SUM(V5:V22)</f>
        <v>1.4120175530665849E-2</v>
      </c>
      <c r="X3" s="7">
        <f>1-V3/U3</f>
        <v>0.99990730678269435</v>
      </c>
      <c r="AA3" s="1" t="s">
        <v>60</v>
      </c>
    </row>
    <row r="4" spans="1:27" x14ac:dyDescent="0.25">
      <c r="A4" t="s">
        <v>2</v>
      </c>
      <c r="B4" s="3">
        <v>-179.99417</v>
      </c>
      <c r="C4">
        <f>B4*PI()/180</f>
        <v>-3.1414909008944019</v>
      </c>
      <c r="D4">
        <v>-1131.6552481900001</v>
      </c>
      <c r="E4">
        <f>D4-$D$24</f>
        <v>-2.4134027776199218E-3</v>
      </c>
      <c r="Z4">
        <f>SUM(Z5:Z22)</f>
        <v>0</v>
      </c>
      <c r="AA4" s="6">
        <f>0.5*SQRT(Z4/F3)</f>
        <v>0</v>
      </c>
    </row>
    <row r="5" spans="1:27" x14ac:dyDescent="0.25">
      <c r="B5">
        <v>0</v>
      </c>
      <c r="C5">
        <f t="shared" ref="C5:C23" si="0">B5*PI()/180</f>
        <v>0</v>
      </c>
      <c r="D5">
        <v>-1131.65254678</v>
      </c>
      <c r="E5">
        <f t="shared" ref="E5:E22" si="1">D5-$D$24</f>
        <v>2.8800722247979138E-4</v>
      </c>
      <c r="F5">
        <f t="shared" ref="F5:F22" si="2">E5^2</f>
        <v>8.2948160200524046E-8</v>
      </c>
      <c r="G5">
        <f t="shared" ref="G5:G22" si="3">E5/$F$24</f>
        <v>0.25992950784858354</v>
      </c>
      <c r="H5">
        <f>COS(C5)*SQRT(2)*G5</f>
        <v>0.36759583526043071</v>
      </c>
      <c r="I5">
        <f>SQRT(2)*COS(2*C5)*G5</f>
        <v>0.36759583526043071</v>
      </c>
      <c r="J5">
        <f>COS(3*C5)*SQRT(2)*G5</f>
        <v>0.36759583526043071</v>
      </c>
      <c r="K5">
        <f>COS(4*C5)*SQRT(2)*G5</f>
        <v>0.36759583526043071</v>
      </c>
      <c r="M5">
        <f>H$28*(COS($C5)-COS($C$4))</f>
        <v>4.5107155576951543</v>
      </c>
      <c r="N5">
        <f>I$28*(COS(2*$C5)-COS(2*$C$4))</f>
        <v>-3.7514591282873119E-8</v>
      </c>
      <c r="O5">
        <f>J$28*(COS(3*$C5)-COS(3*$C$4))</f>
        <v>0.54117644406026988</v>
      </c>
      <c r="P5">
        <f>K$28*(COS(4*$C5)-COS(4*$C$4))</f>
        <v>-1.1752273790674569E-8</v>
      </c>
      <c r="R5">
        <f t="shared" ref="R5:R22" si="4">SUM(M5:P5)*SQRT(2)</f>
        <v>7.1444541148528158</v>
      </c>
      <c r="T5">
        <f t="shared" ref="T5:T22" si="5">(D5-$D$25)*$A$1</f>
        <v>7.092551955261797</v>
      </c>
      <c r="U5">
        <f>(E5*$A$1)^2</f>
        <v>0.5717824260393024</v>
      </c>
      <c r="V5">
        <f>(R5-T5)^2</f>
        <v>2.6938341702115783E-3</v>
      </c>
      <c r="Z5">
        <f>(D5-D5)^2</f>
        <v>0</v>
      </c>
    </row>
    <row r="6" spans="1:27" x14ac:dyDescent="0.25">
      <c r="B6">
        <v>20</v>
      </c>
      <c r="C6">
        <f t="shared" si="0"/>
        <v>0.3490658503988659</v>
      </c>
      <c r="D6">
        <v>-1131.65237462</v>
      </c>
      <c r="E6">
        <f t="shared" si="1"/>
        <v>4.601672223998321E-4</v>
      </c>
      <c r="F6">
        <f t="shared" si="2"/>
        <v>2.1175387257117654E-7</v>
      </c>
      <c r="G6">
        <f t="shared" si="3"/>
        <v>0.41530569482447893</v>
      </c>
      <c r="H6">
        <f t="shared" ref="H6:H22" si="6">COS(C6)*SQRT(2)*G6</f>
        <v>0.55191055605782657</v>
      </c>
      <c r="I6">
        <f t="shared" ref="I6:I22" si="7">SQRT(2)*COS(2*C6)*G6</f>
        <v>0.44992160757121408</v>
      </c>
      <c r="J6">
        <f t="shared" ref="J6:J22" si="8">COS(3*C6)*SQRT(2)*G6</f>
        <v>0.29366547307577995</v>
      </c>
      <c r="K6">
        <f t="shared" ref="K6:K22" si="9">COS(4*C6)*SQRT(2)*G6</f>
        <v>0.10198894848661241</v>
      </c>
      <c r="M6">
        <f t="shared" ref="M6:M23" si="10">H$28*(COS($C6)-COS($C$4))</f>
        <v>4.3747008405106813</v>
      </c>
      <c r="N6">
        <f t="shared" ref="N6:N23" si="11">I$28*(COS(2*$C6)-COS(2*$C$4))</f>
        <v>0.42384953155797628</v>
      </c>
      <c r="O6">
        <f t="shared" ref="O6:O23" si="12">J$28*(COS(3*$C6)-COS(3*$C$4))</f>
        <v>0.40588232989344153</v>
      </c>
      <c r="P6">
        <f t="shared" ref="P6:P23" si="13">K$28*(COS(4*$C6)-COS(4*$C$4))</f>
        <v>0.11724788591453957</v>
      </c>
      <c r="R6">
        <f t="shared" si="4"/>
        <v>7.5259928619927683</v>
      </c>
      <c r="T6">
        <f t="shared" si="5"/>
        <v>7.544558035051864</v>
      </c>
      <c r="U6">
        <f t="shared" ref="U6:U22" si="14">(E6*$A$1)^2</f>
        <v>1.4596724350397308</v>
      </c>
      <c r="V6">
        <f t="shared" ref="V6:V22" si="15">(R6-T6)^2</f>
        <v>3.4466565071417142E-4</v>
      </c>
      <c r="Z6">
        <f>(D6-D22)^2</f>
        <v>0</v>
      </c>
    </row>
    <row r="7" spans="1:27" x14ac:dyDescent="0.25">
      <c r="B7">
        <v>40</v>
      </c>
      <c r="C7">
        <f t="shared" si="0"/>
        <v>0.69813170079773179</v>
      </c>
      <c r="D7">
        <v>-1131.6520589700001</v>
      </c>
      <c r="E7">
        <f t="shared" si="1"/>
        <v>7.7581722234754125E-4</v>
      </c>
      <c r="F7">
        <f t="shared" si="2"/>
        <v>6.0189236249105427E-7</v>
      </c>
      <c r="G7">
        <f t="shared" si="3"/>
        <v>0.70018309627426523</v>
      </c>
      <c r="H7">
        <f t="shared" si="6"/>
        <v>0.75854366601702383</v>
      </c>
      <c r="I7">
        <f t="shared" si="7"/>
        <v>0.17194788953542592</v>
      </c>
      <c r="J7">
        <f t="shared" si="8"/>
        <v>-0.49510421544772598</v>
      </c>
      <c r="K7">
        <f t="shared" si="9"/>
        <v>-0.93049155555244967</v>
      </c>
      <c r="M7">
        <f t="shared" si="10"/>
        <v>3.9830620712131446</v>
      </c>
      <c r="N7">
        <f t="shared" si="11"/>
        <v>1.4970743148433714</v>
      </c>
      <c r="O7">
        <f t="shared" si="12"/>
        <v>0.13529410155978483</v>
      </c>
      <c r="P7">
        <f t="shared" si="13"/>
        <v>0.27521555111159468</v>
      </c>
      <c r="R7">
        <f t="shared" si="4"/>
        <v>8.3306315191083389</v>
      </c>
      <c r="T7">
        <f t="shared" si="5"/>
        <v>8.3732971099145743</v>
      </c>
      <c r="U7">
        <f t="shared" si="14"/>
        <v>4.1489946782145504</v>
      </c>
      <c r="V7">
        <f t="shared" si="15"/>
        <v>1.8203526388451223E-3</v>
      </c>
      <c r="Z7">
        <f>(D7-D21)^2</f>
        <v>0</v>
      </c>
    </row>
    <row r="8" spans="1:27" x14ac:dyDescent="0.25">
      <c r="B8">
        <v>60</v>
      </c>
      <c r="C8">
        <f t="shared" si="0"/>
        <v>1.0471975511965976</v>
      </c>
      <c r="D8">
        <v>-1131.65186393</v>
      </c>
      <c r="E8">
        <f t="shared" si="1"/>
        <v>9.7085722245537909E-4</v>
      </c>
      <c r="F8">
        <f t="shared" si="2"/>
        <v>9.4256374639377342E-7</v>
      </c>
      <c r="G8">
        <f t="shared" si="3"/>
        <v>0.87620872091767221</v>
      </c>
      <c r="H8">
        <f t="shared" si="6"/>
        <v>0.61957312829567723</v>
      </c>
      <c r="I8">
        <f t="shared" si="7"/>
        <v>-0.6195731282956769</v>
      </c>
      <c r="J8">
        <f t="shared" si="8"/>
        <v>-1.2391462565913542</v>
      </c>
      <c r="K8">
        <f t="shared" si="9"/>
        <v>-0.61957312829567779</v>
      </c>
      <c r="M8">
        <f t="shared" si="10"/>
        <v>3.3830366653524786</v>
      </c>
      <c r="N8">
        <f t="shared" si="11"/>
        <v>2.7175005086774964</v>
      </c>
      <c r="O8">
        <f t="shared" si="12"/>
        <v>-1.2607043574726182E-8</v>
      </c>
      <c r="P8">
        <f t="shared" si="13"/>
        <v>0.21282924782831819</v>
      </c>
      <c r="R8">
        <f t="shared" si="4"/>
        <v>8.9284484001938456</v>
      </c>
      <c r="T8">
        <f t="shared" si="5"/>
        <v>8.8853746301977026</v>
      </c>
      <c r="U8">
        <f t="shared" si="14"/>
        <v>6.4973277804698153</v>
      </c>
      <c r="V8">
        <f t="shared" si="15"/>
        <v>1.8553496616806277E-3</v>
      </c>
      <c r="Z8">
        <f>(D8-D20)^2</f>
        <v>0</v>
      </c>
    </row>
    <row r="9" spans="1:27" x14ac:dyDescent="0.25">
      <c r="B9">
        <v>80</v>
      </c>
      <c r="C9">
        <f t="shared" si="0"/>
        <v>1.3962634015954636</v>
      </c>
      <c r="D9">
        <v>-1131.6518396700001</v>
      </c>
      <c r="E9">
        <f t="shared" si="1"/>
        <v>9.9511722237366484E-4</v>
      </c>
      <c r="F9">
        <f t="shared" si="2"/>
        <v>9.9025828626467784E-7</v>
      </c>
      <c r="G9">
        <f t="shared" si="3"/>
        <v>0.89810362266656563</v>
      </c>
      <c r="H9">
        <f t="shared" si="6"/>
        <v>0.22055234312761335</v>
      </c>
      <c r="I9">
        <f t="shared" si="7"/>
        <v>-1.1935132986629025</v>
      </c>
      <c r="J9">
        <f t="shared" si="8"/>
        <v>-0.63505516179573351</v>
      </c>
      <c r="K9">
        <f t="shared" si="9"/>
        <v>0.97296095553528916</v>
      </c>
      <c r="M9">
        <f t="shared" si="10"/>
        <v>2.6469965423073392</v>
      </c>
      <c r="N9">
        <f t="shared" si="11"/>
        <v>3.5140771334390544</v>
      </c>
      <c r="O9">
        <f t="shared" si="12"/>
        <v>0.13529410155978466</v>
      </c>
      <c r="P9">
        <f t="shared" si="13"/>
        <v>3.3195046878228218E-2</v>
      </c>
      <c r="R9">
        <f t="shared" si="4"/>
        <v>8.9513535898541399</v>
      </c>
      <c r="T9">
        <f t="shared" si="5"/>
        <v>8.9490692599831618</v>
      </c>
      <c r="U9">
        <f t="shared" si="14"/>
        <v>6.8260981793585627</v>
      </c>
      <c r="V9">
        <f t="shared" si="15"/>
        <v>5.2181629594425547E-6</v>
      </c>
      <c r="Z9">
        <f>(D9-D19)^2</f>
        <v>0</v>
      </c>
    </row>
    <row r="10" spans="1:27" x14ac:dyDescent="0.25">
      <c r="B10">
        <v>100</v>
      </c>
      <c r="C10">
        <f t="shared" si="0"/>
        <v>1.7453292519943295</v>
      </c>
      <c r="D10">
        <v>-1131.65210127</v>
      </c>
      <c r="E10">
        <f t="shared" si="1"/>
        <v>7.335172224429698E-4</v>
      </c>
      <c r="F10">
        <f t="shared" si="2"/>
        <v>5.3804751562044927E-7</v>
      </c>
      <c r="G10">
        <f t="shared" si="3"/>
        <v>0.6620069072796928</v>
      </c>
      <c r="H10">
        <f t="shared" si="6"/>
        <v>-0.16257274871432978</v>
      </c>
      <c r="I10">
        <f t="shared" si="7"/>
        <v>-0.87975822355451538</v>
      </c>
      <c r="J10">
        <f t="shared" si="8"/>
        <v>0.46810957332980491</v>
      </c>
      <c r="K10">
        <f t="shared" si="9"/>
        <v>0.71718547484018558</v>
      </c>
      <c r="M10">
        <f t="shared" si="10"/>
        <v>1.8637190037122664</v>
      </c>
      <c r="N10">
        <f t="shared" si="11"/>
        <v>3.5140771334390548</v>
      </c>
      <c r="O10">
        <f t="shared" si="12"/>
        <v>0.40588232989344153</v>
      </c>
      <c r="P10">
        <f t="shared" si="13"/>
        <v>3.319504687822817E-2</v>
      </c>
      <c r="R10">
        <f t="shared" si="4"/>
        <v>8.2263014139987369</v>
      </c>
      <c r="T10">
        <f t="shared" si="5"/>
        <v>8.262238460165122</v>
      </c>
      <c r="U10">
        <f t="shared" si="14"/>
        <v>3.7088961715625404</v>
      </c>
      <c r="V10">
        <f t="shared" si="15"/>
        <v>1.2914712871648902E-3</v>
      </c>
      <c r="Z10">
        <f>(D10-D18)^2</f>
        <v>0</v>
      </c>
    </row>
    <row r="11" spans="1:27" x14ac:dyDescent="0.25">
      <c r="B11">
        <v>120</v>
      </c>
      <c r="C11">
        <f t="shared" si="0"/>
        <v>2.0943951023931953</v>
      </c>
      <c r="D11">
        <v>-1131.6527771399999</v>
      </c>
      <c r="E11">
        <f t="shared" si="1"/>
        <v>5.7647222547529964E-5</v>
      </c>
      <c r="F11">
        <f t="shared" si="2"/>
        <v>3.3232022674444468E-9</v>
      </c>
      <c r="G11">
        <f t="shared" si="3"/>
        <v>5.2027216736443581E-2</v>
      </c>
      <c r="H11">
        <f t="shared" si="6"/>
        <v>-3.6788797760601483E-2</v>
      </c>
      <c r="I11">
        <f t="shared" si="7"/>
        <v>-3.6788797760601531E-2</v>
      </c>
      <c r="J11">
        <f t="shared" si="8"/>
        <v>7.3577595521202993E-2</v>
      </c>
      <c r="K11">
        <f t="shared" si="9"/>
        <v>-3.6788797760601441E-2</v>
      </c>
      <c r="M11">
        <f t="shared" si="10"/>
        <v>1.1276788806671276</v>
      </c>
      <c r="N11">
        <f t="shared" si="11"/>
        <v>2.7175005086774977</v>
      </c>
      <c r="O11">
        <f t="shared" si="12"/>
        <v>0.54117644406026988</v>
      </c>
      <c r="P11">
        <f t="shared" si="13"/>
        <v>0.21282924782831802</v>
      </c>
      <c r="R11">
        <f t="shared" si="4"/>
        <v>6.5042299177440155</v>
      </c>
      <c r="T11">
        <f t="shared" si="5"/>
        <v>6.4877417754396447</v>
      </c>
      <c r="U11">
        <f t="shared" si="14"/>
        <v>2.2907664860862001E-2</v>
      </c>
      <c r="V11">
        <f t="shared" si="15"/>
        <v>2.7185883664918172E-4</v>
      </c>
      <c r="Z11">
        <f>(D11-D17)^2</f>
        <v>0</v>
      </c>
    </row>
    <row r="12" spans="1:27" x14ac:dyDescent="0.25">
      <c r="B12">
        <v>140</v>
      </c>
      <c r="C12">
        <f t="shared" si="0"/>
        <v>2.4434609527920612</v>
      </c>
      <c r="D12">
        <v>-1131.6537929900001</v>
      </c>
      <c r="E12">
        <f t="shared" si="1"/>
        <v>-9.582027776104951E-4</v>
      </c>
      <c r="F12">
        <f t="shared" si="2"/>
        <v>9.1815256302046795E-7</v>
      </c>
      <c r="G12">
        <f t="shared" si="3"/>
        <v>-0.86478795309002332</v>
      </c>
      <c r="H12">
        <f t="shared" si="6"/>
        <v>0.9368684102126823</v>
      </c>
      <c r="I12">
        <f t="shared" si="7"/>
        <v>-0.21237082731749368</v>
      </c>
      <c r="J12">
        <f t="shared" si="8"/>
        <v>-0.61149742591839018</v>
      </c>
      <c r="K12">
        <f t="shared" si="9"/>
        <v>1.1492392375301768</v>
      </c>
      <c r="M12">
        <f t="shared" si="10"/>
        <v>0.52765347480646108</v>
      </c>
      <c r="N12">
        <f t="shared" si="11"/>
        <v>1.4970743148433721</v>
      </c>
      <c r="O12">
        <f t="shared" si="12"/>
        <v>0.40588232989344164</v>
      </c>
      <c r="P12">
        <f t="shared" si="13"/>
        <v>0.27521555111159474</v>
      </c>
      <c r="R12">
        <f t="shared" si="4"/>
        <v>3.8266153608573918</v>
      </c>
      <c r="T12">
        <f t="shared" si="5"/>
        <v>3.8206276000247499</v>
      </c>
      <c r="U12">
        <f t="shared" si="14"/>
        <v>6.3290553845789814</v>
      </c>
      <c r="V12">
        <f t="shared" si="15"/>
        <v>3.5853279788921188E-5</v>
      </c>
      <c r="Z12">
        <f>(D12-D16)^2</f>
        <v>0</v>
      </c>
    </row>
    <row r="13" spans="1:27" x14ac:dyDescent="0.25">
      <c r="B13">
        <v>160</v>
      </c>
      <c r="C13">
        <f t="shared" si="0"/>
        <v>2.7925268031909272</v>
      </c>
      <c r="D13">
        <v>-1131.65480701</v>
      </c>
      <c r="E13">
        <f t="shared" si="1"/>
        <v>-1.9722227775673673E-3</v>
      </c>
      <c r="F13">
        <f t="shared" si="2"/>
        <v>3.8896626843555412E-6</v>
      </c>
      <c r="G13">
        <f t="shared" si="3"/>
        <v>-1.7799515287392578</v>
      </c>
      <c r="H13">
        <f t="shared" si="6"/>
        <v>2.3654239521026645</v>
      </c>
      <c r="I13">
        <f t="shared" si="7"/>
        <v>-1.928311273332445</v>
      </c>
      <c r="J13">
        <f t="shared" si="8"/>
        <v>1.2586157961548892</v>
      </c>
      <c r="K13">
        <f t="shared" si="9"/>
        <v>-0.43711267877021753</v>
      </c>
      <c r="M13">
        <f t="shared" si="10"/>
        <v>0.13601470550892455</v>
      </c>
      <c r="N13">
        <f t="shared" si="11"/>
        <v>0.42384953155797672</v>
      </c>
      <c r="O13">
        <f t="shared" si="12"/>
        <v>0.135294101559785</v>
      </c>
      <c r="P13">
        <f t="shared" si="13"/>
        <v>0.11724788591453966</v>
      </c>
      <c r="R13">
        <f t="shared" si="4"/>
        <v>1.1489159009025236</v>
      </c>
      <c r="T13">
        <f t="shared" si="5"/>
        <v>1.1583180901379819</v>
      </c>
      <c r="U13">
        <f t="shared" si="14"/>
        <v>26.812418271349504</v>
      </c>
      <c r="V13">
        <f t="shared" si="15"/>
        <v>8.8401162419368397E-5</v>
      </c>
      <c r="Z13">
        <f>(D13-D15)^2</f>
        <v>0</v>
      </c>
    </row>
    <row r="14" spans="1:27" x14ac:dyDescent="0.25">
      <c r="B14">
        <v>180</v>
      </c>
      <c r="C14">
        <f t="shared" si="0"/>
        <v>3.1415926535897931</v>
      </c>
      <c r="D14">
        <f>D4</f>
        <v>-1131.6552481900001</v>
      </c>
      <c r="E14">
        <f t="shared" si="1"/>
        <v>-2.4134027776199218E-3</v>
      </c>
      <c r="F14">
        <f t="shared" si="2"/>
        <v>5.8245129670235543E-6</v>
      </c>
      <c r="G14">
        <f t="shared" si="3"/>
        <v>-2.1781210583049444</v>
      </c>
      <c r="H14">
        <f t="shared" si="6"/>
        <v>3.0803283411452913</v>
      </c>
      <c r="I14">
        <f t="shared" si="7"/>
        <v>-3.0803283411452913</v>
      </c>
      <c r="J14">
        <f t="shared" si="8"/>
        <v>3.0803283411452913</v>
      </c>
      <c r="K14">
        <f t="shared" si="9"/>
        <v>-3.0803283411452913</v>
      </c>
      <c r="M14">
        <f t="shared" si="10"/>
        <v>-1.1675548673983773E-8</v>
      </c>
      <c r="N14">
        <f t="shared" si="11"/>
        <v>-3.7514591282873119E-8</v>
      </c>
      <c r="O14">
        <f t="shared" si="12"/>
        <v>-1.2607043574726182E-8</v>
      </c>
      <c r="P14">
        <f t="shared" si="13"/>
        <v>-1.1752273790674569E-8</v>
      </c>
      <c r="R14">
        <f t="shared" si="4"/>
        <v>-1.0401464005031793E-7</v>
      </c>
      <c r="T14">
        <f t="shared" si="5"/>
        <v>0</v>
      </c>
      <c r="U14">
        <f t="shared" si="14"/>
        <v>40.149825466063355</v>
      </c>
      <c r="V14">
        <f t="shared" si="15"/>
        <v>1.0819045344797202E-14</v>
      </c>
      <c r="Z14">
        <f>(D14-D14)^2</f>
        <v>0</v>
      </c>
    </row>
    <row r="15" spans="1:27" x14ac:dyDescent="0.25">
      <c r="B15">
        <f>200-360</f>
        <v>-160</v>
      </c>
      <c r="C15">
        <f t="shared" si="0"/>
        <v>-2.7925268031909272</v>
      </c>
      <c r="D15">
        <f>D13</f>
        <v>-1131.65480701</v>
      </c>
      <c r="E15">
        <f t="shared" si="1"/>
        <v>-1.9722227775673673E-3</v>
      </c>
      <c r="F15">
        <f t="shared" si="2"/>
        <v>3.8896626843555412E-6</v>
      </c>
      <c r="G15">
        <f t="shared" si="3"/>
        <v>-1.7799515287392578</v>
      </c>
      <c r="H15">
        <f t="shared" si="6"/>
        <v>2.3654239521026645</v>
      </c>
      <c r="I15">
        <f t="shared" si="7"/>
        <v>-1.928311273332445</v>
      </c>
      <c r="J15">
        <f t="shared" si="8"/>
        <v>1.2586157961548892</v>
      </c>
      <c r="K15">
        <f t="shared" si="9"/>
        <v>-0.43711267877021753</v>
      </c>
      <c r="M15">
        <f t="shared" si="10"/>
        <v>0.13601470550892455</v>
      </c>
      <c r="N15">
        <f t="shared" si="11"/>
        <v>0.42384953155797672</v>
      </c>
      <c r="O15">
        <f t="shared" si="12"/>
        <v>0.135294101559785</v>
      </c>
      <c r="P15">
        <f t="shared" si="13"/>
        <v>0.11724788591453966</v>
      </c>
      <c r="R15">
        <f t="shared" si="4"/>
        <v>1.1489159009025236</v>
      </c>
      <c r="T15">
        <f t="shared" si="5"/>
        <v>1.1583180901379819</v>
      </c>
      <c r="U15">
        <f t="shared" si="14"/>
        <v>26.812418271349504</v>
      </c>
      <c r="V15">
        <f t="shared" si="15"/>
        <v>8.8401162419368397E-5</v>
      </c>
      <c r="Z15">
        <f>(D15-D13)^2</f>
        <v>0</v>
      </c>
    </row>
    <row r="16" spans="1:27" x14ac:dyDescent="0.25">
      <c r="B16">
        <f>220-360</f>
        <v>-140</v>
      </c>
      <c r="C16">
        <f t="shared" si="0"/>
        <v>-2.4434609527920612</v>
      </c>
      <c r="D16">
        <f>D12</f>
        <v>-1131.6537929900001</v>
      </c>
      <c r="E16">
        <f t="shared" si="1"/>
        <v>-9.582027776104951E-4</v>
      </c>
      <c r="F16">
        <f t="shared" si="2"/>
        <v>9.1815256302046795E-7</v>
      </c>
      <c r="G16">
        <f t="shared" si="3"/>
        <v>-0.86478795309002332</v>
      </c>
      <c r="H16">
        <f t="shared" si="6"/>
        <v>0.9368684102126823</v>
      </c>
      <c r="I16">
        <f t="shared" si="7"/>
        <v>-0.21237082731749368</v>
      </c>
      <c r="J16">
        <f t="shared" si="8"/>
        <v>-0.61149742591839018</v>
      </c>
      <c r="K16">
        <f t="shared" si="9"/>
        <v>1.1492392375301768</v>
      </c>
      <c r="M16">
        <f t="shared" si="10"/>
        <v>0.52765347480646108</v>
      </c>
      <c r="N16">
        <f t="shared" si="11"/>
        <v>1.4970743148433721</v>
      </c>
      <c r="O16">
        <f t="shared" si="12"/>
        <v>0.40588232989344164</v>
      </c>
      <c r="P16">
        <f t="shared" si="13"/>
        <v>0.27521555111159474</v>
      </c>
      <c r="R16">
        <f t="shared" si="4"/>
        <v>3.8266153608573918</v>
      </c>
      <c r="T16">
        <f t="shared" si="5"/>
        <v>3.8206276000247499</v>
      </c>
      <c r="U16">
        <f t="shared" si="14"/>
        <v>6.3290553845789814</v>
      </c>
      <c r="V16">
        <f t="shared" si="15"/>
        <v>3.5853279788921188E-5</v>
      </c>
      <c r="Z16">
        <f>(D16-D12)^2</f>
        <v>0</v>
      </c>
    </row>
    <row r="17" spans="2:26" x14ac:dyDescent="0.25">
      <c r="B17">
        <f>240-360</f>
        <v>-120</v>
      </c>
      <c r="C17">
        <f t="shared" si="0"/>
        <v>-2.0943951023931953</v>
      </c>
      <c r="D17">
        <f>D11</f>
        <v>-1131.6527771399999</v>
      </c>
      <c r="E17">
        <f t="shared" si="1"/>
        <v>5.7647222547529964E-5</v>
      </c>
      <c r="F17">
        <f t="shared" si="2"/>
        <v>3.3232022674444468E-9</v>
      </c>
      <c r="G17">
        <f t="shared" si="3"/>
        <v>5.2027216736443581E-2</v>
      </c>
      <c r="H17">
        <f t="shared" si="6"/>
        <v>-3.6788797760601483E-2</v>
      </c>
      <c r="I17">
        <f t="shared" si="7"/>
        <v>-3.6788797760601531E-2</v>
      </c>
      <c r="J17">
        <f t="shared" si="8"/>
        <v>7.3577595521202993E-2</v>
      </c>
      <c r="K17">
        <f t="shared" si="9"/>
        <v>-3.6788797760601441E-2</v>
      </c>
      <c r="M17">
        <f t="shared" si="10"/>
        <v>1.1276788806671276</v>
      </c>
      <c r="N17">
        <f t="shared" si="11"/>
        <v>2.7175005086774977</v>
      </c>
      <c r="O17">
        <f t="shared" si="12"/>
        <v>0.54117644406026988</v>
      </c>
      <c r="P17">
        <f t="shared" si="13"/>
        <v>0.21282924782831802</v>
      </c>
      <c r="R17">
        <f t="shared" si="4"/>
        <v>6.5042299177440155</v>
      </c>
      <c r="T17">
        <f t="shared" si="5"/>
        <v>6.4877417754396447</v>
      </c>
      <c r="U17">
        <f t="shared" si="14"/>
        <v>2.2907664860862001E-2</v>
      </c>
      <c r="V17">
        <f t="shared" si="15"/>
        <v>2.7185883664918172E-4</v>
      </c>
      <c r="Z17">
        <f>(D17-D11)^2</f>
        <v>0</v>
      </c>
    </row>
    <row r="18" spans="2:26" x14ac:dyDescent="0.25">
      <c r="B18">
        <f>260-360</f>
        <v>-100</v>
      </c>
      <c r="C18">
        <f t="shared" si="0"/>
        <v>-1.7453292519943295</v>
      </c>
      <c r="D18">
        <f>D10</f>
        <v>-1131.65210127</v>
      </c>
      <c r="E18">
        <f t="shared" si="1"/>
        <v>7.335172224429698E-4</v>
      </c>
      <c r="F18">
        <f t="shared" si="2"/>
        <v>5.3804751562044927E-7</v>
      </c>
      <c r="G18">
        <f t="shared" si="3"/>
        <v>0.6620069072796928</v>
      </c>
      <c r="H18">
        <f t="shared" si="6"/>
        <v>-0.16257274871432978</v>
      </c>
      <c r="I18">
        <f t="shared" si="7"/>
        <v>-0.87975822355451538</v>
      </c>
      <c r="J18">
        <f t="shared" si="8"/>
        <v>0.46810957332980491</v>
      </c>
      <c r="K18">
        <f t="shared" si="9"/>
        <v>0.71718547484018558</v>
      </c>
      <c r="M18">
        <f t="shared" si="10"/>
        <v>1.8637190037122664</v>
      </c>
      <c r="N18">
        <f t="shared" si="11"/>
        <v>3.5140771334390548</v>
      </c>
      <c r="O18">
        <f t="shared" si="12"/>
        <v>0.40588232989344153</v>
      </c>
      <c r="P18">
        <f t="shared" si="13"/>
        <v>3.319504687822817E-2</v>
      </c>
      <c r="R18">
        <f t="shared" si="4"/>
        <v>8.2263014139987369</v>
      </c>
      <c r="T18">
        <f t="shared" si="5"/>
        <v>8.262238460165122</v>
      </c>
      <c r="U18">
        <f t="shared" si="14"/>
        <v>3.7088961715625404</v>
      </c>
      <c r="V18">
        <f t="shared" si="15"/>
        <v>1.2914712871648902E-3</v>
      </c>
      <c r="Z18">
        <f>(D18-D10)^2</f>
        <v>0</v>
      </c>
    </row>
    <row r="19" spans="2:26" x14ac:dyDescent="0.25">
      <c r="B19">
        <f>280-360</f>
        <v>-80</v>
      </c>
      <c r="C19">
        <f t="shared" si="0"/>
        <v>-1.3962634015954636</v>
      </c>
      <c r="D19">
        <f>D9</f>
        <v>-1131.6518396700001</v>
      </c>
      <c r="E19">
        <f t="shared" si="1"/>
        <v>9.9511722237366484E-4</v>
      </c>
      <c r="F19">
        <f t="shared" si="2"/>
        <v>9.9025828626467784E-7</v>
      </c>
      <c r="G19">
        <f t="shared" si="3"/>
        <v>0.89810362266656563</v>
      </c>
      <c r="H19">
        <f t="shared" si="6"/>
        <v>0.22055234312761335</v>
      </c>
      <c r="I19">
        <f t="shared" si="7"/>
        <v>-1.1935132986629025</v>
      </c>
      <c r="J19">
        <f t="shared" si="8"/>
        <v>-0.63505516179573351</v>
      </c>
      <c r="K19">
        <f t="shared" si="9"/>
        <v>0.97296095553528916</v>
      </c>
      <c r="M19">
        <f t="shared" si="10"/>
        <v>2.6469965423073392</v>
      </c>
      <c r="N19">
        <f t="shared" si="11"/>
        <v>3.5140771334390544</v>
      </c>
      <c r="O19">
        <f t="shared" si="12"/>
        <v>0.13529410155978466</v>
      </c>
      <c r="P19">
        <f t="shared" si="13"/>
        <v>3.3195046878228218E-2</v>
      </c>
      <c r="R19">
        <f t="shared" si="4"/>
        <v>8.9513535898541399</v>
      </c>
      <c r="T19">
        <f t="shared" si="5"/>
        <v>8.9490692599831618</v>
      </c>
      <c r="U19">
        <f t="shared" si="14"/>
        <v>6.8260981793585627</v>
      </c>
      <c r="V19">
        <f t="shared" si="15"/>
        <v>5.2181629594425547E-6</v>
      </c>
      <c r="Z19">
        <f>(D19-D9)^2</f>
        <v>0</v>
      </c>
    </row>
    <row r="20" spans="2:26" x14ac:dyDescent="0.25">
      <c r="B20">
        <f>300-360</f>
        <v>-60</v>
      </c>
      <c r="C20">
        <f t="shared" si="0"/>
        <v>-1.0471975511965976</v>
      </c>
      <c r="D20">
        <f>D8</f>
        <v>-1131.65186393</v>
      </c>
      <c r="E20">
        <f t="shared" si="1"/>
        <v>9.7085722245537909E-4</v>
      </c>
      <c r="F20">
        <f t="shared" si="2"/>
        <v>9.4256374639377342E-7</v>
      </c>
      <c r="G20">
        <f t="shared" si="3"/>
        <v>0.87620872091767221</v>
      </c>
      <c r="H20">
        <f t="shared" si="6"/>
        <v>0.61957312829567723</v>
      </c>
      <c r="I20">
        <f t="shared" si="7"/>
        <v>-0.6195731282956769</v>
      </c>
      <c r="J20">
        <f t="shared" si="8"/>
        <v>-1.2391462565913542</v>
      </c>
      <c r="K20">
        <f t="shared" si="9"/>
        <v>-0.61957312829567779</v>
      </c>
      <c r="M20">
        <f t="shared" si="10"/>
        <v>3.3830366653524786</v>
      </c>
      <c r="N20">
        <f t="shared" si="11"/>
        <v>2.7175005086774964</v>
      </c>
      <c r="O20">
        <f t="shared" si="12"/>
        <v>-1.2607043574726182E-8</v>
      </c>
      <c r="P20">
        <f t="shared" si="13"/>
        <v>0.21282924782831819</v>
      </c>
      <c r="R20">
        <f t="shared" si="4"/>
        <v>8.9284484001938456</v>
      </c>
      <c r="T20">
        <f t="shared" si="5"/>
        <v>8.8853746301977026</v>
      </c>
      <c r="U20">
        <f t="shared" si="14"/>
        <v>6.4973277804698153</v>
      </c>
      <c r="V20">
        <f t="shared" si="15"/>
        <v>1.8553496616806277E-3</v>
      </c>
      <c r="Z20">
        <f>(D20-D8)^2</f>
        <v>0</v>
      </c>
    </row>
    <row r="21" spans="2:26" x14ac:dyDescent="0.25">
      <c r="B21">
        <f>320-360</f>
        <v>-40</v>
      </c>
      <c r="C21">
        <f t="shared" si="0"/>
        <v>-0.69813170079773179</v>
      </c>
      <c r="D21">
        <f>D7</f>
        <v>-1131.6520589700001</v>
      </c>
      <c r="E21">
        <f t="shared" si="1"/>
        <v>7.7581722234754125E-4</v>
      </c>
      <c r="F21">
        <f t="shared" si="2"/>
        <v>6.0189236249105427E-7</v>
      </c>
      <c r="G21">
        <f t="shared" si="3"/>
        <v>0.70018309627426523</v>
      </c>
      <c r="H21">
        <f t="shared" si="6"/>
        <v>0.75854366601702383</v>
      </c>
      <c r="I21">
        <f t="shared" si="7"/>
        <v>0.17194788953542592</v>
      </c>
      <c r="J21">
        <f t="shared" si="8"/>
        <v>-0.49510421544772598</v>
      </c>
      <c r="K21">
        <f t="shared" si="9"/>
        <v>-0.93049155555244967</v>
      </c>
      <c r="M21">
        <f t="shared" si="10"/>
        <v>3.9830620712131446</v>
      </c>
      <c r="N21">
        <f t="shared" si="11"/>
        <v>1.4970743148433714</v>
      </c>
      <c r="O21">
        <f t="shared" si="12"/>
        <v>0.13529410155978483</v>
      </c>
      <c r="P21">
        <f t="shared" si="13"/>
        <v>0.27521555111159468</v>
      </c>
      <c r="R21">
        <f t="shared" si="4"/>
        <v>8.3306315191083389</v>
      </c>
      <c r="T21">
        <f t="shared" si="5"/>
        <v>8.3732971099145743</v>
      </c>
      <c r="U21">
        <f t="shared" si="14"/>
        <v>4.1489946782145504</v>
      </c>
      <c r="V21">
        <f t="shared" si="15"/>
        <v>1.8203526388451223E-3</v>
      </c>
      <c r="Z21">
        <f>(D21-D7)^2</f>
        <v>0</v>
      </c>
    </row>
    <row r="22" spans="2:26" x14ac:dyDescent="0.25">
      <c r="B22">
        <f>340-360</f>
        <v>-20</v>
      </c>
      <c r="C22">
        <f t="shared" si="0"/>
        <v>-0.3490658503988659</v>
      </c>
      <c r="D22">
        <f>D6</f>
        <v>-1131.65237462</v>
      </c>
      <c r="E22">
        <f t="shared" si="1"/>
        <v>4.601672223998321E-4</v>
      </c>
      <c r="F22">
        <f t="shared" si="2"/>
        <v>2.1175387257117654E-7</v>
      </c>
      <c r="G22">
        <f t="shared" si="3"/>
        <v>0.41530569482447893</v>
      </c>
      <c r="H22">
        <f t="shared" si="6"/>
        <v>0.55191055605782657</v>
      </c>
      <c r="I22">
        <f t="shared" si="7"/>
        <v>0.44992160757121408</v>
      </c>
      <c r="J22">
        <f t="shared" si="8"/>
        <v>0.29366547307577995</v>
      </c>
      <c r="K22">
        <f t="shared" si="9"/>
        <v>0.10198894848661241</v>
      </c>
      <c r="M22">
        <f t="shared" si="10"/>
        <v>4.3747008405106813</v>
      </c>
      <c r="N22">
        <f t="shared" si="11"/>
        <v>0.42384953155797628</v>
      </c>
      <c r="O22">
        <f t="shared" si="12"/>
        <v>0.40588232989344153</v>
      </c>
      <c r="P22">
        <f t="shared" si="13"/>
        <v>0.11724788591453957</v>
      </c>
      <c r="R22">
        <f t="shared" si="4"/>
        <v>7.5259928619927683</v>
      </c>
      <c r="T22">
        <f t="shared" si="5"/>
        <v>7.544558035051864</v>
      </c>
      <c r="U22">
        <f t="shared" si="14"/>
        <v>1.4596724350397308</v>
      </c>
      <c r="V22">
        <f t="shared" si="15"/>
        <v>3.4466565071417142E-4</v>
      </c>
      <c r="Z22">
        <f>(D22-D6)^2</f>
        <v>0</v>
      </c>
    </row>
    <row r="23" spans="2:26" x14ac:dyDescent="0.25">
      <c r="B23">
        <f>-180</f>
        <v>-180</v>
      </c>
      <c r="C23">
        <f t="shared" si="0"/>
        <v>-3.1415926535897931</v>
      </c>
      <c r="M23">
        <f t="shared" si="10"/>
        <v>-1.1675548673983773E-8</v>
      </c>
      <c r="N23">
        <f t="shared" si="11"/>
        <v>-3.7514591282873119E-8</v>
      </c>
      <c r="O23">
        <f t="shared" si="12"/>
        <v>-1.2607043574726182E-8</v>
      </c>
      <c r="P23">
        <f t="shared" si="13"/>
        <v>-1.1752273790674569E-8</v>
      </c>
      <c r="R23">
        <f t="shared" ref="R23:T23" si="16">R14</f>
        <v>-1.0401464005031793E-7</v>
      </c>
      <c r="T23">
        <f t="shared" si="16"/>
        <v>0</v>
      </c>
    </row>
    <row r="24" spans="2:26" x14ac:dyDescent="0.25">
      <c r="B24" t="s">
        <v>4</v>
      </c>
      <c r="D24">
        <f>AVERAGE(D5:D22)</f>
        <v>-1131.6528347872224</v>
      </c>
      <c r="F24">
        <f>SQRT(AVERAGE(F5:F22))</f>
        <v>1.1080204970324644E-3</v>
      </c>
      <c r="G24" t="s">
        <v>10</v>
      </c>
      <c r="H24" s="4">
        <f t="shared" ref="H24:K24" si="17">AVERAGE(H5:H22)</f>
        <v>0.77527473306015748</v>
      </c>
      <c r="I24" s="4">
        <f t="shared" si="17"/>
        <v>-0.62275692275104733</v>
      </c>
      <c r="J24" s="4">
        <f t="shared" si="17"/>
        <v>9.3014162947925985E-2</v>
      </c>
      <c r="K24" s="4">
        <f t="shared" si="17"/>
        <v>-4.8773088547679193E-2</v>
      </c>
    </row>
    <row r="25" spans="2:26" x14ac:dyDescent="0.25">
      <c r="B25" t="s">
        <v>5</v>
      </c>
      <c r="D25">
        <f>MIN(D4:D22)</f>
        <v>-1131.6552481900001</v>
      </c>
      <c r="F25" s="3">
        <f>F24*$A$1</f>
        <v>2.9091078149587353</v>
      </c>
      <c r="G25" s="4">
        <f>SUM(H25:K25)</f>
        <v>0.99990754523123559</v>
      </c>
      <c r="H25">
        <f t="shared" ref="H25:K25" si="18">H24^2</f>
        <v>0.60105091172149849</v>
      </c>
      <c r="I25">
        <f t="shared" si="18"/>
        <v>0.38782618483435394</v>
      </c>
      <c r="J25">
        <f t="shared" si="18"/>
        <v>8.6516345089033275E-3</v>
      </c>
      <c r="K25">
        <f t="shared" si="18"/>
        <v>2.3788141664797553E-3</v>
      </c>
    </row>
    <row r="26" spans="2:26" x14ac:dyDescent="0.25">
      <c r="B26" t="s">
        <v>6</v>
      </c>
      <c r="D26">
        <f>MAX(D5:D22)</f>
        <v>-1131.6518396700001</v>
      </c>
    </row>
    <row r="27" spans="2:26" x14ac:dyDescent="0.25">
      <c r="B27" t="s">
        <v>65</v>
      </c>
      <c r="D27" s="1">
        <f>D26-D25</f>
        <v>3.4085199999935867E-3</v>
      </c>
      <c r="G27" t="s">
        <v>61</v>
      </c>
      <c r="H27">
        <f>H24*$F$24</f>
        <v>8.5902029506202684E-4</v>
      </c>
      <c r="I27">
        <f t="shared" ref="I27:K27" si="19">I24*$F$24</f>
        <v>-6.9002743507702352E-4</v>
      </c>
      <c r="J27">
        <f t="shared" si="19"/>
        <v>1.0306159906061959E-4</v>
      </c>
      <c r="K27">
        <f t="shared" si="19"/>
        <v>-5.4041581814407897E-5</v>
      </c>
    </row>
    <row r="28" spans="2:26" x14ac:dyDescent="0.25">
      <c r="D28" s="3">
        <f>D27*$A$1</f>
        <v>8.9490692599831618</v>
      </c>
      <c r="H28">
        <f>$A$1*H27</f>
        <v>2.2553577846853514</v>
      </c>
      <c r="I28">
        <f t="shared" ref="I28:K28" si="20">$A$1*I27</f>
        <v>-1.8116670307947254</v>
      </c>
      <c r="J28">
        <f t="shared" si="20"/>
        <v>0.2705882283336567</v>
      </c>
      <c r="K28">
        <f t="shared" si="20"/>
        <v>-0.14188617305372794</v>
      </c>
      <c r="L28" t="s">
        <v>57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predict_norms</vt:lpstr>
      <vt:lpstr>p10_inclination_relax</vt:lpstr>
      <vt:lpstr>n10_inclination_relax</vt:lpstr>
      <vt:lpstr>opt_angle_relax</vt:lpstr>
      <vt:lpstr>opt_angle_no_relax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Thomas Manz</cp:lastModifiedBy>
  <dcterms:created xsi:type="dcterms:W3CDTF">2023-12-01T01:47:01Z</dcterms:created>
  <dcterms:modified xsi:type="dcterms:W3CDTF">2025-01-20T21:56:46Z</dcterms:modified>
</cp:coreProperties>
</file>