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dihedral_potentials\ESI_01_20_2024\torsion_mode_analysis\using_DT_projectors\"/>
    </mc:Choice>
  </mc:AlternateContent>
  <xr:revisionPtr revIDLastSave="0" documentId="13_ncr:1_{8130E38D-27F6-477B-8942-9E738B314EF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chart" sheetId="7" r:id="rId1"/>
    <sheet name="predict_norms" sheetId="8" r:id="rId2"/>
    <sheet name="p10_inclination_relax" sheetId="6" r:id="rId3"/>
    <sheet name="n10_inclination_relax" sheetId="5" r:id="rId4"/>
    <sheet name="opt_angle_relax" sheetId="4" r:id="rId5"/>
    <sheet name="opt_angle_no_relax" sheetId="1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2" i="4" l="1"/>
  <c r="AA22" i="4"/>
  <c r="AB21" i="4"/>
  <c r="AA21" i="4"/>
  <c r="AB20" i="4"/>
  <c r="AA20" i="4"/>
  <c r="AB19" i="4"/>
  <c r="AA19" i="4"/>
  <c r="AB18" i="4"/>
  <c r="AA18" i="4"/>
  <c r="AB17" i="4"/>
  <c r="AA17" i="4"/>
  <c r="AB16" i="4"/>
  <c r="AA16" i="4"/>
  <c r="AB15" i="4"/>
  <c r="AA15" i="4"/>
  <c r="AB14" i="4"/>
  <c r="AA14" i="4"/>
  <c r="AB13" i="4"/>
  <c r="AA13" i="4"/>
  <c r="AB12" i="4"/>
  <c r="AA12" i="4"/>
  <c r="AB11" i="4"/>
  <c r="AA11" i="4"/>
  <c r="AB10" i="4"/>
  <c r="AA10" i="4"/>
  <c r="AB9" i="4"/>
  <c r="AB3" i="4" s="1"/>
  <c r="AA9" i="4"/>
  <c r="AA3" i="4" s="1"/>
  <c r="AB8" i="4"/>
  <c r="AA8" i="4"/>
  <c r="AB7" i="4"/>
  <c r="AA7" i="4"/>
  <c r="AB6" i="4"/>
  <c r="AA6" i="4"/>
  <c r="AB5" i="4"/>
  <c r="AA5" i="4"/>
  <c r="AB22" i="1"/>
  <c r="AA22" i="1"/>
  <c r="AB21" i="1"/>
  <c r="AA21" i="1"/>
  <c r="AB20" i="1"/>
  <c r="AA20" i="1"/>
  <c r="AB19" i="1"/>
  <c r="AA19" i="1"/>
  <c r="AB18" i="1"/>
  <c r="AA18" i="1"/>
  <c r="AB17" i="1"/>
  <c r="AA17" i="1"/>
  <c r="AB16" i="1"/>
  <c r="AA16" i="1"/>
  <c r="AB15" i="1"/>
  <c r="AA15" i="1"/>
  <c r="AB14" i="1"/>
  <c r="AA14" i="1"/>
  <c r="AB13" i="1"/>
  <c r="AA13" i="1"/>
  <c r="AB12" i="1"/>
  <c r="AA12" i="1"/>
  <c r="AB11" i="1"/>
  <c r="AA11" i="1"/>
  <c r="AB10" i="1"/>
  <c r="AA10" i="1"/>
  <c r="AB9" i="1"/>
  <c r="AA9" i="1"/>
  <c r="AB8" i="1"/>
  <c r="AA8" i="1"/>
  <c r="AB7" i="1"/>
  <c r="AA7" i="1"/>
  <c r="AB6" i="1"/>
  <c r="AA6" i="1"/>
  <c r="AB5" i="1"/>
  <c r="AB3" i="1" s="1"/>
  <c r="AA5" i="1"/>
  <c r="AA3" i="1" s="1"/>
  <c r="I28" i="6"/>
  <c r="N27" i="6"/>
  <c r="N28" i="6" s="1"/>
  <c r="M27" i="6"/>
  <c r="M28" i="6" s="1"/>
  <c r="L27" i="6"/>
  <c r="L28" i="6" s="1"/>
  <c r="K27" i="6"/>
  <c r="K28" i="6" s="1"/>
  <c r="J27" i="6"/>
  <c r="J28" i="6" s="1"/>
  <c r="I27" i="6"/>
  <c r="H27" i="6"/>
  <c r="H28" i="6" s="1"/>
  <c r="N28" i="5"/>
  <c r="M28" i="5"/>
  <c r="N27" i="5"/>
  <c r="M27" i="5"/>
  <c r="L27" i="5"/>
  <c r="L28" i="5" s="1"/>
  <c r="K27" i="5"/>
  <c r="K28" i="5" s="1"/>
  <c r="J27" i="5"/>
  <c r="J28" i="5" s="1"/>
  <c r="I27" i="5"/>
  <c r="I28" i="5" s="1"/>
  <c r="H27" i="5"/>
  <c r="H28" i="5" s="1"/>
  <c r="D11" i="8"/>
  <c r="E11" i="8" s="1"/>
  <c r="G11" i="8" s="1"/>
  <c r="B11" i="8"/>
  <c r="C11" i="8" s="1"/>
  <c r="F11" i="8" s="1"/>
  <c r="D10" i="8"/>
  <c r="E10" i="8" s="1"/>
  <c r="G10" i="8" s="1"/>
  <c r="B10" i="8"/>
  <c r="C10" i="8" s="1"/>
  <c r="F10" i="8" s="1"/>
  <c r="D9" i="8"/>
  <c r="E9" i="8" s="1"/>
  <c r="G9" i="8" s="1"/>
  <c r="B9" i="8"/>
  <c r="C9" i="8" s="1"/>
  <c r="F9" i="8" s="1"/>
  <c r="AD3" i="4" l="1"/>
  <c r="AD3" i="1"/>
  <c r="O11" i="8"/>
  <c r="W11" i="8" s="1"/>
  <c r="M11" i="8"/>
  <c r="U11" i="8" s="1"/>
  <c r="L11" i="8"/>
  <c r="T11" i="8" s="1"/>
  <c r="N11" i="8"/>
  <c r="V11" i="8" s="1"/>
  <c r="K11" i="8"/>
  <c r="S11" i="8" s="1"/>
  <c r="J11" i="8"/>
  <c r="R11" i="8" s="1"/>
  <c r="I11" i="8"/>
  <c r="Q11" i="8" s="1"/>
  <c r="H11" i="8"/>
  <c r="P11" i="8" s="1"/>
  <c r="N9" i="8"/>
  <c r="V9" i="8" s="1"/>
  <c r="O9" i="8"/>
  <c r="W9" i="8" s="1"/>
  <c r="M9" i="8"/>
  <c r="U9" i="8" s="1"/>
  <c r="L9" i="8"/>
  <c r="T9" i="8" s="1"/>
  <c r="K10" i="8"/>
  <c r="S10" i="8" s="1"/>
  <c r="J10" i="8"/>
  <c r="R10" i="8" s="1"/>
  <c r="I10" i="8"/>
  <c r="Q10" i="8" s="1"/>
  <c r="H10" i="8"/>
  <c r="P10" i="8" s="1"/>
  <c r="K9" i="8"/>
  <c r="S9" i="8" s="1"/>
  <c r="I9" i="8"/>
  <c r="Q9" i="8" s="1"/>
  <c r="H9" i="8"/>
  <c r="P9" i="8" s="1"/>
  <c r="J9" i="8"/>
  <c r="R9" i="8" s="1"/>
  <c r="M10" i="8"/>
  <c r="U10" i="8" s="1"/>
  <c r="O10" i="8"/>
  <c r="W10" i="8" s="1"/>
  <c r="N10" i="8"/>
  <c r="V10" i="8" s="1"/>
  <c r="L10" i="8"/>
  <c r="T10" i="8" s="1"/>
  <c r="E5" i="8"/>
  <c r="C5" i="8"/>
  <c r="E4" i="8"/>
  <c r="C4" i="8"/>
  <c r="E3" i="8"/>
  <c r="C3" i="8"/>
  <c r="B23" i="1"/>
  <c r="C23" i="1" s="1"/>
  <c r="B22" i="1"/>
  <c r="B21" i="1"/>
  <c r="B20" i="1"/>
  <c r="B19" i="1"/>
  <c r="B18" i="1"/>
  <c r="B17" i="1"/>
  <c r="B16" i="1"/>
  <c r="B15" i="1"/>
  <c r="B23" i="4"/>
  <c r="C23" i="4" s="1"/>
  <c r="B22" i="4"/>
  <c r="B21" i="4"/>
  <c r="B20" i="4"/>
  <c r="B19" i="4"/>
  <c r="B18" i="4"/>
  <c r="B17" i="4"/>
  <c r="B16" i="4"/>
  <c r="B15" i="4"/>
  <c r="D4" i="6"/>
  <c r="D4" i="5"/>
  <c r="G3" i="8" l="1"/>
  <c r="H5" i="8"/>
  <c r="F3" i="8"/>
  <c r="I3" i="8"/>
  <c r="F4" i="8"/>
  <c r="F5" i="8"/>
  <c r="I5" i="8"/>
  <c r="G5" i="8"/>
  <c r="H4" i="8"/>
  <c r="I4" i="8"/>
  <c r="H3" i="8"/>
  <c r="G4" i="8"/>
  <c r="D26" i="6"/>
  <c r="D24" i="6"/>
  <c r="E6" i="6" s="1"/>
  <c r="D22" i="6"/>
  <c r="C22" i="6"/>
  <c r="D21" i="6"/>
  <c r="C21" i="6"/>
  <c r="D20" i="6"/>
  <c r="C20" i="6"/>
  <c r="D19" i="6"/>
  <c r="C19" i="6"/>
  <c r="D18" i="6"/>
  <c r="C18" i="6"/>
  <c r="D17" i="6"/>
  <c r="C17" i="6"/>
  <c r="D16" i="6"/>
  <c r="C16" i="6"/>
  <c r="D15" i="6"/>
  <c r="C15" i="6"/>
  <c r="D25" i="6"/>
  <c r="C14" i="6"/>
  <c r="C13" i="6"/>
  <c r="C12" i="6"/>
  <c r="C11" i="6"/>
  <c r="C10" i="6"/>
  <c r="C9" i="6"/>
  <c r="C8" i="6"/>
  <c r="C7" i="6"/>
  <c r="C6" i="6"/>
  <c r="C5" i="6"/>
  <c r="C4" i="6"/>
  <c r="D22" i="5"/>
  <c r="C22" i="5"/>
  <c r="D21" i="5"/>
  <c r="C21" i="5"/>
  <c r="D20" i="5"/>
  <c r="C20" i="5"/>
  <c r="D19" i="5"/>
  <c r="C19" i="5"/>
  <c r="D18" i="5"/>
  <c r="C18" i="5"/>
  <c r="D17" i="5"/>
  <c r="C17" i="5"/>
  <c r="D16" i="5"/>
  <c r="C16" i="5"/>
  <c r="D15" i="5"/>
  <c r="C15" i="5"/>
  <c r="D25" i="5"/>
  <c r="C14" i="5"/>
  <c r="C13" i="5"/>
  <c r="C12" i="5"/>
  <c r="C11" i="5"/>
  <c r="C10" i="5"/>
  <c r="C9" i="5"/>
  <c r="C8" i="5"/>
  <c r="C7" i="5"/>
  <c r="C6" i="5"/>
  <c r="C5" i="5"/>
  <c r="C4" i="5"/>
  <c r="D22" i="4"/>
  <c r="C22" i="4"/>
  <c r="D21" i="4"/>
  <c r="C21" i="4"/>
  <c r="D20" i="4"/>
  <c r="C20" i="4"/>
  <c r="D19" i="4"/>
  <c r="C19" i="4"/>
  <c r="D18" i="4"/>
  <c r="C18" i="4"/>
  <c r="D17" i="4"/>
  <c r="C17" i="4"/>
  <c r="D16" i="4"/>
  <c r="C16" i="4"/>
  <c r="D15" i="4"/>
  <c r="C15" i="4"/>
  <c r="D14" i="4"/>
  <c r="C14" i="4"/>
  <c r="C13" i="4"/>
  <c r="C12" i="4"/>
  <c r="C11" i="4"/>
  <c r="C10" i="4"/>
  <c r="C9" i="4"/>
  <c r="C8" i="4"/>
  <c r="C7" i="4"/>
  <c r="C6" i="4"/>
  <c r="C5" i="4"/>
  <c r="C4" i="4"/>
  <c r="Z17" i="4" l="1"/>
  <c r="Z18" i="4"/>
  <c r="Z19" i="4"/>
  <c r="Z14" i="4"/>
  <c r="Z23" i="4" s="1"/>
  <c r="D24" i="4"/>
  <c r="E4" i="4" s="1"/>
  <c r="Z22" i="4"/>
  <c r="E9" i="6"/>
  <c r="F9" i="6" s="1"/>
  <c r="E17" i="6"/>
  <c r="F17" i="6" s="1"/>
  <c r="E18" i="6"/>
  <c r="F18" i="6" s="1"/>
  <c r="E11" i="6"/>
  <c r="F11" i="6" s="1"/>
  <c r="E4" i="6"/>
  <c r="E19" i="6"/>
  <c r="F19" i="6" s="1"/>
  <c r="E20" i="6"/>
  <c r="F20" i="6" s="1"/>
  <c r="E7" i="6"/>
  <c r="F7" i="6" s="1"/>
  <c r="E15" i="6"/>
  <c r="F15" i="6" s="1"/>
  <c r="E21" i="6"/>
  <c r="F21" i="6" s="1"/>
  <c r="E8" i="6"/>
  <c r="F8" i="6" s="1"/>
  <c r="E16" i="6"/>
  <c r="F16" i="6" s="1"/>
  <c r="E22" i="6"/>
  <c r="F22" i="6" s="1"/>
  <c r="D27" i="6"/>
  <c r="D28" i="6" s="1"/>
  <c r="F6" i="6"/>
  <c r="E5" i="6"/>
  <c r="E13" i="6"/>
  <c r="E14" i="6"/>
  <c r="E12" i="6"/>
  <c r="E10" i="6"/>
  <c r="D24" i="5"/>
  <c r="D26" i="5"/>
  <c r="D27" i="5" s="1"/>
  <c r="D28" i="5" s="1"/>
  <c r="D25" i="4"/>
  <c r="Z21" i="4" s="1"/>
  <c r="E22" i="4"/>
  <c r="F22" i="4" s="1"/>
  <c r="E17" i="4"/>
  <c r="F17" i="4" s="1"/>
  <c r="E18" i="4"/>
  <c r="F18" i="4" s="1"/>
  <c r="E16" i="4"/>
  <c r="E20" i="4"/>
  <c r="F20" i="4" s="1"/>
  <c r="E15" i="4"/>
  <c r="F15" i="4" s="1"/>
  <c r="F16" i="4"/>
  <c r="E5" i="4"/>
  <c r="E13" i="4"/>
  <c r="E14" i="4"/>
  <c r="E11" i="4"/>
  <c r="E10" i="4"/>
  <c r="E9" i="4"/>
  <c r="E8" i="4"/>
  <c r="D26" i="4"/>
  <c r="E7" i="4"/>
  <c r="D1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4" i="1"/>
  <c r="D22" i="1"/>
  <c r="D21" i="1"/>
  <c r="D20" i="1"/>
  <c r="D19" i="1"/>
  <c r="D18" i="1"/>
  <c r="D17" i="1"/>
  <c r="D16" i="1"/>
  <c r="D15" i="1"/>
  <c r="Z18" i="1" l="1"/>
  <c r="Z15" i="4"/>
  <c r="D26" i="1"/>
  <c r="E12" i="4"/>
  <c r="E19" i="4"/>
  <c r="F19" i="4" s="1"/>
  <c r="E6" i="4"/>
  <c r="Z7" i="4"/>
  <c r="Z6" i="4"/>
  <c r="Z8" i="4"/>
  <c r="Z5" i="4"/>
  <c r="Z13" i="4"/>
  <c r="Z12" i="4"/>
  <c r="Z11" i="4"/>
  <c r="Z10" i="4"/>
  <c r="Z9" i="4"/>
  <c r="Z20" i="4"/>
  <c r="E21" i="4"/>
  <c r="F21" i="4" s="1"/>
  <c r="Z16" i="4"/>
  <c r="F12" i="6"/>
  <c r="F13" i="6"/>
  <c r="F5" i="6"/>
  <c r="F14" i="6"/>
  <c r="F10" i="6"/>
  <c r="E6" i="5"/>
  <c r="E7" i="5"/>
  <c r="E4" i="5"/>
  <c r="E20" i="5"/>
  <c r="E13" i="5"/>
  <c r="E8" i="5"/>
  <c r="E12" i="5"/>
  <c r="E22" i="5"/>
  <c r="E17" i="5"/>
  <c r="E9" i="5"/>
  <c r="E21" i="5"/>
  <c r="E15" i="5"/>
  <c r="E10" i="5"/>
  <c r="E18" i="5"/>
  <c r="E11" i="5"/>
  <c r="E16" i="5"/>
  <c r="E5" i="5"/>
  <c r="E19" i="5"/>
  <c r="E14" i="5"/>
  <c r="D27" i="4"/>
  <c r="D28" i="4" s="1"/>
  <c r="F12" i="4"/>
  <c r="F5" i="4"/>
  <c r="F6" i="4"/>
  <c r="F8" i="4"/>
  <c r="F13" i="4"/>
  <c r="F7" i="4"/>
  <c r="F14" i="4"/>
  <c r="F9" i="4"/>
  <c r="F10" i="4"/>
  <c r="F11" i="4"/>
  <c r="D25" i="1"/>
  <c r="Z16" i="1" s="1"/>
  <c r="D24" i="1"/>
  <c r="E17" i="1" s="1"/>
  <c r="F17" i="1" s="1"/>
  <c r="Z17" i="1" l="1"/>
  <c r="Z22" i="1"/>
  <c r="Z14" i="1"/>
  <c r="Z23" i="1" s="1"/>
  <c r="Z15" i="1"/>
  <c r="Z20" i="1"/>
  <c r="D27" i="1"/>
  <c r="D28" i="1" s="1"/>
  <c r="Z13" i="1"/>
  <c r="Z12" i="1"/>
  <c r="Z11" i="1"/>
  <c r="Z10" i="1"/>
  <c r="Z9" i="1"/>
  <c r="Z7" i="1"/>
  <c r="Z8" i="1"/>
  <c r="Z6" i="1"/>
  <c r="Z5" i="1"/>
  <c r="Z21" i="1"/>
  <c r="Z19" i="1"/>
  <c r="F24" i="6"/>
  <c r="F22" i="5"/>
  <c r="F14" i="5"/>
  <c r="F12" i="5"/>
  <c r="F9" i="5"/>
  <c r="F13" i="5"/>
  <c r="F15" i="5"/>
  <c r="F19" i="5"/>
  <c r="F8" i="5"/>
  <c r="F5" i="5"/>
  <c r="F16" i="5"/>
  <c r="F20" i="5"/>
  <c r="F17" i="5"/>
  <c r="F7" i="5"/>
  <c r="F21" i="5"/>
  <c r="F11" i="5"/>
  <c r="F18" i="5"/>
  <c r="F10" i="5"/>
  <c r="F6" i="5"/>
  <c r="F24" i="4"/>
  <c r="E9" i="1"/>
  <c r="F9" i="1" s="1"/>
  <c r="E10" i="1"/>
  <c r="F10" i="1" s="1"/>
  <c r="E11" i="1"/>
  <c r="F11" i="1" s="1"/>
  <c r="E4" i="1"/>
  <c r="E12" i="1"/>
  <c r="F12" i="1" s="1"/>
  <c r="E13" i="1"/>
  <c r="F13" i="1" s="1"/>
  <c r="E14" i="1"/>
  <c r="F14" i="1" s="1"/>
  <c r="E5" i="1"/>
  <c r="F5" i="1" s="1"/>
  <c r="E6" i="1"/>
  <c r="F6" i="1" s="1"/>
  <c r="E7" i="1"/>
  <c r="F7" i="1" s="1"/>
  <c r="E8" i="1"/>
  <c r="F8" i="1" s="1"/>
  <c r="E22" i="1"/>
  <c r="F22" i="1" s="1"/>
  <c r="E20" i="1"/>
  <c r="F20" i="1" s="1"/>
  <c r="E18" i="1"/>
  <c r="F18" i="1" s="1"/>
  <c r="E16" i="1"/>
  <c r="F16" i="1" s="1"/>
  <c r="E15" i="1"/>
  <c r="F15" i="1" s="1"/>
  <c r="E21" i="1"/>
  <c r="F21" i="1" s="1"/>
  <c r="E19" i="1"/>
  <c r="F19" i="1" s="1"/>
  <c r="F24" i="5" l="1"/>
  <c r="F25" i="5" s="1"/>
  <c r="F31" i="5" s="1"/>
  <c r="G11" i="6"/>
  <c r="F25" i="6"/>
  <c r="F30" i="6" s="1"/>
  <c r="G6" i="6"/>
  <c r="G18" i="6"/>
  <c r="G19" i="6"/>
  <c r="G20" i="6"/>
  <c r="G17" i="6"/>
  <c r="G22" i="6"/>
  <c r="G9" i="6"/>
  <c r="G15" i="6"/>
  <c r="G7" i="6"/>
  <c r="G21" i="6"/>
  <c r="G16" i="6"/>
  <c r="G8" i="6"/>
  <c r="G5" i="6"/>
  <c r="G10" i="6"/>
  <c r="G12" i="6"/>
  <c r="G14" i="6"/>
  <c r="G13" i="6"/>
  <c r="F25" i="4"/>
  <c r="G19" i="4"/>
  <c r="G21" i="4"/>
  <c r="G16" i="4"/>
  <c r="G20" i="4"/>
  <c r="G22" i="4"/>
  <c r="G18" i="4"/>
  <c r="G15" i="4"/>
  <c r="G17" i="4"/>
  <c r="G12" i="4"/>
  <c r="G14" i="4"/>
  <c r="G5" i="4"/>
  <c r="G9" i="4"/>
  <c r="G6" i="4"/>
  <c r="G11" i="4"/>
  <c r="G7" i="4"/>
  <c r="G10" i="4"/>
  <c r="G8" i="4"/>
  <c r="G13" i="4"/>
  <c r="F24" i="1"/>
  <c r="G10" i="1" l="1"/>
  <c r="F25" i="1"/>
  <c r="G16" i="5"/>
  <c r="N16" i="5" s="1"/>
  <c r="G21" i="5"/>
  <c r="L21" i="5" s="1"/>
  <c r="G17" i="5"/>
  <c r="M17" i="5" s="1"/>
  <c r="G9" i="5"/>
  <c r="M9" i="5" s="1"/>
  <c r="G22" i="5"/>
  <c r="H22" i="5" s="1"/>
  <c r="G11" i="5"/>
  <c r="J11" i="5" s="1"/>
  <c r="G18" i="5"/>
  <c r="J18" i="5" s="1"/>
  <c r="G14" i="5"/>
  <c r="N14" i="5" s="1"/>
  <c r="G13" i="5"/>
  <c r="H13" i="5" s="1"/>
  <c r="G20" i="5"/>
  <c r="H20" i="5" s="1"/>
  <c r="G10" i="5"/>
  <c r="I10" i="5" s="1"/>
  <c r="G8" i="5"/>
  <c r="J8" i="5" s="1"/>
  <c r="G6" i="5"/>
  <c r="N6" i="5" s="1"/>
  <c r="G15" i="5"/>
  <c r="N15" i="5" s="1"/>
  <c r="G7" i="5"/>
  <c r="M7" i="5" s="1"/>
  <c r="G19" i="5"/>
  <c r="M19" i="5" s="1"/>
  <c r="G12" i="5"/>
  <c r="N12" i="5" s="1"/>
  <c r="G5" i="5"/>
  <c r="J5" i="5" s="1"/>
  <c r="N7" i="6"/>
  <c r="I7" i="6"/>
  <c r="L7" i="6"/>
  <c r="J7" i="6"/>
  <c r="H7" i="6"/>
  <c r="K7" i="6"/>
  <c r="M7" i="6"/>
  <c r="N21" i="6"/>
  <c r="I21" i="6"/>
  <c r="H21" i="6"/>
  <c r="L21" i="6"/>
  <c r="K21" i="6"/>
  <c r="J21" i="6"/>
  <c r="M21" i="6"/>
  <c r="I13" i="6"/>
  <c r="N13" i="6"/>
  <c r="K13" i="6"/>
  <c r="H13" i="6"/>
  <c r="J13" i="6"/>
  <c r="M13" i="6"/>
  <c r="L13" i="6"/>
  <c r="I17" i="6"/>
  <c r="N17" i="6"/>
  <c r="J17" i="6"/>
  <c r="M17" i="6"/>
  <c r="H17" i="6"/>
  <c r="L17" i="6"/>
  <c r="K17" i="6"/>
  <c r="N9" i="6"/>
  <c r="K9" i="6"/>
  <c r="H9" i="6"/>
  <c r="J9" i="6"/>
  <c r="M9" i="6"/>
  <c r="L9" i="6"/>
  <c r="I9" i="6"/>
  <c r="N14" i="6"/>
  <c r="I14" i="6"/>
  <c r="J14" i="6"/>
  <c r="L14" i="6"/>
  <c r="H14" i="6"/>
  <c r="K14" i="6"/>
  <c r="M14" i="6"/>
  <c r="N20" i="6"/>
  <c r="I20" i="6"/>
  <c r="L20" i="6"/>
  <c r="J20" i="6"/>
  <c r="K20" i="6"/>
  <c r="M20" i="6"/>
  <c r="H20" i="6"/>
  <c r="N11" i="6"/>
  <c r="J11" i="6"/>
  <c r="L11" i="6"/>
  <c r="H11" i="6"/>
  <c r="K11" i="6"/>
  <c r="M11" i="6"/>
  <c r="I11" i="6"/>
  <c r="N15" i="6"/>
  <c r="I15" i="6"/>
  <c r="H15" i="6"/>
  <c r="M15" i="6"/>
  <c r="J15" i="6"/>
  <c r="K15" i="6"/>
  <c r="L15" i="6"/>
  <c r="N22" i="6"/>
  <c r="I22" i="6"/>
  <c r="K22" i="6"/>
  <c r="M22" i="6"/>
  <c r="H22" i="6"/>
  <c r="L22" i="6"/>
  <c r="J22" i="6"/>
  <c r="H12" i="6"/>
  <c r="N12" i="6"/>
  <c r="I12" i="6"/>
  <c r="M12" i="6"/>
  <c r="L12" i="6"/>
  <c r="K12" i="6"/>
  <c r="J12" i="6"/>
  <c r="I19" i="6"/>
  <c r="N19" i="6"/>
  <c r="L19" i="6"/>
  <c r="K19" i="6"/>
  <c r="J19" i="6"/>
  <c r="H19" i="6"/>
  <c r="M19" i="6"/>
  <c r="N8" i="6"/>
  <c r="K8" i="6"/>
  <c r="I8" i="6"/>
  <c r="M8" i="6"/>
  <c r="J8" i="6"/>
  <c r="L8" i="6"/>
  <c r="H8" i="6"/>
  <c r="N16" i="6"/>
  <c r="I16" i="6"/>
  <c r="L16" i="6"/>
  <c r="J16" i="6"/>
  <c r="H16" i="6"/>
  <c r="M16" i="6"/>
  <c r="K16" i="6"/>
  <c r="N10" i="6"/>
  <c r="J10" i="6"/>
  <c r="H10" i="6"/>
  <c r="L10" i="6"/>
  <c r="K10" i="6"/>
  <c r="I10" i="6"/>
  <c r="M10" i="6"/>
  <c r="I18" i="6"/>
  <c r="N18" i="6"/>
  <c r="K18" i="6"/>
  <c r="J18" i="6"/>
  <c r="H18" i="6"/>
  <c r="M18" i="6"/>
  <c r="L18" i="6"/>
  <c r="M5" i="6"/>
  <c r="N5" i="6"/>
  <c r="I5" i="6"/>
  <c r="J5" i="6"/>
  <c r="H5" i="6"/>
  <c r="L5" i="6"/>
  <c r="K5" i="6"/>
  <c r="N6" i="6"/>
  <c r="J6" i="6"/>
  <c r="L6" i="6"/>
  <c r="K6" i="6"/>
  <c r="I6" i="6"/>
  <c r="H6" i="6"/>
  <c r="M6" i="6"/>
  <c r="L17" i="5"/>
  <c r="L16" i="5"/>
  <c r="K15" i="5"/>
  <c r="N22" i="5"/>
  <c r="K22" i="5"/>
  <c r="H21" i="5"/>
  <c r="I21" i="5"/>
  <c r="J21" i="5"/>
  <c r="N21" i="4"/>
  <c r="H21" i="4"/>
  <c r="K21" i="4"/>
  <c r="L21" i="4"/>
  <c r="I21" i="4"/>
  <c r="J21" i="4"/>
  <c r="M21" i="4"/>
  <c r="H6" i="4"/>
  <c r="N6" i="4"/>
  <c r="I6" i="4"/>
  <c r="J6" i="4"/>
  <c r="L6" i="4"/>
  <c r="M6" i="4"/>
  <c r="K6" i="4"/>
  <c r="L9" i="4"/>
  <c r="N9" i="4"/>
  <c r="K9" i="4"/>
  <c r="J9" i="4"/>
  <c r="I9" i="4"/>
  <c r="M9" i="4"/>
  <c r="H9" i="4"/>
  <c r="N5" i="4"/>
  <c r="H5" i="4"/>
  <c r="L5" i="4"/>
  <c r="J5" i="4"/>
  <c r="K5" i="4"/>
  <c r="M5" i="4"/>
  <c r="I5" i="4"/>
  <c r="N17" i="4"/>
  <c r="H17" i="4"/>
  <c r="J17" i="4"/>
  <c r="K17" i="4"/>
  <c r="L17" i="4"/>
  <c r="M17" i="4"/>
  <c r="I17" i="4"/>
  <c r="L10" i="4"/>
  <c r="N10" i="4"/>
  <c r="M10" i="4"/>
  <c r="K10" i="4"/>
  <c r="H10" i="4"/>
  <c r="I10" i="4"/>
  <c r="J10" i="4"/>
  <c r="M11" i="4"/>
  <c r="N11" i="4"/>
  <c r="L11" i="4"/>
  <c r="J11" i="4"/>
  <c r="I11" i="4"/>
  <c r="H11" i="4"/>
  <c r="K11" i="4"/>
  <c r="N19" i="4"/>
  <c r="K19" i="4"/>
  <c r="L19" i="4"/>
  <c r="M19" i="4"/>
  <c r="H19" i="4"/>
  <c r="J19" i="4"/>
  <c r="I19" i="4"/>
  <c r="N14" i="4"/>
  <c r="M14" i="4"/>
  <c r="H14" i="4"/>
  <c r="K14" i="4"/>
  <c r="L14" i="4"/>
  <c r="I14" i="4"/>
  <c r="J14" i="4"/>
  <c r="M12" i="4"/>
  <c r="N12" i="4"/>
  <c r="K12" i="4"/>
  <c r="L12" i="4"/>
  <c r="I12" i="4"/>
  <c r="H12" i="4"/>
  <c r="J12" i="4"/>
  <c r="N15" i="4"/>
  <c r="M15" i="4"/>
  <c r="L15" i="4"/>
  <c r="H15" i="4"/>
  <c r="K15" i="4"/>
  <c r="J15" i="4"/>
  <c r="I15" i="4"/>
  <c r="N13" i="4"/>
  <c r="L13" i="4"/>
  <c r="H13" i="4"/>
  <c r="I13" i="4"/>
  <c r="K13" i="4"/>
  <c r="M13" i="4"/>
  <c r="J13" i="4"/>
  <c r="N18" i="4"/>
  <c r="L18" i="4"/>
  <c r="M18" i="4"/>
  <c r="H18" i="4"/>
  <c r="J18" i="4"/>
  <c r="I18" i="4"/>
  <c r="K18" i="4"/>
  <c r="I8" i="4"/>
  <c r="N8" i="4"/>
  <c r="K8" i="4"/>
  <c r="J8" i="4"/>
  <c r="L8" i="4"/>
  <c r="H8" i="4"/>
  <c r="M8" i="4"/>
  <c r="N22" i="4"/>
  <c r="K22" i="4"/>
  <c r="H22" i="4"/>
  <c r="J22" i="4"/>
  <c r="I22" i="4"/>
  <c r="L22" i="4"/>
  <c r="M22" i="4"/>
  <c r="N20" i="4"/>
  <c r="K20" i="4"/>
  <c r="I20" i="4"/>
  <c r="L20" i="4"/>
  <c r="M20" i="4"/>
  <c r="H20" i="4"/>
  <c r="J20" i="4"/>
  <c r="J7" i="4"/>
  <c r="H7" i="4"/>
  <c r="N7" i="4"/>
  <c r="I7" i="4"/>
  <c r="L7" i="4"/>
  <c r="K7" i="4"/>
  <c r="M7" i="4"/>
  <c r="N16" i="4"/>
  <c r="H16" i="4"/>
  <c r="L16" i="4"/>
  <c r="K16" i="4"/>
  <c r="M16" i="4"/>
  <c r="J16" i="4"/>
  <c r="I16" i="4"/>
  <c r="G13" i="1"/>
  <c r="M10" i="1"/>
  <c r="L10" i="1"/>
  <c r="N10" i="1"/>
  <c r="G9" i="1"/>
  <c r="G19" i="1"/>
  <c r="G17" i="1"/>
  <c r="G15" i="1"/>
  <c r="G12" i="1"/>
  <c r="G20" i="1"/>
  <c r="G8" i="1"/>
  <c r="G18" i="1"/>
  <c r="G6" i="1"/>
  <c r="G14" i="1"/>
  <c r="G16" i="1"/>
  <c r="G21" i="1"/>
  <c r="G11" i="1"/>
  <c r="G7" i="1"/>
  <c r="G22" i="1"/>
  <c r="G5" i="1"/>
  <c r="J9" i="1" l="1"/>
  <c r="I9" i="1"/>
  <c r="H9" i="1"/>
  <c r="K9" i="1"/>
  <c r="I7" i="1"/>
  <c r="K7" i="1"/>
  <c r="J7" i="1"/>
  <c r="H7" i="1"/>
  <c r="J19" i="1"/>
  <c r="H19" i="1"/>
  <c r="I19" i="1"/>
  <c r="K19" i="1"/>
  <c r="H21" i="1"/>
  <c r="I21" i="1"/>
  <c r="K21" i="1"/>
  <c r="J21" i="1"/>
  <c r="I14" i="1"/>
  <c r="H14" i="1"/>
  <c r="K14" i="1"/>
  <c r="J14" i="1"/>
  <c r="K16" i="1"/>
  <c r="J16" i="1"/>
  <c r="I16" i="1"/>
  <c r="H16" i="1"/>
  <c r="J6" i="1"/>
  <c r="H6" i="1"/>
  <c r="I6" i="1"/>
  <c r="K6" i="1"/>
  <c r="N13" i="1"/>
  <c r="H13" i="1"/>
  <c r="K13" i="1"/>
  <c r="J13" i="1"/>
  <c r="I13" i="1"/>
  <c r="J14" i="5"/>
  <c r="H14" i="5"/>
  <c r="H18" i="1"/>
  <c r="I18" i="1"/>
  <c r="K18" i="1"/>
  <c r="J18" i="1"/>
  <c r="K8" i="1"/>
  <c r="H8" i="1"/>
  <c r="I8" i="1"/>
  <c r="J8" i="1"/>
  <c r="I20" i="1"/>
  <c r="J20" i="1"/>
  <c r="H20" i="1"/>
  <c r="K20" i="1"/>
  <c r="H12" i="1"/>
  <c r="I12" i="1"/>
  <c r="K12" i="1"/>
  <c r="J12" i="1"/>
  <c r="I11" i="1"/>
  <c r="K11" i="1"/>
  <c r="H11" i="1"/>
  <c r="J11" i="1"/>
  <c r="H5" i="1"/>
  <c r="J5" i="1"/>
  <c r="I5" i="1"/>
  <c r="K5" i="1"/>
  <c r="K15" i="1"/>
  <c r="H15" i="1"/>
  <c r="I15" i="1"/>
  <c r="J15" i="1"/>
  <c r="J22" i="1"/>
  <c r="I22" i="1"/>
  <c r="H22" i="1"/>
  <c r="K22" i="1"/>
  <c r="H17" i="1"/>
  <c r="K17" i="1"/>
  <c r="J17" i="1"/>
  <c r="I17" i="1"/>
  <c r="H10" i="1"/>
  <c r="K10" i="1"/>
  <c r="I10" i="1"/>
  <c r="J10" i="1"/>
  <c r="K24" i="6"/>
  <c r="K25" i="6" s="1"/>
  <c r="J7" i="5"/>
  <c r="I9" i="5"/>
  <c r="L9" i="5"/>
  <c r="N9" i="5"/>
  <c r="K7" i="5"/>
  <c r="J15" i="5"/>
  <c r="H17" i="5"/>
  <c r="K21" i="5"/>
  <c r="N17" i="5"/>
  <c r="N21" i="5"/>
  <c r="H19" i="5"/>
  <c r="L7" i="5"/>
  <c r="I15" i="5"/>
  <c r="H7" i="5"/>
  <c r="M21" i="5"/>
  <c r="I7" i="5"/>
  <c r="M15" i="5"/>
  <c r="I16" i="5"/>
  <c r="K9" i="5"/>
  <c r="M18" i="5"/>
  <c r="L11" i="5"/>
  <c r="H9" i="5"/>
  <c r="J9" i="5"/>
  <c r="K8" i="5"/>
  <c r="H6" i="5"/>
  <c r="I6" i="5"/>
  <c r="L13" i="5"/>
  <c r="N13" i="5"/>
  <c r="M16" i="5"/>
  <c r="K16" i="5"/>
  <c r="I14" i="5"/>
  <c r="H18" i="5"/>
  <c r="L14" i="5"/>
  <c r="N18" i="5"/>
  <c r="M14" i="5"/>
  <c r="I17" i="5"/>
  <c r="N7" i="5"/>
  <c r="K17" i="5"/>
  <c r="H8" i="5"/>
  <c r="J16" i="5"/>
  <c r="J17" i="5"/>
  <c r="L8" i="5"/>
  <c r="H16" i="5"/>
  <c r="L22" i="5"/>
  <c r="K12" i="5"/>
  <c r="L12" i="5"/>
  <c r="J22" i="5"/>
  <c r="K13" i="5"/>
  <c r="K14" i="5"/>
  <c r="M22" i="5"/>
  <c r="J19" i="5"/>
  <c r="I22" i="5"/>
  <c r="I13" i="5"/>
  <c r="N5" i="5"/>
  <c r="J10" i="5"/>
  <c r="N20" i="5"/>
  <c r="M10" i="5"/>
  <c r="H10" i="5"/>
  <c r="K10" i="5"/>
  <c r="L10" i="5"/>
  <c r="K20" i="5"/>
  <c r="N10" i="5"/>
  <c r="I8" i="5"/>
  <c r="M20" i="5"/>
  <c r="I18" i="5"/>
  <c r="M13" i="5"/>
  <c r="N8" i="5"/>
  <c r="J20" i="5"/>
  <c r="L18" i="5"/>
  <c r="L20" i="5"/>
  <c r="J13" i="5"/>
  <c r="M8" i="5"/>
  <c r="I20" i="5"/>
  <c r="K18" i="5"/>
  <c r="L6" i="5"/>
  <c r="N11" i="5"/>
  <c r="I19" i="5"/>
  <c r="I5" i="5"/>
  <c r="M6" i="5"/>
  <c r="N19" i="5"/>
  <c r="J6" i="5"/>
  <c r="K6" i="5"/>
  <c r="M12" i="5"/>
  <c r="M11" i="5"/>
  <c r="H15" i="5"/>
  <c r="H5" i="5"/>
  <c r="I12" i="5"/>
  <c r="K11" i="5"/>
  <c r="M5" i="5"/>
  <c r="H12" i="5"/>
  <c r="L5" i="5"/>
  <c r="J12" i="5"/>
  <c r="I11" i="5"/>
  <c r="K19" i="5"/>
  <c r="H11" i="5"/>
  <c r="L19" i="5"/>
  <c r="L15" i="5"/>
  <c r="K5" i="5"/>
  <c r="J24" i="6"/>
  <c r="J25" i="6" s="1"/>
  <c r="H24" i="6"/>
  <c r="H25" i="6" s="1"/>
  <c r="I24" i="6"/>
  <c r="I25" i="6" s="1"/>
  <c r="M24" i="6"/>
  <c r="M25" i="6" s="1"/>
  <c r="N24" i="6"/>
  <c r="N25" i="6" s="1"/>
  <c r="L24" i="6"/>
  <c r="L25" i="6" s="1"/>
  <c r="L24" i="4"/>
  <c r="H24" i="4"/>
  <c r="N24" i="4"/>
  <c r="I24" i="4"/>
  <c r="M24" i="4"/>
  <c r="K24" i="4"/>
  <c r="J24" i="4"/>
  <c r="L13" i="1"/>
  <c r="M13" i="1"/>
  <c r="L6" i="1"/>
  <c r="N6" i="1"/>
  <c r="M6" i="1"/>
  <c r="N21" i="1"/>
  <c r="L21" i="1"/>
  <c r="M21" i="1"/>
  <c r="L16" i="1"/>
  <c r="M16" i="1"/>
  <c r="N16" i="1"/>
  <c r="M14" i="1"/>
  <c r="N14" i="1"/>
  <c r="L14" i="1"/>
  <c r="N20" i="1"/>
  <c r="M20" i="1"/>
  <c r="L20" i="1"/>
  <c r="M9" i="1"/>
  <c r="N9" i="1"/>
  <c r="L9" i="1"/>
  <c r="M12" i="1"/>
  <c r="N12" i="1"/>
  <c r="L12" i="1"/>
  <c r="M5" i="1"/>
  <c r="L5" i="1"/>
  <c r="N5" i="1"/>
  <c r="L15" i="1"/>
  <c r="M15" i="1"/>
  <c r="N15" i="1"/>
  <c r="L18" i="1"/>
  <c r="N18" i="1"/>
  <c r="M18" i="1"/>
  <c r="N8" i="1"/>
  <c r="M8" i="1"/>
  <c r="L8" i="1"/>
  <c r="M22" i="1"/>
  <c r="L22" i="1"/>
  <c r="N22" i="1"/>
  <c r="N17" i="1"/>
  <c r="L17" i="1"/>
  <c r="M17" i="1"/>
  <c r="N7" i="1"/>
  <c r="L7" i="1"/>
  <c r="M7" i="1"/>
  <c r="N19" i="1"/>
  <c r="L19" i="1"/>
  <c r="M19" i="1"/>
  <c r="M11" i="1"/>
  <c r="N11" i="1"/>
  <c r="L11" i="1"/>
  <c r="L25" i="4" l="1"/>
  <c r="L27" i="4"/>
  <c r="L28" i="4" s="1"/>
  <c r="H15" i="8" s="1"/>
  <c r="H25" i="4"/>
  <c r="H27" i="4"/>
  <c r="H28" i="4" s="1"/>
  <c r="D15" i="8" s="1"/>
  <c r="L15" i="8" s="1"/>
  <c r="N25" i="4"/>
  <c r="N27" i="4"/>
  <c r="N28" i="4" s="1"/>
  <c r="J15" i="8" s="1"/>
  <c r="P15" i="8" s="1"/>
  <c r="J25" i="4"/>
  <c r="J27" i="4"/>
  <c r="J28" i="4" s="1"/>
  <c r="F15" i="8" s="1"/>
  <c r="N15" i="8" s="1"/>
  <c r="K25" i="4"/>
  <c r="K27" i="4"/>
  <c r="K28" i="4" s="1"/>
  <c r="G15" i="8" s="1"/>
  <c r="O15" i="8" s="1"/>
  <c r="M25" i="4"/>
  <c r="M27" i="4"/>
  <c r="M28" i="4" s="1"/>
  <c r="I15" i="8" s="1"/>
  <c r="I25" i="4"/>
  <c r="G25" i="4" s="1"/>
  <c r="I27" i="4"/>
  <c r="I28" i="4" s="1"/>
  <c r="E15" i="8" s="1"/>
  <c r="M15" i="8" s="1"/>
  <c r="J24" i="5"/>
  <c r="J25" i="5" s="1"/>
  <c r="H24" i="5"/>
  <c r="H25" i="5" s="1"/>
  <c r="K24" i="5"/>
  <c r="K25" i="5" s="1"/>
  <c r="N24" i="5"/>
  <c r="N25" i="5" s="1"/>
  <c r="L24" i="5"/>
  <c r="L25" i="5" s="1"/>
  <c r="I24" i="5"/>
  <c r="I25" i="5" s="1"/>
  <c r="M24" i="5"/>
  <c r="M25" i="5" s="1"/>
  <c r="G25" i="6"/>
  <c r="M24" i="1"/>
  <c r="J24" i="1"/>
  <c r="I24" i="1"/>
  <c r="K24" i="1"/>
  <c r="N24" i="1"/>
  <c r="L24" i="1"/>
  <c r="H24" i="1"/>
  <c r="Q15" i="8" l="1"/>
  <c r="U15" i="8" s="1"/>
  <c r="V15" i="8" s="1"/>
  <c r="S15" i="8"/>
  <c r="N16" i="8"/>
  <c r="N17" i="8"/>
  <c r="P16" i="8"/>
  <c r="P17" i="8"/>
  <c r="L17" i="8"/>
  <c r="L16" i="8"/>
  <c r="O17" i="8"/>
  <c r="O16" i="8"/>
  <c r="M17" i="8"/>
  <c r="M16" i="8"/>
  <c r="R15" i="8"/>
  <c r="J25" i="1"/>
  <c r="J27" i="1"/>
  <c r="J28" i="1" s="1"/>
  <c r="L25" i="1"/>
  <c r="L27" i="1"/>
  <c r="L28" i="1" s="1"/>
  <c r="M25" i="1"/>
  <c r="M27" i="1"/>
  <c r="M28" i="1" s="1"/>
  <c r="N25" i="1"/>
  <c r="N27" i="1"/>
  <c r="N28" i="1" s="1"/>
  <c r="H25" i="1"/>
  <c r="H27" i="1"/>
  <c r="H28" i="1" s="1"/>
  <c r="K25" i="1"/>
  <c r="K27" i="1"/>
  <c r="K28" i="1" s="1"/>
  <c r="I25" i="1"/>
  <c r="I27" i="1"/>
  <c r="I28" i="1" s="1"/>
  <c r="Q15" i="4"/>
  <c r="Q12" i="4"/>
  <c r="Q9" i="4"/>
  <c r="Q6" i="4"/>
  <c r="Q21" i="4"/>
  <c r="Q18" i="4"/>
  <c r="Q22" i="4"/>
  <c r="Q19" i="4"/>
  <c r="Q16" i="4"/>
  <c r="Q13" i="4"/>
  <c r="Q10" i="4"/>
  <c r="Q7" i="4"/>
  <c r="Q20" i="4"/>
  <c r="Q17" i="4"/>
  <c r="Q14" i="4"/>
  <c r="Q23" i="4" s="1"/>
  <c r="Q11" i="4"/>
  <c r="Q8" i="4"/>
  <c r="Q5" i="4"/>
  <c r="T22" i="4"/>
  <c r="T19" i="4"/>
  <c r="T16" i="4"/>
  <c r="T13" i="4"/>
  <c r="T10" i="4"/>
  <c r="T7" i="4"/>
  <c r="T14" i="4"/>
  <c r="T23" i="4" s="1"/>
  <c r="T8" i="4"/>
  <c r="T20" i="4"/>
  <c r="T17" i="4"/>
  <c r="T11" i="4"/>
  <c r="T5" i="4"/>
  <c r="T21" i="4"/>
  <c r="T18" i="4"/>
  <c r="T15" i="4"/>
  <c r="T12" i="4"/>
  <c r="T9" i="4"/>
  <c r="T6" i="4"/>
  <c r="U19" i="4"/>
  <c r="U16" i="4"/>
  <c r="U13" i="4"/>
  <c r="U10" i="4"/>
  <c r="U7" i="4"/>
  <c r="U22" i="4"/>
  <c r="U20" i="4"/>
  <c r="U17" i="4"/>
  <c r="U14" i="4"/>
  <c r="U23" i="4" s="1"/>
  <c r="U11" i="4"/>
  <c r="U8" i="4"/>
  <c r="U5" i="4"/>
  <c r="U21" i="4"/>
  <c r="U18" i="4"/>
  <c r="U15" i="4"/>
  <c r="U12" i="4"/>
  <c r="U9" i="4"/>
  <c r="U6" i="4"/>
  <c r="R20" i="4"/>
  <c r="R5" i="4"/>
  <c r="R21" i="4"/>
  <c r="R18" i="4"/>
  <c r="R15" i="4"/>
  <c r="R12" i="4"/>
  <c r="R9" i="4"/>
  <c r="R6" i="4"/>
  <c r="R11" i="4"/>
  <c r="R17" i="4"/>
  <c r="R22" i="4"/>
  <c r="R19" i="4"/>
  <c r="R16" i="4"/>
  <c r="R13" i="4"/>
  <c r="R10" i="4"/>
  <c r="R7" i="4"/>
  <c r="R14" i="4"/>
  <c r="R23" i="4" s="1"/>
  <c r="R8" i="4"/>
  <c r="P21" i="4"/>
  <c r="P18" i="4"/>
  <c r="P15" i="4"/>
  <c r="P12" i="4"/>
  <c r="P9" i="4"/>
  <c r="P6" i="4"/>
  <c r="P19" i="4"/>
  <c r="P13" i="4"/>
  <c r="P7" i="4"/>
  <c r="P10" i="4"/>
  <c r="P22" i="4"/>
  <c r="P16" i="4"/>
  <c r="P20" i="4"/>
  <c r="P17" i="4"/>
  <c r="P14" i="4"/>
  <c r="P23" i="4" s="1"/>
  <c r="P11" i="4"/>
  <c r="P8" i="4"/>
  <c r="P5" i="4"/>
  <c r="S21" i="4"/>
  <c r="S18" i="4"/>
  <c r="S15" i="4"/>
  <c r="S12" i="4"/>
  <c r="S9" i="4"/>
  <c r="S6" i="4"/>
  <c r="S22" i="4"/>
  <c r="S19" i="4"/>
  <c r="S16" i="4"/>
  <c r="S13" i="4"/>
  <c r="S10" i="4"/>
  <c r="S7" i="4"/>
  <c r="S17" i="4"/>
  <c r="S14" i="4"/>
  <c r="S23" i="4" s="1"/>
  <c r="S11" i="4"/>
  <c r="S8" i="4"/>
  <c r="S20" i="4"/>
  <c r="S5" i="4"/>
  <c r="V22" i="4"/>
  <c r="V19" i="4"/>
  <c r="V16" i="4"/>
  <c r="V13" i="4"/>
  <c r="V10" i="4"/>
  <c r="V7" i="4"/>
  <c r="V15" i="4"/>
  <c r="V9" i="4"/>
  <c r="V20" i="4"/>
  <c r="V17" i="4"/>
  <c r="V14" i="4"/>
  <c r="V23" i="4" s="1"/>
  <c r="V11" i="4"/>
  <c r="V8" i="4"/>
  <c r="V5" i="4"/>
  <c r="V21" i="4"/>
  <c r="V12" i="4"/>
  <c r="V6" i="4"/>
  <c r="V18" i="4"/>
  <c r="G25" i="5"/>
  <c r="G25" i="1"/>
  <c r="X9" i="4" l="1"/>
  <c r="X6" i="4"/>
  <c r="X16" i="4"/>
  <c r="X22" i="4"/>
  <c r="R17" i="8"/>
  <c r="R16" i="8"/>
  <c r="S16" i="8"/>
  <c r="S17" i="8"/>
  <c r="Q17" i="8"/>
  <c r="Q16" i="8"/>
  <c r="P20" i="1"/>
  <c r="P17" i="1"/>
  <c r="P14" i="1"/>
  <c r="P11" i="1"/>
  <c r="P8" i="1"/>
  <c r="P5" i="1"/>
  <c r="P21" i="1"/>
  <c r="P18" i="1"/>
  <c r="P15" i="1"/>
  <c r="P12" i="1"/>
  <c r="P9" i="1"/>
  <c r="P6" i="1"/>
  <c r="P22" i="1"/>
  <c r="P19" i="1"/>
  <c r="P16" i="1"/>
  <c r="P13" i="1"/>
  <c r="P10" i="1"/>
  <c r="P7" i="1"/>
  <c r="P23" i="1"/>
  <c r="V21" i="1"/>
  <c r="V18" i="1"/>
  <c r="V15" i="1"/>
  <c r="V12" i="1"/>
  <c r="V9" i="1"/>
  <c r="V6" i="1"/>
  <c r="V22" i="1"/>
  <c r="V20" i="1"/>
  <c r="V16" i="1"/>
  <c r="V10" i="1"/>
  <c r="V14" i="1"/>
  <c r="V5" i="1"/>
  <c r="V19" i="1"/>
  <c r="V13" i="1"/>
  <c r="V7" i="1"/>
  <c r="V17" i="1"/>
  <c r="V11" i="1"/>
  <c r="V8" i="1"/>
  <c r="V23" i="1"/>
  <c r="U21" i="1"/>
  <c r="U18" i="1"/>
  <c r="U15" i="1"/>
  <c r="U12" i="1"/>
  <c r="U9" i="1"/>
  <c r="U6" i="1"/>
  <c r="U8" i="1"/>
  <c r="U22" i="1"/>
  <c r="U19" i="1"/>
  <c r="U16" i="1"/>
  <c r="U13" i="1"/>
  <c r="U10" i="1"/>
  <c r="U7" i="1"/>
  <c r="U20" i="1"/>
  <c r="U14" i="1"/>
  <c r="U17" i="1"/>
  <c r="U11" i="1"/>
  <c r="U5" i="1"/>
  <c r="U23" i="1"/>
  <c r="T23" i="1"/>
  <c r="T21" i="1"/>
  <c r="T18" i="1"/>
  <c r="T15" i="1"/>
  <c r="T12" i="1"/>
  <c r="T9" i="1"/>
  <c r="T6" i="1"/>
  <c r="T22" i="1"/>
  <c r="T19" i="1"/>
  <c r="T16" i="1"/>
  <c r="T13" i="1"/>
  <c r="T10" i="1"/>
  <c r="T7" i="1"/>
  <c r="T20" i="1"/>
  <c r="T17" i="1"/>
  <c r="T14" i="1"/>
  <c r="T11" i="1"/>
  <c r="T8" i="1"/>
  <c r="T5" i="1"/>
  <c r="S21" i="1"/>
  <c r="S18" i="1"/>
  <c r="S15" i="1"/>
  <c r="S12" i="1"/>
  <c r="S9" i="1"/>
  <c r="S6" i="1"/>
  <c r="S22" i="1"/>
  <c r="S19" i="1"/>
  <c r="S16" i="1"/>
  <c r="S13" i="1"/>
  <c r="S10" i="1"/>
  <c r="S7" i="1"/>
  <c r="S20" i="1"/>
  <c r="S17" i="1"/>
  <c r="S14" i="1"/>
  <c r="S11" i="1"/>
  <c r="S8" i="1"/>
  <c r="S5" i="1"/>
  <c r="S23" i="1"/>
  <c r="Q16" i="1"/>
  <c r="Q20" i="1"/>
  <c r="Q17" i="1"/>
  <c r="Q14" i="1"/>
  <c r="Q11" i="1"/>
  <c r="Q8" i="1"/>
  <c r="Q5" i="1"/>
  <c r="Q22" i="1"/>
  <c r="Q19" i="1"/>
  <c r="Q13" i="1"/>
  <c r="Q21" i="1"/>
  <c r="Q18" i="1"/>
  <c r="Q15" i="1"/>
  <c r="Q12" i="1"/>
  <c r="Q9" i="1"/>
  <c r="Q6" i="1"/>
  <c r="Q7" i="1"/>
  <c r="Q10" i="1"/>
  <c r="Q23" i="1"/>
  <c r="R20" i="1"/>
  <c r="R17" i="1"/>
  <c r="R14" i="1"/>
  <c r="R11" i="1"/>
  <c r="R8" i="1"/>
  <c r="R5" i="1"/>
  <c r="R18" i="1"/>
  <c r="R15" i="1"/>
  <c r="R12" i="1"/>
  <c r="R9" i="1"/>
  <c r="R10" i="1"/>
  <c r="R21" i="1"/>
  <c r="R6" i="1"/>
  <c r="R16" i="1"/>
  <c r="R7" i="1"/>
  <c r="R22" i="1"/>
  <c r="R19" i="1"/>
  <c r="R13" i="1"/>
  <c r="R23" i="1"/>
  <c r="X8" i="4"/>
  <c r="X14" i="4"/>
  <c r="X23" i="4" s="1"/>
  <c r="X19" i="4"/>
  <c r="X17" i="4"/>
  <c r="X20" i="4"/>
  <c r="X21" i="4"/>
  <c r="X7" i="4"/>
  <c r="X18" i="4"/>
  <c r="X15" i="4"/>
  <c r="X13" i="4"/>
  <c r="X10" i="4"/>
  <c r="X5" i="4"/>
  <c r="X11" i="4"/>
  <c r="X12" i="4"/>
  <c r="U17" i="8" l="1"/>
  <c r="V17" i="8" s="1"/>
  <c r="U16" i="8"/>
  <c r="V16" i="8" s="1"/>
  <c r="X22" i="1"/>
  <c r="X16" i="1"/>
  <c r="X10" i="1"/>
  <c r="X9" i="1"/>
  <c r="X15" i="1"/>
  <c r="X8" i="1"/>
  <c r="X18" i="1"/>
  <c r="X23" i="1"/>
  <c r="X21" i="1"/>
  <c r="X12" i="1"/>
  <c r="X20" i="1"/>
  <c r="X7" i="1"/>
  <c r="X5" i="1"/>
  <c r="X13" i="1"/>
  <c r="X11" i="1"/>
  <c r="X14" i="1"/>
  <c r="X19" i="1"/>
  <c r="X6" i="1"/>
  <c r="X17" i="1"/>
</calcChain>
</file>

<file path=xl/sharedStrings.xml><?xml version="1.0" encoding="utf-8"?>
<sst xmlns="http://schemas.openxmlformats.org/spreadsheetml/2006/main" count="148" uniqueCount="68">
  <si>
    <t>dihedral</t>
  </si>
  <si>
    <t>energy</t>
  </si>
  <si>
    <t>opt</t>
  </si>
  <si>
    <t>E-Eavg</t>
  </si>
  <si>
    <t>avg</t>
  </si>
  <si>
    <t>min</t>
  </si>
  <si>
    <t>max</t>
  </si>
  <si>
    <t>m=1</t>
  </si>
  <si>
    <t>radians</t>
  </si>
  <si>
    <t>norm_E-Eavg</t>
  </si>
  <si>
    <t>coeffs--&gt;</t>
  </si>
  <si>
    <t>m=2</t>
  </si>
  <si>
    <t>m=3</t>
  </si>
  <si>
    <t>m=4</t>
  </si>
  <si>
    <t>angle</t>
  </si>
  <si>
    <t>pred (kJ/mol)</t>
  </si>
  <si>
    <t>sum</t>
  </si>
  <si>
    <t>tanh_multiplier</t>
  </si>
  <si>
    <t>predicted modal results for the inclined angles</t>
  </si>
  <si>
    <t>angle_1(constrained)</t>
  </si>
  <si>
    <t>angle_2</t>
  </si>
  <si>
    <t>cos(theta_1/2)</t>
  </si>
  <si>
    <t>cos(theta_2/2)</t>
  </si>
  <si>
    <t>pred_norm_ratio</t>
  </si>
  <si>
    <t>equilibrium structure</t>
  </si>
  <si>
    <t>n10_inclination_relax</t>
  </si>
  <si>
    <t>p10_inclination_relax</t>
  </si>
  <si>
    <t>kangal_A</t>
  </si>
  <si>
    <t>kangal_B</t>
  </si>
  <si>
    <t>arg1_A</t>
  </si>
  <si>
    <t>arg2_A</t>
  </si>
  <si>
    <t>arg3_A</t>
  </si>
  <si>
    <t>arg4_A</t>
  </si>
  <si>
    <t>arg1_B</t>
  </si>
  <si>
    <t>arg2_B</t>
  </si>
  <si>
    <t>arg3_B</t>
  </si>
  <si>
    <t>arg4_B</t>
  </si>
  <si>
    <t>f1_A</t>
  </si>
  <si>
    <t>f2_A</t>
  </si>
  <si>
    <t>f3_A</t>
  </si>
  <si>
    <t>f4_A</t>
  </si>
  <si>
    <t>f1_B</t>
  </si>
  <si>
    <t>f2_B</t>
  </si>
  <si>
    <t>f3_B</t>
  </si>
  <si>
    <t>f4_B</t>
  </si>
  <si>
    <t>mode_1</t>
  </si>
  <si>
    <t>mode_2</t>
  </si>
  <si>
    <t>mode_3</t>
  </si>
  <si>
    <t>mode_4</t>
  </si>
  <si>
    <t>sin_1</t>
  </si>
  <si>
    <t>sin_2</t>
  </si>
  <si>
    <t>sin_3</t>
  </si>
  <si>
    <t>sin_4</t>
  </si>
  <si>
    <t>am10</t>
  </si>
  <si>
    <t>ap10</t>
  </si>
  <si>
    <t>mode_1_ratio</t>
  </si>
  <si>
    <t>mode_2_ratio</t>
  </si>
  <si>
    <t>mode_3_ratio</t>
  </si>
  <si>
    <t>mode_4_ratio</t>
  </si>
  <si>
    <t>coefficients</t>
  </si>
  <si>
    <t>predicted_norm</t>
  </si>
  <si>
    <t>kJ/mol</t>
  </si>
  <si>
    <t>QM</t>
  </si>
  <si>
    <t>full coeffs</t>
  </si>
  <si>
    <t>SST</t>
  </si>
  <si>
    <t>SSE</t>
  </si>
  <si>
    <t>R-squared</t>
  </si>
  <si>
    <t>barrier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</si>
</sst>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rgb="FF000000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2" fontId="0" fillId="0" borderId="0" xfId="0" applyNumberFormat="1"/>
    <xf numFmtId="164" fontId="0" fillId="0" borderId="0" xfId="0" applyNumberFormat="1"/>
    <xf numFmtId="0" fontId="3" fillId="0" borderId="0" xfId="0" applyFont="1"/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IF</a:t>
            </a:r>
            <a:r>
              <a:rPr lang="en-US" sz="2800" baseline="-25000">
                <a:solidFill>
                  <a:schemeClr val="tx1"/>
                </a:solidFill>
              </a:rPr>
              <a:t>3</a:t>
            </a:r>
            <a:r>
              <a:rPr lang="en-US" sz="2800">
                <a:solidFill>
                  <a:schemeClr val="tx1"/>
                </a:solidFill>
              </a:rPr>
              <a:t>ClOH</a:t>
            </a:r>
          </a:p>
        </c:rich>
      </c:tx>
      <c:layout>
        <c:manualLayout>
          <c:xMode val="edge"/>
          <c:yMode val="edge"/>
          <c:x val="0.47724017871641372"/>
          <c:y val="4.6418028454263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predicted 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(opt_angle_no_relax!$B$23,opt_angle_no_relax!$B$15:$B$22,opt_angle_no_relax!$B$5:$B$14)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(opt_angle_no_relax!$X$23,opt_angle_no_relax!$X$15:$X$22,opt_angle_no_relax!$X$5:$X$14)</c:f>
              <c:numCache>
                <c:formatCode>General</c:formatCode>
                <c:ptCount val="19"/>
                <c:pt idx="0">
                  <c:v>1.0401463468394347E-7</c:v>
                </c:pt>
                <c:pt idx="1">
                  <c:v>1.1483595520428813</c:v>
                </c:pt>
                <c:pt idx="2">
                  <c:v>3.826166915535826</c:v>
                </c:pt>
                <c:pt idx="3">
                  <c:v>6.5042888079086598</c:v>
                </c:pt>
                <c:pt idx="4">
                  <c:v>8.2265399889974518</c:v>
                </c:pt>
                <c:pt idx="5">
                  <c:v>8.9513350168443804</c:v>
                </c:pt>
                <c:pt idx="6">
                  <c:v>8.9282713344113134</c:v>
                </c:pt>
                <c:pt idx="7">
                  <c:v>8.3306380445454629</c:v>
                </c:pt>
                <c:pt idx="8">
                  <c:v>7.5261485646749895</c:v>
                </c:pt>
                <c:pt idx="9">
                  <c:v>7.1444541841959124</c:v>
                </c:pt>
                <c:pt idx="10">
                  <c:v>7.5258371648976112</c:v>
                </c:pt>
                <c:pt idx="11">
                  <c:v>8.3306248465732615</c:v>
                </c:pt>
                <c:pt idx="12">
                  <c:v>8.9286254451734592</c:v>
                </c:pt>
                <c:pt idx="13">
                  <c:v>8.9513723407191144</c:v>
                </c:pt>
                <c:pt idx="14">
                  <c:v>8.2260628968542004</c:v>
                </c:pt>
                <c:pt idx="15">
                  <c:v>6.5041707710099459</c:v>
                </c:pt>
                <c:pt idx="16">
                  <c:v>3.8270635555113959</c:v>
                </c:pt>
                <c:pt idx="17">
                  <c:v>1.1494724062312653</c:v>
                </c:pt>
                <c:pt idx="18">
                  <c:v>1.0401463468378779E-7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0B6-49BC-8E2B-4AF2FB3CAB7C}"/>
            </c:ext>
          </c:extLst>
        </c:ser>
        <c:ser>
          <c:idx val="1"/>
          <c:order val="1"/>
          <c:tx>
            <c:v>QM unrelaxed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xVal>
            <c:numRef>
              <c:f>opt_angle_no_relax!$B$5:$B$23</c:f>
              <c:numCache>
                <c:formatCode>General</c:formatCode>
                <c:ptCount val="1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-160</c:v>
                </c:pt>
                <c:pt idx="11">
                  <c:v>-140</c:v>
                </c:pt>
                <c:pt idx="12">
                  <c:v>-120</c:v>
                </c:pt>
                <c:pt idx="13">
                  <c:v>-100</c:v>
                </c:pt>
                <c:pt idx="14">
                  <c:v>-80</c:v>
                </c:pt>
                <c:pt idx="15">
                  <c:v>-60</c:v>
                </c:pt>
                <c:pt idx="16">
                  <c:v>-40</c:v>
                </c:pt>
                <c:pt idx="17">
                  <c:v>-20</c:v>
                </c:pt>
                <c:pt idx="18">
                  <c:v>-180</c:v>
                </c:pt>
              </c:numCache>
            </c:numRef>
          </c:xVal>
          <c:yVal>
            <c:numRef>
              <c:f>opt_angle_no_relax!$Z$5:$Z$23</c:f>
              <c:numCache>
                <c:formatCode>General</c:formatCode>
                <c:ptCount val="19"/>
                <c:pt idx="0">
                  <c:v>7.092551955261797</c:v>
                </c:pt>
                <c:pt idx="1">
                  <c:v>7.544558035051864</c:v>
                </c:pt>
                <c:pt idx="2">
                  <c:v>8.3732971099145743</c:v>
                </c:pt>
                <c:pt idx="3">
                  <c:v>8.8853746301977026</c:v>
                </c:pt>
                <c:pt idx="4">
                  <c:v>8.9490692599831618</c:v>
                </c:pt>
                <c:pt idx="5">
                  <c:v>8.262238460165122</c:v>
                </c:pt>
                <c:pt idx="6">
                  <c:v>6.4877417754396447</c:v>
                </c:pt>
                <c:pt idx="7">
                  <c:v>3.8206276000247499</c:v>
                </c:pt>
                <c:pt idx="8">
                  <c:v>1.1583180901379819</c:v>
                </c:pt>
                <c:pt idx="9">
                  <c:v>0</c:v>
                </c:pt>
                <c:pt idx="10">
                  <c:v>1.1583180901379819</c:v>
                </c:pt>
                <c:pt idx="11">
                  <c:v>3.8206276000247499</c:v>
                </c:pt>
                <c:pt idx="12">
                  <c:v>6.4877417754396447</c:v>
                </c:pt>
                <c:pt idx="13">
                  <c:v>8.262238460165122</c:v>
                </c:pt>
                <c:pt idx="14">
                  <c:v>8.9490692599831618</c:v>
                </c:pt>
                <c:pt idx="15">
                  <c:v>8.8853746301977026</c:v>
                </c:pt>
                <c:pt idx="16">
                  <c:v>8.3732971099145743</c:v>
                </c:pt>
                <c:pt idx="17">
                  <c:v>7.544558035051864</c:v>
                </c:pt>
                <c:pt idx="1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0B6-49BC-8E2B-4AF2FB3CAB7C}"/>
            </c:ext>
          </c:extLst>
        </c:ser>
        <c:ser>
          <c:idx val="2"/>
          <c:order val="2"/>
          <c:tx>
            <c:v>predicted relaxed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(opt_angle_relax!$B$23,opt_angle_relax!$B$15:$B$22,opt_angle_relax!$B$5:$B$14)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(opt_angle_relax!$X$23,opt_angle_relax!$X$15:$X$22,opt_angle_relax!$X$5:$X$14)</c:f>
              <c:numCache>
                <c:formatCode>General</c:formatCode>
                <c:ptCount val="19"/>
                <c:pt idx="0">
                  <c:v>8.7682206312126926E-8</c:v>
                </c:pt>
                <c:pt idx="1">
                  <c:v>0.8937553094451538</c:v>
                </c:pt>
                <c:pt idx="2">
                  <c:v>2.2898784281239144</c:v>
                </c:pt>
                <c:pt idx="3">
                  <c:v>2.3336493888173133</c:v>
                </c:pt>
                <c:pt idx="4">
                  <c:v>1.403559939265095</c:v>
                </c:pt>
                <c:pt idx="5">
                  <c:v>1.2875038164345431</c:v>
                </c:pt>
                <c:pt idx="6">
                  <c:v>2.2252406435064369</c:v>
                </c:pt>
                <c:pt idx="7">
                  <c:v>2.653405900946491</c:v>
                </c:pt>
                <c:pt idx="8">
                  <c:v>1.9103890405591004</c:v>
                </c:pt>
                <c:pt idx="9">
                  <c:v>1.3210380857763222</c:v>
                </c:pt>
                <c:pt idx="10">
                  <c:v>1.9101265369238771</c:v>
                </c:pt>
                <c:pt idx="11">
                  <c:v>2.653394775326201</c:v>
                </c:pt>
                <c:pt idx="12">
                  <c:v>2.2255391516271454</c:v>
                </c:pt>
                <c:pt idx="13">
                  <c:v>1.2875352796965995</c:v>
                </c:pt>
                <c:pt idx="14">
                  <c:v>1.40315776035863</c:v>
                </c:pt>
                <c:pt idx="15">
                  <c:v>2.3335498861289539</c:v>
                </c:pt>
                <c:pt idx="16">
                  <c:v>2.2906342772611632</c:v>
                </c:pt>
                <c:pt idx="17">
                  <c:v>0.8946934227359874</c:v>
                </c:pt>
                <c:pt idx="18">
                  <c:v>8.7682206312126926E-8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0B6-49BC-8E2B-4AF2FB3CAB7C}"/>
            </c:ext>
          </c:extLst>
        </c:ser>
        <c:ser>
          <c:idx val="3"/>
          <c:order val="3"/>
          <c:tx>
            <c:v>QM relaxed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xVal>
            <c:numRef>
              <c:f>opt_angle_relax!$B$5:$B$23</c:f>
              <c:numCache>
                <c:formatCode>General</c:formatCode>
                <c:ptCount val="1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-160</c:v>
                </c:pt>
                <c:pt idx="11">
                  <c:v>-140</c:v>
                </c:pt>
                <c:pt idx="12">
                  <c:v>-120</c:v>
                </c:pt>
                <c:pt idx="13">
                  <c:v>-100</c:v>
                </c:pt>
                <c:pt idx="14">
                  <c:v>-80</c:v>
                </c:pt>
                <c:pt idx="15">
                  <c:v>-60</c:v>
                </c:pt>
                <c:pt idx="16">
                  <c:v>-40</c:v>
                </c:pt>
                <c:pt idx="17">
                  <c:v>-20</c:v>
                </c:pt>
                <c:pt idx="18">
                  <c:v>-180</c:v>
                </c:pt>
              </c:numCache>
            </c:numRef>
          </c:xVal>
          <c:yVal>
            <c:numRef>
              <c:f>opt_angle_relax!$Z$5:$Z$23</c:f>
              <c:numCache>
                <c:formatCode>General</c:formatCode>
                <c:ptCount val="19"/>
                <c:pt idx="0">
                  <c:v>1.2912734099455747</c:v>
                </c:pt>
                <c:pt idx="1">
                  <c:v>1.952768135260385</c:v>
                </c:pt>
                <c:pt idx="2">
                  <c:v>2.6993815700438972</c:v>
                </c:pt>
                <c:pt idx="3">
                  <c:v>2.2051049401516138</c:v>
                </c:pt>
                <c:pt idx="4">
                  <c:v>1.3179747449348724</c:v>
                </c:pt>
                <c:pt idx="5">
                  <c:v>1.4462829299362738</c:v>
                </c:pt>
                <c:pt idx="6">
                  <c:v>2.3271644349717917</c:v>
                </c:pt>
                <c:pt idx="7">
                  <c:v>2.3164523954286551</c:v>
                </c:pt>
                <c:pt idx="8">
                  <c:v>0.92735285488834052</c:v>
                </c:pt>
                <c:pt idx="9">
                  <c:v>0</c:v>
                </c:pt>
                <c:pt idx="10">
                  <c:v>0.92735285488834052</c:v>
                </c:pt>
                <c:pt idx="11">
                  <c:v>2.3164523954286551</c:v>
                </c:pt>
                <c:pt idx="12">
                  <c:v>2.3271644349717917</c:v>
                </c:pt>
                <c:pt idx="13">
                  <c:v>1.4462829299362738</c:v>
                </c:pt>
                <c:pt idx="14">
                  <c:v>1.3179747449348724</c:v>
                </c:pt>
                <c:pt idx="15">
                  <c:v>2.2051049401516138</c:v>
                </c:pt>
                <c:pt idx="16">
                  <c:v>2.6993815700438972</c:v>
                </c:pt>
                <c:pt idx="17">
                  <c:v>1.952768135260385</c:v>
                </c:pt>
                <c:pt idx="1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0B6-49BC-8E2B-4AF2FB3CAB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057736"/>
        <c:axId val="591058520"/>
      </c:scatterChart>
      <c:valAx>
        <c:axId val="591057736"/>
        <c:scaling>
          <c:orientation val="minMax"/>
          <c:max val="180"/>
          <c:min val="-1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ClIOH dihedral</a:t>
                </a:r>
                <a:r>
                  <a:rPr lang="en-US" sz="2800" baseline="0">
                    <a:solidFill>
                      <a:schemeClr val="tx1"/>
                    </a:solidFill>
                  </a:rPr>
                  <a:t> angle (°)</a:t>
                </a:r>
                <a:endParaRPr lang="en-US" sz="28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058520"/>
        <c:crosses val="autoZero"/>
        <c:crossBetween val="midCat"/>
        <c:majorUnit val="90"/>
      </c:valAx>
      <c:valAx>
        <c:axId val="59105852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057736"/>
        <c:crossesAt val="-180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94DC2E8-DE25-21A1-445F-0E73F8D3DE0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0.30095</cdr:x>
      <cdr:y>0.41046</cdr:y>
    </cdr:from>
    <cdr:to>
      <cdr:x>0.83762</cdr:x>
      <cdr:y>0.61416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55F92676-CA08-FEC0-6D93-5B9E2383FC92}"/>
            </a:ext>
          </a:extLst>
        </cdr:cNvPr>
        <cdr:cNvSpPr txBox="1"/>
      </cdr:nvSpPr>
      <cdr:spPr>
        <a:xfrm xmlns:a="http://schemas.openxmlformats.org/drawingml/2006/main">
          <a:off x="2607511" y="2582445"/>
          <a:ext cx="4649932" cy="12815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>
              <a:solidFill>
                <a:schemeClr val="accent1"/>
              </a:solidFill>
            </a:rPr>
            <a:t>relaxed</a:t>
          </a:r>
          <a:r>
            <a:rPr lang="en-US" sz="2400" baseline="0">
              <a:solidFill>
                <a:schemeClr val="accent1"/>
              </a:solidFill>
            </a:rPr>
            <a:t> scan: </a:t>
          </a:r>
          <a:r>
            <a:rPr lang="en-US" sz="2400">
              <a:solidFill>
                <a:schemeClr val="accent1"/>
              </a:solidFill>
            </a:rPr>
            <a:t>R-squared = 0.9979</a:t>
          </a:r>
        </a:p>
        <a:p xmlns:a="http://schemas.openxmlformats.org/drawingml/2006/main">
          <a:r>
            <a:rPr lang="en-US" sz="2400">
              <a:solidFill>
                <a:schemeClr val="accent2"/>
              </a:solidFill>
            </a:rPr>
            <a:t>rigid scan: R-squared = 0.9999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17"/>
  <sheetViews>
    <sheetView workbookViewId="0"/>
  </sheetViews>
  <sheetFormatPr defaultRowHeight="15" x14ac:dyDescent="0.25"/>
  <cols>
    <col min="1" max="1" width="24.28515625" customWidth="1"/>
    <col min="2" max="2" width="20.85546875" customWidth="1"/>
    <col min="3" max="4" width="8.7109375" customWidth="1"/>
    <col min="6" max="7" width="13.85546875" customWidth="1"/>
    <col min="8" max="9" width="14" customWidth="1"/>
    <col min="10" max="10" width="10.140625" customWidth="1"/>
    <col min="11" max="11" width="11.85546875" customWidth="1"/>
    <col min="12" max="12" width="11.140625" customWidth="1"/>
    <col min="13" max="13" width="12" customWidth="1"/>
    <col min="15" max="16" width="10.42578125" customWidth="1"/>
    <col min="17" max="17" width="10.5703125" customWidth="1"/>
    <col min="18" max="18" width="12.28515625" customWidth="1"/>
    <col min="19" max="20" width="11.140625" customWidth="1"/>
    <col min="21" max="21" width="15.85546875" customWidth="1"/>
    <col min="22" max="22" width="16.28515625" customWidth="1"/>
    <col min="23" max="23" width="11.85546875" customWidth="1"/>
    <col min="24" max="24" width="13" customWidth="1"/>
    <col min="25" max="25" width="13.28515625" customWidth="1"/>
    <col min="26" max="26" width="16.140625" customWidth="1"/>
    <col min="28" max="28" width="16.7109375" customWidth="1"/>
    <col min="29" max="29" width="18.42578125" customWidth="1"/>
    <col min="30" max="30" width="12.7109375" bestFit="1" customWidth="1"/>
  </cols>
  <sheetData>
    <row r="1" spans="1:38" x14ac:dyDescent="0.25">
      <c r="A1" t="s">
        <v>17</v>
      </c>
      <c r="B1">
        <v>2.8158916161173799</v>
      </c>
    </row>
    <row r="2" spans="1:38" x14ac:dyDescent="0.25">
      <c r="B2" t="s">
        <v>19</v>
      </c>
      <c r="C2" t="s">
        <v>8</v>
      </c>
      <c r="D2" t="s">
        <v>20</v>
      </c>
      <c r="E2" t="s">
        <v>8</v>
      </c>
      <c r="F2" t="s">
        <v>55</v>
      </c>
      <c r="G2" t="s">
        <v>56</v>
      </c>
      <c r="H2" t="s">
        <v>57</v>
      </c>
      <c r="I2" t="s">
        <v>58</v>
      </c>
    </row>
    <row r="3" spans="1:38" x14ac:dyDescent="0.25">
      <c r="A3" t="s">
        <v>24</v>
      </c>
      <c r="B3">
        <v>107.07971999999999</v>
      </c>
      <c r="C3">
        <f>B3*PI()/180</f>
        <v>1.8688936761136223</v>
      </c>
      <c r="D3">
        <v>83.511189999999999</v>
      </c>
      <c r="E3">
        <f>D3*PI()/180</f>
        <v>1.4575452277585634</v>
      </c>
      <c r="F3">
        <f>P9*T9/(P$9*T$9)</f>
        <v>1</v>
      </c>
      <c r="G3">
        <f t="shared" ref="G3:I5" si="0">Q9*U9/(Q$9*U$9)</f>
        <v>1</v>
      </c>
      <c r="H3">
        <f t="shared" si="0"/>
        <v>1</v>
      </c>
      <c r="I3">
        <f t="shared" si="0"/>
        <v>1</v>
      </c>
      <c r="Y3" s="3"/>
      <c r="Z3" s="3"/>
    </row>
    <row r="4" spans="1:38" x14ac:dyDescent="0.25">
      <c r="A4" t="s">
        <v>25</v>
      </c>
      <c r="B4">
        <v>97.079719999999995</v>
      </c>
      <c r="C4">
        <f t="shared" ref="C4:C5" si="1">B4*PI()/180</f>
        <v>1.6943607509141894</v>
      </c>
      <c r="D4">
        <v>84.395570000000006</v>
      </c>
      <c r="E4">
        <f t="shared" ref="E4:E5" si="2">D4*PI()/180</f>
        <v>1.4729805705973509</v>
      </c>
      <c r="F4">
        <f t="shared" ref="F4:F5" si="3">P10*T10/(P$9*T$9)</f>
        <v>1.131307754077713</v>
      </c>
      <c r="G4">
        <f t="shared" si="0"/>
        <v>1.1454681979966854</v>
      </c>
      <c r="H4">
        <f t="shared" si="0"/>
        <v>1.1908758978919913</v>
      </c>
      <c r="I4">
        <f t="shared" si="0"/>
        <v>1.2678647043664386</v>
      </c>
      <c r="Y4" s="3"/>
      <c r="Z4" s="3"/>
    </row>
    <row r="5" spans="1:38" x14ac:dyDescent="0.25">
      <c r="A5" t="s">
        <v>26</v>
      </c>
      <c r="B5">
        <v>117.07971999999999</v>
      </c>
      <c r="C5">
        <f t="shared" si="1"/>
        <v>2.0434266013130555</v>
      </c>
      <c r="D5">
        <v>82.980739999999997</v>
      </c>
      <c r="E5">
        <f t="shared" si="2"/>
        <v>1.4482871287413595</v>
      </c>
      <c r="F5">
        <f t="shared" si="3"/>
        <v>0.83960145129716801</v>
      </c>
      <c r="G5">
        <f t="shared" si="0"/>
        <v>0.81787831344181028</v>
      </c>
      <c r="H5">
        <f t="shared" si="0"/>
        <v>0.76355626743536498</v>
      </c>
      <c r="I5">
        <f t="shared" si="0"/>
        <v>0.69160047296495875</v>
      </c>
      <c r="Y5" s="3"/>
      <c r="Z5" s="3"/>
    </row>
    <row r="7" spans="1:38" x14ac:dyDescent="0.25">
      <c r="F7" t="s">
        <v>27</v>
      </c>
      <c r="G7" t="s">
        <v>28</v>
      </c>
      <c r="AK7" s="3"/>
      <c r="AL7" s="3"/>
    </row>
    <row r="8" spans="1:38" x14ac:dyDescent="0.25">
      <c r="B8" t="s">
        <v>19</v>
      </c>
      <c r="C8" t="s">
        <v>8</v>
      </c>
      <c r="D8" t="s">
        <v>20</v>
      </c>
      <c r="E8" t="s">
        <v>8</v>
      </c>
      <c r="F8" t="s">
        <v>21</v>
      </c>
      <c r="G8" t="s">
        <v>22</v>
      </c>
      <c r="H8" t="s">
        <v>29</v>
      </c>
      <c r="I8" t="s">
        <v>30</v>
      </c>
      <c r="J8" t="s">
        <v>31</v>
      </c>
      <c r="K8" t="s">
        <v>32</v>
      </c>
      <c r="L8" t="s">
        <v>33</v>
      </c>
      <c r="M8" t="s">
        <v>34</v>
      </c>
      <c r="N8" t="s">
        <v>35</v>
      </c>
      <c r="O8" t="s">
        <v>36</v>
      </c>
      <c r="P8" t="s">
        <v>37</v>
      </c>
      <c r="Q8" t="s">
        <v>38</v>
      </c>
      <c r="R8" t="s">
        <v>39</v>
      </c>
      <c r="S8" t="s">
        <v>40</v>
      </c>
      <c r="T8" t="s">
        <v>41</v>
      </c>
      <c r="U8" t="s">
        <v>42</v>
      </c>
      <c r="V8" t="s">
        <v>43</v>
      </c>
      <c r="W8" t="s">
        <v>44</v>
      </c>
      <c r="AK8" s="3"/>
      <c r="AL8" s="3"/>
    </row>
    <row r="9" spans="1:38" x14ac:dyDescent="0.25">
      <c r="A9" t="s">
        <v>24</v>
      </c>
      <c r="B9">
        <f>B3</f>
        <v>107.07971999999999</v>
      </c>
      <c r="C9">
        <f>B9*PI()/180</f>
        <v>1.8688936761136223</v>
      </c>
      <c r="D9">
        <f>D3</f>
        <v>83.511189999999999</v>
      </c>
      <c r="E9">
        <f>D9*PI()/180</f>
        <v>1.4575452277585634</v>
      </c>
      <c r="F9">
        <f>COS(C9/2)</f>
        <v>0.59426340909020814</v>
      </c>
      <c r="G9">
        <f>COS(E9/2)</f>
        <v>0.74599234737982945</v>
      </c>
      <c r="H9">
        <f>(F9+3*F9^3)/4</f>
        <v>0.30596349849038507</v>
      </c>
      <c r="I9">
        <f>(3*F9^2+F9^4)/4</f>
        <v>0.29604030347903176</v>
      </c>
      <c r="J9">
        <f>(6*F9^3-3*F9^5+F9^7)/4</f>
        <v>0.26575371250565272</v>
      </c>
      <c r="K9">
        <f>(10*F9^4-9*F9^6+3*F9^8)/4</f>
        <v>0.22435468998480754</v>
      </c>
      <c r="L9">
        <f>(G9+3*G9^3)/4</f>
        <v>0.49785920663072902</v>
      </c>
      <c r="M9">
        <f>(3*G9^2+G9^4)/4</f>
        <v>0.49480277430588443</v>
      </c>
      <c r="N9">
        <f>(6*G9^3-3*G9^5+G9^7)/4</f>
        <v>0.48159092089382954</v>
      </c>
      <c r="O9">
        <f>(10*G9^4-9*G9^6+3*G9^8)/4</f>
        <v>0.45839472431173811</v>
      </c>
      <c r="P9">
        <f>TANH($B$1*H9)</f>
        <v>0.69706057720130199</v>
      </c>
      <c r="Q9">
        <f t="shared" ref="Q9:W11" si="4">TANH($B$1*I9)</f>
        <v>0.68241360439486198</v>
      </c>
      <c r="R9">
        <f t="shared" si="4"/>
        <v>0.63415377987088839</v>
      </c>
      <c r="S9">
        <f t="shared" si="4"/>
        <v>0.5592618846607561</v>
      </c>
      <c r="T9">
        <f t="shared" si="4"/>
        <v>0.88576543180355749</v>
      </c>
      <c r="U9">
        <f t="shared" si="4"/>
        <v>0.88389720921500148</v>
      </c>
      <c r="V9">
        <f t="shared" si="4"/>
        <v>0.8754872525774402</v>
      </c>
      <c r="W9">
        <f t="shared" si="4"/>
        <v>0.85933326375839991</v>
      </c>
      <c r="AK9" s="3"/>
      <c r="AL9" s="3"/>
    </row>
    <row r="10" spans="1:38" x14ac:dyDescent="0.25">
      <c r="A10" t="s">
        <v>53</v>
      </c>
      <c r="B10">
        <f>B4</f>
        <v>97.079719999999995</v>
      </c>
      <c r="C10">
        <f t="shared" ref="C10:C11" si="5">B10*PI()/180</f>
        <v>1.6943607509141894</v>
      </c>
      <c r="D10">
        <f>D4</f>
        <v>84.395570000000006</v>
      </c>
      <c r="E10">
        <f t="shared" ref="E10:E11" si="6">D10*PI()/180</f>
        <v>1.4729805705973509</v>
      </c>
      <c r="F10">
        <f>COS(C10/2)</f>
        <v>0.66209884822252529</v>
      </c>
      <c r="G10">
        <f t="shared" ref="G10:G11" si="7">COS(E10/2)</f>
        <v>0.74083056380827006</v>
      </c>
      <c r="H10">
        <f t="shared" ref="H10:H11" si="8">(F10+3*F10^3)/4</f>
        <v>0.38321034180118996</v>
      </c>
      <c r="I10">
        <f t="shared" ref="I10:I11" si="9">(3*F10^2+F10^4)/4</f>
        <v>0.37682429852290578</v>
      </c>
      <c r="J10">
        <f t="shared" ref="J10:J11" si="10">(6*F10^3-3*F10^5+F10^7)/4</f>
        <v>0.35388774672865719</v>
      </c>
      <c r="K10">
        <f t="shared" ref="K10:K11" si="11">(10*F10^4-9*F10^6+3*F10^8)/4</f>
        <v>0.31858092924964737</v>
      </c>
      <c r="L10">
        <f t="shared" ref="L10:L11" si="12">(G10+3*G10^3)/4</f>
        <v>0.49015012762729082</v>
      </c>
      <c r="M10">
        <f t="shared" ref="M10:M11" si="13">(3*G10^2+G10^4)/4</f>
        <v>0.48692601464859331</v>
      </c>
      <c r="N10">
        <f t="shared" ref="N10:N11" si="14">(6*G10^3-3*G10^5+G10^7)/4</f>
        <v>0.47314108925666221</v>
      </c>
      <c r="O10">
        <f t="shared" ref="O10:O11" si="15">(10*G10^4-9*G10^6+3*G10^8)/4</f>
        <v>0.44912356819074556</v>
      </c>
      <c r="P10">
        <f t="shared" ref="P10:P11" si="16">TANH($B$1*H10)</f>
        <v>0.7928572298021046</v>
      </c>
      <c r="Q10">
        <f t="shared" si="4"/>
        <v>0.78608311888597104</v>
      </c>
      <c r="R10">
        <f t="shared" si="4"/>
        <v>0.76012435068465545</v>
      </c>
      <c r="S10">
        <f t="shared" si="4"/>
        <v>0.71487767589058282</v>
      </c>
      <c r="T10">
        <f t="shared" si="4"/>
        <v>0.88099820187287436</v>
      </c>
      <c r="U10">
        <f t="shared" si="4"/>
        <v>0.87894966552302667</v>
      </c>
      <c r="V10">
        <f t="shared" si="4"/>
        <v>0.86981375784287429</v>
      </c>
      <c r="W10">
        <f t="shared" si="4"/>
        <v>0.85235011028808982</v>
      </c>
      <c r="AK10" s="3"/>
      <c r="AL10" s="3"/>
    </row>
    <row r="11" spans="1:38" x14ac:dyDescent="0.25">
      <c r="A11" t="s">
        <v>54</v>
      </c>
      <c r="B11">
        <f>B5</f>
        <v>117.07971999999999</v>
      </c>
      <c r="C11">
        <f t="shared" si="5"/>
        <v>2.0434266013130555</v>
      </c>
      <c r="D11">
        <f>D5</f>
        <v>82.980739999999997</v>
      </c>
      <c r="E11">
        <f t="shared" si="6"/>
        <v>1.4482871287413595</v>
      </c>
      <c r="F11">
        <f>COS(C11/2)</f>
        <v>0.52190526658865743</v>
      </c>
      <c r="G11">
        <f t="shared" si="7"/>
        <v>0.74906708021149404</v>
      </c>
      <c r="H11">
        <f t="shared" si="8"/>
        <v>0.23709573317455551</v>
      </c>
      <c r="I11">
        <f t="shared" si="9"/>
        <v>0.22283724213848494</v>
      </c>
      <c r="J11">
        <f t="shared" si="10"/>
        <v>0.1868341196172971</v>
      </c>
      <c r="K11">
        <f t="shared" si="11"/>
        <v>0.14414183967015382</v>
      </c>
      <c r="L11">
        <f t="shared" si="12"/>
        <v>0.50249376153420044</v>
      </c>
      <c r="M11">
        <f t="shared" si="13"/>
        <v>0.49953483869668669</v>
      </c>
      <c r="N11">
        <f t="shared" si="14"/>
        <v>0.48666113245522391</v>
      </c>
      <c r="O11">
        <f t="shared" si="15"/>
        <v>0.46395573498790493</v>
      </c>
      <c r="P11">
        <f t="shared" si="16"/>
        <v>0.58342262225674213</v>
      </c>
      <c r="Q11">
        <f t="shared" si="4"/>
        <v>0.55631837265656814</v>
      </c>
      <c r="R11">
        <f t="shared" si="4"/>
        <v>0.48239782483875554</v>
      </c>
      <c r="S11">
        <f t="shared" si="4"/>
        <v>0.38497548773202006</v>
      </c>
      <c r="T11">
        <f t="shared" si="4"/>
        <v>0.88854446243401997</v>
      </c>
      <c r="U11">
        <f t="shared" si="4"/>
        <v>0.8867776293899583</v>
      </c>
      <c r="V11">
        <f t="shared" si="4"/>
        <v>0.87877990583409227</v>
      </c>
      <c r="W11">
        <f t="shared" si="4"/>
        <v>0.86337416454462268</v>
      </c>
      <c r="AK11" s="3"/>
      <c r="AL11" s="3"/>
    </row>
    <row r="13" spans="1:38" x14ac:dyDescent="0.25">
      <c r="L13" t="s">
        <v>18</v>
      </c>
    </row>
    <row r="14" spans="1:38" x14ac:dyDescent="0.25">
      <c r="B14" t="s">
        <v>59</v>
      </c>
      <c r="D14">
        <v>1</v>
      </c>
      <c r="E14">
        <v>2</v>
      </c>
      <c r="F14">
        <v>3</v>
      </c>
      <c r="G14">
        <v>4</v>
      </c>
      <c r="H14">
        <v>5</v>
      </c>
      <c r="I14">
        <v>6</v>
      </c>
      <c r="J14">
        <v>7</v>
      </c>
      <c r="L14" t="s">
        <v>45</v>
      </c>
      <c r="M14" t="s">
        <v>46</v>
      </c>
      <c r="N14" t="s">
        <v>47</v>
      </c>
      <c r="O14" t="s">
        <v>48</v>
      </c>
      <c r="P14" t="s">
        <v>49</v>
      </c>
      <c r="Q14" t="s">
        <v>50</v>
      </c>
      <c r="R14" t="s">
        <v>51</v>
      </c>
      <c r="S14" t="s">
        <v>52</v>
      </c>
      <c r="U14" t="s">
        <v>60</v>
      </c>
      <c r="V14" t="s">
        <v>23</v>
      </c>
    </row>
    <row r="15" spans="1:38" x14ac:dyDescent="0.25">
      <c r="A15" t="s">
        <v>24</v>
      </c>
      <c r="D15">
        <f>opt_angle_relax!H28</f>
        <v>0.2858663645799186</v>
      </c>
      <c r="E15">
        <f>opt_angle_relax!I28</f>
        <v>0.17925304458920055</v>
      </c>
      <c r="F15">
        <f>opt_angle_relax!J28</f>
        <v>0.18119113016080071</v>
      </c>
      <c r="G15">
        <f>opt_angle_relax!K28</f>
        <v>0.58393944097496142</v>
      </c>
      <c r="H15">
        <f>opt_angle_relax!L28</f>
        <v>1.0104413257128074E-5</v>
      </c>
      <c r="I15">
        <f>opt_angle_relax!M28</f>
        <v>-7.3661328839779515E-5</v>
      </c>
      <c r="J15">
        <f>opt_angle_relax!N28</f>
        <v>-8.179752004911761E-5</v>
      </c>
      <c r="K15" t="s">
        <v>61</v>
      </c>
      <c r="L15">
        <f>D$15</f>
        <v>0.2858663645799186</v>
      </c>
      <c r="M15">
        <f t="shared" ref="M15:O15" si="17">E$15</f>
        <v>0.17925304458920055</v>
      </c>
      <c r="N15">
        <f t="shared" si="17"/>
        <v>0.18119113016080071</v>
      </c>
      <c r="O15">
        <f t="shared" si="17"/>
        <v>0.58393944097496142</v>
      </c>
      <c r="P15">
        <f>(3/SQRT(10))*H15+(1/SQRT(15))*J15</f>
        <v>-1.1534140767115722E-5</v>
      </c>
      <c r="Q15">
        <f>(2/SQRT(5))*I15-(1/SQRT(15))*J15</f>
        <v>-4.4764666578731767E-5</v>
      </c>
      <c r="R15">
        <f>(-1/SQRT(10))*H15+(3/SQRT(15))*J15</f>
        <v>-6.6555382613472496E-5</v>
      </c>
      <c r="S15">
        <f>(-1/SQRT(5))*I15-(2/SQRT(15))*J15</f>
        <v>7.5182405441249177E-5</v>
      </c>
      <c r="T15" t="s">
        <v>61</v>
      </c>
      <c r="U15" s="3">
        <f>SQRT(SUM(L15^2+M15^2+N15^2+O15^2+P15^2+Q15^2+R15^2+S15^2))</f>
        <v>0.69833139768068597</v>
      </c>
      <c r="V15" s="3">
        <f>U15/$U$15</f>
        <v>1</v>
      </c>
    </row>
    <row r="16" spans="1:38" x14ac:dyDescent="0.25">
      <c r="A16" t="s">
        <v>53</v>
      </c>
      <c r="L16">
        <f>L$15*F4</f>
        <v>0.32340283487926841</v>
      </c>
      <c r="M16">
        <f t="shared" ref="M16:O17" si="18">M$15*G4</f>
        <v>0.20532866197101104</v>
      </c>
      <c r="N16">
        <f t="shared" si="18"/>
        <v>0.21577614982030821</v>
      </c>
      <c r="O16">
        <f t="shared" si="18"/>
        <v>0.74035620669962288</v>
      </c>
      <c r="P16">
        <f>P$15*F4</f>
        <v>-1.3048662886461877E-5</v>
      </c>
      <c r="Q16">
        <f t="shared" ref="Q16:S17" si="19">Q$15*G4</f>
        <v>-5.1276501959862329E-5</v>
      </c>
      <c r="R16">
        <f t="shared" si="19"/>
        <v>-7.9259201029364089E-5</v>
      </c>
      <c r="S16">
        <f t="shared" si="19"/>
        <v>9.5321118248327109E-5</v>
      </c>
      <c r="U16" s="3">
        <f t="shared" ref="U16:U17" si="20">SQRT(SUM(L16^2+M16^2+N16^2+O16^2+P16^2+Q16^2+R16^2+S16^2))</f>
        <v>0.86106674005698747</v>
      </c>
      <c r="V16" s="3">
        <f>U16/$U$15</f>
        <v>1.2330345490934274</v>
      </c>
    </row>
    <row r="17" spans="1:22" x14ac:dyDescent="0.25">
      <c r="A17" t="s">
        <v>54</v>
      </c>
      <c r="L17">
        <f>L$15*F5</f>
        <v>0.240013814578345</v>
      </c>
      <c r="M17">
        <f t="shared" si="18"/>
        <v>0.14660717778792495</v>
      </c>
      <c r="N17">
        <f t="shared" si="18"/>
        <v>0.13834962303797638</v>
      </c>
      <c r="O17">
        <f t="shared" si="18"/>
        <v>0.40385279356117693</v>
      </c>
      <c r="P17">
        <f>P$15*F5</f>
        <v>-9.6840813275361912E-6</v>
      </c>
      <c r="Q17">
        <f t="shared" si="19"/>
        <v>-3.661205000319811E-5</v>
      </c>
      <c r="R17">
        <f t="shared" si="19"/>
        <v>-5.0818779526075648E-5</v>
      </c>
      <c r="S17">
        <f t="shared" si="19"/>
        <v>5.1996187161811218E-5</v>
      </c>
      <c r="U17" s="3">
        <f t="shared" si="20"/>
        <v>0.51121228423198184</v>
      </c>
      <c r="V17" s="3">
        <f>U17/$U$15</f>
        <v>0.73204825950806685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0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2" max="12" width="12.7109375" bestFit="1" customWidth="1"/>
  </cols>
  <sheetData>
    <row r="1" spans="1:14" ht="18.75" x14ac:dyDescent="0.3">
      <c r="A1" s="2">
        <v>2625.5</v>
      </c>
      <c r="F1" t="s">
        <v>14</v>
      </c>
      <c r="G1" s="5">
        <v>117.1</v>
      </c>
    </row>
    <row r="2" spans="1:14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L2">
        <v>5</v>
      </c>
      <c r="M2">
        <v>6</v>
      </c>
      <c r="N2">
        <v>7</v>
      </c>
    </row>
    <row r="4" spans="1:14" x14ac:dyDescent="0.25">
      <c r="A4" t="s">
        <v>2</v>
      </c>
      <c r="B4" s="3">
        <v>-179.99417</v>
      </c>
      <c r="C4">
        <f>B4*PI()/180</f>
        <v>-3.1414909008944019</v>
      </c>
      <c r="D4">
        <f>D14</f>
        <v>-1131.6531477799999</v>
      </c>
      <c r="E4">
        <f>D4-$D$24</f>
        <v>-3.8839944454593933E-4</v>
      </c>
    </row>
    <row r="5" spans="1:14" x14ac:dyDescent="0.25">
      <c r="B5">
        <v>0</v>
      </c>
      <c r="C5">
        <f t="shared" ref="C5:C22" si="0">B5*PI()/180</f>
        <v>0</v>
      </c>
      <c r="D5">
        <v>-1131.65313941</v>
      </c>
      <c r="E5">
        <f t="shared" ref="E5:E22" si="1">D5-$D$24</f>
        <v>-3.8002944461368315E-4</v>
      </c>
      <c r="F5">
        <f t="shared" ref="F5:F22" si="2">E5^2</f>
        <v>1.4442237877338448E-7</v>
      </c>
      <c r="G5">
        <f t="shared" ref="G5:G22" si="3">E5/$F$24</f>
        <v>-1.8210764723551747</v>
      </c>
      <c r="H5">
        <f>-COS(C5-$C$4)*SQRT(2)*G5</f>
        <v>-2.5753910319909421</v>
      </c>
      <c r="I5">
        <f>-SQRT(2)*COS(2*(C5-$C$4))*G5</f>
        <v>2.5753909919940465</v>
      </c>
      <c r="J5">
        <f>-COS(3*(C5-$C$4))*SQRT(2)*G5</f>
        <v>-2.5753909253325546</v>
      </c>
      <c r="K5">
        <f>-COS(4*(C5-$C$4))*SQRT(2)*G5</f>
        <v>2.5753908320064673</v>
      </c>
      <c r="L5">
        <f>SQRT(2)*(3*SIN(C5-$C$4)-SIN(3*(C5-$C$4)))*G5/SQRT(10)</f>
        <v>-3.4319498519774266E-12</v>
      </c>
      <c r="M5">
        <f>SQRT(2)*(2*SIN(2*(C5-$C$4))-SIN(4*(C5-$C$4)))*G5/SQRT(5)</f>
        <v>9.7070201145381129E-12</v>
      </c>
      <c r="N5">
        <f>SQRT(2)*G5*(SIN(C5-$C$4)-SIN(2*(C5-$C$4))+3*SIN(3*(C5-$C$4))-2*SIN(4*(C5-$C$4)))/SQRT(15)</f>
        <v>-1.3532357471978289E-3</v>
      </c>
    </row>
    <row r="6" spans="1:14" x14ac:dyDescent="0.25">
      <c r="B6">
        <v>20</v>
      </c>
      <c r="C6">
        <f t="shared" si="0"/>
        <v>0.3490658503988659</v>
      </c>
      <c r="D6">
        <v>-1131.65293623</v>
      </c>
      <c r="E6">
        <f t="shared" si="1"/>
        <v>-1.7684944464235741E-4</v>
      </c>
      <c r="F6">
        <f t="shared" si="2"/>
        <v>3.127572607031024E-8</v>
      </c>
      <c r="G6">
        <f t="shared" si="3"/>
        <v>-0.84745107873065095</v>
      </c>
      <c r="H6">
        <f t="shared" ref="H6:H22" si="4">-COS(C6-$C$4)*SQRT(2)*G6</f>
        <v>-1.1262415165159023</v>
      </c>
      <c r="I6">
        <f t="shared" ref="I6:I22" si="5">-SQRT(2)*COS(2*(C6-$C$4))*G6</f>
        <v>0.91824325436326637</v>
      </c>
      <c r="J6">
        <f t="shared" ref="J6:J22" si="6">-COS(3*(C6-$C$4))*SQRT(2)*G6</f>
        <v>-0.59955520740622514</v>
      </c>
      <c r="K6">
        <f t="shared" ref="K6:K22" si="7">-COS(4*(C6-$C$4))*SQRT(2)*G6</f>
        <v>0.20859367891713229</v>
      </c>
      <c r="L6">
        <f t="shared" ref="L6:L22" si="8">SQRT(2)*(3*SIN(C6-$C$4)-SIN(3*(C6-$C$4)))*G6/SQRT(10)</f>
        <v>6.0601082785884802E-2</v>
      </c>
      <c r="M6">
        <f t="shared" ref="M6:M22" si="9">SQRT(2)*(2*SIN(2*(C6-$C$4))-SIN(4*(C6-$C$4)))*G6/SQRT(5)</f>
        <v>-0.16107467933490818</v>
      </c>
      <c r="N6">
        <f t="shared" ref="N6:N22" si="10">SQRT(2)*G6*(SIN(C6-$C$4)-SIN(2*(C6-$C$4))+3*SIN(3*(C6-$C$4))-2*SIN(4*(C6-$C$4)))/SQRT(15)</f>
        <v>1.7179319631717849</v>
      </c>
    </row>
    <row r="7" spans="1:14" x14ac:dyDescent="0.25">
      <c r="B7">
        <v>40</v>
      </c>
      <c r="C7">
        <f t="shared" si="0"/>
        <v>0.69813170079773179</v>
      </c>
      <c r="D7">
        <v>-1131.65265439</v>
      </c>
      <c r="E7">
        <f t="shared" si="1"/>
        <v>1.0499055542823044E-4</v>
      </c>
      <c r="F7">
        <f t="shared" si="2"/>
        <v>1.1023016729128327E-8</v>
      </c>
      <c r="G7">
        <f t="shared" si="3"/>
        <v>0.50310793813413957</v>
      </c>
      <c r="H7">
        <f t="shared" si="4"/>
        <v>0.54508873980318984</v>
      </c>
      <c r="I7">
        <f t="shared" si="5"/>
        <v>-0.12369362995909206</v>
      </c>
      <c r="J7">
        <f t="shared" si="6"/>
        <v>-0.35556292456979061</v>
      </c>
      <c r="K7">
        <f t="shared" si="7"/>
        <v>0.66849414368116289</v>
      </c>
      <c r="L7">
        <f t="shared" si="8"/>
        <v>-0.23893547781658087</v>
      </c>
      <c r="M7">
        <f t="shared" si="9"/>
        <v>0.51774590947753274</v>
      </c>
      <c r="N7">
        <f t="shared" si="10"/>
        <v>-0.90216226814064016</v>
      </c>
    </row>
    <row r="8" spans="1:14" x14ac:dyDescent="0.25">
      <c r="B8">
        <v>60</v>
      </c>
      <c r="C8">
        <f t="shared" si="0"/>
        <v>1.0471975511965976</v>
      </c>
      <c r="D8">
        <v>-1131.65269255</v>
      </c>
      <c r="E8">
        <f t="shared" si="1"/>
        <v>6.6830555397245917E-5</v>
      </c>
      <c r="F8">
        <f t="shared" si="2"/>
        <v>4.4663231347043557E-9</v>
      </c>
      <c r="G8">
        <f t="shared" si="3"/>
        <v>0.32024769078635668</v>
      </c>
      <c r="H8">
        <f t="shared" si="4"/>
        <v>0.22648922225889478</v>
      </c>
      <c r="I8">
        <f t="shared" si="5"/>
        <v>0.22636948989201572</v>
      </c>
      <c r="J8">
        <f t="shared" si="6"/>
        <v>-0.45289860652761804</v>
      </c>
      <c r="K8">
        <f t="shared" si="7"/>
        <v>0.22660893352094222</v>
      </c>
      <c r="L8">
        <f t="shared" si="8"/>
        <v>-0.37202861180525648</v>
      </c>
      <c r="M8">
        <f t="shared" si="9"/>
        <v>0.52622063090559867</v>
      </c>
      <c r="N8">
        <f t="shared" si="10"/>
        <v>-1.6064726135632578E-4</v>
      </c>
    </row>
    <row r="9" spans="1:14" x14ac:dyDescent="0.25">
      <c r="B9">
        <v>80</v>
      </c>
      <c r="C9">
        <f t="shared" si="0"/>
        <v>1.3962634015954636</v>
      </c>
      <c r="D9">
        <v>-1131.6528513400001</v>
      </c>
      <c r="E9">
        <f t="shared" si="1"/>
        <v>-9.1959444716849248E-5</v>
      </c>
      <c r="F9">
        <f t="shared" si="2"/>
        <v>8.4565394726312534E-9</v>
      </c>
      <c r="G9">
        <f t="shared" si="3"/>
        <v>-0.44066370003233918</v>
      </c>
      <c r="H9">
        <f t="shared" si="4"/>
        <v>-0.10827870363262405</v>
      </c>
      <c r="I9">
        <f t="shared" si="5"/>
        <v>-0.58556608155989021</v>
      </c>
      <c r="J9">
        <f t="shared" si="6"/>
        <v>0.31176102396968725</v>
      </c>
      <c r="K9">
        <f t="shared" si="7"/>
        <v>0.4772301335845251</v>
      </c>
      <c r="L9">
        <f t="shared" si="8"/>
        <v>0.75285832962066646</v>
      </c>
      <c r="M9">
        <f t="shared" si="9"/>
        <v>-0.36998066300612498</v>
      </c>
      <c r="N9">
        <f t="shared" si="10"/>
        <v>-0.41141112008840097</v>
      </c>
    </row>
    <row r="10" spans="1:14" x14ac:dyDescent="0.25">
      <c r="B10">
        <v>100</v>
      </c>
      <c r="C10">
        <f t="shared" si="0"/>
        <v>1.7453292519943295</v>
      </c>
      <c r="D10">
        <v>-1131.65275243</v>
      </c>
      <c r="E10">
        <f t="shared" si="1"/>
        <v>6.9505554165516514E-6</v>
      </c>
      <c r="F10">
        <f t="shared" si="2"/>
        <v>4.8310220598555501E-11</v>
      </c>
      <c r="G10">
        <f t="shared" si="3"/>
        <v>3.3306611154169746E-2</v>
      </c>
      <c r="H10">
        <f t="shared" si="4"/>
        <v>-8.174571231212022E-3</v>
      </c>
      <c r="I10">
        <f t="shared" si="5"/>
        <v>4.4265300726548024E-2</v>
      </c>
      <c r="J10">
        <f t="shared" si="6"/>
        <v>2.3538877389622716E-2</v>
      </c>
      <c r="K10">
        <f t="shared" si="7"/>
        <v>-3.609505195599013E-2</v>
      </c>
      <c r="L10">
        <f t="shared" si="8"/>
        <v>-5.6909291904745751E-2</v>
      </c>
      <c r="M10">
        <f t="shared" si="9"/>
        <v>-2.7934938096212839E-2</v>
      </c>
      <c r="N10">
        <f t="shared" si="10"/>
        <v>8.1555687048887691E-3</v>
      </c>
    </row>
    <row r="11" spans="1:14" x14ac:dyDescent="0.25">
      <c r="B11">
        <v>120</v>
      </c>
      <c r="C11">
        <f t="shared" si="0"/>
        <v>2.0943951023931953</v>
      </c>
      <c r="D11">
        <v>-1131.6524642500001</v>
      </c>
      <c r="E11">
        <f t="shared" si="1"/>
        <v>2.9513055528695986E-4</v>
      </c>
      <c r="F11">
        <f t="shared" si="2"/>
        <v>8.7102044663989268E-8</v>
      </c>
      <c r="G11">
        <f t="shared" si="3"/>
        <v>1.4142464962222807</v>
      </c>
      <c r="H11">
        <f t="shared" si="4"/>
        <v>-0.99984703762898952</v>
      </c>
      <c r="I11">
        <f t="shared" si="5"/>
        <v>1.0003757569229093</v>
      </c>
      <c r="J11">
        <f t="shared" si="6"/>
        <v>2.0000464823115109</v>
      </c>
      <c r="K11">
        <f t="shared" si="7"/>
        <v>0.99931822516682467</v>
      </c>
      <c r="L11">
        <f t="shared" si="8"/>
        <v>-1.6434955296725273</v>
      </c>
      <c r="M11">
        <f t="shared" si="9"/>
        <v>-2.3238440273162828</v>
      </c>
      <c r="N11">
        <f t="shared" si="10"/>
        <v>-0.89426404174196561</v>
      </c>
    </row>
    <row r="12" spans="1:14" x14ac:dyDescent="0.25">
      <c r="B12">
        <v>140</v>
      </c>
      <c r="C12">
        <f t="shared" si="0"/>
        <v>2.4434609527920612</v>
      </c>
      <c r="D12">
        <v>-1131.6524625899999</v>
      </c>
      <c r="E12">
        <f t="shared" si="1"/>
        <v>2.9679055546694144E-4</v>
      </c>
      <c r="F12">
        <f t="shared" si="2"/>
        <v>8.8084633814375648E-8</v>
      </c>
      <c r="G12">
        <f t="shared" si="3"/>
        <v>1.4222011095153186</v>
      </c>
      <c r="H12">
        <f t="shared" si="4"/>
        <v>-1.5406106414106571</v>
      </c>
      <c r="I12">
        <f t="shared" si="5"/>
        <v>-0.3488548035840765</v>
      </c>
      <c r="J12">
        <f t="shared" si="6"/>
        <v>1.0061797106518693</v>
      </c>
      <c r="K12">
        <f t="shared" si="7"/>
        <v>1.8902799287355716</v>
      </c>
      <c r="L12">
        <f t="shared" si="8"/>
        <v>-0.67592182428816183</v>
      </c>
      <c r="M12">
        <f t="shared" si="9"/>
        <v>-1.4643953633462274</v>
      </c>
      <c r="N12">
        <f t="shared" si="10"/>
        <v>-0.81655201725057092</v>
      </c>
    </row>
    <row r="13" spans="1:14" x14ac:dyDescent="0.25">
      <c r="B13">
        <v>160</v>
      </c>
      <c r="C13">
        <f t="shared" si="0"/>
        <v>2.7925268031909272</v>
      </c>
      <c r="D13">
        <v>-1131.6528770499999</v>
      </c>
      <c r="E13">
        <f t="shared" si="1"/>
        <v>-1.176694445348403E-4</v>
      </c>
      <c r="F13">
        <f t="shared" si="2"/>
        <v>1.3846098177137856E-8</v>
      </c>
      <c r="G13">
        <f t="shared" si="3"/>
        <v>-0.56386435313013739</v>
      </c>
      <c r="H13">
        <f t="shared" si="4"/>
        <v>0.74930627142252071</v>
      </c>
      <c r="I13">
        <f t="shared" si="5"/>
        <v>0.61075837118160792</v>
      </c>
      <c r="J13">
        <f t="shared" si="6"/>
        <v>0.39850148102046273</v>
      </c>
      <c r="K13">
        <f t="shared" si="7"/>
        <v>0.13815169023986332</v>
      </c>
      <c r="L13">
        <f t="shared" si="8"/>
        <v>4.0389535966045512E-2</v>
      </c>
      <c r="M13">
        <f t="shared" si="9"/>
        <v>0.1073454366505002</v>
      </c>
      <c r="N13">
        <f t="shared" si="10"/>
        <v>6.7522893648426452E-2</v>
      </c>
    </row>
    <row r="14" spans="1:14" x14ac:dyDescent="0.25">
      <c r="B14">
        <v>180</v>
      </c>
      <c r="C14">
        <f t="shared" si="0"/>
        <v>3.1415926535897931</v>
      </c>
      <c r="D14">
        <v>-1131.6531477799999</v>
      </c>
      <c r="E14">
        <f t="shared" si="1"/>
        <v>-3.8839944454593933E-4</v>
      </c>
      <c r="F14">
        <f t="shared" si="2"/>
        <v>1.5085412852359421E-7</v>
      </c>
      <c r="G14">
        <f t="shared" si="3"/>
        <v>-1.8611849696473797</v>
      </c>
      <c r="H14">
        <f t="shared" si="4"/>
        <v>2.6321130125343446</v>
      </c>
      <c r="I14">
        <f t="shared" si="5"/>
        <v>2.6321129716565328</v>
      </c>
      <c r="J14">
        <f t="shared" si="6"/>
        <v>2.6321129035268478</v>
      </c>
      <c r="K14">
        <f t="shared" si="7"/>
        <v>2.6321128081452896</v>
      </c>
      <c r="L14">
        <f t="shared" si="8"/>
        <v>3.509015751311252E-12</v>
      </c>
      <c r="M14">
        <f t="shared" si="9"/>
        <v>9.9208134372731049E-12</v>
      </c>
      <c r="N14">
        <f t="shared" si="10"/>
        <v>6.4401357337620246E-12</v>
      </c>
    </row>
    <row r="15" spans="1:14" x14ac:dyDescent="0.25">
      <c r="B15">
        <v>200</v>
      </c>
      <c r="C15">
        <f t="shared" si="0"/>
        <v>3.4906585039886591</v>
      </c>
      <c r="D15">
        <f>D13</f>
        <v>-1131.6528770499999</v>
      </c>
      <c r="E15">
        <f t="shared" si="1"/>
        <v>-1.176694445348403E-4</v>
      </c>
      <c r="F15">
        <f t="shared" si="2"/>
        <v>1.3846098177137856E-8</v>
      </c>
      <c r="G15">
        <f t="shared" si="3"/>
        <v>-0.56386435313013739</v>
      </c>
      <c r="H15">
        <f t="shared" si="4"/>
        <v>0.74936177452242569</v>
      </c>
      <c r="I15">
        <f t="shared" si="5"/>
        <v>0.61096699459417325</v>
      </c>
      <c r="J15">
        <f t="shared" si="6"/>
        <v>0.3989230973619024</v>
      </c>
      <c r="K15">
        <f t="shared" si="7"/>
        <v>0.13879094945022671</v>
      </c>
      <c r="L15">
        <f t="shared" si="8"/>
        <v>-4.0321844176812074E-2</v>
      </c>
      <c r="M15">
        <f t="shared" si="9"/>
        <v>-0.10717346658507114</v>
      </c>
      <c r="N15">
        <f t="shared" si="10"/>
        <v>-6.7417370487723352E-2</v>
      </c>
    </row>
    <row r="16" spans="1:14" x14ac:dyDescent="0.25">
      <c r="B16">
        <v>220</v>
      </c>
      <c r="C16">
        <f t="shared" si="0"/>
        <v>3.839724354387525</v>
      </c>
      <c r="D16">
        <f>D12</f>
        <v>-1131.6524625899999</v>
      </c>
      <c r="E16">
        <f t="shared" si="1"/>
        <v>2.9679055546694144E-4</v>
      </c>
      <c r="F16">
        <f t="shared" si="2"/>
        <v>8.8084633814375648E-8</v>
      </c>
      <c r="G16">
        <f t="shared" si="3"/>
        <v>1.4222011095153186</v>
      </c>
      <c r="H16">
        <f t="shared" si="4"/>
        <v>-1.5408737405485169</v>
      </c>
      <c r="I16">
        <f t="shared" si="5"/>
        <v>-0.34966098611009166</v>
      </c>
      <c r="J16">
        <f t="shared" si="6"/>
        <v>1.005116293137958</v>
      </c>
      <c r="K16">
        <f t="shared" si="7"/>
        <v>1.889719960241129</v>
      </c>
      <c r="L16">
        <f t="shared" si="8"/>
        <v>0.67543021267677206</v>
      </c>
      <c r="M16">
        <f t="shared" si="9"/>
        <v>1.4635801805012278</v>
      </c>
      <c r="N16">
        <f t="shared" si="10"/>
        <v>0.81618885895353377</v>
      </c>
    </row>
    <row r="17" spans="2:15" x14ac:dyDescent="0.25">
      <c r="B17">
        <v>240</v>
      </c>
      <c r="C17">
        <f t="shared" si="0"/>
        <v>4.1887902047863905</v>
      </c>
      <c r="D17">
        <f>D11</f>
        <v>-1131.6524642500001</v>
      </c>
      <c r="E17">
        <f t="shared" si="1"/>
        <v>2.9513055528695986E-4</v>
      </c>
      <c r="F17">
        <f t="shared" si="2"/>
        <v>8.7102044663989268E-8</v>
      </c>
      <c r="G17">
        <f t="shared" si="3"/>
        <v>1.4142464962222807</v>
      </c>
      <c r="H17">
        <f t="shared" si="4"/>
        <v>-1.0001995275133375</v>
      </c>
      <c r="I17">
        <f t="shared" si="5"/>
        <v>0.99967077715786268</v>
      </c>
      <c r="J17">
        <f t="shared" si="6"/>
        <v>2.0000464823115109</v>
      </c>
      <c r="K17">
        <f t="shared" si="7"/>
        <v>1.0007281846677216</v>
      </c>
      <c r="L17">
        <f t="shared" si="8"/>
        <v>1.642916329695008</v>
      </c>
      <c r="M17">
        <f t="shared" si="9"/>
        <v>2.3238440273238217</v>
      </c>
      <c r="N17">
        <f t="shared" si="10"/>
        <v>0.89463186436696707</v>
      </c>
    </row>
    <row r="18" spans="2:15" x14ac:dyDescent="0.25">
      <c r="B18">
        <v>260</v>
      </c>
      <c r="C18">
        <f t="shared" si="0"/>
        <v>4.5378560551852569</v>
      </c>
      <c r="D18">
        <f>D10</f>
        <v>-1131.65275243</v>
      </c>
      <c r="E18">
        <f t="shared" si="1"/>
        <v>6.9505554165516514E-6</v>
      </c>
      <c r="F18">
        <f t="shared" si="2"/>
        <v>4.8310220598555501E-11</v>
      </c>
      <c r="G18">
        <f t="shared" si="3"/>
        <v>3.3306611154169746E-2</v>
      </c>
      <c r="H18">
        <f t="shared" si="4"/>
        <v>-8.1840112491787607E-3</v>
      </c>
      <c r="I18">
        <f t="shared" si="5"/>
        <v>4.4258743758913699E-2</v>
      </c>
      <c r="J18">
        <f t="shared" si="6"/>
        <v>2.3563781626719286E-2</v>
      </c>
      <c r="K18">
        <f t="shared" si="7"/>
        <v>-3.6070405820097656E-2</v>
      </c>
      <c r="L18">
        <f t="shared" si="8"/>
        <v>5.6903165922251107E-2</v>
      </c>
      <c r="M18">
        <f t="shared" si="9"/>
        <v>2.7964186921687881E-2</v>
      </c>
      <c r="N18">
        <f t="shared" si="10"/>
        <v>-8.1343447572926539E-3</v>
      </c>
    </row>
    <row r="19" spans="2:15" x14ac:dyDescent="0.25">
      <c r="B19">
        <v>280</v>
      </c>
      <c r="C19">
        <f t="shared" si="0"/>
        <v>4.8869219055841224</v>
      </c>
      <c r="D19">
        <f>D9</f>
        <v>-1131.6528513400001</v>
      </c>
      <c r="E19">
        <f t="shared" si="1"/>
        <v>-9.1959444716849248E-5</v>
      </c>
      <c r="F19">
        <f t="shared" si="2"/>
        <v>8.4565394726312534E-9</v>
      </c>
      <c r="G19">
        <f t="shared" si="3"/>
        <v>-0.44066370003233918</v>
      </c>
      <c r="H19">
        <f t="shared" si="4"/>
        <v>-0.10815380731019908</v>
      </c>
      <c r="I19">
        <f t="shared" si="5"/>
        <v>-0.58565283363458676</v>
      </c>
      <c r="J19">
        <f t="shared" si="6"/>
        <v>0.31143152802623442</v>
      </c>
      <c r="K19">
        <f t="shared" si="7"/>
        <v>0.47755621471549353</v>
      </c>
      <c r="L19">
        <f t="shared" si="8"/>
        <v>-0.75293937953895229</v>
      </c>
      <c r="M19">
        <f t="shared" si="9"/>
        <v>0.36959368591032349</v>
      </c>
      <c r="N19">
        <f t="shared" si="10"/>
        <v>0.41141365399323293</v>
      </c>
    </row>
    <row r="20" spans="2:15" x14ac:dyDescent="0.25">
      <c r="B20">
        <v>300</v>
      </c>
      <c r="C20">
        <f t="shared" si="0"/>
        <v>5.2359877559829888</v>
      </c>
      <c r="D20">
        <f>D8</f>
        <v>-1131.65269255</v>
      </c>
      <c r="E20">
        <f t="shared" si="1"/>
        <v>6.6830555397245917E-5</v>
      </c>
      <c r="F20">
        <f t="shared" si="2"/>
        <v>4.4663231347043557E-9</v>
      </c>
      <c r="G20">
        <f t="shared" si="3"/>
        <v>0.32024769078635668</v>
      </c>
      <c r="H20">
        <f t="shared" si="4"/>
        <v>0.22640940302526788</v>
      </c>
      <c r="I20">
        <f t="shared" si="5"/>
        <v>0.22652912835844313</v>
      </c>
      <c r="J20">
        <f t="shared" si="6"/>
        <v>-0.45289860652761804</v>
      </c>
      <c r="K20">
        <f t="shared" si="7"/>
        <v>0.22628965659469868</v>
      </c>
      <c r="L20">
        <f t="shared" si="8"/>
        <v>0.37215976818839025</v>
      </c>
      <c r="M20">
        <f t="shared" si="9"/>
        <v>-0.52622063090389171</v>
      </c>
      <c r="N20">
        <f t="shared" si="10"/>
        <v>-1.6061895124333208E-4</v>
      </c>
    </row>
    <row r="21" spans="2:15" x14ac:dyDescent="0.25">
      <c r="B21">
        <v>320</v>
      </c>
      <c r="C21">
        <f t="shared" si="0"/>
        <v>5.5850536063818543</v>
      </c>
      <c r="D21">
        <f>D7</f>
        <v>-1131.65265439</v>
      </c>
      <c r="E21">
        <f t="shared" si="1"/>
        <v>1.0499055542823044E-4</v>
      </c>
      <c r="F21">
        <f t="shared" si="2"/>
        <v>1.1023016729128327E-8</v>
      </c>
      <c r="G21">
        <f t="shared" si="3"/>
        <v>0.50310793813413957</v>
      </c>
      <c r="H21">
        <f t="shared" si="4"/>
        <v>0.54499566768850172</v>
      </c>
      <c r="I21">
        <f t="shared" si="5"/>
        <v>-0.123408440455504</v>
      </c>
      <c r="J21">
        <f t="shared" si="6"/>
        <v>-0.35593911172730525</v>
      </c>
      <c r="K21">
        <f t="shared" si="7"/>
        <v>0.66869223422741231</v>
      </c>
      <c r="L21">
        <f t="shared" si="8"/>
        <v>0.23910938690898398</v>
      </c>
      <c r="M21">
        <f t="shared" si="9"/>
        <v>-0.51803428287114628</v>
      </c>
      <c r="N21">
        <f t="shared" si="10"/>
        <v>0.90175460611285885</v>
      </c>
    </row>
    <row r="22" spans="2:15" x14ac:dyDescent="0.25">
      <c r="B22">
        <v>340</v>
      </c>
      <c r="C22">
        <f t="shared" si="0"/>
        <v>5.9341194567807207</v>
      </c>
      <c r="D22">
        <f>D6</f>
        <v>-1131.65293623</v>
      </c>
      <c r="E22">
        <f t="shared" si="1"/>
        <v>-1.7684944464235741E-4</v>
      </c>
      <c r="F22">
        <f t="shared" si="2"/>
        <v>3.127572607031024E-8</v>
      </c>
      <c r="G22">
        <f t="shared" si="3"/>
        <v>-0.84745107873065095</v>
      </c>
      <c r="H22">
        <f t="shared" si="4"/>
        <v>-1.1261580990031159</v>
      </c>
      <c r="I22">
        <f t="shared" si="5"/>
        <v>0.91792970708004995</v>
      </c>
      <c r="J22">
        <f t="shared" si="6"/>
        <v>-0.59892154574383749</v>
      </c>
      <c r="K22">
        <f t="shared" si="7"/>
        <v>0.20763291432117503</v>
      </c>
      <c r="L22">
        <f t="shared" si="8"/>
        <v>-6.0702819097974939E-2</v>
      </c>
      <c r="M22">
        <f t="shared" si="9"/>
        <v>0.16133313904538274</v>
      </c>
      <c r="N22">
        <f t="shared" si="10"/>
        <v>-1.7184584850507916</v>
      </c>
    </row>
    <row r="24" spans="2:15" x14ac:dyDescent="0.25">
      <c r="B24" t="s">
        <v>4</v>
      </c>
      <c r="D24">
        <f>AVERAGE(D5:D22)</f>
        <v>-1131.6527593805554</v>
      </c>
      <c r="F24">
        <f>SQRT(AVERAGE(F5:F22))</f>
        <v>2.0868395719933497E-4</v>
      </c>
      <c r="G24" t="s">
        <v>10</v>
      </c>
      <c r="H24" s="4">
        <f t="shared" ref="H24:N24" si="11">AVERAGE(H5:H22)</f>
        <v>-0.24824158870997381</v>
      </c>
      <c r="I24" s="4">
        <f t="shared" si="11"/>
        <v>0.48277970624350719</v>
      </c>
      <c r="J24" s="4">
        <f t="shared" si="11"/>
        <v>0.26222526297218762</v>
      </c>
      <c r="K24" s="4">
        <f t="shared" si="11"/>
        <v>0.79741250169108602</v>
      </c>
      <c r="L24" s="4">
        <f t="shared" si="11"/>
        <v>-4.9275918718450713E-5</v>
      </c>
      <c r="M24" s="4">
        <f t="shared" si="11"/>
        <v>-5.7269705786762594E-5</v>
      </c>
      <c r="N24" s="4">
        <f t="shared" si="11"/>
        <v>-1.374855843916636E-4</v>
      </c>
    </row>
    <row r="25" spans="2:15" x14ac:dyDescent="0.25">
      <c r="B25" t="s">
        <v>5</v>
      </c>
      <c r="D25">
        <f>MIN(D4:D22)</f>
        <v>-1131.6531477799999</v>
      </c>
      <c r="F25" s="3">
        <f>F24*$A$1</f>
        <v>0.54789972962685396</v>
      </c>
      <c r="G25" s="4">
        <f>SUM(H25:N25)</f>
        <v>0.99932894213010937</v>
      </c>
      <c r="H25">
        <f t="shared" ref="H25:N25" si="12">H24^2</f>
        <v>6.1623886365251797E-2</v>
      </c>
      <c r="I25">
        <f t="shared" si="12"/>
        <v>0.2330762447605671</v>
      </c>
      <c r="J25">
        <f t="shared" si="12"/>
        <v>6.8762088540832947E-2</v>
      </c>
      <c r="K25">
        <f t="shared" si="12"/>
        <v>0.63586669785323624</v>
      </c>
      <c r="L25">
        <f t="shared" si="12"/>
        <v>2.4281161655473614E-9</v>
      </c>
      <c r="M25">
        <f t="shared" si="12"/>
        <v>3.2798192009023491E-9</v>
      </c>
      <c r="N25">
        <f t="shared" si="12"/>
        <v>1.8902285915517256E-8</v>
      </c>
    </row>
    <row r="26" spans="2:15" x14ac:dyDescent="0.25">
      <c r="B26" t="s">
        <v>6</v>
      </c>
      <c r="D26">
        <f>MAX(D5:D22)</f>
        <v>-1131.6524625899999</v>
      </c>
    </row>
    <row r="27" spans="2:15" x14ac:dyDescent="0.25">
      <c r="B27" t="s">
        <v>67</v>
      </c>
      <c r="D27" s="1">
        <f>D26-D25</f>
        <v>6.8519000001288077E-4</v>
      </c>
      <c r="G27" t="s">
        <v>63</v>
      </c>
      <c r="H27">
        <f>H24*$F$24</f>
        <v>-5.1804037073447089E-5</v>
      </c>
      <c r="I27">
        <f t="shared" ref="I27:N27" si="13">I24*$F$24</f>
        <v>1.0074837955442757E-4</v>
      </c>
      <c r="J27">
        <f t="shared" si="13"/>
        <v>5.4722205554672359E-5</v>
      </c>
      <c r="K27">
        <f t="shared" si="13"/>
        <v>1.6640719637311721E-4</v>
      </c>
      <c r="L27">
        <f t="shared" si="13"/>
        <v>-1.0283093712799077E-8</v>
      </c>
      <c r="M27">
        <f t="shared" si="13"/>
        <v>-1.1951268831223271E-8</v>
      </c>
      <c r="N27">
        <f t="shared" si="13"/>
        <v>-2.8691035808715483E-8</v>
      </c>
    </row>
    <row r="28" spans="2:15" x14ac:dyDescent="0.25">
      <c r="D28" s="3">
        <f>D27*$A$1</f>
        <v>1.7989663450338185</v>
      </c>
      <c r="H28">
        <f>$A$1*H27</f>
        <v>-0.13601149933633533</v>
      </c>
      <c r="I28">
        <f t="shared" ref="I28:N28" si="14">$A$1*I27</f>
        <v>0.26451487052014955</v>
      </c>
      <c r="J28">
        <f t="shared" si="14"/>
        <v>0.14367315068379227</v>
      </c>
      <c r="K28">
        <f t="shared" si="14"/>
        <v>0.43690209407761926</v>
      </c>
      <c r="L28">
        <f t="shared" si="14"/>
        <v>-2.6998262542953975E-5</v>
      </c>
      <c r="M28">
        <f t="shared" si="14"/>
        <v>-3.1378056316376696E-5</v>
      </c>
      <c r="N28">
        <f t="shared" si="14"/>
        <v>-7.5328314515782499E-5</v>
      </c>
      <c r="O28" t="s">
        <v>61</v>
      </c>
    </row>
    <row r="30" spans="2:15" x14ac:dyDescent="0.25">
      <c r="F30">
        <f>F25/opt_angle_relax!F25</f>
        <v>0.78406732861224404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31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2" max="12" width="12.7109375" bestFit="1" customWidth="1"/>
  </cols>
  <sheetData>
    <row r="1" spans="1:14" ht="18.75" x14ac:dyDescent="0.3">
      <c r="A1" s="2">
        <v>2625.5</v>
      </c>
      <c r="F1" t="s">
        <v>14</v>
      </c>
      <c r="G1" s="5">
        <v>97.1</v>
      </c>
    </row>
    <row r="2" spans="1:14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L2">
        <v>5</v>
      </c>
      <c r="M2">
        <v>6</v>
      </c>
      <c r="N2">
        <v>7</v>
      </c>
    </row>
    <row r="4" spans="1:14" x14ac:dyDescent="0.25">
      <c r="A4" t="s">
        <v>2</v>
      </c>
      <c r="B4" s="3">
        <v>-179.99417</v>
      </c>
      <c r="C4">
        <f>B4*PI()/180</f>
        <v>-3.1414909008944019</v>
      </c>
      <c r="D4">
        <f>D14</f>
        <v>-1131.65272785</v>
      </c>
      <c r="E4">
        <f>D4-$D$24</f>
        <v>-1.028042222287695E-3</v>
      </c>
    </row>
    <row r="5" spans="1:14" x14ac:dyDescent="0.25">
      <c r="B5">
        <v>0</v>
      </c>
      <c r="C5">
        <f t="shared" ref="C5:C22" si="0">B5*PI()/180</f>
        <v>0</v>
      </c>
      <c r="D5">
        <v>-1131.6515917300001</v>
      </c>
      <c r="E5">
        <f t="shared" ref="E5:E22" si="1">D5-$D$24</f>
        <v>1.0807777766785875E-4</v>
      </c>
      <c r="F5">
        <f t="shared" ref="F5:F22" si="2">E5^2</f>
        <v>1.1680806025623109E-8</v>
      </c>
      <c r="G5">
        <f t="shared" ref="G5:G22" si="3">E5/$F$24</f>
        <v>0.23384053690596468</v>
      </c>
      <c r="H5">
        <f>-COS(C5-$C$4)*SQRT(2)*G5</f>
        <v>0.33070045701304956</v>
      </c>
      <c r="I5">
        <f>-SQRT(2)*COS(2*(C5-$C$4))*G5</f>
        <v>-0.33070045187713371</v>
      </c>
      <c r="J5">
        <f>-COS(3*(C5-$C$4))*SQRT(2)*G5</f>
        <v>0.33070044331727405</v>
      </c>
      <c r="K5">
        <f>-COS(4*(C5-$C$4))*SQRT(2)*G5</f>
        <v>-0.3307004313334706</v>
      </c>
      <c r="L5">
        <f>SQRT(2)*(3*SIN(C5-$C$4)-SIN(3*(C5-$C$4)))*G5/SQRT(10)</f>
        <v>4.4068934402455221E-13</v>
      </c>
      <c r="M5">
        <f>SQRT(2)*(2*SIN(2*(C5-$C$4))-SIN(4*(C5-$C$4)))*G5/SQRT(5)</f>
        <v>-1.2464577022429845E-12</v>
      </c>
      <c r="N5">
        <f>SQRT(2)*G5*(SIN(C5-$C$4)-SIN(2*(C5-$C$4))+3*SIN(3*(C5-$C$4))-2*SIN(4*(C5-$C$4)))/SQRT(15)</f>
        <v>1.7376610949008367E-4</v>
      </c>
    </row>
    <row r="6" spans="1:14" x14ac:dyDescent="0.25">
      <c r="B6">
        <v>20</v>
      </c>
      <c r="C6">
        <f t="shared" si="0"/>
        <v>0.3490658503988659</v>
      </c>
      <c r="D6">
        <v>-1131.65126616</v>
      </c>
      <c r="E6">
        <f t="shared" si="1"/>
        <v>4.3364777775423136E-4</v>
      </c>
      <c r="F6">
        <f t="shared" si="2"/>
        <v>1.8805039515118323E-7</v>
      </c>
      <c r="G6">
        <f t="shared" si="3"/>
        <v>0.93825420328090781</v>
      </c>
      <c r="H6">
        <f t="shared" ref="H6:H22" si="4">-COS(C6-$C$4)*SQRT(2)*G6</f>
        <v>1.2469166224477308</v>
      </c>
      <c r="I6">
        <f t="shared" ref="I6:I22" si="5">-SQRT(2)*COS(2*(C6-$C$4))*G6</f>
        <v>-1.0166316554002561</v>
      </c>
      <c r="J6">
        <f t="shared" ref="J6:J22" si="6">-COS(3*(C6-$C$4))*SQRT(2)*G6</f>
        <v>0.66379665749017258</v>
      </c>
      <c r="K6">
        <f t="shared" ref="K6:K22" si="7">-COS(4*(C6-$C$4))*SQRT(2)*G6</f>
        <v>-0.23094418183404311</v>
      </c>
      <c r="L6">
        <f t="shared" ref="L6:L22" si="8">SQRT(2)*(3*SIN(C6-$C$4)-SIN(3*(C6-$C$4)))*G6/SQRT(10)</f>
        <v>-6.7094398808715774E-2</v>
      </c>
      <c r="M6">
        <f t="shared" ref="M6:M22" si="9">SQRT(2)*(2*SIN(2*(C6-$C$4))-SIN(4*(C6-$C$4)))*G6/SQRT(5)</f>
        <v>0.17833359201627255</v>
      </c>
      <c r="N6">
        <f t="shared" ref="N6:N22" si="10">SQRT(2)*G6*(SIN(C6-$C$4)-SIN(2*(C6-$C$4))+3*SIN(3*(C6-$C$4))-2*SIN(4*(C6-$C$4)))/SQRT(15)</f>
        <v>-1.9020058217529889</v>
      </c>
    </row>
    <row r="7" spans="1:14" x14ac:dyDescent="0.25">
      <c r="B7">
        <v>40</v>
      </c>
      <c r="C7">
        <f t="shared" si="0"/>
        <v>0.69813170079773179</v>
      </c>
      <c r="D7">
        <v>-1131.6509564200001</v>
      </c>
      <c r="E7">
        <f t="shared" si="1"/>
        <v>7.4338777767479769E-4</v>
      </c>
      <c r="F7">
        <f t="shared" si="2"/>
        <v>5.5262538799627442E-7</v>
      </c>
      <c r="G7">
        <f t="shared" si="3"/>
        <v>1.6084175749341221</v>
      </c>
      <c r="H7">
        <f t="shared" si="4"/>
        <v>1.7426286539020732</v>
      </c>
      <c r="I7">
        <f t="shared" si="5"/>
        <v>-0.39544398578055595</v>
      </c>
      <c r="J7">
        <f t="shared" si="6"/>
        <v>-1.1367215929726544</v>
      </c>
      <c r="K7">
        <f t="shared" si="7"/>
        <v>2.1371511915016579</v>
      </c>
      <c r="L7">
        <f t="shared" si="8"/>
        <v>-0.76386793502154171</v>
      </c>
      <c r="M7">
        <f t="shared" si="9"/>
        <v>1.6552146309643101</v>
      </c>
      <c r="N7">
        <f t="shared" si="10"/>
        <v>-2.8841795915630195</v>
      </c>
    </row>
    <row r="8" spans="1:14" x14ac:dyDescent="0.25">
      <c r="B8">
        <v>60</v>
      </c>
      <c r="C8">
        <f t="shared" si="0"/>
        <v>1.0471975511965976</v>
      </c>
      <c r="D8">
        <v>-1131.6513859900001</v>
      </c>
      <c r="E8">
        <f t="shared" si="1"/>
        <v>3.1381777762362617E-4</v>
      </c>
      <c r="F8">
        <f t="shared" si="2"/>
        <v>9.8481597552631693E-8</v>
      </c>
      <c r="G8">
        <f t="shared" si="3"/>
        <v>0.6789861819296904</v>
      </c>
      <c r="H8">
        <f t="shared" si="4"/>
        <v>0.48020034708816561</v>
      </c>
      <c r="I8">
        <f t="shared" si="5"/>
        <v>0.47994649163509118</v>
      </c>
      <c r="J8">
        <f t="shared" si="6"/>
        <v>-0.96023142241051029</v>
      </c>
      <c r="K8">
        <f t="shared" si="7"/>
        <v>0.48045415779497191</v>
      </c>
      <c r="L8">
        <f t="shared" si="8"/>
        <v>-0.78877161011839991</v>
      </c>
      <c r="M8">
        <f t="shared" si="9"/>
        <v>1.1156880980278001</v>
      </c>
      <c r="N8">
        <f t="shared" si="10"/>
        <v>-3.4060283263232107E-4</v>
      </c>
    </row>
    <row r="9" spans="1:14" x14ac:dyDescent="0.25">
      <c r="B9">
        <v>80</v>
      </c>
      <c r="C9">
        <f t="shared" si="0"/>
        <v>1.3962634015954636</v>
      </c>
      <c r="D9">
        <v>-1131.6519990500001</v>
      </c>
      <c r="E9">
        <f t="shared" si="1"/>
        <v>-2.9924222235422349E-4</v>
      </c>
      <c r="F9">
        <f t="shared" si="2"/>
        <v>8.9545907639494529E-8</v>
      </c>
      <c r="G9">
        <f t="shared" si="3"/>
        <v>-0.64745004431244457</v>
      </c>
      <c r="H9">
        <f t="shared" si="4"/>
        <v>-0.15908969007406706</v>
      </c>
      <c r="I9">
        <f t="shared" si="5"/>
        <v>-0.86034948062659222</v>
      </c>
      <c r="J9">
        <f t="shared" si="6"/>
        <v>0.45805835327315109</v>
      </c>
      <c r="K9">
        <f t="shared" si="7"/>
        <v>0.70117568366502425</v>
      </c>
      <c r="L9">
        <f t="shared" si="8"/>
        <v>1.1061454774652906</v>
      </c>
      <c r="M9">
        <f t="shared" si="9"/>
        <v>-0.54359820570762629</v>
      </c>
      <c r="N9">
        <f t="shared" si="10"/>
        <v>-0.60447036575129653</v>
      </c>
    </row>
    <row r="10" spans="1:14" x14ac:dyDescent="0.25">
      <c r="B10">
        <v>100</v>
      </c>
      <c r="C10">
        <f t="shared" si="0"/>
        <v>1.7453292519943295</v>
      </c>
      <c r="D10">
        <v>-1131.65203129</v>
      </c>
      <c r="E10">
        <f t="shared" si="1"/>
        <v>-3.3148222223644552E-4</v>
      </c>
      <c r="F10">
        <f t="shared" si="2"/>
        <v>1.0988046365881226E-7</v>
      </c>
      <c r="G10">
        <f t="shared" si="3"/>
        <v>-0.7172055393363681</v>
      </c>
      <c r="H10">
        <f t="shared" si="4"/>
        <v>0.17602654744990445</v>
      </c>
      <c r="I10">
        <f t="shared" si="5"/>
        <v>-0.95318370081298021</v>
      </c>
      <c r="J10">
        <f t="shared" si="6"/>
        <v>-0.50687273993299886</v>
      </c>
      <c r="K10">
        <f t="shared" si="7"/>
        <v>0.7772502307617446</v>
      </c>
      <c r="L10">
        <f t="shared" si="8"/>
        <v>1.225452184398657</v>
      </c>
      <c r="M10">
        <f t="shared" si="9"/>
        <v>0.60153500009003869</v>
      </c>
      <c r="N10">
        <f t="shared" si="10"/>
        <v>-0.17561735790259989</v>
      </c>
    </row>
    <row r="11" spans="1:14" x14ac:dyDescent="0.25">
      <c r="B11">
        <v>120</v>
      </c>
      <c r="C11">
        <f t="shared" si="0"/>
        <v>2.0943951023931953</v>
      </c>
      <c r="D11">
        <v>-1131.6516189399999</v>
      </c>
      <c r="E11">
        <f t="shared" si="1"/>
        <v>8.0867777796811424E-5</v>
      </c>
      <c r="F11">
        <f t="shared" si="2"/>
        <v>6.5395974857944668E-9</v>
      </c>
      <c r="G11">
        <f t="shared" si="3"/>
        <v>0.17496811080361735</v>
      </c>
      <c r="H11">
        <f t="shared" si="4"/>
        <v>-0.12369933228319036</v>
      </c>
      <c r="I11">
        <f t="shared" si="5"/>
        <v>0.12376474451242314</v>
      </c>
      <c r="J11">
        <f t="shared" si="6"/>
        <v>0.2474422637526294</v>
      </c>
      <c r="K11">
        <f t="shared" si="7"/>
        <v>0.12363390852734472</v>
      </c>
      <c r="L11">
        <f t="shared" si="8"/>
        <v>-0.20333040153121662</v>
      </c>
      <c r="M11">
        <f t="shared" si="9"/>
        <v>-0.2875019314864144</v>
      </c>
      <c r="N11">
        <f t="shared" si="10"/>
        <v>-0.11063678811377906</v>
      </c>
    </row>
    <row r="12" spans="1:14" x14ac:dyDescent="0.25">
      <c r="B12">
        <v>140</v>
      </c>
      <c r="C12">
        <f t="shared" si="0"/>
        <v>2.4434609527920612</v>
      </c>
      <c r="D12">
        <v>-1131.6516030800001</v>
      </c>
      <c r="E12">
        <f t="shared" si="1"/>
        <v>9.6727777645355673E-5</v>
      </c>
      <c r="F12">
        <f t="shared" si="2"/>
        <v>9.3562629682093685E-9</v>
      </c>
      <c r="G12">
        <f t="shared" si="3"/>
        <v>0.2092833137985346</v>
      </c>
      <c r="H12">
        <f t="shared" si="4"/>
        <v>-0.22670781097730211</v>
      </c>
      <c r="I12">
        <f t="shared" si="5"/>
        <v>-5.1335559253988923E-2</v>
      </c>
      <c r="J12">
        <f t="shared" si="6"/>
        <v>0.14806388682528709</v>
      </c>
      <c r="K12">
        <f t="shared" si="7"/>
        <v>0.27816322519074588</v>
      </c>
      <c r="L12">
        <f t="shared" si="8"/>
        <v>-9.9464947896142575E-2</v>
      </c>
      <c r="M12">
        <f t="shared" si="9"/>
        <v>-0.21549238873590298</v>
      </c>
      <c r="N12">
        <f t="shared" si="10"/>
        <v>-0.12015931566620465</v>
      </c>
    </row>
    <row r="13" spans="1:14" x14ac:dyDescent="0.25">
      <c r="B13">
        <v>160</v>
      </c>
      <c r="C13">
        <f t="shared" si="0"/>
        <v>2.7925268031909272</v>
      </c>
      <c r="D13">
        <v>-1131.65227755</v>
      </c>
      <c r="E13">
        <f t="shared" si="1"/>
        <v>-5.7774222227635619E-4</v>
      </c>
      <c r="F13">
        <f t="shared" si="2"/>
        <v>3.3378607540082258E-7</v>
      </c>
      <c r="G13">
        <f t="shared" si="3"/>
        <v>-1.2500215526778504</v>
      </c>
      <c r="H13">
        <f t="shared" si="4"/>
        <v>1.6611246723352555</v>
      </c>
      <c r="I13">
        <f t="shared" si="5"/>
        <v>1.3539801252150179</v>
      </c>
      <c r="J13">
        <f t="shared" si="6"/>
        <v>0.88343133820104125</v>
      </c>
      <c r="K13">
        <f t="shared" si="7"/>
        <v>0.3062661957260609</v>
      </c>
      <c r="L13">
        <f t="shared" si="8"/>
        <v>8.9538893849105836E-2</v>
      </c>
      <c r="M13">
        <f t="shared" si="9"/>
        <v>0.23797232197753596</v>
      </c>
      <c r="N13">
        <f t="shared" si="10"/>
        <v>0.14969038544670529</v>
      </c>
    </row>
    <row r="14" spans="1:14" x14ac:dyDescent="0.25">
      <c r="B14">
        <v>180</v>
      </c>
      <c r="C14">
        <f t="shared" si="0"/>
        <v>3.1415926535897931</v>
      </c>
      <c r="D14">
        <v>-1131.65272785</v>
      </c>
      <c r="E14">
        <f t="shared" si="1"/>
        <v>-1.028042222287695E-3</v>
      </c>
      <c r="F14">
        <f t="shared" si="2"/>
        <v>1.0568708108062227E-6</v>
      </c>
      <c r="G14">
        <f t="shared" si="3"/>
        <v>-2.2243050366981003</v>
      </c>
      <c r="H14">
        <f t="shared" si="4"/>
        <v>3.1456423334688597</v>
      </c>
      <c r="I14">
        <f t="shared" si="5"/>
        <v>3.1456422846157239</v>
      </c>
      <c r="J14">
        <f t="shared" si="6"/>
        <v>3.1456422031938316</v>
      </c>
      <c r="K14">
        <f t="shared" si="7"/>
        <v>3.145642089203184</v>
      </c>
      <c r="L14">
        <f t="shared" si="8"/>
        <v>4.1936301532530346E-12</v>
      </c>
      <c r="M14">
        <f t="shared" si="9"/>
        <v>1.1856379487552793E-11</v>
      </c>
      <c r="N14">
        <f t="shared" si="10"/>
        <v>7.6966161790680425E-12</v>
      </c>
    </row>
    <row r="15" spans="1:14" x14ac:dyDescent="0.25">
      <c r="B15">
        <v>200</v>
      </c>
      <c r="C15">
        <f t="shared" si="0"/>
        <v>3.4906585039886591</v>
      </c>
      <c r="D15">
        <f>D13</f>
        <v>-1131.65227755</v>
      </c>
      <c r="E15">
        <f t="shared" si="1"/>
        <v>-5.7774222227635619E-4</v>
      </c>
      <c r="F15">
        <f t="shared" si="2"/>
        <v>3.3378607540082258E-7</v>
      </c>
      <c r="G15">
        <f t="shared" si="3"/>
        <v>-1.2500215526778504</v>
      </c>
      <c r="H15">
        <f t="shared" si="4"/>
        <v>1.6612477162388759</v>
      </c>
      <c r="I15">
        <f t="shared" si="5"/>
        <v>1.3544426190056824</v>
      </c>
      <c r="J15">
        <f t="shared" si="6"/>
        <v>0.88436601249076208</v>
      </c>
      <c r="K15">
        <f t="shared" si="7"/>
        <v>0.30768335888997816</v>
      </c>
      <c r="L15">
        <f t="shared" si="8"/>
        <v>-8.938882904183186E-2</v>
      </c>
      <c r="M15">
        <f t="shared" si="9"/>
        <v>-0.23759108438553633</v>
      </c>
      <c r="N15">
        <f t="shared" si="10"/>
        <v>-0.14945645289811743</v>
      </c>
    </row>
    <row r="16" spans="1:14" x14ac:dyDescent="0.25">
      <c r="B16">
        <v>220</v>
      </c>
      <c r="C16">
        <f t="shared" si="0"/>
        <v>3.839724354387525</v>
      </c>
      <c r="D16">
        <f>D12</f>
        <v>-1131.6516030800001</v>
      </c>
      <c r="E16">
        <f t="shared" si="1"/>
        <v>9.6727777645355673E-5</v>
      </c>
      <c r="F16">
        <f t="shared" si="2"/>
        <v>9.3562629682093685E-9</v>
      </c>
      <c r="G16">
        <f t="shared" si="3"/>
        <v>0.2092833137985346</v>
      </c>
      <c r="H16">
        <f t="shared" si="4"/>
        <v>-0.22674652720320046</v>
      </c>
      <c r="I16">
        <f t="shared" si="5"/>
        <v>-5.1454192652206729E-2</v>
      </c>
      <c r="J16">
        <f t="shared" si="6"/>
        <v>0.14790740013731188</v>
      </c>
      <c r="K16">
        <f t="shared" si="7"/>
        <v>0.27808082329880834</v>
      </c>
      <c r="L16">
        <f t="shared" si="8"/>
        <v>9.9392605028143718E-2</v>
      </c>
      <c r="M16">
        <f t="shared" si="9"/>
        <v>0.21537243090011465</v>
      </c>
      <c r="N16">
        <f t="shared" si="10"/>
        <v>0.12010587528331587</v>
      </c>
    </row>
    <row r="17" spans="2:15" x14ac:dyDescent="0.25">
      <c r="B17">
        <v>240</v>
      </c>
      <c r="C17">
        <f t="shared" si="0"/>
        <v>4.1887902047863905</v>
      </c>
      <c r="D17">
        <f>D11</f>
        <v>-1131.6516189399999</v>
      </c>
      <c r="E17">
        <f t="shared" si="1"/>
        <v>8.0867777796811424E-5</v>
      </c>
      <c r="F17">
        <f t="shared" si="2"/>
        <v>6.5395974857944668E-9</v>
      </c>
      <c r="G17">
        <f t="shared" si="3"/>
        <v>0.17496811080361735</v>
      </c>
      <c r="H17">
        <f t="shared" si="4"/>
        <v>-0.12374294171712319</v>
      </c>
      <c r="I17">
        <f t="shared" si="5"/>
        <v>0.12367752564500896</v>
      </c>
      <c r="J17">
        <f t="shared" si="6"/>
        <v>0.2474422637526294</v>
      </c>
      <c r="K17">
        <f t="shared" si="7"/>
        <v>0.12380834625856096</v>
      </c>
      <c r="L17">
        <f t="shared" si="8"/>
        <v>0.20325874391982088</v>
      </c>
      <c r="M17">
        <f t="shared" si="9"/>
        <v>0.28750193148734704</v>
      </c>
      <c r="N17">
        <f t="shared" si="10"/>
        <v>0.11068229448765324</v>
      </c>
    </row>
    <row r="18" spans="2:15" x14ac:dyDescent="0.25">
      <c r="B18">
        <v>260</v>
      </c>
      <c r="C18">
        <f t="shared" si="0"/>
        <v>4.5378560551852569</v>
      </c>
      <c r="D18">
        <f>D10</f>
        <v>-1131.65203129</v>
      </c>
      <c r="E18">
        <f t="shared" si="1"/>
        <v>-3.3148222223644552E-4</v>
      </c>
      <c r="F18">
        <f t="shared" si="2"/>
        <v>1.0988046365881226E-7</v>
      </c>
      <c r="G18">
        <f t="shared" si="3"/>
        <v>-0.7172055393363681</v>
      </c>
      <c r="H18">
        <f t="shared" si="4"/>
        <v>0.17622982340451418</v>
      </c>
      <c r="I18">
        <f t="shared" si="5"/>
        <v>-0.95304250681738512</v>
      </c>
      <c r="J18">
        <f t="shared" si="6"/>
        <v>-0.50740901354894641</v>
      </c>
      <c r="K18">
        <f t="shared" si="7"/>
        <v>0.77671951494969449</v>
      </c>
      <c r="L18">
        <f t="shared" si="8"/>
        <v>-1.2253202709908744</v>
      </c>
      <c r="M18">
        <f t="shared" si="9"/>
        <v>-0.60216482759043144</v>
      </c>
      <c r="N18">
        <f t="shared" si="10"/>
        <v>0.17516033353851615</v>
      </c>
    </row>
    <row r="19" spans="2:15" x14ac:dyDescent="0.25">
      <c r="B19">
        <v>280</v>
      </c>
      <c r="C19">
        <f t="shared" si="0"/>
        <v>4.8869219055841224</v>
      </c>
      <c r="D19">
        <f>D9</f>
        <v>-1131.6519990500001</v>
      </c>
      <c r="E19">
        <f t="shared" si="1"/>
        <v>-2.9924222235422349E-4</v>
      </c>
      <c r="F19">
        <f t="shared" si="2"/>
        <v>8.9545907639494529E-8</v>
      </c>
      <c r="G19">
        <f t="shared" si="3"/>
        <v>-0.64745004431244457</v>
      </c>
      <c r="H19">
        <f t="shared" si="4"/>
        <v>-0.15890618476268656</v>
      </c>
      <c r="I19">
        <f t="shared" si="5"/>
        <v>-0.86047694207758629</v>
      </c>
      <c r="J19">
        <f t="shared" si="6"/>
        <v>0.45757423769209998</v>
      </c>
      <c r="K19">
        <f t="shared" si="7"/>
        <v>0.70165478199483788</v>
      </c>
      <c r="L19">
        <f t="shared" si="8"/>
        <v>-1.1062645609595334</v>
      </c>
      <c r="M19">
        <f t="shared" si="9"/>
        <v>0.54302963530392345</v>
      </c>
      <c r="N19">
        <f t="shared" si="10"/>
        <v>0.6044740887191643</v>
      </c>
    </row>
    <row r="20" spans="2:15" x14ac:dyDescent="0.25">
      <c r="B20">
        <v>300</v>
      </c>
      <c r="C20">
        <f t="shared" si="0"/>
        <v>5.2359877559829888</v>
      </c>
      <c r="D20">
        <f>D8</f>
        <v>-1131.6513859900001</v>
      </c>
      <c r="E20">
        <f t="shared" si="1"/>
        <v>3.1381777762362617E-4</v>
      </c>
      <c r="F20">
        <f t="shared" si="2"/>
        <v>9.8481597552631693E-8</v>
      </c>
      <c r="G20">
        <f t="shared" si="3"/>
        <v>0.6789861819296904</v>
      </c>
      <c r="H20">
        <f t="shared" si="4"/>
        <v>0.48003111508979646</v>
      </c>
      <c r="I20">
        <f t="shared" si="5"/>
        <v>0.48028495563007739</v>
      </c>
      <c r="J20">
        <f t="shared" si="6"/>
        <v>-0.96023142241051029</v>
      </c>
      <c r="K20">
        <f t="shared" si="7"/>
        <v>0.47977722981901672</v>
      </c>
      <c r="L20">
        <f t="shared" si="8"/>
        <v>0.78904968666471642</v>
      </c>
      <c r="M20">
        <f t="shared" si="9"/>
        <v>-1.1156880980241808</v>
      </c>
      <c r="N20">
        <f t="shared" si="10"/>
        <v>-3.4054280979348535E-4</v>
      </c>
    </row>
    <row r="21" spans="2:15" x14ac:dyDescent="0.25">
      <c r="B21">
        <v>320</v>
      </c>
      <c r="C21">
        <f t="shared" si="0"/>
        <v>5.5850536063818543</v>
      </c>
      <c r="D21">
        <f>D7</f>
        <v>-1131.6509564200001</v>
      </c>
      <c r="E21">
        <f t="shared" si="1"/>
        <v>7.4338777767479769E-4</v>
      </c>
      <c r="F21">
        <f t="shared" si="2"/>
        <v>5.5262538799627442E-7</v>
      </c>
      <c r="G21">
        <f t="shared" si="3"/>
        <v>1.6084175749341221</v>
      </c>
      <c r="H21">
        <f t="shared" si="4"/>
        <v>1.7423311057744175</v>
      </c>
      <c r="I21">
        <f t="shared" si="5"/>
        <v>-0.39453224542627147</v>
      </c>
      <c r="J21">
        <f t="shared" si="6"/>
        <v>-1.1379242494798345</v>
      </c>
      <c r="K21">
        <f t="shared" si="7"/>
        <v>2.1377844796926517</v>
      </c>
      <c r="L21">
        <f t="shared" si="8"/>
        <v>0.76442391599393367</v>
      </c>
      <c r="M21">
        <f t="shared" si="9"/>
        <v>-1.6561365500979091</v>
      </c>
      <c r="N21">
        <f t="shared" si="10"/>
        <v>2.8828763110531788</v>
      </c>
    </row>
    <row r="22" spans="2:15" x14ac:dyDescent="0.25">
      <c r="B22">
        <v>340</v>
      </c>
      <c r="C22">
        <f t="shared" si="0"/>
        <v>5.9341194567807207</v>
      </c>
      <c r="D22">
        <f>D6</f>
        <v>-1131.65126616</v>
      </c>
      <c r="E22">
        <f t="shared" si="1"/>
        <v>4.3364777775423136E-4</v>
      </c>
      <c r="F22">
        <f t="shared" si="2"/>
        <v>1.8805039515118323E-7</v>
      </c>
      <c r="G22">
        <f t="shared" si="3"/>
        <v>0.93825420328090781</v>
      </c>
      <c r="H22">
        <f t="shared" si="4"/>
        <v>1.2468242668723313</v>
      </c>
      <c r="I22">
        <f t="shared" si="5"/>
        <v>-1.0162845119912869</v>
      </c>
      <c r="J22">
        <f t="shared" si="6"/>
        <v>0.66309509992170068</v>
      </c>
      <c r="K22">
        <f t="shared" si="7"/>
        <v>-0.22988047273844484</v>
      </c>
      <c r="L22">
        <f t="shared" si="8"/>
        <v>6.7207036015559427E-2</v>
      </c>
      <c r="M22">
        <f t="shared" si="9"/>
        <v>-0.17861974530089017</v>
      </c>
      <c r="N22">
        <f t="shared" si="10"/>
        <v>1.9025887596694022</v>
      </c>
    </row>
    <row r="24" spans="2:15" x14ac:dyDescent="0.25">
      <c r="B24" t="s">
        <v>4</v>
      </c>
      <c r="D24">
        <f>AVERAGE(D5:D22)</f>
        <v>-1131.6516998077777</v>
      </c>
      <c r="F24">
        <f>SQRT(AVERAGE(F5:F22))</f>
        <v>4.6218580874761054E-4</v>
      </c>
      <c r="G24" t="s">
        <v>10</v>
      </c>
      <c r="H24" s="4">
        <f t="shared" ref="H24:N24" si="11">AVERAGE(H5:H22)</f>
        <v>0.72616728744818893</v>
      </c>
      <c r="I24" s="4">
        <f t="shared" si="11"/>
        <v>9.9057507523767751E-3</v>
      </c>
      <c r="J24" s="4">
        <f t="shared" si="11"/>
        <v>0.17045165107180196</v>
      </c>
      <c r="K24" s="4">
        <f t="shared" si="11"/>
        <v>0.66465111840935143</v>
      </c>
      <c r="L24" s="4">
        <f t="shared" si="11"/>
        <v>5.3643831755883896E-5</v>
      </c>
      <c r="M24" s="4">
        <f t="shared" si="11"/>
        <v>-1.1917725282994796E-4</v>
      </c>
      <c r="N24" s="4">
        <f t="shared" si="11"/>
        <v>-8.0834720850446004E-5</v>
      </c>
    </row>
    <row r="25" spans="2:15" x14ac:dyDescent="0.25">
      <c r="B25" t="s">
        <v>5</v>
      </c>
      <c r="D25">
        <f>MIN(D4:D22)</f>
        <v>-1131.65272785</v>
      </c>
      <c r="F25" s="3">
        <f>F24*$A$1</f>
        <v>1.2134688408668515</v>
      </c>
      <c r="G25" s="4">
        <f>SUM(H25:N25)</f>
        <v>0.99823195142886434</v>
      </c>
      <c r="H25">
        <f t="shared" ref="H25:N25" si="12">H24^2</f>
        <v>0.52731892935986069</v>
      </c>
      <c r="I25">
        <f t="shared" si="12"/>
        <v>9.8123897968213048E-5</v>
      </c>
      <c r="J25">
        <f t="shared" si="12"/>
        <v>2.9053765353103327E-2</v>
      </c>
      <c r="K25">
        <f t="shared" si="12"/>
        <v>0.44176110920280171</v>
      </c>
      <c r="L25">
        <f t="shared" si="12"/>
        <v>2.8776606854535773E-9</v>
      </c>
      <c r="M25">
        <f t="shared" si="12"/>
        <v>1.4203217592093339E-8</v>
      </c>
      <c r="N25">
        <f t="shared" si="12"/>
        <v>6.5342520949695302E-9</v>
      </c>
    </row>
    <row r="26" spans="2:15" x14ac:dyDescent="0.25">
      <c r="B26" t="s">
        <v>6</v>
      </c>
      <c r="D26">
        <f>MAX(D5:D22)</f>
        <v>-1131.6509564200001</v>
      </c>
    </row>
    <row r="27" spans="2:15" x14ac:dyDescent="0.25">
      <c r="B27" t="s">
        <v>67</v>
      </c>
      <c r="D27" s="1">
        <f>D26-D25</f>
        <v>1.7714299999624927E-3</v>
      </c>
      <c r="G27" t="s">
        <v>63</v>
      </c>
      <c r="H27">
        <f>H24*$F$24</f>
        <v>3.3562421503529976E-4</v>
      </c>
      <c r="I27">
        <f t="shared" ref="I27:N27" si="13">I24*$F$24</f>
        <v>4.5782974227395115E-6</v>
      </c>
      <c r="J27">
        <f t="shared" si="13"/>
        <v>7.8780334202986304E-5</v>
      </c>
      <c r="K27">
        <f t="shared" si="13"/>
        <v>3.0719231469702996E-4</v>
      </c>
      <c r="L27">
        <f t="shared" si="13"/>
        <v>2.4793417764413952E-8</v>
      </c>
      <c r="M27">
        <f t="shared" si="13"/>
        <v>-5.508203498352796E-8</v>
      </c>
      <c r="N27">
        <f t="shared" si="13"/>
        <v>-3.7360660831150726E-8</v>
      </c>
    </row>
    <row r="28" spans="2:15" x14ac:dyDescent="0.25">
      <c r="D28" s="3">
        <f>D27*$A$1</f>
        <v>4.6508894649015247</v>
      </c>
      <c r="H28">
        <f>$A$1*H27</f>
        <v>0.88118137657517948</v>
      </c>
      <c r="I28">
        <f t="shared" ref="I28:N28" si="14">$A$1*I27</f>
        <v>1.2020319883402587E-2</v>
      </c>
      <c r="J28">
        <f t="shared" si="14"/>
        <v>0.20683776744994053</v>
      </c>
      <c r="K28">
        <f t="shared" si="14"/>
        <v>0.80653342223705216</v>
      </c>
      <c r="L28">
        <f t="shared" si="14"/>
        <v>6.5095118340468826E-5</v>
      </c>
      <c r="M28">
        <f t="shared" si="14"/>
        <v>-1.4461788284925265E-4</v>
      </c>
      <c r="N28">
        <f t="shared" si="14"/>
        <v>-9.8090415012186229E-5</v>
      </c>
      <c r="O28" t="s">
        <v>61</v>
      </c>
    </row>
    <row r="31" spans="2:15" x14ac:dyDescent="0.25">
      <c r="F31">
        <f>F25/opt_angle_relax!F25</f>
        <v>1.7365244422745851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D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2" max="12" width="12.7109375" bestFit="1" customWidth="1"/>
    <col min="16" max="16" width="12" bestFit="1" customWidth="1"/>
    <col min="30" max="30" width="9.5703125" customWidth="1"/>
  </cols>
  <sheetData>
    <row r="1" spans="1:30" ht="18.75" x14ac:dyDescent="0.3">
      <c r="A1" s="2">
        <v>2625.5</v>
      </c>
      <c r="X1" t="s">
        <v>15</v>
      </c>
      <c r="Z1" t="s">
        <v>62</v>
      </c>
    </row>
    <row r="2" spans="1:30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L2">
        <v>5</v>
      </c>
      <c r="M2">
        <v>6</v>
      </c>
      <c r="N2">
        <v>7</v>
      </c>
      <c r="P2" t="s">
        <v>7</v>
      </c>
      <c r="Q2" t="s">
        <v>11</v>
      </c>
      <c r="R2" t="s">
        <v>12</v>
      </c>
      <c r="S2" t="s">
        <v>13</v>
      </c>
      <c r="T2">
        <v>5</v>
      </c>
      <c r="U2">
        <v>6</v>
      </c>
      <c r="V2">
        <v>7</v>
      </c>
      <c r="X2" t="s">
        <v>16</v>
      </c>
      <c r="Z2" t="s">
        <v>61</v>
      </c>
      <c r="AA2" s="1" t="s">
        <v>64</v>
      </c>
      <c r="AB2" s="1" t="s">
        <v>65</v>
      </c>
      <c r="AD2" s="1" t="s">
        <v>66</v>
      </c>
    </row>
    <row r="3" spans="1:30" x14ac:dyDescent="0.25">
      <c r="AA3">
        <f>SUM(AA5:AA22)</f>
        <v>8.7895767396436675</v>
      </c>
      <c r="AB3">
        <f>SUM(AB5:AB22)</f>
        <v>1.8742866345150159E-2</v>
      </c>
      <c r="AD3" s="6">
        <f>1-AB3/AA3</f>
        <v>0.99786760308256772</v>
      </c>
    </row>
    <row r="4" spans="1:30" x14ac:dyDescent="0.25">
      <c r="A4" t="s">
        <v>2</v>
      </c>
      <c r="B4" s="3">
        <v>-179.99417</v>
      </c>
      <c r="C4">
        <f>B4*PI()/180</f>
        <v>-3.1414909008944019</v>
      </c>
      <c r="D4">
        <v>-1131.6552481900001</v>
      </c>
      <c r="E4">
        <f>D4-$D$24</f>
        <v>-6.7026888905274973E-4</v>
      </c>
    </row>
    <row r="5" spans="1:30" x14ac:dyDescent="0.25">
      <c r="B5">
        <v>0</v>
      </c>
      <c r="C5">
        <f t="shared" ref="C5:C23" si="0">B5*PI()/180</f>
        <v>0</v>
      </c>
      <c r="D5">
        <v>-1131.6547563700001</v>
      </c>
      <c r="E5">
        <f t="shared" ref="E5:E22" si="1">D5-$D$24</f>
        <v>-1.7844888907347922E-4</v>
      </c>
      <c r="F5">
        <f t="shared" ref="F5:F22" si="2">E5^2</f>
        <v>3.1844006011558895E-8</v>
      </c>
      <c r="G5">
        <f t="shared" ref="G5:G22" si="3">E5/$F$24</f>
        <v>-0.67046813577537145</v>
      </c>
      <c r="H5">
        <f>-COS(C5-$C$4)*SQRT(2)*G5</f>
        <v>-0.94818512584396608</v>
      </c>
      <c r="I5">
        <f>-SQRT(2)*COS(2*(C5-$C$4))*G5</f>
        <v>0.9481851111182561</v>
      </c>
      <c r="J5">
        <f>-COS(3*(C5-$C$4))*SQRT(2)*G5</f>
        <v>-0.94818508657540634</v>
      </c>
      <c r="K5">
        <f>-COS(4*(C5-$C$4))*SQRT(2)*G5</f>
        <v>0.94818505221541705</v>
      </c>
      <c r="L5">
        <f>SQRT(2)*(3*SIN(C5-$C$4)-SIN(3*(C5-$C$4)))*G5/SQRT(10)</f>
        <v>-1.2635455206084766E-12</v>
      </c>
      <c r="M5">
        <f>SQRT(2)*(2*SIN(2*(C5-$C$4))-SIN(4*(C5-$C$4)))*G5/SQRT(5)</f>
        <v>3.5738464468278857E-12</v>
      </c>
      <c r="N5">
        <f>SQRT(2)*G5*(SIN(C5-$C$4)-SIN(2*(C5-$C$4))+3*SIN(3*(C5-$C$4))-2*SIN(4*(C5-$C$4)))/SQRT(15)</f>
        <v>-4.9822259661337501E-4</v>
      </c>
      <c r="P5">
        <f>H$28*(1-COS($C5-$C$4))</f>
        <v>0.57173272767996264</v>
      </c>
      <c r="Q5">
        <f>I$28*(1-COS(2*($C5-$C$4)))</f>
        <v>3.7118325772173498E-9</v>
      </c>
      <c r="R5">
        <f>J$28*(1-COS(3*($C5-$C$4)))</f>
        <v>0.36238225187968037</v>
      </c>
      <c r="S5">
        <f>K$28*(1-COS(4*($C5-$C$4)))</f>
        <v>4.8367053954669255E-8</v>
      </c>
      <c r="T5">
        <f>L$28*(3*SIN($C5-$C$4)-SIN(3*($C5-$C$4)))/SQRT(10)</f>
        <v>1.3465077330719297E-17</v>
      </c>
      <c r="U5">
        <f>M$28*(2*SIN(2*(C5-$C$4))-SIN(4*(C5-$C$4)))/SQRT(5)</f>
        <v>2.7764016730966056E-16</v>
      </c>
      <c r="V5">
        <f>$N$28*(SIN(C5-$C$4)-SIN(2*(C5-$C$4))+3*SIN(3*(C5-$C$4))-2*SIN(4*(C5-$C$4)))/SQRT(15)</f>
        <v>-4.2980396458085859E-8</v>
      </c>
      <c r="X5">
        <f>SUM(P5:V5)*SQRT(2)</f>
        <v>1.3210380857763222</v>
      </c>
      <c r="Z5">
        <f>(D5-$D$25)*$A$1</f>
        <v>1.2912734099455747</v>
      </c>
      <c r="AA5">
        <f>(E5*$A$1)^2</f>
        <v>0.21950870240017983</v>
      </c>
      <c r="AB5">
        <f>(X5-Z5)^2</f>
        <v>8.8593592730948378E-4</v>
      </c>
    </row>
    <row r="6" spans="1:30" x14ac:dyDescent="0.25">
      <c r="B6">
        <v>20</v>
      </c>
      <c r="C6">
        <f t="shared" si="0"/>
        <v>0.3490658503988659</v>
      </c>
      <c r="D6">
        <v>-1131.65450442</v>
      </c>
      <c r="E6">
        <f t="shared" si="1"/>
        <v>7.3501111046425649E-5</v>
      </c>
      <c r="F6">
        <f t="shared" si="2"/>
        <v>5.4024133250589945E-9</v>
      </c>
      <c r="G6">
        <f t="shared" si="3"/>
        <v>0.2761583619633724</v>
      </c>
      <c r="H6">
        <f t="shared" ref="H6:H22" si="4">-COS(C6-$C$4)*SQRT(2)*G6</f>
        <v>0.3670076305077537</v>
      </c>
      <c r="I6">
        <f t="shared" ref="I6:I22" si="5">-SQRT(2)*COS(2*(C6-$C$4))*G6</f>
        <v>-0.29922736470959471</v>
      </c>
      <c r="J6">
        <f t="shared" ref="J6:J22" si="6">-COS(3*(C6-$C$4))*SQRT(2)*G6</f>
        <v>0.19537668679579043</v>
      </c>
      <c r="K6">
        <f t="shared" ref="K6:K22" si="7">-COS(4*(C6-$C$4))*SQRT(2)*G6</f>
        <v>-6.7974293893108259E-2</v>
      </c>
      <c r="L6">
        <f t="shared" ref="L6:L22" si="8">SQRT(2)*(3*SIN(C6-$C$4)-SIN(3*(C6-$C$4)))*G6/SQRT(10)</f>
        <v>-1.9748037586339289E-2</v>
      </c>
      <c r="M6">
        <f t="shared" ref="M6:M22" si="9">SQRT(2)*(2*SIN(2*(C6-$C$4))-SIN(4*(C6-$C$4)))*G6/SQRT(5)</f>
        <v>5.2489306716714507E-2</v>
      </c>
      <c r="N6">
        <f t="shared" ref="N6:N22" si="10">SQRT(2)*G6*(SIN(C6-$C$4)-SIN(2*(C6-$C$4))+3*SIN(3*(C6-$C$4))-2*SIN(4*(C6-$C$4)))/SQRT(15)</f>
        <v>-0.55982143255354566</v>
      </c>
      <c r="P6">
        <f t="shared" ref="P6:P22" si="11">H$28*(1-COS($C6-$C$4))</f>
        <v>0.55450282508604665</v>
      </c>
      <c r="Q6">
        <f t="shared" ref="Q6:Q22" si="12">I$28*(1-COS(2*($C6-$C$4)))</f>
        <v>4.1913800489002527E-2</v>
      </c>
      <c r="R6">
        <f t="shared" ref="R6:R22" si="13">J$28*(1-COS(3*($C6-$C$4)))</f>
        <v>0.27183459093448425</v>
      </c>
      <c r="S6">
        <f t="shared" ref="S6:S22" si="14">K$28*(1-COS(4*($C6-$C$4)))</f>
        <v>0.48230537067486617</v>
      </c>
      <c r="T6">
        <f t="shared" ref="T6:T22" si="15">L$28*(3*SIN($C6-$C$4)-SIN(3*($C6-$C$4)))/SQRT(10)</f>
        <v>-5.1093052423331197E-7</v>
      </c>
      <c r="U6">
        <f t="shared" ref="U6:U22" si="16">M$28*(2*SIN(2*(C6-$C$4))-SIN(4*(C6-$C$4)))/SQRT(5)</f>
        <v>-9.9000454854555358E-6</v>
      </c>
      <c r="V6">
        <f t="shared" ref="V6:V22" si="17">$N$28*(SIN(C6-$C$4)-SIN(2*(C6-$C$4))+3*SIN(3*(C6-$C$4))-2*SIN(4*(C6-$C$4)))/SQRT(15)</f>
        <v>1.1725097485962379E-4</v>
      </c>
      <c r="X6">
        <f t="shared" ref="X6:X22" si="18">SUM(P6:V6)*SQRT(2)</f>
        <v>1.9101265369238771</v>
      </c>
      <c r="Z6">
        <f t="shared" ref="Z6:Z22" si="19">(D6-$D$25)*$A$1</f>
        <v>1.952768135260385</v>
      </c>
      <c r="AA6">
        <f t="shared" ref="AA6:AA22" si="20">(E6*$A$1)^2</f>
        <v>3.7240187003566246E-2</v>
      </c>
      <c r="AB6">
        <f t="shared" ref="AB6:AB22" si="21">(X6-Z6)^2</f>
        <v>1.8183059086920668E-3</v>
      </c>
    </row>
    <row r="7" spans="1:30" x14ac:dyDescent="0.25">
      <c r="B7">
        <v>40</v>
      </c>
      <c r="C7">
        <f t="shared" si="0"/>
        <v>0.69813170079773179</v>
      </c>
      <c r="D7">
        <v>-1131.65422005</v>
      </c>
      <c r="E7">
        <f t="shared" si="1"/>
        <v>3.5787111096396984E-4</v>
      </c>
      <c r="F7">
        <f t="shared" si="2"/>
        <v>1.2807173206258601E-7</v>
      </c>
      <c r="G7">
        <f t="shared" si="3"/>
        <v>1.344593277445814</v>
      </c>
      <c r="H7">
        <f t="shared" si="4"/>
        <v>1.4567900833943239</v>
      </c>
      <c r="I7">
        <f t="shared" si="5"/>
        <v>-0.33058039975016534</v>
      </c>
      <c r="J7">
        <f t="shared" si="6"/>
        <v>-0.95026828608306502</v>
      </c>
      <c r="K7">
        <f t="shared" si="7"/>
        <v>1.7866001775665366</v>
      </c>
      <c r="L7">
        <f t="shared" si="8"/>
        <v>-0.63857278501103709</v>
      </c>
      <c r="M7">
        <f t="shared" si="9"/>
        <v>1.383714341479837</v>
      </c>
      <c r="N7">
        <f t="shared" si="10"/>
        <v>-2.4110955700797336</v>
      </c>
      <c r="P7">
        <f t="shared" si="11"/>
        <v>0.50487140070318182</v>
      </c>
      <c r="Q7">
        <f t="shared" si="12"/>
        <v>0.14809015593633337</v>
      </c>
      <c r="R7">
        <f t="shared" si="13"/>
        <v>9.0643469215604816E-2</v>
      </c>
      <c r="S7">
        <f t="shared" si="14"/>
        <v>1.1325816913899005</v>
      </c>
      <c r="T7">
        <f t="shared" si="15"/>
        <v>-3.3932477688013156E-6</v>
      </c>
      <c r="U7">
        <f t="shared" si="16"/>
        <v>-5.3601884423364179E-5</v>
      </c>
      <c r="V7">
        <f t="shared" si="17"/>
        <v>1.0371668528407912E-4</v>
      </c>
      <c r="X7">
        <f t="shared" si="18"/>
        <v>2.653394775326201</v>
      </c>
      <c r="Z7">
        <f t="shared" si="19"/>
        <v>2.6993815700438972</v>
      </c>
      <c r="AA7">
        <f t="shared" si="20"/>
        <v>0.88283049905835409</v>
      </c>
      <c r="AB7">
        <f t="shared" si="21"/>
        <v>2.1147852884075289E-3</v>
      </c>
    </row>
    <row r="8" spans="1:30" x14ac:dyDescent="0.25">
      <c r="B8">
        <v>60</v>
      </c>
      <c r="C8">
        <f t="shared" si="0"/>
        <v>1.0471975511965976</v>
      </c>
      <c r="D8">
        <v>-1131.65440831</v>
      </c>
      <c r="E8">
        <f t="shared" si="1"/>
        <v>1.6961111100499693E-4</v>
      </c>
      <c r="F8">
        <f t="shared" si="2"/>
        <v>2.8767928976349391E-8</v>
      </c>
      <c r="G8">
        <f t="shared" si="3"/>
        <v>0.63726283751469193</v>
      </c>
      <c r="H8">
        <f t="shared" si="4"/>
        <v>0.45069228786254201</v>
      </c>
      <c r="I8">
        <f t="shared" si="5"/>
        <v>0.45045403169378606</v>
      </c>
      <c r="J8">
        <f t="shared" si="6"/>
        <v>-0.90122570562040594</v>
      </c>
      <c r="K8">
        <f t="shared" si="7"/>
        <v>0.4509305020346645</v>
      </c>
      <c r="L8">
        <f t="shared" si="8"/>
        <v>-0.74030200877804342</v>
      </c>
      <c r="M8">
        <f t="shared" si="9"/>
        <v>1.0471296501350433</v>
      </c>
      <c r="N8">
        <f t="shared" si="10"/>
        <v>-3.1967296738196464E-4</v>
      </c>
      <c r="P8">
        <f t="shared" si="11"/>
        <v>0.42882473679375421</v>
      </c>
      <c r="Q8">
        <f t="shared" si="12"/>
        <v>0.2688479733212697</v>
      </c>
      <c r="R8">
        <f t="shared" si="13"/>
        <v>8.44192109670933E-9</v>
      </c>
      <c r="S8">
        <f t="shared" si="14"/>
        <v>0.87611496522633303</v>
      </c>
      <c r="T8">
        <f t="shared" si="15"/>
        <v>-8.3001594790381654E-6</v>
      </c>
      <c r="U8">
        <f t="shared" si="16"/>
        <v>-8.5586726412404258E-5</v>
      </c>
      <c r="V8">
        <f t="shared" si="17"/>
        <v>2.9014324133483609E-8</v>
      </c>
      <c r="X8">
        <f t="shared" si="18"/>
        <v>2.2255391516271454</v>
      </c>
      <c r="Z8">
        <f t="shared" si="19"/>
        <v>2.2051049401516138</v>
      </c>
      <c r="AA8">
        <f t="shared" si="20"/>
        <v>0.19830453360820269</v>
      </c>
      <c r="AB8">
        <f t="shared" si="21"/>
        <v>4.1755699862674708E-4</v>
      </c>
    </row>
    <row r="9" spans="1:30" x14ac:dyDescent="0.25">
      <c r="B9">
        <v>80</v>
      </c>
      <c r="C9">
        <f t="shared" si="0"/>
        <v>1.3962634015954636</v>
      </c>
      <c r="D9">
        <v>-1131.6547462000001</v>
      </c>
      <c r="E9">
        <f t="shared" si="1"/>
        <v>-1.682788890775555E-4</v>
      </c>
      <c r="F9">
        <f t="shared" si="2"/>
        <v>2.8317784509176231E-8</v>
      </c>
      <c r="G9">
        <f t="shared" si="3"/>
        <v>-0.63225741351475362</v>
      </c>
      <c r="H9">
        <f t="shared" si="4"/>
        <v>-0.15535659754245548</v>
      </c>
      <c r="I9">
        <f t="shared" si="5"/>
        <v>-0.84016109369084713</v>
      </c>
      <c r="J9">
        <f t="shared" si="6"/>
        <v>0.4473098615459361</v>
      </c>
      <c r="K9">
        <f t="shared" si="7"/>
        <v>0.6847223628570015</v>
      </c>
      <c r="L9">
        <f t="shared" si="8"/>
        <v>1.0801894056489516</v>
      </c>
      <c r="M9">
        <f t="shared" si="9"/>
        <v>-0.53084249287054786</v>
      </c>
      <c r="N9">
        <f t="shared" si="10"/>
        <v>-0.59028626741710455</v>
      </c>
      <c r="P9">
        <f t="shared" si="11"/>
        <v>0.33553518335446825</v>
      </c>
      <c r="Q9">
        <f t="shared" si="12"/>
        <v>0.34768332781575284</v>
      </c>
      <c r="R9">
        <f t="shared" si="13"/>
        <v>9.0547669387117183E-2</v>
      </c>
      <c r="S9">
        <f t="shared" si="14"/>
        <v>0.13676868525028343</v>
      </c>
      <c r="T9">
        <f t="shared" si="15"/>
        <v>-1.220680720231003E-5</v>
      </c>
      <c r="U9">
        <f t="shared" si="16"/>
        <v>-4.3731694040637968E-5</v>
      </c>
      <c r="V9">
        <f t="shared" si="17"/>
        <v>-5.4000015995334463E-5</v>
      </c>
      <c r="X9">
        <f t="shared" si="18"/>
        <v>1.2875352796965995</v>
      </c>
      <c r="Z9">
        <f t="shared" si="19"/>
        <v>1.3179747449348724</v>
      </c>
      <c r="AA9">
        <f t="shared" si="20"/>
        <v>0.19520157514732517</v>
      </c>
      <c r="AB9">
        <f t="shared" si="21"/>
        <v>9.2656104399202422E-4</v>
      </c>
    </row>
    <row r="10" spans="1:30" x14ac:dyDescent="0.25">
      <c r="B10">
        <v>100</v>
      </c>
      <c r="C10">
        <f t="shared" si="0"/>
        <v>1.7453292519943295</v>
      </c>
      <c r="D10">
        <v>-1131.6546973300001</v>
      </c>
      <c r="E10">
        <f t="shared" si="1"/>
        <v>-1.1940888907702174E-4</v>
      </c>
      <c r="F10">
        <f t="shared" si="2"/>
        <v>1.4258482790608482E-8</v>
      </c>
      <c r="G10">
        <f t="shared" si="3"/>
        <v>-0.44864305779742308</v>
      </c>
      <c r="H10">
        <f t="shared" si="4"/>
        <v>0.11011221214844812</v>
      </c>
      <c r="I10">
        <f t="shared" si="5"/>
        <v>-0.59625759523705724</v>
      </c>
      <c r="J10">
        <f t="shared" si="6"/>
        <v>-0.31707080255977516</v>
      </c>
      <c r="K10">
        <f t="shared" si="7"/>
        <v>0.48620360702367416</v>
      </c>
      <c r="L10">
        <f t="shared" si="8"/>
        <v>0.76657329738678182</v>
      </c>
      <c r="M10">
        <f t="shared" si="9"/>
        <v>0.37628613697306856</v>
      </c>
      <c r="N10">
        <f t="shared" si="10"/>
        <v>-0.10985624640410749</v>
      </c>
      <c r="P10">
        <f t="shared" si="11"/>
        <v>0.23625483733727703</v>
      </c>
      <c r="Q10">
        <f t="shared" si="12"/>
        <v>0.34770828089444328</v>
      </c>
      <c r="R10">
        <f t="shared" si="13"/>
        <v>0.27173879110599664</v>
      </c>
      <c r="S10">
        <f t="shared" si="14"/>
        <v>0.13646314304852133</v>
      </c>
      <c r="T10">
        <f t="shared" si="15"/>
        <v>-1.2208121341620644E-5</v>
      </c>
      <c r="U10">
        <f t="shared" si="16"/>
        <v>4.3685953369174722E-5</v>
      </c>
      <c r="V10">
        <f t="shared" si="17"/>
        <v>-1.4162794150058009E-5</v>
      </c>
      <c r="X10">
        <f t="shared" si="18"/>
        <v>1.40315776035863</v>
      </c>
      <c r="Z10">
        <f t="shared" si="19"/>
        <v>1.4462829299362738</v>
      </c>
      <c r="AA10">
        <f t="shared" si="20"/>
        <v>9.8287290060982621E-2</v>
      </c>
      <c r="AB10">
        <f t="shared" si="21"/>
        <v>1.8597802511005331E-3</v>
      </c>
    </row>
    <row r="11" spans="1:30" x14ac:dyDescent="0.25">
      <c r="B11">
        <v>120</v>
      </c>
      <c r="C11">
        <f t="shared" si="0"/>
        <v>2.0943951023931953</v>
      </c>
      <c r="D11">
        <v>-1131.6543618200001</v>
      </c>
      <c r="E11">
        <f t="shared" si="1"/>
        <v>2.161011109365063E-4</v>
      </c>
      <c r="F11">
        <f t="shared" si="2"/>
        <v>4.6699690147992202E-8</v>
      </c>
      <c r="G11">
        <f t="shared" si="3"/>
        <v>0.81193505737615301</v>
      </c>
      <c r="H11">
        <f t="shared" si="4"/>
        <v>-0.57402359774846201</v>
      </c>
      <c r="I11">
        <f t="shared" si="5"/>
        <v>0.57432714153053344</v>
      </c>
      <c r="J11">
        <f t="shared" si="6"/>
        <v>1.1482495164091508</v>
      </c>
      <c r="K11">
        <f t="shared" si="7"/>
        <v>0.57372000047743754</v>
      </c>
      <c r="L11">
        <f t="shared" si="8"/>
        <v>-0.94354954440161587</v>
      </c>
      <c r="M11">
        <f t="shared" si="9"/>
        <v>-1.3341453832074559</v>
      </c>
      <c r="N11">
        <f t="shared" si="10"/>
        <v>-0.51340719455957751</v>
      </c>
      <c r="P11">
        <f t="shared" si="11"/>
        <v>0.1429583736937102</v>
      </c>
      <c r="Q11">
        <f t="shared" si="12"/>
        <v>0.2689111567344995</v>
      </c>
      <c r="R11">
        <f t="shared" si="13"/>
        <v>0.36238225187968037</v>
      </c>
      <c r="S11">
        <f t="shared" si="14"/>
        <v>0.87570330933149654</v>
      </c>
      <c r="T11">
        <f t="shared" si="15"/>
        <v>-8.3030856488599457E-6</v>
      </c>
      <c r="U11">
        <f t="shared" si="16"/>
        <v>8.5586726412126621E-5</v>
      </c>
      <c r="V11">
        <f t="shared" si="17"/>
        <v>3.6573438728768786E-5</v>
      </c>
      <c r="X11">
        <f t="shared" si="18"/>
        <v>2.3335498861289539</v>
      </c>
      <c r="Z11">
        <f t="shared" si="19"/>
        <v>2.3271644349717917</v>
      </c>
      <c r="AA11">
        <f t="shared" si="20"/>
        <v>0.32191265078756981</v>
      </c>
      <c r="AB11">
        <f t="shared" si="21"/>
        <v>4.0773986480503551E-5</v>
      </c>
    </row>
    <row r="12" spans="1:30" x14ac:dyDescent="0.25">
      <c r="B12">
        <v>140</v>
      </c>
      <c r="C12">
        <f t="shared" si="0"/>
        <v>2.4434609527920612</v>
      </c>
      <c r="D12">
        <v>-1131.6543658999999</v>
      </c>
      <c r="E12">
        <f t="shared" si="1"/>
        <v>2.1202111111051636E-4</v>
      </c>
      <c r="F12">
        <f t="shared" si="2"/>
        <v>4.4952951556537922E-8</v>
      </c>
      <c r="G12">
        <f t="shared" si="3"/>
        <v>0.79660568272160459</v>
      </c>
      <c r="H12">
        <f t="shared" si="4"/>
        <v>-0.86292942931773653</v>
      </c>
      <c r="I12">
        <f t="shared" si="5"/>
        <v>-0.19540114061260422</v>
      </c>
      <c r="J12">
        <f t="shared" si="6"/>
        <v>0.56358307554521392</v>
      </c>
      <c r="K12">
        <f t="shared" si="7"/>
        <v>1.0587867799361514</v>
      </c>
      <c r="L12">
        <f t="shared" si="8"/>
        <v>-0.37859847155301629</v>
      </c>
      <c r="M12">
        <f t="shared" si="9"/>
        <v>-0.82023959929993895</v>
      </c>
      <c r="N12">
        <f t="shared" si="10"/>
        <v>-0.45736849228114612</v>
      </c>
      <c r="P12">
        <f t="shared" si="11"/>
        <v>6.6898722848340253E-2</v>
      </c>
      <c r="Q12">
        <f t="shared" si="12"/>
        <v>0.14816200546284639</v>
      </c>
      <c r="R12">
        <f t="shared" si="13"/>
        <v>0.27183459093448425</v>
      </c>
      <c r="S12">
        <f t="shared" si="14"/>
        <v>1.1327442669997347</v>
      </c>
      <c r="T12">
        <f t="shared" si="15"/>
        <v>-3.3957175428388936E-6</v>
      </c>
      <c r="U12">
        <f t="shared" si="16"/>
        <v>5.363173952609357E-5</v>
      </c>
      <c r="V12">
        <f t="shared" si="17"/>
        <v>3.3208402325877127E-5</v>
      </c>
      <c r="X12">
        <f t="shared" si="18"/>
        <v>2.2906342772611632</v>
      </c>
      <c r="Z12">
        <f t="shared" si="19"/>
        <v>2.3164523954286551</v>
      </c>
      <c r="AA12">
        <f t="shared" si="20"/>
        <v>0.30987194455534295</v>
      </c>
      <c r="AB12">
        <f t="shared" si="21"/>
        <v>6.6657522571057586E-4</v>
      </c>
    </row>
    <row r="13" spans="1:30" x14ac:dyDescent="0.25">
      <c r="B13">
        <v>160</v>
      </c>
      <c r="C13">
        <f t="shared" si="0"/>
        <v>2.7925268031909272</v>
      </c>
      <c r="D13">
        <v>-1131.6548949800001</v>
      </c>
      <c r="E13">
        <f t="shared" si="1"/>
        <v>-3.1705888909527857E-4</v>
      </c>
      <c r="F13">
        <f t="shared" si="2"/>
        <v>1.0052633915433216E-7</v>
      </c>
      <c r="G13">
        <f t="shared" si="3"/>
        <v>-1.1912536043594493</v>
      </c>
      <c r="H13">
        <f t="shared" si="4"/>
        <v>1.5830293077512676</v>
      </c>
      <c r="I13">
        <f t="shared" si="5"/>
        <v>1.2903247155524253</v>
      </c>
      <c r="J13">
        <f t="shared" si="6"/>
        <v>0.84189809654209946</v>
      </c>
      <c r="K13">
        <f t="shared" si="7"/>
        <v>0.29186753522013203</v>
      </c>
      <c r="L13">
        <f t="shared" si="8"/>
        <v>8.5329352761643343E-2</v>
      </c>
      <c r="M13">
        <f t="shared" si="9"/>
        <v>0.22678439878595083</v>
      </c>
      <c r="N13">
        <f t="shared" si="10"/>
        <v>0.14265290931931512</v>
      </c>
      <c r="P13">
        <f t="shared" si="11"/>
        <v>1.7249801214013684E-2</v>
      </c>
      <c r="Q13">
        <f t="shared" si="12"/>
        <v>4.1960696936825012E-2</v>
      </c>
      <c r="R13">
        <f t="shared" si="13"/>
        <v>9.0643469215604289E-2</v>
      </c>
      <c r="S13">
        <f t="shared" si="14"/>
        <v>0.48277348848646146</v>
      </c>
      <c r="T13">
        <f t="shared" si="15"/>
        <v>-5.1178826777320399E-7</v>
      </c>
      <c r="U13">
        <f t="shared" si="16"/>
        <v>9.915931054189364E-6</v>
      </c>
      <c r="V13">
        <f t="shared" si="17"/>
        <v>6.9263039281442886E-6</v>
      </c>
      <c r="X13">
        <f t="shared" si="18"/>
        <v>0.8946934227359874</v>
      </c>
      <c r="Z13">
        <f t="shared" si="19"/>
        <v>0.92735285488834052</v>
      </c>
      <c r="AA13">
        <f t="shared" si="20"/>
        <v>0.69295321250718489</v>
      </c>
      <c r="AB13">
        <f t="shared" si="21"/>
        <v>1.0666385085141567E-3</v>
      </c>
    </row>
    <row r="14" spans="1:30" x14ac:dyDescent="0.25">
      <c r="B14">
        <v>180</v>
      </c>
      <c r="C14">
        <f t="shared" si="0"/>
        <v>3.1415926535897931</v>
      </c>
      <c r="D14">
        <f>D4</f>
        <v>-1131.6552481900001</v>
      </c>
      <c r="E14">
        <f t="shared" si="1"/>
        <v>-6.7026888905274973E-4</v>
      </c>
      <c r="F14">
        <f t="shared" si="2"/>
        <v>4.4926038363200733E-7</v>
      </c>
      <c r="G14">
        <f t="shared" si="3"/>
        <v>-2.5183341563218202</v>
      </c>
      <c r="H14">
        <f t="shared" si="4"/>
        <v>3.5614623000207266</v>
      </c>
      <c r="I14">
        <f t="shared" si="5"/>
        <v>3.5614622447097335</v>
      </c>
      <c r="J14">
        <f t="shared" si="6"/>
        <v>3.5614621525247459</v>
      </c>
      <c r="K14">
        <f t="shared" si="7"/>
        <v>3.5614620234657646</v>
      </c>
      <c r="L14">
        <f t="shared" si="8"/>
        <v>4.7479827989759845E-12</v>
      </c>
      <c r="M14">
        <f t="shared" si="9"/>
        <v>1.3423664893616028E-11</v>
      </c>
      <c r="N14">
        <f t="shared" si="10"/>
        <v>8.7140257707724428E-12</v>
      </c>
      <c r="P14">
        <f t="shared" si="11"/>
        <v>1.4798745797989967E-9</v>
      </c>
      <c r="Q14">
        <f t="shared" si="12"/>
        <v>3.7118325772173498E-9</v>
      </c>
      <c r="R14">
        <f t="shared" si="13"/>
        <v>8.44192109670933E-9</v>
      </c>
      <c r="S14">
        <f t="shared" si="14"/>
        <v>4.8367053954669255E-8</v>
      </c>
      <c r="T14">
        <f t="shared" si="15"/>
        <v>-1.347075331667825E-17</v>
      </c>
      <c r="U14">
        <f t="shared" si="16"/>
        <v>2.7764016730966056E-16</v>
      </c>
      <c r="V14">
        <f t="shared" si="17"/>
        <v>2.0013849198942394E-16</v>
      </c>
      <c r="X14">
        <f t="shared" si="18"/>
        <v>8.7682206312126926E-8</v>
      </c>
      <c r="Z14">
        <f t="shared" si="19"/>
        <v>0</v>
      </c>
      <c r="AA14">
        <f t="shared" si="20"/>
        <v>3.0968642517864304</v>
      </c>
      <c r="AB14">
        <f t="shared" si="21"/>
        <v>7.6881693037623914E-15</v>
      </c>
    </row>
    <row r="15" spans="1:30" x14ac:dyDescent="0.25">
      <c r="B15">
        <f>200-360</f>
        <v>-160</v>
      </c>
      <c r="C15">
        <f t="shared" si="0"/>
        <v>-2.7925268031909272</v>
      </c>
      <c r="D15">
        <f>D13</f>
        <v>-1131.6548949800001</v>
      </c>
      <c r="E15">
        <f t="shared" si="1"/>
        <v>-3.1705888909527857E-4</v>
      </c>
      <c r="F15">
        <f t="shared" si="2"/>
        <v>1.0052633915433216E-7</v>
      </c>
      <c r="G15">
        <f t="shared" si="3"/>
        <v>-1.1912536043594493</v>
      </c>
      <c r="H15">
        <f t="shared" si="4"/>
        <v>1.5831465669244134</v>
      </c>
      <c r="I15">
        <f t="shared" si="5"/>
        <v>1.2907654658690426</v>
      </c>
      <c r="J15">
        <f t="shared" si="6"/>
        <v>0.84278882847719783</v>
      </c>
      <c r="K15">
        <f t="shared" si="7"/>
        <v>0.29321807251555676</v>
      </c>
      <c r="L15">
        <f t="shared" si="8"/>
        <v>-8.5186343033396172E-2</v>
      </c>
      <c r="M15">
        <f t="shared" si="9"/>
        <v>-0.22642108452579879</v>
      </c>
      <c r="N15">
        <f t="shared" si="10"/>
        <v>-0.1424299747698381</v>
      </c>
      <c r="P15">
        <f t="shared" si="11"/>
        <v>1.7229904073790589E-2</v>
      </c>
      <c r="Q15">
        <f t="shared" si="12"/>
        <v>4.1913800489002569E-2</v>
      </c>
      <c r="R15">
        <f t="shared" si="13"/>
        <v>9.0547669387117197E-2</v>
      </c>
      <c r="S15">
        <f t="shared" si="14"/>
        <v>0.48230537067486645</v>
      </c>
      <c r="T15">
        <f t="shared" si="15"/>
        <v>5.1093052423331346E-7</v>
      </c>
      <c r="U15">
        <f t="shared" si="16"/>
        <v>-9.900045485455546E-6</v>
      </c>
      <c r="V15">
        <f t="shared" si="17"/>
        <v>-6.9154796662828936E-6</v>
      </c>
      <c r="X15">
        <f t="shared" si="18"/>
        <v>0.8937553094451538</v>
      </c>
      <c r="Z15">
        <f t="shared" si="19"/>
        <v>0.92735285488834052</v>
      </c>
      <c r="AA15">
        <f t="shared" si="20"/>
        <v>0.69295321250718489</v>
      </c>
      <c r="AB15">
        <f t="shared" si="21"/>
        <v>1.1287950598069965E-3</v>
      </c>
    </row>
    <row r="16" spans="1:30" x14ac:dyDescent="0.25">
      <c r="B16">
        <f>220-360</f>
        <v>-140</v>
      </c>
      <c r="C16">
        <f t="shared" si="0"/>
        <v>-2.4434609527920612</v>
      </c>
      <c r="D16">
        <f>D12</f>
        <v>-1131.6543658999999</v>
      </c>
      <c r="E16">
        <f t="shared" si="1"/>
        <v>2.1202111111051636E-4</v>
      </c>
      <c r="F16">
        <f t="shared" si="2"/>
        <v>4.4952951556537922E-8</v>
      </c>
      <c r="G16">
        <f t="shared" si="3"/>
        <v>0.79660568272160459</v>
      </c>
      <c r="H16">
        <f t="shared" si="4"/>
        <v>-0.86307679685031391</v>
      </c>
      <c r="I16">
        <f t="shared" si="5"/>
        <v>-0.1958527009279753</v>
      </c>
      <c r="J16">
        <f t="shared" si="6"/>
        <v>0.56298743233482873</v>
      </c>
      <c r="K16">
        <f t="shared" si="7"/>
        <v>1.0584731294391627</v>
      </c>
      <c r="L16">
        <f t="shared" si="8"/>
        <v>0.37832310922858531</v>
      </c>
      <c r="M16">
        <f t="shared" si="9"/>
        <v>0.8197829977107276</v>
      </c>
      <c r="N16">
        <f t="shared" si="10"/>
        <v>0.45716507944367052</v>
      </c>
      <c r="P16">
        <f t="shared" si="11"/>
        <v>6.6861328456655406E-2</v>
      </c>
      <c r="Q16">
        <f t="shared" si="12"/>
        <v>0.1480901559363334</v>
      </c>
      <c r="R16">
        <f t="shared" si="13"/>
        <v>0.2717387911059968</v>
      </c>
      <c r="S16">
        <f t="shared" si="14"/>
        <v>1.1325816913899005</v>
      </c>
      <c r="T16">
        <f t="shared" si="15"/>
        <v>3.393247768801319E-6</v>
      </c>
      <c r="U16">
        <f t="shared" si="16"/>
        <v>-5.3601884423364206E-5</v>
      </c>
      <c r="V16">
        <f t="shared" si="17"/>
        <v>-3.3193633019597527E-5</v>
      </c>
      <c r="X16">
        <f t="shared" si="18"/>
        <v>2.2898784281239144</v>
      </c>
      <c r="Z16">
        <f t="shared" si="19"/>
        <v>2.3164523954286551</v>
      </c>
      <c r="AA16">
        <f t="shared" si="20"/>
        <v>0.30987194455534295</v>
      </c>
      <c r="AB16">
        <f t="shared" si="21"/>
        <v>7.0617573831342816E-4</v>
      </c>
    </row>
    <row r="17" spans="2:28" x14ac:dyDescent="0.25">
      <c r="B17">
        <f>240-360</f>
        <v>-120</v>
      </c>
      <c r="C17">
        <f t="shared" si="0"/>
        <v>-2.0943951023931953</v>
      </c>
      <c r="D17">
        <f>D11</f>
        <v>-1131.6543618200001</v>
      </c>
      <c r="E17">
        <f t="shared" si="1"/>
        <v>2.161011109365063E-4</v>
      </c>
      <c r="F17">
        <f t="shared" si="2"/>
        <v>4.6699690147992202E-8</v>
      </c>
      <c r="G17">
        <f t="shared" si="3"/>
        <v>0.81193505737615301</v>
      </c>
      <c r="H17">
        <f t="shared" si="4"/>
        <v>-0.57422596621480515</v>
      </c>
      <c r="I17">
        <f t="shared" si="5"/>
        <v>0.57392240459994237</v>
      </c>
      <c r="J17">
        <f t="shared" si="6"/>
        <v>1.1482495164091508</v>
      </c>
      <c r="K17">
        <f t="shared" si="7"/>
        <v>0.57452947432185775</v>
      </c>
      <c r="L17">
        <f t="shared" si="8"/>
        <v>0.94321701908284461</v>
      </c>
      <c r="M17">
        <f t="shared" si="9"/>
        <v>1.334145383211784</v>
      </c>
      <c r="N17">
        <f t="shared" si="10"/>
        <v>0.51361836572735509</v>
      </c>
      <c r="P17">
        <f t="shared" si="11"/>
        <v>0.14290799236608315</v>
      </c>
      <c r="Q17">
        <f t="shared" si="12"/>
        <v>0.26884797332126986</v>
      </c>
      <c r="R17">
        <f t="shared" si="13"/>
        <v>0.36238225187968037</v>
      </c>
      <c r="S17">
        <f t="shared" si="14"/>
        <v>0.87611496522633192</v>
      </c>
      <c r="T17">
        <f t="shared" si="15"/>
        <v>8.3001594790381773E-6</v>
      </c>
      <c r="U17">
        <f t="shared" si="16"/>
        <v>-8.5586726412404258E-5</v>
      </c>
      <c r="V17">
        <f t="shared" si="17"/>
        <v>-3.6588481867719388E-5</v>
      </c>
      <c r="X17">
        <f t="shared" si="18"/>
        <v>2.3336493888173133</v>
      </c>
      <c r="Z17">
        <f t="shared" si="19"/>
        <v>2.3271644349717917</v>
      </c>
      <c r="AA17">
        <f t="shared" si="20"/>
        <v>0.32191265078756981</v>
      </c>
      <c r="AB17">
        <f t="shared" si="21"/>
        <v>4.205462637854555E-5</v>
      </c>
    </row>
    <row r="18" spans="2:28" x14ac:dyDescent="0.25">
      <c r="B18">
        <f>260-360</f>
        <v>-100</v>
      </c>
      <c r="C18">
        <f t="shared" si="0"/>
        <v>-1.7453292519943295</v>
      </c>
      <c r="D18">
        <f>D10</f>
        <v>-1131.6546973300001</v>
      </c>
      <c r="E18">
        <f t="shared" si="1"/>
        <v>-1.1940888907702174E-4</v>
      </c>
      <c r="F18">
        <f t="shared" si="2"/>
        <v>1.4258482790608482E-8</v>
      </c>
      <c r="G18">
        <f t="shared" si="3"/>
        <v>-0.44864305779742308</v>
      </c>
      <c r="H18">
        <f t="shared" si="4"/>
        <v>0.11023937004231657</v>
      </c>
      <c r="I18">
        <f t="shared" si="5"/>
        <v>-0.59616927229132954</v>
      </c>
      <c r="J18">
        <f t="shared" si="6"/>
        <v>-0.31740626488079604</v>
      </c>
      <c r="K18">
        <f t="shared" si="7"/>
        <v>0.48587162134916323</v>
      </c>
      <c r="L18">
        <f t="shared" si="8"/>
        <v>-0.76649077984977732</v>
      </c>
      <c r="M18">
        <f t="shared" si="9"/>
        <v>-0.37668012129159822</v>
      </c>
      <c r="N18">
        <f t="shared" si="10"/>
        <v>0.10957035791476294</v>
      </c>
      <c r="P18">
        <f t="shared" si="11"/>
        <v>0.23619754580536895</v>
      </c>
      <c r="Q18">
        <f t="shared" si="12"/>
        <v>0.34768332781575284</v>
      </c>
      <c r="R18">
        <f t="shared" si="13"/>
        <v>0.27183459093448431</v>
      </c>
      <c r="S18">
        <f t="shared" si="14"/>
        <v>0.13676868525028357</v>
      </c>
      <c r="T18">
        <f t="shared" si="15"/>
        <v>1.2206807202310029E-5</v>
      </c>
      <c r="U18">
        <f t="shared" si="16"/>
        <v>-4.3731694040637995E-5</v>
      </c>
      <c r="V18">
        <f t="shared" si="17"/>
        <v>1.4125937075863397E-5</v>
      </c>
      <c r="X18">
        <f t="shared" si="18"/>
        <v>1.403559939265095</v>
      </c>
      <c r="Z18">
        <f t="shared" si="19"/>
        <v>1.4462829299362738</v>
      </c>
      <c r="AA18">
        <f t="shared" si="20"/>
        <v>9.8287290060982621E-2</v>
      </c>
      <c r="AB18">
        <f t="shared" si="21"/>
        <v>1.8252539318896303E-3</v>
      </c>
    </row>
    <row r="19" spans="2:28" x14ac:dyDescent="0.25">
      <c r="B19">
        <f>280-360</f>
        <v>-80</v>
      </c>
      <c r="C19">
        <f t="shared" si="0"/>
        <v>-1.3962634015954636</v>
      </c>
      <c r="D19">
        <f>D9</f>
        <v>-1131.6547462000001</v>
      </c>
      <c r="E19">
        <f t="shared" si="1"/>
        <v>-1.682788890775555E-4</v>
      </c>
      <c r="F19">
        <f t="shared" si="2"/>
        <v>2.8317784509176231E-8</v>
      </c>
      <c r="G19">
        <f t="shared" si="3"/>
        <v>-0.63225741351475362</v>
      </c>
      <c r="H19">
        <f t="shared" si="4"/>
        <v>-0.15517739824428786</v>
      </c>
      <c r="I19">
        <f t="shared" si="5"/>
        <v>-0.84028556421646683</v>
      </c>
      <c r="J19">
        <f t="shared" si="6"/>
        <v>0.44683710589813669</v>
      </c>
      <c r="K19">
        <f t="shared" si="7"/>
        <v>0.68519021898503396</v>
      </c>
      <c r="L19">
        <f t="shared" si="8"/>
        <v>-1.0803056948093637</v>
      </c>
      <c r="M19">
        <f t="shared" si="9"/>
        <v>0.53028726416062155</v>
      </c>
      <c r="N19">
        <f t="shared" si="10"/>
        <v>0.59028990302429196</v>
      </c>
      <c r="P19">
        <f t="shared" si="11"/>
        <v>0.33547789182256027</v>
      </c>
      <c r="Q19">
        <f t="shared" si="12"/>
        <v>0.34770828089444322</v>
      </c>
      <c r="R19">
        <f t="shared" si="13"/>
        <v>9.0643469215604608E-2</v>
      </c>
      <c r="S19">
        <f t="shared" si="14"/>
        <v>0.13646314304852186</v>
      </c>
      <c r="T19">
        <f t="shared" si="15"/>
        <v>1.2208121341620641E-5</v>
      </c>
      <c r="U19">
        <f t="shared" si="16"/>
        <v>4.368595336917481E-5</v>
      </c>
      <c r="V19">
        <f t="shared" si="17"/>
        <v>5.40003485845494E-5</v>
      </c>
      <c r="X19">
        <f t="shared" si="18"/>
        <v>1.2875038164345431</v>
      </c>
      <c r="Z19">
        <f t="shared" si="19"/>
        <v>1.3179747449348724</v>
      </c>
      <c r="AA19">
        <f t="shared" si="20"/>
        <v>0.19520157514732517</v>
      </c>
      <c r="AB19">
        <f t="shared" si="21"/>
        <v>9.284774836721796E-4</v>
      </c>
    </row>
    <row r="20" spans="2:28" x14ac:dyDescent="0.25">
      <c r="B20">
        <f>300-360</f>
        <v>-60</v>
      </c>
      <c r="C20">
        <f t="shared" si="0"/>
        <v>-1.0471975511965976</v>
      </c>
      <c r="D20">
        <f>D8</f>
        <v>-1131.65440831</v>
      </c>
      <c r="E20">
        <f t="shared" si="1"/>
        <v>1.6961111100499693E-4</v>
      </c>
      <c r="F20">
        <f t="shared" si="2"/>
        <v>2.8767928976349391E-8</v>
      </c>
      <c r="G20">
        <f t="shared" si="3"/>
        <v>0.63726283751469193</v>
      </c>
      <c r="H20">
        <f t="shared" si="4"/>
        <v>0.45053345508162745</v>
      </c>
      <c r="I20">
        <f t="shared" si="5"/>
        <v>0.45077169725397065</v>
      </c>
      <c r="J20">
        <f t="shared" si="6"/>
        <v>-0.90122570562040594</v>
      </c>
      <c r="K20">
        <f t="shared" si="7"/>
        <v>0.45029517092745125</v>
      </c>
      <c r="L20">
        <f t="shared" si="8"/>
        <v>0.74056299766657629</v>
      </c>
      <c r="M20">
        <f t="shared" si="9"/>
        <v>-1.0471296501316465</v>
      </c>
      <c r="N20">
        <f t="shared" si="10"/>
        <v>-3.1961663291160181E-4</v>
      </c>
      <c r="P20">
        <f t="shared" si="11"/>
        <v>0.42877435546612724</v>
      </c>
      <c r="Q20">
        <f t="shared" si="12"/>
        <v>0.26891115673449917</v>
      </c>
      <c r="R20">
        <f t="shared" si="13"/>
        <v>8.44192109670933E-9</v>
      </c>
      <c r="S20">
        <f t="shared" si="14"/>
        <v>0.87570330933149865</v>
      </c>
      <c r="T20">
        <f t="shared" si="15"/>
        <v>8.3030856488599322E-6</v>
      </c>
      <c r="U20">
        <f t="shared" si="16"/>
        <v>8.5586726412126621E-5</v>
      </c>
      <c r="V20">
        <f t="shared" si="17"/>
        <v>2.9009211074983922E-8</v>
      </c>
      <c r="X20">
        <f t="shared" si="18"/>
        <v>2.2252406435064369</v>
      </c>
      <c r="Z20">
        <f t="shared" si="19"/>
        <v>2.2051049401516138</v>
      </c>
      <c r="AA20">
        <f t="shared" si="20"/>
        <v>0.19830453360820269</v>
      </c>
      <c r="AB20">
        <f t="shared" si="21"/>
        <v>4.0544654959343284E-4</v>
      </c>
    </row>
    <row r="21" spans="2:28" x14ac:dyDescent="0.25">
      <c r="B21">
        <f>320-360</f>
        <v>-40</v>
      </c>
      <c r="C21">
        <f t="shared" si="0"/>
        <v>-0.69813170079773179</v>
      </c>
      <c r="D21">
        <f>D7</f>
        <v>-1131.65422005</v>
      </c>
      <c r="E21">
        <f t="shared" si="1"/>
        <v>3.5787111096396984E-4</v>
      </c>
      <c r="F21">
        <f t="shared" si="2"/>
        <v>1.2807173206258601E-7</v>
      </c>
      <c r="G21">
        <f t="shared" si="3"/>
        <v>1.344593277445814</v>
      </c>
      <c r="H21">
        <f t="shared" si="4"/>
        <v>1.4565413412651684</v>
      </c>
      <c r="I21">
        <f t="shared" si="5"/>
        <v>-0.32981820965087461</v>
      </c>
      <c r="J21">
        <f t="shared" si="6"/>
        <v>-0.95127367416127495</v>
      </c>
      <c r="K21">
        <f t="shared" si="7"/>
        <v>1.7871295892426844</v>
      </c>
      <c r="L21">
        <f t="shared" si="8"/>
        <v>0.63903756995837446</v>
      </c>
      <c r="M21">
        <f t="shared" si="9"/>
        <v>-1.3844850407613527</v>
      </c>
      <c r="N21">
        <f t="shared" si="10"/>
        <v>2.4100060630764171</v>
      </c>
      <c r="P21">
        <f t="shared" si="11"/>
        <v>0.50483400631149689</v>
      </c>
      <c r="Q21">
        <f t="shared" si="12"/>
        <v>0.14816200546284633</v>
      </c>
      <c r="R21">
        <f t="shared" si="13"/>
        <v>9.0547669387117072E-2</v>
      </c>
      <c r="S21">
        <f t="shared" si="14"/>
        <v>1.1327442669997345</v>
      </c>
      <c r="T21">
        <f t="shared" si="15"/>
        <v>3.3957175428388936E-6</v>
      </c>
      <c r="U21">
        <f t="shared" si="16"/>
        <v>5.3631739526093549E-5</v>
      </c>
      <c r="V21">
        <f t="shared" si="17"/>
        <v>-1.0366981859974688E-4</v>
      </c>
      <c r="X21">
        <f t="shared" si="18"/>
        <v>2.653405900946491</v>
      </c>
      <c r="Z21">
        <f t="shared" si="19"/>
        <v>2.6993815700438972</v>
      </c>
      <c r="AA21">
        <f t="shared" si="20"/>
        <v>0.88283049905835409</v>
      </c>
      <c r="AB21">
        <f t="shared" si="21"/>
        <v>2.1137621489541957E-3</v>
      </c>
    </row>
    <row r="22" spans="2:28" x14ac:dyDescent="0.25">
      <c r="B22">
        <f>340-360</f>
        <v>-20</v>
      </c>
      <c r="C22">
        <f t="shared" si="0"/>
        <v>-0.3490658503988659</v>
      </c>
      <c r="D22">
        <f>D6</f>
        <v>-1131.65450442</v>
      </c>
      <c r="E22">
        <f t="shared" si="1"/>
        <v>7.3501111046425649E-5</v>
      </c>
      <c r="F22">
        <f t="shared" si="2"/>
        <v>5.4024133250589945E-9</v>
      </c>
      <c r="G22">
        <f t="shared" si="3"/>
        <v>0.2761583619633724</v>
      </c>
      <c r="H22">
        <f t="shared" si="4"/>
        <v>0.36698044729415186</v>
      </c>
      <c r="I22">
        <f t="shared" si="5"/>
        <v>-0.29912518924920006</v>
      </c>
      <c r="J22">
        <f t="shared" si="6"/>
        <v>0.19517019585948076</v>
      </c>
      <c r="K22">
        <f t="shared" si="7"/>
        <v>-6.7661210124957738E-2</v>
      </c>
      <c r="L22">
        <f t="shared" si="8"/>
        <v>1.9781190335806748E-2</v>
      </c>
      <c r="M22">
        <f t="shared" si="9"/>
        <v>-5.2573530823650731E-2</v>
      </c>
      <c r="N22">
        <f t="shared" si="10"/>
        <v>0.55999300991452117</v>
      </c>
      <c r="P22">
        <f t="shared" si="11"/>
        <v>0.55448292794582343</v>
      </c>
      <c r="Q22">
        <f t="shared" si="12"/>
        <v>4.1960696936825095E-2</v>
      </c>
      <c r="R22">
        <f t="shared" si="13"/>
        <v>0.27173879110599664</v>
      </c>
      <c r="S22">
        <f t="shared" si="14"/>
        <v>0.48277348848646223</v>
      </c>
      <c r="T22">
        <f t="shared" si="15"/>
        <v>5.1178826777320187E-7</v>
      </c>
      <c r="U22">
        <f t="shared" si="16"/>
        <v>9.915931054189386E-6</v>
      </c>
      <c r="V22">
        <f t="shared" si="17"/>
        <v>-1.1728691062711744E-4</v>
      </c>
      <c r="X22">
        <f t="shared" si="18"/>
        <v>1.9103890405591004</v>
      </c>
      <c r="Z22">
        <f t="shared" si="19"/>
        <v>1.952768135260385</v>
      </c>
      <c r="AA22">
        <f t="shared" si="20"/>
        <v>3.7240187003566246E-2</v>
      </c>
      <c r="AB22">
        <f t="shared" si="21"/>
        <v>1.7959876677004431E-3</v>
      </c>
    </row>
    <row r="23" spans="2:28" x14ac:dyDescent="0.25">
      <c r="B23">
        <f>-180</f>
        <v>-180</v>
      </c>
      <c r="C23">
        <f t="shared" si="0"/>
        <v>-3.1415926535897931</v>
      </c>
      <c r="P23">
        <f>P14</f>
        <v>1.4798745797989967E-9</v>
      </c>
      <c r="Q23">
        <f t="shared" ref="Q23:Z23" si="22">Q14</f>
        <v>3.7118325772173498E-9</v>
      </c>
      <c r="R23">
        <f t="shared" si="22"/>
        <v>8.44192109670933E-9</v>
      </c>
      <c r="S23">
        <f t="shared" si="22"/>
        <v>4.8367053954669255E-8</v>
      </c>
      <c r="T23">
        <f t="shared" si="22"/>
        <v>-1.347075331667825E-17</v>
      </c>
      <c r="U23">
        <f t="shared" si="22"/>
        <v>2.7764016730966056E-16</v>
      </c>
      <c r="V23">
        <f t="shared" si="22"/>
        <v>2.0013849198942394E-16</v>
      </c>
      <c r="X23">
        <f t="shared" si="22"/>
        <v>8.7682206312126926E-8</v>
      </c>
      <c r="Z23">
        <f t="shared" si="22"/>
        <v>0</v>
      </c>
    </row>
    <row r="24" spans="2:28" x14ac:dyDescent="0.25">
      <c r="B24" t="s">
        <v>4</v>
      </c>
      <c r="D24">
        <f>AVERAGE(D5:D22)</f>
        <v>-1131.654577921111</v>
      </c>
      <c r="F24">
        <f>SQRT(AVERAGE(F5:F22))</f>
        <v>2.6615565983178265E-4</v>
      </c>
      <c r="G24" t="s">
        <v>10</v>
      </c>
      <c r="H24" s="4">
        <f t="shared" ref="H24:N24" si="23">AVERAGE(H5:H22)</f>
        <v>0.40908667169615076</v>
      </c>
      <c r="I24" s="4">
        <f t="shared" si="23"/>
        <v>0.25651857122175409</v>
      </c>
      <c r="J24" s="4">
        <f t="shared" si="23"/>
        <v>0.2592920523800335</v>
      </c>
      <c r="K24" s="4">
        <f t="shared" si="23"/>
        <v>0.835641656308868</v>
      </c>
      <c r="L24" s="4">
        <f t="shared" si="23"/>
        <v>1.4459836136634312E-5</v>
      </c>
      <c r="M24" s="4">
        <f t="shared" si="23"/>
        <v>-1.0541242895806538E-4</v>
      </c>
      <c r="N24" s="4">
        <f t="shared" si="23"/>
        <v>-1.1705565738405631E-4</v>
      </c>
    </row>
    <row r="25" spans="2:28" x14ac:dyDescent="0.25">
      <c r="B25" t="s">
        <v>5</v>
      </c>
      <c r="D25">
        <f>MIN(D4:D22)</f>
        <v>-1131.6552481900001</v>
      </c>
      <c r="F25" s="3">
        <f>F24*$A$1</f>
        <v>0.69879168488834531</v>
      </c>
      <c r="G25" s="4">
        <f>SUM(H25:N25)</f>
        <v>0.99868305355005671</v>
      </c>
      <c r="H25">
        <f t="shared" ref="H25:N25" si="24">H24^2</f>
        <v>0.16735190495943422</v>
      </c>
      <c r="I25">
        <f t="shared" si="24"/>
        <v>6.580177738165012E-2</v>
      </c>
      <c r="J25">
        <f t="shared" si="24"/>
        <v>6.7232368427450034E-2</v>
      </c>
      <c r="K25">
        <f t="shared" si="24"/>
        <v>0.69829697775862831</v>
      </c>
      <c r="L25">
        <f t="shared" si="24"/>
        <v>2.0908686109831552E-10</v>
      </c>
      <c r="M25">
        <f t="shared" si="24"/>
        <v>1.1111780178839181E-8</v>
      </c>
      <c r="N25">
        <f t="shared" si="24"/>
        <v>1.3702026925613578E-8</v>
      </c>
    </row>
    <row r="26" spans="2:28" x14ac:dyDescent="0.25">
      <c r="B26" t="s">
        <v>6</v>
      </c>
      <c r="D26">
        <f>MAX(D5:D22)</f>
        <v>-1131.65422005</v>
      </c>
    </row>
    <row r="27" spans="2:28" x14ac:dyDescent="0.25">
      <c r="B27" t="s">
        <v>67</v>
      </c>
      <c r="D27" s="1">
        <f>D26-D25</f>
        <v>1.0281400000167196E-3</v>
      </c>
      <c r="G27" t="s">
        <v>63</v>
      </c>
      <c r="H27">
        <f>H24*$F$24</f>
        <v>1.0888073303367685E-4</v>
      </c>
      <c r="I27">
        <f t="shared" ref="I27:N27" si="25">I24*$F$24</f>
        <v>6.8273869582632086E-5</v>
      </c>
      <c r="J27">
        <f t="shared" si="25"/>
        <v>6.9012047290344962E-5</v>
      </c>
      <c r="K27">
        <f t="shared" si="25"/>
        <v>2.224107564178105E-4</v>
      </c>
      <c r="L27">
        <f t="shared" si="25"/>
        <v>3.8485672280053606E-9</v>
      </c>
      <c r="M27">
        <f t="shared" si="25"/>
        <v>-2.8056114583804806E-8</v>
      </c>
      <c r="N27">
        <f t="shared" si="25"/>
        <v>-3.1155025728096592E-8</v>
      </c>
    </row>
    <row r="28" spans="2:28" x14ac:dyDescent="0.25">
      <c r="D28" s="3">
        <f>D27*$A$1</f>
        <v>2.6993815700438972</v>
      </c>
      <c r="H28">
        <f>$A$1*H27</f>
        <v>0.2858663645799186</v>
      </c>
      <c r="I28">
        <f t="shared" ref="I28:N28" si="26">$A$1*I27</f>
        <v>0.17925304458920055</v>
      </c>
      <c r="J28">
        <f t="shared" si="26"/>
        <v>0.18119113016080071</v>
      </c>
      <c r="K28">
        <f t="shared" si="26"/>
        <v>0.58393944097496142</v>
      </c>
      <c r="L28">
        <f t="shared" si="26"/>
        <v>1.0104413257128074E-5</v>
      </c>
      <c r="M28">
        <f t="shared" si="26"/>
        <v>-7.3661328839779515E-5</v>
      </c>
      <c r="N28">
        <f t="shared" si="26"/>
        <v>-8.179752004911761E-5</v>
      </c>
      <c r="O28" t="s">
        <v>61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D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2" max="12" width="12.7109375" bestFit="1" customWidth="1"/>
    <col min="30" max="30" width="9.85546875" customWidth="1"/>
  </cols>
  <sheetData>
    <row r="1" spans="1:30" ht="18.75" x14ac:dyDescent="0.3">
      <c r="A1" s="2">
        <v>2625.5</v>
      </c>
      <c r="X1" t="s">
        <v>15</v>
      </c>
      <c r="Z1" t="s">
        <v>62</v>
      </c>
    </row>
    <row r="2" spans="1:30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L2">
        <v>5</v>
      </c>
      <c r="M2">
        <v>6</v>
      </c>
      <c r="N2">
        <v>7</v>
      </c>
      <c r="P2" t="s">
        <v>7</v>
      </c>
      <c r="Q2" t="s">
        <v>11</v>
      </c>
      <c r="R2" t="s">
        <v>12</v>
      </c>
      <c r="S2" t="s">
        <v>13</v>
      </c>
      <c r="T2">
        <v>5</v>
      </c>
      <c r="U2">
        <v>6</v>
      </c>
      <c r="V2">
        <v>7</v>
      </c>
      <c r="X2" t="s">
        <v>16</v>
      </c>
      <c r="Z2" t="s">
        <v>61</v>
      </c>
      <c r="AA2" s="1" t="s">
        <v>64</v>
      </c>
      <c r="AB2" s="1" t="s">
        <v>65</v>
      </c>
      <c r="AD2" s="1" t="s">
        <v>66</v>
      </c>
    </row>
    <row r="3" spans="1:30" x14ac:dyDescent="0.25">
      <c r="AA3">
        <f>SUM(AA5:AA22)</f>
        <v>152.33234902297175</v>
      </c>
      <c r="AB3">
        <f>SUM(AB5:AB22)</f>
        <v>1.4121429475231189E-2</v>
      </c>
      <c r="AD3" s="6">
        <f>1-AB3/AA3</f>
        <v>0.99990729855105753</v>
      </c>
    </row>
    <row r="4" spans="1:30" x14ac:dyDescent="0.25">
      <c r="A4" t="s">
        <v>2</v>
      </c>
      <c r="B4" s="3">
        <v>-179.99417</v>
      </c>
      <c r="C4">
        <f>B4*PI()/180</f>
        <v>-3.1414909008944019</v>
      </c>
      <c r="D4">
        <v>-1131.6552481900001</v>
      </c>
      <c r="E4">
        <f>D4-$D$24</f>
        <v>-2.4134027776199218E-3</v>
      </c>
    </row>
    <row r="5" spans="1:30" x14ac:dyDescent="0.25">
      <c r="B5">
        <v>0</v>
      </c>
      <c r="C5">
        <f t="shared" ref="C5:C23" si="0">B5*PI()/180</f>
        <v>0</v>
      </c>
      <c r="D5">
        <v>-1131.65254678</v>
      </c>
      <c r="E5">
        <f t="shared" ref="E5:E22" si="1">D5-$D$24</f>
        <v>2.8800722247979138E-4</v>
      </c>
      <c r="F5">
        <f t="shared" ref="F5:F22" si="2">E5^2</f>
        <v>8.2948160200524046E-8</v>
      </c>
      <c r="G5">
        <f t="shared" ref="G5:G22" si="3">E5/$F$24</f>
        <v>0.25992950784858354</v>
      </c>
      <c r="H5">
        <f>-COS(C5-$C$4)*SQRT(2)*G5</f>
        <v>0.36759583335745855</v>
      </c>
      <c r="I5">
        <f>-SQRT(2)*COS(2*(C5-$C$4))*G5</f>
        <v>-0.36759582764854215</v>
      </c>
      <c r="J5">
        <f>-COS(3*(C5-$C$4))*SQRT(2)*G5</f>
        <v>0.36759581813368153</v>
      </c>
      <c r="K5">
        <f>-COS(4*(C5-$C$4))*SQRT(2)*G5</f>
        <v>-0.36759580481287685</v>
      </c>
      <c r="L5">
        <f>SQRT(2)*(3*SIN(C5-$C$4)-SIN(3*(C5-$C$4)))*G5/SQRT(10)</f>
        <v>4.8985588992416976E-13</v>
      </c>
      <c r="M5">
        <f>SQRT(2)*(2*SIN(2*(C5-$C$4))-SIN(4*(C5-$C$4)))*G5/SQRT(5)</f>
        <v>-1.3855216951900143E-12</v>
      </c>
      <c r="N5">
        <f>SQRT(2)*G5*(SIN(C5-$C$4)-SIN(2*(C5-$C$4))+3*SIN(3*(C5-$C$4))-2*SIN(4*(C5-$C$4)))/SQRT(15)</f>
        <v>1.9315273527054769E-4</v>
      </c>
      <c r="P5">
        <f>H$28*(1-COS($C5-$C$4))</f>
        <v>4.5107155343440581</v>
      </c>
      <c r="Q5">
        <f>I$28*(1-COS(2*($C5-$C$4)))</f>
        <v>3.7514590506050157E-8</v>
      </c>
      <c r="R5">
        <f>J$28*(1-COS(3*($C5-$C$4)))</f>
        <v>0.54117641884618617</v>
      </c>
      <c r="S5">
        <f>K$28*(1-COS(4*($C5-$C$4)))</f>
        <v>1.1752272817246892E-8</v>
      </c>
      <c r="T5">
        <f>L$28*(3*SIN($C5-$C$4)-SIN(3*($C5-$C$4)))/SQRT(10)</f>
        <v>2.5531422878777981E-16</v>
      </c>
      <c r="U5">
        <f>M$28*(2*SIN(2*(C5-$C$4))-SIN(4*(C5-$C$4)))/SQRT(5)</f>
        <v>-1.1455739663246095E-15</v>
      </c>
      <c r="V5">
        <f>$N$28*(SIN(C5-$C$4)-SIN(2*(C5-$C$4))+3*SIN(3*(C5-$C$4))-2*SIN(4*(C5-$C$4)))/SQRT(15)</f>
        <v>-9.3557424771556581E-10</v>
      </c>
      <c r="X5">
        <f>SUM(P5:V5)*SQRT(2)</f>
        <v>7.1444541841959124</v>
      </c>
      <c r="Z5">
        <f>(D5-$D$25)*$A$1</f>
        <v>7.092551955261797</v>
      </c>
      <c r="AA5">
        <f>(E5*$A$1)^2</f>
        <v>0.5717824260393024</v>
      </c>
      <c r="AB5">
        <f>(X5-Z5)^2</f>
        <v>2.6938413683293191E-3</v>
      </c>
    </row>
    <row r="6" spans="1:30" x14ac:dyDescent="0.25">
      <c r="B6">
        <v>20</v>
      </c>
      <c r="C6">
        <f t="shared" si="0"/>
        <v>0.3490658503988659</v>
      </c>
      <c r="D6">
        <v>-1131.65237462</v>
      </c>
      <c r="E6">
        <f t="shared" si="1"/>
        <v>4.601672223998321E-4</v>
      </c>
      <c r="F6">
        <f t="shared" si="2"/>
        <v>2.1175387257117654E-7</v>
      </c>
      <c r="G6">
        <f t="shared" si="3"/>
        <v>0.41530569482447893</v>
      </c>
      <c r="H6">
        <f t="shared" ref="H6:H22" si="4">-COS(C6-$C$4)*SQRT(2)*G6</f>
        <v>0.5519309931818186</v>
      </c>
      <c r="I6">
        <f t="shared" ref="I6:I22" si="5">-SQRT(2)*COS(2*(C6-$C$4))*G6</f>
        <v>-0.44999842745192103</v>
      </c>
      <c r="J6">
        <f t="shared" ref="J6:J22" si="6">-COS(3*(C6-$C$4))*SQRT(2)*G6</f>
        <v>0.29382072693852485</v>
      </c>
      <c r="K6">
        <f t="shared" ref="K6:K22" si="7">-COS(4*(C6-$C$4))*SQRT(2)*G6</f>
        <v>-0.10222435835285297</v>
      </c>
      <c r="L6">
        <f t="shared" ref="L6:L22" si="8">SQRT(2)*(3*SIN(C6-$C$4)-SIN(3*(C6-$C$4)))*G6/SQRT(10)</f>
        <v>-2.9698439739088353E-2</v>
      </c>
      <c r="M6">
        <f t="shared" ref="M6:M22" si="9">SQRT(2)*(2*SIN(2*(C6-$C$4))-SIN(4*(C6-$C$4)))*G6/SQRT(5)</f>
        <v>7.8936983265172983E-2</v>
      </c>
      <c r="N6">
        <f t="shared" ref="N6:N22" si="10">SQRT(2)*G6*(SIN(C6-$C$4)-SIN(2*(C6-$C$4))+3*SIN(3*(C6-$C$4))-2*SIN(4*(C6-$C$4)))/SQRT(15)</f>
        <v>-0.84189748002315479</v>
      </c>
      <c r="P6">
        <f t="shared" ref="P6:P23" si="11">H$28*(1-COS($C6-$C$4))</f>
        <v>4.3747793083368656</v>
      </c>
      <c r="Q6">
        <f t="shared" ref="Q6:Q23" si="12">I$28*(1-COS(2*($C6-$C$4)))</f>
        <v>0.423612603528573</v>
      </c>
      <c r="R6">
        <f t="shared" ref="R6:R23" si="13">J$28*(1-COS(3*($C6-$C$4)))</f>
        <v>0.4059538503262195</v>
      </c>
      <c r="S6">
        <f t="shared" ref="S6:S23" si="14">K$28*(1-COS(4*($C6-$C$4)))</f>
        <v>0.11719101814029798</v>
      </c>
      <c r="T6">
        <f t="shared" ref="T6:T23" si="15">L$28*(3*SIN($C6-$C$4)-SIN(3*($C6-$C$4)))/SQRT(10)</f>
        <v>-9.6878636159897672E-6</v>
      </c>
      <c r="U6">
        <f t="shared" ref="U6:U23" si="16">M$28*(2*SIN(2*(C6-$C$4))-SIN(4*(C6-$C$4)))/SQRT(5)</f>
        <v>4.0848680086401615E-5</v>
      </c>
      <c r="V6">
        <f t="shared" ref="V6:V23" si="17">$N$28*(SIN(C6-$C$4)-SIN(2*(C6-$C$4))+3*SIN(3*(C6-$C$4))-2*SIN(4*(C6-$C$4)))/SQRT(15)</f>
        <v>2.5522564154377886E-6</v>
      </c>
      <c r="X6">
        <f t="shared" ref="X6:X23" si="18">SUM(P6:V6)*SQRT(2)</f>
        <v>7.5258371648976112</v>
      </c>
      <c r="Z6">
        <f t="shared" ref="Z6:Z22" si="19">(D6-$D$25)*$A$1</f>
        <v>7.544558035051864</v>
      </c>
      <c r="AA6">
        <f t="shared" ref="AA6:AA22" si="20">(E6*$A$1)^2</f>
        <v>1.4596724350397308</v>
      </c>
      <c r="AB6">
        <f t="shared" ref="AB6:AB22" si="21">(X6-Z6)^2</f>
        <v>3.5047097933239033E-4</v>
      </c>
    </row>
    <row r="7" spans="1:30" x14ac:dyDescent="0.25">
      <c r="B7">
        <v>40</v>
      </c>
      <c r="C7">
        <f t="shared" si="0"/>
        <v>0.69813170079773179</v>
      </c>
      <c r="D7">
        <v>-1131.6520589700001</v>
      </c>
      <c r="E7">
        <f t="shared" si="1"/>
        <v>7.7581722234754125E-4</v>
      </c>
      <c r="F7">
        <f t="shared" si="2"/>
        <v>6.0189236249105427E-7</v>
      </c>
      <c r="G7">
        <f t="shared" si="3"/>
        <v>0.70018309627426523</v>
      </c>
      <c r="H7">
        <f t="shared" si="4"/>
        <v>0.75860842704071063</v>
      </c>
      <c r="I7">
        <f t="shared" si="5"/>
        <v>-0.17214633729565337</v>
      </c>
      <c r="J7">
        <f t="shared" si="6"/>
        <v>-0.49484241963844955</v>
      </c>
      <c r="K7">
        <f t="shared" si="7"/>
        <v>0.93035363564288065</v>
      </c>
      <c r="L7">
        <f t="shared" si="8"/>
        <v>-0.33253019876378725</v>
      </c>
      <c r="M7">
        <f t="shared" si="9"/>
        <v>0.72055498731697487</v>
      </c>
      <c r="N7">
        <f t="shared" si="10"/>
        <v>-1.2555531772987212</v>
      </c>
      <c r="P7">
        <f t="shared" si="11"/>
        <v>3.983209565838711</v>
      </c>
      <c r="Q7">
        <f t="shared" si="12"/>
        <v>1.4967112450135029</v>
      </c>
      <c r="R7">
        <f t="shared" si="13"/>
        <v>0.1353656472066482</v>
      </c>
      <c r="S7">
        <f t="shared" si="14"/>
        <v>0.27519577763631964</v>
      </c>
      <c r="T7">
        <f t="shared" si="15"/>
        <v>-6.4340101129674144E-5</v>
      </c>
      <c r="U7">
        <f t="shared" si="16"/>
        <v>2.2116728979225774E-4</v>
      </c>
      <c r="V7">
        <f t="shared" si="17"/>
        <v>2.2576492495789758E-6</v>
      </c>
      <c r="X7">
        <f t="shared" si="18"/>
        <v>8.3306248465732615</v>
      </c>
      <c r="Z7">
        <f t="shared" si="19"/>
        <v>8.3732971099145743</v>
      </c>
      <c r="AA7">
        <f t="shared" si="20"/>
        <v>4.1489946782145504</v>
      </c>
      <c r="AB7">
        <f t="shared" si="21"/>
        <v>1.8209220586703483E-3</v>
      </c>
    </row>
    <row r="8" spans="1:30" x14ac:dyDescent="0.25">
      <c r="B8">
        <v>60</v>
      </c>
      <c r="C8">
        <f t="shared" si="0"/>
        <v>1.0471975511965976</v>
      </c>
      <c r="D8">
        <v>-1131.65186393</v>
      </c>
      <c r="E8">
        <f t="shared" si="1"/>
        <v>9.7085722245537909E-4</v>
      </c>
      <c r="F8">
        <f t="shared" si="2"/>
        <v>9.4256374639377342E-7</v>
      </c>
      <c r="G8">
        <f t="shared" si="3"/>
        <v>0.87620872091767221</v>
      </c>
      <c r="H8">
        <f t="shared" si="4"/>
        <v>0.61968231917555205</v>
      </c>
      <c r="I8">
        <f t="shared" si="5"/>
        <v>0.61935472729260066</v>
      </c>
      <c r="J8">
        <f t="shared" si="6"/>
        <v>-1.2391461988579822</v>
      </c>
      <c r="K8">
        <f t="shared" si="7"/>
        <v>0.62000985331495662</v>
      </c>
      <c r="L8">
        <f t="shared" si="8"/>
        <v>-1.0178831057118376</v>
      </c>
      <c r="M8">
        <f t="shared" si="9"/>
        <v>1.4397577849636385</v>
      </c>
      <c r="N8">
        <f t="shared" si="10"/>
        <v>-4.3953644457613662E-4</v>
      </c>
      <c r="P8">
        <f t="shared" si="11"/>
        <v>3.3832353967487947</v>
      </c>
      <c r="Q8">
        <f t="shared" si="12"/>
        <v>2.7171811814556284</v>
      </c>
      <c r="R8">
        <f t="shared" si="13"/>
        <v>1.2607042987348341E-8</v>
      </c>
      <c r="S8">
        <f t="shared" si="14"/>
        <v>0.21287924834666619</v>
      </c>
      <c r="T8">
        <f t="shared" si="15"/>
        <v>-1.573811099748809E-4</v>
      </c>
      <c r="U8">
        <f t="shared" si="16"/>
        <v>3.531402771834652E-4</v>
      </c>
      <c r="V8">
        <f t="shared" si="17"/>
        <v>6.3156826625904101E-10</v>
      </c>
      <c r="X8">
        <f t="shared" si="18"/>
        <v>8.9286254451734592</v>
      </c>
      <c r="Z8">
        <f t="shared" si="19"/>
        <v>8.8853746301977026</v>
      </c>
      <c r="AA8">
        <f t="shared" si="20"/>
        <v>6.4973277804698153</v>
      </c>
      <c r="AB8">
        <f t="shared" si="21"/>
        <v>1.8706329960671373E-3</v>
      </c>
    </row>
    <row r="9" spans="1:30" x14ac:dyDescent="0.25">
      <c r="B9">
        <v>80</v>
      </c>
      <c r="C9">
        <f t="shared" si="0"/>
        <v>1.3962634015954636</v>
      </c>
      <c r="D9">
        <v>-1131.6518396700001</v>
      </c>
      <c r="E9">
        <f t="shared" si="1"/>
        <v>9.9511722237366484E-4</v>
      </c>
      <c r="F9">
        <f t="shared" si="2"/>
        <v>9.9025828626467784E-7</v>
      </c>
      <c r="G9">
        <f t="shared" si="3"/>
        <v>0.89810362266656563</v>
      </c>
      <c r="H9">
        <f t="shared" si="4"/>
        <v>0.22067961573182107</v>
      </c>
      <c r="I9">
        <f t="shared" si="5"/>
        <v>1.1934248705328092</v>
      </c>
      <c r="J9">
        <f t="shared" si="6"/>
        <v>-0.63539090016460642</v>
      </c>
      <c r="K9">
        <f t="shared" si="7"/>
        <v>-0.97262858680317221</v>
      </c>
      <c r="L9">
        <f t="shared" si="8"/>
        <v>-1.5343782415874041</v>
      </c>
      <c r="M9">
        <f t="shared" si="9"/>
        <v>0.754046620445463</v>
      </c>
      <c r="N9">
        <f t="shared" si="10"/>
        <v>0.83848480673490122</v>
      </c>
      <c r="P9">
        <f t="shared" si="11"/>
        <v>2.6472225405350449</v>
      </c>
      <c r="Q9">
        <f t="shared" si="12"/>
        <v>3.5139509655812278</v>
      </c>
      <c r="R9">
        <f t="shared" si="13"/>
        <v>0.13522258112700963</v>
      </c>
      <c r="S9">
        <f t="shared" si="14"/>
        <v>3.3232185351291847E-2</v>
      </c>
      <c r="T9">
        <f t="shared" si="15"/>
        <v>-2.3145589811866428E-4</v>
      </c>
      <c r="U9">
        <f t="shared" si="16"/>
        <v>1.8044179515405717E-4</v>
      </c>
      <c r="V9">
        <f t="shared" si="17"/>
        <v>-1.1754434231599343E-6</v>
      </c>
      <c r="X9">
        <f t="shared" si="18"/>
        <v>8.9513723407191144</v>
      </c>
      <c r="Z9">
        <f t="shared" si="19"/>
        <v>8.9490692599831618</v>
      </c>
      <c r="AA9">
        <f t="shared" si="20"/>
        <v>6.8260981793585627</v>
      </c>
      <c r="AB9">
        <f t="shared" si="21"/>
        <v>5.3041808763156659E-6</v>
      </c>
    </row>
    <row r="10" spans="1:30" x14ac:dyDescent="0.25">
      <c r="B10">
        <v>100</v>
      </c>
      <c r="C10">
        <f t="shared" si="0"/>
        <v>1.7453292519943295</v>
      </c>
      <c r="D10">
        <v>-1131.65210127</v>
      </c>
      <c r="E10">
        <f t="shared" si="1"/>
        <v>7.335172224429698E-4</v>
      </c>
      <c r="F10">
        <f t="shared" si="2"/>
        <v>5.3804751562044927E-7</v>
      </c>
      <c r="G10">
        <f t="shared" si="3"/>
        <v>0.6620069072796928</v>
      </c>
      <c r="H10">
        <f t="shared" si="4"/>
        <v>-0.16247893230754956</v>
      </c>
      <c r="I10">
        <f t="shared" si="5"/>
        <v>0.87982336894454527</v>
      </c>
      <c r="J10">
        <f t="shared" si="6"/>
        <v>0.4678620514530839</v>
      </c>
      <c r="K10">
        <f t="shared" si="7"/>
        <v>-0.71743035047542958</v>
      </c>
      <c r="L10">
        <f t="shared" si="8"/>
        <v>-1.1311371233461993</v>
      </c>
      <c r="M10">
        <f t="shared" si="9"/>
        <v>-0.55523877492436879</v>
      </c>
      <c r="N10">
        <f t="shared" si="10"/>
        <v>0.16210123541057231</v>
      </c>
      <c r="P10">
        <f t="shared" si="11"/>
        <v>1.8639450100497241</v>
      </c>
      <c r="Q10">
        <f t="shared" si="12"/>
        <v>3.5142031602881452</v>
      </c>
      <c r="R10">
        <f t="shared" si="13"/>
        <v>0.40581078424658096</v>
      </c>
      <c r="S10">
        <f t="shared" si="14"/>
        <v>3.3157944416219477E-2</v>
      </c>
      <c r="T10">
        <f t="shared" si="15"/>
        <v>-2.3148081579691955E-4</v>
      </c>
      <c r="U10">
        <f t="shared" si="16"/>
        <v>-1.8025306409637825E-4</v>
      </c>
      <c r="V10">
        <f t="shared" si="17"/>
        <v>-3.0828811677929891E-7</v>
      </c>
      <c r="X10">
        <f t="shared" si="18"/>
        <v>8.2260628968542004</v>
      </c>
      <c r="Z10">
        <f t="shared" si="19"/>
        <v>8.262238460165122</v>
      </c>
      <c r="AA10">
        <f t="shared" si="20"/>
        <v>3.7088961715625404</v>
      </c>
      <c r="AB10">
        <f t="shared" si="21"/>
        <v>1.3086713808624921E-3</v>
      </c>
    </row>
    <row r="11" spans="1:30" x14ac:dyDescent="0.25">
      <c r="B11">
        <v>120</v>
      </c>
      <c r="C11">
        <f t="shared" si="0"/>
        <v>2.0943951023931953</v>
      </c>
      <c r="D11">
        <v>-1131.6527771399999</v>
      </c>
      <c r="E11">
        <f t="shared" si="1"/>
        <v>5.7647222547529964E-5</v>
      </c>
      <c r="F11">
        <f t="shared" si="2"/>
        <v>3.3232022674444468E-9</v>
      </c>
      <c r="G11">
        <f t="shared" si="3"/>
        <v>5.2027216736443581E-2</v>
      </c>
      <c r="H11">
        <f t="shared" si="4"/>
        <v>-3.6782313881609574E-2</v>
      </c>
      <c r="I11">
        <f t="shared" si="5"/>
        <v>3.6801764375827509E-2</v>
      </c>
      <c r="J11">
        <f t="shared" si="6"/>
        <v>7.3577592093130903E-2</v>
      </c>
      <c r="K11">
        <f t="shared" si="7"/>
        <v>3.6762859959923733E-2</v>
      </c>
      <c r="L11">
        <f t="shared" si="8"/>
        <v>-6.0460816665307442E-2</v>
      </c>
      <c r="M11">
        <f t="shared" si="9"/>
        <v>-8.548943709164511E-2</v>
      </c>
      <c r="N11">
        <f t="shared" si="10"/>
        <v>-3.2898132852792764E-2</v>
      </c>
      <c r="P11">
        <f t="shared" si="11"/>
        <v>1.1278776354145403</v>
      </c>
      <c r="Q11">
        <f t="shared" si="12"/>
        <v>2.7178197608701846</v>
      </c>
      <c r="R11">
        <f t="shared" si="13"/>
        <v>0.54117641884618617</v>
      </c>
      <c r="S11">
        <f t="shared" si="14"/>
        <v>0.21277922380542619</v>
      </c>
      <c r="T11">
        <f t="shared" si="15"/>
        <v>-1.5743659371054766E-4</v>
      </c>
      <c r="U11">
        <f t="shared" si="16"/>
        <v>-3.5314027718231963E-4</v>
      </c>
      <c r="V11">
        <f t="shared" si="17"/>
        <v>7.9611102374096309E-7</v>
      </c>
      <c r="X11">
        <f t="shared" si="18"/>
        <v>6.5041707710099459</v>
      </c>
      <c r="Z11">
        <f t="shared" si="19"/>
        <v>6.4877417754396447</v>
      </c>
      <c r="AA11">
        <f t="shared" si="20"/>
        <v>2.2907664860862001E-2</v>
      </c>
      <c r="AB11">
        <f t="shared" si="21"/>
        <v>2.6991189544897637E-4</v>
      </c>
    </row>
    <row r="12" spans="1:30" x14ac:dyDescent="0.25">
      <c r="B12">
        <v>140</v>
      </c>
      <c r="C12">
        <f t="shared" si="0"/>
        <v>2.4434609527920612</v>
      </c>
      <c r="D12">
        <v>-1131.6537929900001</v>
      </c>
      <c r="E12">
        <f t="shared" si="1"/>
        <v>-9.582027776104951E-4</v>
      </c>
      <c r="F12">
        <f t="shared" si="2"/>
        <v>9.1815256302046795E-7</v>
      </c>
      <c r="G12">
        <f t="shared" si="3"/>
        <v>-0.86478795309002332</v>
      </c>
      <c r="H12">
        <f t="shared" si="4"/>
        <v>0.93678841492978016</v>
      </c>
      <c r="I12">
        <f t="shared" si="5"/>
        <v>0.21212571801459854</v>
      </c>
      <c r="J12">
        <f t="shared" si="6"/>
        <v>-0.61182070987968784</v>
      </c>
      <c r="K12">
        <f t="shared" si="7"/>
        <v>-1.1494093904170046</v>
      </c>
      <c r="L12">
        <f t="shared" si="8"/>
        <v>0.41100309018479064</v>
      </c>
      <c r="M12">
        <f t="shared" si="9"/>
        <v>0.89044472002576824</v>
      </c>
      <c r="N12">
        <f t="shared" si="10"/>
        <v>0.49651511510232355</v>
      </c>
      <c r="P12">
        <f t="shared" si="11"/>
        <v>0.52780100520798279</v>
      </c>
      <c r="Q12">
        <f t="shared" si="12"/>
        <v>1.4974374107306028</v>
      </c>
      <c r="R12">
        <f t="shared" si="13"/>
        <v>0.4059538503262195</v>
      </c>
      <c r="S12">
        <f t="shared" si="14"/>
        <v>0.27523528041277556</v>
      </c>
      <c r="T12">
        <f t="shared" si="15"/>
        <v>-6.4386931046665847E-5</v>
      </c>
      <c r="U12">
        <f t="shared" si="16"/>
        <v>-2.2129047524045904E-4</v>
      </c>
      <c r="V12">
        <f t="shared" si="17"/>
        <v>7.2286271379945283E-7</v>
      </c>
      <c r="X12">
        <f t="shared" si="18"/>
        <v>3.8270635555113959</v>
      </c>
      <c r="Z12">
        <f t="shared" si="19"/>
        <v>3.8206276000247499</v>
      </c>
      <c r="AA12">
        <f t="shared" si="20"/>
        <v>6.3290553845789814</v>
      </c>
      <c r="AB12">
        <f t="shared" si="21"/>
        <v>4.1421523026088682E-5</v>
      </c>
    </row>
    <row r="13" spans="1:30" x14ac:dyDescent="0.25">
      <c r="B13">
        <v>160</v>
      </c>
      <c r="C13">
        <f t="shared" si="0"/>
        <v>2.7925268031909272</v>
      </c>
      <c r="D13">
        <v>-1131.65480701</v>
      </c>
      <c r="E13">
        <f t="shared" si="1"/>
        <v>-1.9722227775673673E-3</v>
      </c>
      <c r="F13">
        <f t="shared" si="2"/>
        <v>3.8896626843555412E-6</v>
      </c>
      <c r="G13">
        <f t="shared" si="3"/>
        <v>-1.7799515287392578</v>
      </c>
      <c r="H13">
        <f t="shared" si="4"/>
        <v>2.3653363364940545</v>
      </c>
      <c r="I13">
        <f t="shared" si="5"/>
        <v>1.9279819524680957</v>
      </c>
      <c r="J13">
        <f t="shared" si="6"/>
        <v>1.2579502790159969</v>
      </c>
      <c r="K13">
        <f t="shared" si="7"/>
        <v>0.43610366726552713</v>
      </c>
      <c r="L13">
        <f t="shared" si="8"/>
        <v>0.12749771445693736</v>
      </c>
      <c r="M13">
        <f t="shared" si="9"/>
        <v>0.33885751601173297</v>
      </c>
      <c r="N13">
        <f t="shared" si="10"/>
        <v>0.21314962917451222</v>
      </c>
      <c r="P13">
        <f t="shared" si="11"/>
        <v>0.13609321722081552</v>
      </c>
      <c r="Q13">
        <f t="shared" si="12"/>
        <v>0.42408657453875465</v>
      </c>
      <c r="R13">
        <f t="shared" si="13"/>
        <v>0.1353656472066474</v>
      </c>
      <c r="S13">
        <f t="shared" si="14"/>
        <v>0.11730476185182601</v>
      </c>
      <c r="T13">
        <f t="shared" si="15"/>
        <v>-9.7041274758255825E-6</v>
      </c>
      <c r="U13">
        <f t="shared" si="16"/>
        <v>-4.0914225695879068E-5</v>
      </c>
      <c r="V13">
        <f t="shared" si="17"/>
        <v>1.5076807384367138E-7</v>
      </c>
      <c r="X13">
        <f t="shared" si="18"/>
        <v>1.1494724062312653</v>
      </c>
      <c r="Z13">
        <f t="shared" si="19"/>
        <v>1.1583180901379819</v>
      </c>
      <c r="AA13">
        <f t="shared" si="20"/>
        <v>26.812418271349504</v>
      </c>
      <c r="AB13">
        <f t="shared" si="21"/>
        <v>7.8246123777544769E-5</v>
      </c>
    </row>
    <row r="14" spans="1:30" x14ac:dyDescent="0.25">
      <c r="B14">
        <v>180</v>
      </c>
      <c r="C14">
        <f t="shared" si="0"/>
        <v>3.1415926535897931</v>
      </c>
      <c r="D14">
        <f>D4</f>
        <v>-1131.6552481900001</v>
      </c>
      <c r="E14">
        <f t="shared" si="1"/>
        <v>-2.4134027776199218E-3</v>
      </c>
      <c r="F14">
        <f t="shared" si="2"/>
        <v>5.8245129670235543E-6</v>
      </c>
      <c r="G14">
        <f t="shared" si="3"/>
        <v>-2.1781210583049444</v>
      </c>
      <c r="H14">
        <f t="shared" si="4"/>
        <v>3.0803283251990305</v>
      </c>
      <c r="I14">
        <f t="shared" si="5"/>
        <v>3.0803282773602487</v>
      </c>
      <c r="J14">
        <f t="shared" si="6"/>
        <v>3.0803281976289458</v>
      </c>
      <c r="K14">
        <f t="shared" si="7"/>
        <v>3.0803280860051236</v>
      </c>
      <c r="L14">
        <f t="shared" si="8"/>
        <v>4.10655642856542E-12</v>
      </c>
      <c r="M14">
        <f t="shared" si="9"/>
        <v>1.1610201573534737E-11</v>
      </c>
      <c r="N14">
        <f t="shared" si="10"/>
        <v>7.5368088012804338E-12</v>
      </c>
      <c r="P14">
        <f t="shared" si="11"/>
        <v>1.1675548613541731E-8</v>
      </c>
      <c r="Q14">
        <f t="shared" si="12"/>
        <v>3.7514590506050157E-8</v>
      </c>
      <c r="R14">
        <f t="shared" si="13"/>
        <v>1.2607042987348341E-8</v>
      </c>
      <c r="S14">
        <f t="shared" si="14"/>
        <v>1.1752272817246892E-8</v>
      </c>
      <c r="T14">
        <f t="shared" si="15"/>
        <v>-2.5542185237895031E-16</v>
      </c>
      <c r="U14">
        <f t="shared" si="16"/>
        <v>-1.1455739663246095E-15</v>
      </c>
      <c r="V14">
        <f t="shared" si="17"/>
        <v>4.3565074897466888E-18</v>
      </c>
      <c r="X14">
        <f t="shared" si="18"/>
        <v>1.0401463468378779E-7</v>
      </c>
      <c r="Z14">
        <f t="shared" si="19"/>
        <v>0</v>
      </c>
      <c r="AA14">
        <f t="shared" si="20"/>
        <v>40.149825466063355</v>
      </c>
      <c r="AB14">
        <f t="shared" si="21"/>
        <v>1.0819044228401829E-14</v>
      </c>
    </row>
    <row r="15" spans="1:30" x14ac:dyDescent="0.25">
      <c r="B15">
        <f>200-360</f>
        <v>-160</v>
      </c>
      <c r="C15">
        <f t="shared" si="0"/>
        <v>-2.7925268031909272</v>
      </c>
      <c r="D15">
        <f>D13</f>
        <v>-1131.65480701</v>
      </c>
      <c r="E15">
        <f t="shared" si="1"/>
        <v>-1.9722227775673673E-3</v>
      </c>
      <c r="F15">
        <f t="shared" si="2"/>
        <v>3.8896626843555412E-6</v>
      </c>
      <c r="G15">
        <f t="shared" si="3"/>
        <v>-1.7799515287392578</v>
      </c>
      <c r="H15">
        <f t="shared" si="4"/>
        <v>2.3655115432205953</v>
      </c>
      <c r="I15">
        <f t="shared" si="5"/>
        <v>1.9286405143368568</v>
      </c>
      <c r="J15">
        <f t="shared" si="6"/>
        <v>1.2592811960128254</v>
      </c>
      <c r="K15">
        <f t="shared" si="7"/>
        <v>0.438121617863799</v>
      </c>
      <c r="L15">
        <f t="shared" si="8"/>
        <v>-0.12728403167479371</v>
      </c>
      <c r="M15">
        <f t="shared" si="9"/>
        <v>-0.33831465782401887</v>
      </c>
      <c r="N15">
        <f t="shared" si="10"/>
        <v>-0.212816524039973</v>
      </c>
      <c r="P15">
        <f t="shared" si="11"/>
        <v>0.13593623768274091</v>
      </c>
      <c r="Q15">
        <f t="shared" si="12"/>
        <v>0.42361260352857338</v>
      </c>
      <c r="R15">
        <f t="shared" si="13"/>
        <v>0.13522258112700966</v>
      </c>
      <c r="S15">
        <f t="shared" si="14"/>
        <v>0.11719101814029806</v>
      </c>
      <c r="T15">
        <f t="shared" si="15"/>
        <v>9.6878636159897943E-6</v>
      </c>
      <c r="U15">
        <f t="shared" si="16"/>
        <v>4.0848680086401663E-5</v>
      </c>
      <c r="V15">
        <f t="shared" si="17"/>
        <v>-1.5053245710947197E-7</v>
      </c>
      <c r="X15">
        <f t="shared" si="18"/>
        <v>1.1483595520428813</v>
      </c>
      <c r="Z15">
        <f t="shared" si="19"/>
        <v>1.1583180901379819</v>
      </c>
      <c r="AA15">
        <f t="shared" si="20"/>
        <v>26.812418271349504</v>
      </c>
      <c r="AB15">
        <f t="shared" si="21"/>
        <v>9.9172480991570105E-5</v>
      </c>
    </row>
    <row r="16" spans="1:30" x14ac:dyDescent="0.25">
      <c r="B16">
        <f>220-360</f>
        <v>-140</v>
      </c>
      <c r="C16">
        <f t="shared" si="0"/>
        <v>-2.4434609527920612</v>
      </c>
      <c r="D16">
        <f>D12</f>
        <v>-1131.6537929900001</v>
      </c>
      <c r="E16">
        <f t="shared" si="1"/>
        <v>-9.582027776104951E-4</v>
      </c>
      <c r="F16">
        <f t="shared" si="2"/>
        <v>9.1815256302046795E-7</v>
      </c>
      <c r="G16">
        <f t="shared" si="3"/>
        <v>-0.86478795309002332</v>
      </c>
      <c r="H16">
        <f t="shared" si="4"/>
        <v>0.93694839579561351</v>
      </c>
      <c r="I16">
        <f t="shared" si="5"/>
        <v>0.21261592782516914</v>
      </c>
      <c r="J16">
        <f t="shared" si="6"/>
        <v>-0.6111740849762336</v>
      </c>
      <c r="K16">
        <f t="shared" si="7"/>
        <v>-1.1490688942629352</v>
      </c>
      <c r="L16">
        <f t="shared" si="8"/>
        <v>-0.41070415932593812</v>
      </c>
      <c r="M16">
        <f t="shared" si="9"/>
        <v>-0.88994903745372989</v>
      </c>
      <c r="N16">
        <f t="shared" si="10"/>
        <v>-0.49629429195836627</v>
      </c>
      <c r="P16">
        <f t="shared" si="11"/>
        <v>0.52750598018089601</v>
      </c>
      <c r="Q16">
        <f t="shared" si="12"/>
        <v>1.4967112450135032</v>
      </c>
      <c r="R16">
        <f t="shared" si="13"/>
        <v>0.40581078424658124</v>
      </c>
      <c r="S16">
        <f t="shared" si="14"/>
        <v>0.27519577763631964</v>
      </c>
      <c r="T16">
        <f t="shared" si="15"/>
        <v>6.4340101129674212E-5</v>
      </c>
      <c r="U16">
        <f t="shared" si="16"/>
        <v>2.2116728979225782E-4</v>
      </c>
      <c r="V16">
        <f t="shared" si="17"/>
        <v>-7.2254122345151504E-7</v>
      </c>
      <c r="X16">
        <f t="shared" si="18"/>
        <v>3.826166915535826</v>
      </c>
      <c r="Z16">
        <f t="shared" si="19"/>
        <v>3.8206276000247499</v>
      </c>
      <c r="AA16">
        <f t="shared" si="20"/>
        <v>6.3290553845789814</v>
      </c>
      <c r="AB16">
        <f t="shared" si="21"/>
        <v>3.068401633124844E-5</v>
      </c>
    </row>
    <row r="17" spans="2:28" x14ac:dyDescent="0.25">
      <c r="B17">
        <f>240-360</f>
        <v>-120</v>
      </c>
      <c r="C17">
        <f t="shared" si="0"/>
        <v>-2.0943951023931953</v>
      </c>
      <c r="D17">
        <f>D11</f>
        <v>-1131.6527771399999</v>
      </c>
      <c r="E17">
        <f t="shared" si="1"/>
        <v>5.7647222547529964E-5</v>
      </c>
      <c r="F17">
        <f t="shared" si="2"/>
        <v>3.3232022674444468E-9</v>
      </c>
      <c r="G17">
        <f t="shared" si="3"/>
        <v>5.2027216736443581E-2</v>
      </c>
      <c r="H17">
        <f t="shared" si="4"/>
        <v>-3.6795281258696459E-2</v>
      </c>
      <c r="I17">
        <f t="shared" si="5"/>
        <v>3.6775829621787999E-2</v>
      </c>
      <c r="J17">
        <f t="shared" si="6"/>
        <v>7.3577592093130903E-2</v>
      </c>
      <c r="K17">
        <f t="shared" si="7"/>
        <v>3.6814729466928681E-2</v>
      </c>
      <c r="L17">
        <f t="shared" si="8"/>
        <v>6.0439509090677052E-2</v>
      </c>
      <c r="M17">
        <f t="shared" si="9"/>
        <v>8.5489437091922429E-2</v>
      </c>
      <c r="N17">
        <f t="shared" si="10"/>
        <v>3.2911664289838924E-2</v>
      </c>
      <c r="P17">
        <f t="shared" si="11"/>
        <v>1.1274801492708131</v>
      </c>
      <c r="Q17">
        <f t="shared" si="12"/>
        <v>2.7171811814556301</v>
      </c>
      <c r="R17">
        <f t="shared" si="13"/>
        <v>0.54117641884618617</v>
      </c>
      <c r="S17">
        <f t="shared" si="14"/>
        <v>0.21287924834666591</v>
      </c>
      <c r="T17">
        <f t="shared" si="15"/>
        <v>1.5738110997488112E-4</v>
      </c>
      <c r="U17">
        <f t="shared" si="16"/>
        <v>3.531402771834652E-4</v>
      </c>
      <c r="V17">
        <f t="shared" si="17"/>
        <v>-7.9643847473180515E-7</v>
      </c>
      <c r="X17">
        <f t="shared" si="18"/>
        <v>6.5042888079086598</v>
      </c>
      <c r="Z17">
        <f t="shared" si="19"/>
        <v>6.4877417754396447</v>
      </c>
      <c r="AA17">
        <f t="shared" si="20"/>
        <v>2.2907664860862001E-2</v>
      </c>
      <c r="AB17">
        <f t="shared" si="21"/>
        <v>2.7380428353064069E-4</v>
      </c>
    </row>
    <row r="18" spans="2:28" x14ac:dyDescent="0.25">
      <c r="B18">
        <f>260-360</f>
        <v>-100</v>
      </c>
      <c r="C18">
        <f t="shared" si="0"/>
        <v>-1.7453292519943295</v>
      </c>
      <c r="D18">
        <f>D10</f>
        <v>-1131.65210127</v>
      </c>
      <c r="E18">
        <f t="shared" si="1"/>
        <v>7.335172224429698E-4</v>
      </c>
      <c r="F18">
        <f t="shared" si="2"/>
        <v>5.3804751562044927E-7</v>
      </c>
      <c r="G18">
        <f t="shared" si="3"/>
        <v>0.6620069072796928</v>
      </c>
      <c r="H18">
        <f t="shared" si="4"/>
        <v>-0.16266656343789476</v>
      </c>
      <c r="I18">
        <f t="shared" si="5"/>
        <v>0.87969304172978791</v>
      </c>
      <c r="J18">
        <f t="shared" si="6"/>
        <v>0.4683570515869056</v>
      </c>
      <c r="K18">
        <f t="shared" si="7"/>
        <v>-0.71694048039759284</v>
      </c>
      <c r="L18">
        <f t="shared" si="8"/>
        <v>1.1310153624529471</v>
      </c>
      <c r="M18">
        <f t="shared" si="9"/>
        <v>0.55582012871039854</v>
      </c>
      <c r="N18">
        <f t="shared" si="10"/>
        <v>-0.16167938523063863</v>
      </c>
      <c r="P18">
        <f t="shared" si="11"/>
        <v>1.8634930054845615</v>
      </c>
      <c r="Q18">
        <f t="shared" si="12"/>
        <v>3.5139509655812278</v>
      </c>
      <c r="R18">
        <f t="shared" si="13"/>
        <v>0.40595385032621961</v>
      </c>
      <c r="S18">
        <f t="shared" si="14"/>
        <v>3.3232185351291875E-2</v>
      </c>
      <c r="T18">
        <f t="shared" si="15"/>
        <v>2.3145589811866425E-4</v>
      </c>
      <c r="U18">
        <f t="shared" si="16"/>
        <v>1.8044179515405728E-4</v>
      </c>
      <c r="V18">
        <f t="shared" si="17"/>
        <v>3.0748583173066632E-7</v>
      </c>
      <c r="X18">
        <f t="shared" si="18"/>
        <v>8.2265399889974518</v>
      </c>
      <c r="Z18">
        <f t="shared" si="19"/>
        <v>8.262238460165122</v>
      </c>
      <c r="AA18">
        <f t="shared" si="20"/>
        <v>3.7088961715625404</v>
      </c>
      <c r="AB18">
        <f t="shared" si="21"/>
        <v>1.2743808437089821E-3</v>
      </c>
    </row>
    <row r="19" spans="2:28" x14ac:dyDescent="0.25">
      <c r="B19">
        <f>280-360</f>
        <v>-80</v>
      </c>
      <c r="C19">
        <f t="shared" si="0"/>
        <v>-1.3962634015954636</v>
      </c>
      <c r="D19">
        <f>D9</f>
        <v>-1131.6518396700001</v>
      </c>
      <c r="E19">
        <f t="shared" si="1"/>
        <v>9.9511722237366484E-4</v>
      </c>
      <c r="F19">
        <f t="shared" si="2"/>
        <v>9.9025828626467784E-7</v>
      </c>
      <c r="G19">
        <f t="shared" si="3"/>
        <v>0.89810362266656563</v>
      </c>
      <c r="H19">
        <f t="shared" si="4"/>
        <v>0.22042506823989216</v>
      </c>
      <c r="I19">
        <f t="shared" si="5"/>
        <v>1.1936016773643066</v>
      </c>
      <c r="J19">
        <f t="shared" si="6"/>
        <v>-0.63471936425083286</v>
      </c>
      <c r="K19">
        <f t="shared" si="7"/>
        <v>-0.97329316308886082</v>
      </c>
      <c r="L19">
        <f t="shared" si="8"/>
        <v>1.5345434270229725</v>
      </c>
      <c r="M19">
        <f t="shared" si="9"/>
        <v>-0.7532579338992329</v>
      </c>
      <c r="N19">
        <f t="shared" si="10"/>
        <v>-0.83848997101121625</v>
      </c>
      <c r="P19">
        <f t="shared" si="11"/>
        <v>2.6467705359698837</v>
      </c>
      <c r="Q19">
        <f t="shared" si="12"/>
        <v>3.5142031602881443</v>
      </c>
      <c r="R19">
        <f t="shared" si="13"/>
        <v>0.1353656472066479</v>
      </c>
      <c r="S19">
        <f t="shared" si="14"/>
        <v>3.3157944416219602E-2</v>
      </c>
      <c r="T19">
        <f t="shared" si="15"/>
        <v>2.3148081579691947E-4</v>
      </c>
      <c r="U19">
        <f t="shared" si="16"/>
        <v>-1.8025306409637861E-4</v>
      </c>
      <c r="V19">
        <f t="shared" si="17"/>
        <v>1.1754506627838142E-6</v>
      </c>
      <c r="X19">
        <f t="shared" si="18"/>
        <v>8.9513350168443804</v>
      </c>
      <c r="Z19">
        <f t="shared" si="19"/>
        <v>8.9490692599831618</v>
      </c>
      <c r="AA19">
        <f t="shared" si="20"/>
        <v>6.8260981793585627</v>
      </c>
      <c r="AB19">
        <f t="shared" si="21"/>
        <v>5.1336541541589288E-6</v>
      </c>
    </row>
    <row r="20" spans="2:28" x14ac:dyDescent="0.25">
      <c r="B20">
        <f>300-360</f>
        <v>-60</v>
      </c>
      <c r="C20">
        <f t="shared" si="0"/>
        <v>-1.0471975511965976</v>
      </c>
      <c r="D20">
        <f>D8</f>
        <v>-1131.65186393</v>
      </c>
      <c r="E20">
        <f t="shared" si="1"/>
        <v>9.7085722245537909E-4</v>
      </c>
      <c r="F20">
        <f t="shared" si="2"/>
        <v>9.4256374639377342E-7</v>
      </c>
      <c r="G20">
        <f t="shared" si="3"/>
        <v>0.87620872091767221</v>
      </c>
      <c r="H20">
        <f t="shared" si="4"/>
        <v>0.61946393100098385</v>
      </c>
      <c r="I20">
        <f t="shared" si="5"/>
        <v>0.61979150363947577</v>
      </c>
      <c r="J20">
        <f t="shared" si="6"/>
        <v>-1.2391461988579822</v>
      </c>
      <c r="K20">
        <f t="shared" si="7"/>
        <v>0.61913630063929526</v>
      </c>
      <c r="L20">
        <f t="shared" si="8"/>
        <v>1.0182419540970455</v>
      </c>
      <c r="M20">
        <f t="shared" si="9"/>
        <v>-1.439757784958968</v>
      </c>
      <c r="N20">
        <f t="shared" si="10"/>
        <v>-4.3945898712637748E-4</v>
      </c>
      <c r="P20">
        <f t="shared" si="11"/>
        <v>3.3828379106050681</v>
      </c>
      <c r="Q20">
        <f t="shared" si="12"/>
        <v>2.7178197608701815</v>
      </c>
      <c r="R20">
        <f t="shared" si="13"/>
        <v>1.2607042987348341E-8</v>
      </c>
      <c r="S20">
        <f t="shared" si="14"/>
        <v>0.21277922380542669</v>
      </c>
      <c r="T20">
        <f t="shared" si="15"/>
        <v>1.5743659371054739E-4</v>
      </c>
      <c r="U20">
        <f t="shared" si="16"/>
        <v>-3.5314027718231963E-4</v>
      </c>
      <c r="V20">
        <f t="shared" si="17"/>
        <v>6.3145696794042187E-10</v>
      </c>
      <c r="X20">
        <f t="shared" si="18"/>
        <v>8.9282713344113134</v>
      </c>
      <c r="Z20">
        <f t="shared" si="19"/>
        <v>8.8853746301977026</v>
      </c>
      <c r="AA20">
        <f t="shared" si="20"/>
        <v>6.4973277804698153</v>
      </c>
      <c r="AB20">
        <f t="shared" si="21"/>
        <v>1.8401272323900148E-3</v>
      </c>
    </row>
    <row r="21" spans="2:28" x14ac:dyDescent="0.25">
      <c r="B21">
        <f>320-360</f>
        <v>-40</v>
      </c>
      <c r="C21">
        <f t="shared" si="0"/>
        <v>-0.69813170079773179</v>
      </c>
      <c r="D21">
        <f>D7</f>
        <v>-1131.6520589700001</v>
      </c>
      <c r="E21">
        <f t="shared" si="1"/>
        <v>7.7581722234754125E-4</v>
      </c>
      <c r="F21">
        <f t="shared" si="2"/>
        <v>6.0189236249105427E-7</v>
      </c>
      <c r="G21">
        <f t="shared" si="3"/>
        <v>0.70018309627426523</v>
      </c>
      <c r="H21">
        <f t="shared" si="4"/>
        <v>0.75847889713967109</v>
      </c>
      <c r="I21">
        <f t="shared" si="5"/>
        <v>-0.17174943465407183</v>
      </c>
      <c r="J21">
        <f t="shared" si="6"/>
        <v>-0.4953659651219548</v>
      </c>
      <c r="K21">
        <f t="shared" si="7"/>
        <v>0.93062932131885934</v>
      </c>
      <c r="L21">
        <f t="shared" si="8"/>
        <v>0.33277223073656825</v>
      </c>
      <c r="M21">
        <f t="shared" si="9"/>
        <v>-0.72095632102753227</v>
      </c>
      <c r="N21">
        <f t="shared" si="10"/>
        <v>1.2549858277516195</v>
      </c>
      <c r="P21">
        <f t="shared" si="11"/>
        <v>3.982914540811624</v>
      </c>
      <c r="Q21">
        <f t="shared" si="12"/>
        <v>1.4974374107306021</v>
      </c>
      <c r="R21">
        <f t="shared" si="13"/>
        <v>0.13522258112700949</v>
      </c>
      <c r="S21">
        <f t="shared" si="14"/>
        <v>0.27523528041277551</v>
      </c>
      <c r="T21">
        <f t="shared" si="15"/>
        <v>6.4386931046665847E-5</v>
      </c>
      <c r="U21">
        <f t="shared" si="16"/>
        <v>-2.2129047524045896E-4</v>
      </c>
      <c r="V21">
        <f t="shared" si="17"/>
        <v>-2.2566290806985E-6</v>
      </c>
      <c r="X21">
        <f t="shared" si="18"/>
        <v>8.3306380445454629</v>
      </c>
      <c r="Z21">
        <f t="shared" si="19"/>
        <v>8.3732971099145743</v>
      </c>
      <c r="AA21">
        <f t="shared" si="20"/>
        <v>4.1489946782145504</v>
      </c>
      <c r="AB21">
        <f t="shared" si="21"/>
        <v>1.8197958581661247E-3</v>
      </c>
    </row>
    <row r="22" spans="2:28" x14ac:dyDescent="0.25">
      <c r="B22">
        <f>340-360</f>
        <v>-20</v>
      </c>
      <c r="C22">
        <f t="shared" si="0"/>
        <v>-0.3490658503988659</v>
      </c>
      <c r="D22">
        <f>D6</f>
        <v>-1131.65237462</v>
      </c>
      <c r="E22">
        <f t="shared" si="1"/>
        <v>4.601672223998321E-4</v>
      </c>
      <c r="F22">
        <f t="shared" si="2"/>
        <v>2.1175387257117654E-7</v>
      </c>
      <c r="G22">
        <f t="shared" si="3"/>
        <v>0.41530569482447893</v>
      </c>
      <c r="H22">
        <f t="shared" si="4"/>
        <v>0.55189011321956716</v>
      </c>
      <c r="I22">
        <f t="shared" si="5"/>
        <v>-0.44984476905725396</v>
      </c>
      <c r="J22">
        <f t="shared" si="6"/>
        <v>0.29351019184855198</v>
      </c>
      <c r="K22">
        <f t="shared" si="7"/>
        <v>-0.1017535217251094</v>
      </c>
      <c r="L22">
        <f t="shared" si="8"/>
        <v>2.9748297094683299E-2</v>
      </c>
      <c r="M22">
        <f t="shared" si="9"/>
        <v>-7.9063645195680654E-2</v>
      </c>
      <c r="N22">
        <f t="shared" si="10"/>
        <v>0.84215550970804087</v>
      </c>
      <c r="P22">
        <f t="shared" si="11"/>
        <v>4.3746223287987904</v>
      </c>
      <c r="Q22">
        <f t="shared" si="12"/>
        <v>0.42408657453875542</v>
      </c>
      <c r="R22">
        <f t="shared" si="13"/>
        <v>0.40581078424658101</v>
      </c>
      <c r="S22">
        <f t="shared" si="14"/>
        <v>0.1173047618518262</v>
      </c>
      <c r="T22">
        <f t="shared" si="15"/>
        <v>9.7041274758255418E-6</v>
      </c>
      <c r="U22">
        <f t="shared" si="16"/>
        <v>-4.0914225695879156E-5</v>
      </c>
      <c r="V22">
        <f t="shared" si="17"/>
        <v>-2.5530386459756514E-6</v>
      </c>
      <c r="X22">
        <f t="shared" si="18"/>
        <v>7.5261485646749895</v>
      </c>
      <c r="Z22">
        <f t="shared" si="19"/>
        <v>7.544558035051864</v>
      </c>
      <c r="AA22">
        <f t="shared" si="20"/>
        <v>1.4596724350397308</v>
      </c>
      <c r="AB22">
        <f t="shared" si="21"/>
        <v>3.3890859955701825E-4</v>
      </c>
    </row>
    <row r="23" spans="2:28" x14ac:dyDescent="0.25">
      <c r="B23">
        <f>-180</f>
        <v>-180</v>
      </c>
      <c r="C23">
        <f t="shared" si="0"/>
        <v>-3.1415926535897931</v>
      </c>
      <c r="P23">
        <f t="shared" si="11"/>
        <v>1.1675548613541731E-8</v>
      </c>
      <c r="Q23">
        <f t="shared" si="12"/>
        <v>3.7514590506050157E-8</v>
      </c>
      <c r="R23">
        <f t="shared" si="13"/>
        <v>1.2607042987348341E-8</v>
      </c>
      <c r="S23">
        <f t="shared" si="14"/>
        <v>1.1752272817246892E-8</v>
      </c>
      <c r="T23">
        <f t="shared" si="15"/>
        <v>-2.5531422878777981E-16</v>
      </c>
      <c r="U23">
        <f t="shared" si="16"/>
        <v>-1.1455739663246095E-15</v>
      </c>
      <c r="V23">
        <f t="shared" si="17"/>
        <v>4.3589574205400143E-18</v>
      </c>
      <c r="X23">
        <f t="shared" si="18"/>
        <v>1.0401463468394347E-7</v>
      </c>
      <c r="Z23">
        <f>Z14</f>
        <v>0</v>
      </c>
    </row>
    <row r="24" spans="2:28" x14ac:dyDescent="0.25">
      <c r="B24" t="s">
        <v>4</v>
      </c>
      <c r="D24">
        <f>AVERAGE(D5:D22)</f>
        <v>-1131.6528347872224</v>
      </c>
      <c r="F24">
        <f>SQRT(AVERAGE(F5:F22))</f>
        <v>1.1080204970324644E-3</v>
      </c>
      <c r="G24" t="s">
        <v>10</v>
      </c>
      <c r="H24" s="4">
        <f t="shared" ref="H24:N24" si="22">AVERAGE(H5:H22)</f>
        <v>0.77527472904671113</v>
      </c>
      <c r="I24" s="4">
        <f t="shared" si="22"/>
        <v>0.6227569098554816</v>
      </c>
      <c r="J24" s="4">
        <f t="shared" si="22"/>
        <v>9.3014158614280432E-2</v>
      </c>
      <c r="K24" s="4">
        <f t="shared" si="22"/>
        <v>4.8773084507858888E-2</v>
      </c>
      <c r="L24" s="4">
        <f t="shared" si="22"/>
        <v>6.585935149238005E-5</v>
      </c>
      <c r="M24" s="4">
        <f t="shared" si="22"/>
        <v>1.0447697034002588E-4</v>
      </c>
      <c r="N24" s="4">
        <f t="shared" si="22"/>
        <v>-6.1205177496563101E-7</v>
      </c>
    </row>
    <row r="25" spans="2:28" x14ac:dyDescent="0.25">
      <c r="B25" t="s">
        <v>5</v>
      </c>
      <c r="D25">
        <f>MIN(D4:D22)</f>
        <v>-1131.6552481900001</v>
      </c>
      <c r="F25" s="3">
        <f>F24*$A$1</f>
        <v>2.9091078149587353</v>
      </c>
      <c r="G25" s="4">
        <f>SUM(H25:N25)</f>
        <v>0.99990753699959911</v>
      </c>
      <c r="H25">
        <f t="shared" ref="H25:N25" si="23">H24^2</f>
        <v>0.6010509054984513</v>
      </c>
      <c r="I25">
        <f t="shared" si="23"/>
        <v>0.38782616877274845</v>
      </c>
      <c r="J25">
        <f t="shared" si="23"/>
        <v>8.6516337027225179E-3</v>
      </c>
      <c r="K25">
        <f t="shared" si="23"/>
        <v>2.3788137724107448E-3</v>
      </c>
      <c r="L25">
        <f t="shared" si="23"/>
        <v>4.3374541789968621E-9</v>
      </c>
      <c r="M25">
        <f t="shared" si="23"/>
        <v>1.0915437331430647E-8</v>
      </c>
      <c r="N25">
        <f t="shared" si="23"/>
        <v>3.7460737523857941E-13</v>
      </c>
    </row>
    <row r="26" spans="2:28" x14ac:dyDescent="0.25">
      <c r="B26" t="s">
        <v>6</v>
      </c>
      <c r="D26">
        <f>MAX(D5:D22)</f>
        <v>-1131.6518396700001</v>
      </c>
    </row>
    <row r="27" spans="2:28" x14ac:dyDescent="0.25">
      <c r="B27" t="s">
        <v>67</v>
      </c>
      <c r="D27" s="1">
        <f>D26-D25</f>
        <v>3.4085199999935867E-3</v>
      </c>
      <c r="G27" t="s">
        <v>63</v>
      </c>
      <c r="H27">
        <f>H24*$F$24</f>
        <v>8.5902029061504597E-4</v>
      </c>
      <c r="I27">
        <f t="shared" ref="I27:N27" si="24">I24*$F$24</f>
        <v>6.9002742078847238E-4</v>
      </c>
      <c r="J27">
        <f t="shared" si="24"/>
        <v>1.0306159425885149E-4</v>
      </c>
      <c r="K27">
        <f t="shared" si="24"/>
        <v>5.4041577338204194E-5</v>
      </c>
      <c r="L27">
        <f t="shared" si="24"/>
        <v>7.2973511374822722E-8</v>
      </c>
      <c r="M27">
        <f t="shared" si="24"/>
        <v>1.1576262460460152E-7</v>
      </c>
      <c r="N27">
        <f t="shared" si="24"/>
        <v>-6.7816591190702047E-10</v>
      </c>
    </row>
    <row r="28" spans="2:28" x14ac:dyDescent="0.25">
      <c r="D28" s="3">
        <f>D27*$A$1</f>
        <v>8.9490692599831618</v>
      </c>
      <c r="H28">
        <f>$A$1*H27</f>
        <v>2.2553577730098033</v>
      </c>
      <c r="I28">
        <f t="shared" ref="I28:N28" si="25">$A$1*I27</f>
        <v>1.8116669932801341</v>
      </c>
      <c r="J28">
        <f t="shared" si="25"/>
        <v>0.27058821572661457</v>
      </c>
      <c r="K28">
        <f t="shared" si="25"/>
        <v>0.14188616130145512</v>
      </c>
      <c r="L28">
        <f t="shared" si="25"/>
        <v>1.9159195411459705E-4</v>
      </c>
      <c r="M28">
        <f t="shared" si="25"/>
        <v>3.0393477089938128E-4</v>
      </c>
      <c r="N28">
        <f t="shared" si="25"/>
        <v>-1.7805246017118822E-6</v>
      </c>
      <c r="O28" t="s">
        <v>61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predict_norms</vt:lpstr>
      <vt:lpstr>p10_inclination_relax</vt:lpstr>
      <vt:lpstr>n10_inclination_relax</vt:lpstr>
      <vt:lpstr>opt_angle_relax</vt:lpstr>
      <vt:lpstr>opt_angle_no_relax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Manz</dc:creator>
  <cp:lastModifiedBy>Thomas Manz</cp:lastModifiedBy>
  <dcterms:created xsi:type="dcterms:W3CDTF">2023-12-01T01:47:01Z</dcterms:created>
  <dcterms:modified xsi:type="dcterms:W3CDTF">2025-01-20T22:11:49Z</dcterms:modified>
</cp:coreProperties>
</file>