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m\NMSU Advanced Dropbox\Thomas Manz\research\papers_in_preparation\dihedral_potentials\ESI_01_20_2024\torsion_mode_analysis\using_CO_projectors\"/>
    </mc:Choice>
  </mc:AlternateContent>
  <xr:revisionPtr revIDLastSave="0" documentId="13_ncr:1_{01FDE23B-D588-4C47-9411-94CDF2149600}" xr6:coauthVersionLast="47" xr6:coauthVersionMax="47" xr10:uidLastSave="{00000000-0000-0000-0000-000000000000}"/>
  <bookViews>
    <workbookView xWindow="28680" yWindow="-120" windowWidth="29040" windowHeight="15840" xr2:uid="{B9686C86-FA7D-441A-8A98-6C86EEE0DF39}"/>
  </bookViews>
  <sheets>
    <sheet name="chart" sheetId="4" r:id="rId1"/>
    <sheet name="opt_angle_relax" sheetId="5" r:id="rId2"/>
    <sheet name="opt_angle_no_relax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22" i="5" l="1"/>
  <c r="U22" i="5"/>
  <c r="V21" i="5"/>
  <c r="U21" i="5"/>
  <c r="V20" i="5"/>
  <c r="U20" i="5"/>
  <c r="V19" i="5"/>
  <c r="U19" i="5"/>
  <c r="V18" i="5"/>
  <c r="U18" i="5"/>
  <c r="V17" i="5"/>
  <c r="U17" i="5"/>
  <c r="V16" i="5"/>
  <c r="U16" i="5"/>
  <c r="V15" i="5"/>
  <c r="U15" i="5"/>
  <c r="V14" i="5"/>
  <c r="U14" i="5"/>
  <c r="V13" i="5"/>
  <c r="U13" i="5"/>
  <c r="V12" i="5"/>
  <c r="U12" i="5"/>
  <c r="V11" i="5"/>
  <c r="U11" i="5"/>
  <c r="V10" i="5"/>
  <c r="U10" i="5"/>
  <c r="V9" i="5"/>
  <c r="U9" i="5"/>
  <c r="V8" i="5"/>
  <c r="U8" i="5"/>
  <c r="V7" i="5"/>
  <c r="U7" i="5"/>
  <c r="V6" i="5"/>
  <c r="U6" i="5"/>
  <c r="V5" i="5"/>
  <c r="V3" i="5" s="1"/>
  <c r="U5" i="5"/>
  <c r="U3" i="5" s="1"/>
  <c r="X3" i="5" l="1"/>
  <c r="Z22" i="1"/>
  <c r="Z21" i="1"/>
  <c r="Z20" i="1"/>
  <c r="Z19" i="1"/>
  <c r="Z18" i="1"/>
  <c r="Z17" i="1"/>
  <c r="Z16" i="1"/>
  <c r="Z15" i="1"/>
  <c r="Z13" i="1"/>
  <c r="Z12" i="1"/>
  <c r="Z11" i="1"/>
  <c r="Z10" i="1"/>
  <c r="Z9" i="1"/>
  <c r="Z8" i="1"/>
  <c r="Z7" i="1"/>
  <c r="Z6" i="1"/>
  <c r="Z5" i="1"/>
  <c r="Z5" i="5"/>
  <c r="D22" i="5" l="1"/>
  <c r="D21" i="5"/>
  <c r="D20" i="5"/>
  <c r="D19" i="5"/>
  <c r="D18" i="5"/>
  <c r="D17" i="5"/>
  <c r="D16" i="5"/>
  <c r="D15" i="5"/>
  <c r="B23" i="5"/>
  <c r="C23" i="5" s="1"/>
  <c r="B22" i="5"/>
  <c r="C22" i="5" s="1"/>
  <c r="B21" i="5"/>
  <c r="C21" i="5" s="1"/>
  <c r="B20" i="5"/>
  <c r="C20" i="5" s="1"/>
  <c r="B19" i="5"/>
  <c r="C19" i="5" s="1"/>
  <c r="B18" i="5"/>
  <c r="C18" i="5" s="1"/>
  <c r="B17" i="5"/>
  <c r="C17" i="5" s="1"/>
  <c r="B16" i="5"/>
  <c r="C16" i="5" s="1"/>
  <c r="B15" i="5"/>
  <c r="C15" i="5" s="1"/>
  <c r="D14" i="5"/>
  <c r="C14" i="5"/>
  <c r="C13" i="5"/>
  <c r="C12" i="5"/>
  <c r="C11" i="5"/>
  <c r="C10" i="5"/>
  <c r="C9" i="5"/>
  <c r="C8" i="5"/>
  <c r="C7" i="5"/>
  <c r="C6" i="5"/>
  <c r="C5" i="5"/>
  <c r="C4" i="5"/>
  <c r="B23" i="1"/>
  <c r="B22" i="1"/>
  <c r="B21" i="1"/>
  <c r="B20" i="1"/>
  <c r="B19" i="1"/>
  <c r="B18" i="1"/>
  <c r="B17" i="1"/>
  <c r="B16" i="1"/>
  <c r="B15" i="1"/>
  <c r="Z15" i="5" l="1"/>
  <c r="Z13" i="5"/>
  <c r="Z16" i="5"/>
  <c r="Z12" i="5"/>
  <c r="Z14" i="5"/>
  <c r="Z17" i="5"/>
  <c r="Z11" i="5"/>
  <c r="Z18" i="5"/>
  <c r="Z10" i="5"/>
  <c r="Z19" i="5"/>
  <c r="Z9" i="5"/>
  <c r="Z20" i="5"/>
  <c r="Z8" i="5"/>
  <c r="Z7" i="5"/>
  <c r="Z21" i="5"/>
  <c r="Z22" i="5"/>
  <c r="Z6" i="5"/>
  <c r="D24" i="5"/>
  <c r="E5" i="5" s="1"/>
  <c r="D26" i="5"/>
  <c r="D25" i="5"/>
  <c r="T14" i="5" s="1"/>
  <c r="T23" i="5" s="1"/>
  <c r="T19" i="5" l="1"/>
  <c r="T13" i="5"/>
  <c r="T11" i="5"/>
  <c r="T9" i="5"/>
  <c r="T7" i="5"/>
  <c r="T5" i="5"/>
  <c r="T12" i="5"/>
  <c r="T10" i="5"/>
  <c r="T8" i="5"/>
  <c r="T6" i="5"/>
  <c r="T16" i="5"/>
  <c r="Z4" i="5"/>
  <c r="T18" i="5"/>
  <c r="T20" i="5"/>
  <c r="T22" i="5"/>
  <c r="T21" i="5"/>
  <c r="T17" i="5"/>
  <c r="T15" i="5"/>
  <c r="E8" i="5"/>
  <c r="F8" i="5" s="1"/>
  <c r="E17" i="5"/>
  <c r="F17" i="5" s="1"/>
  <c r="E21" i="5"/>
  <c r="F21" i="5" s="1"/>
  <c r="E16" i="5"/>
  <c r="F16" i="5" s="1"/>
  <c r="E20" i="5"/>
  <c r="F20" i="5" s="1"/>
  <c r="E9" i="5"/>
  <c r="F9" i="5" s="1"/>
  <c r="E12" i="5"/>
  <c r="F12" i="5" s="1"/>
  <c r="E19" i="5"/>
  <c r="F19" i="5" s="1"/>
  <c r="E13" i="5"/>
  <c r="F13" i="5" s="1"/>
  <c r="E11" i="5"/>
  <c r="F11" i="5" s="1"/>
  <c r="E14" i="5"/>
  <c r="F14" i="5" s="1"/>
  <c r="E18" i="5"/>
  <c r="F18" i="5" s="1"/>
  <c r="E22" i="5"/>
  <c r="F22" i="5" s="1"/>
  <c r="E6" i="5"/>
  <c r="F6" i="5" s="1"/>
  <c r="E4" i="5"/>
  <c r="E15" i="5"/>
  <c r="F15" i="5" s="1"/>
  <c r="E7" i="5"/>
  <c r="F7" i="5" s="1"/>
  <c r="E10" i="5"/>
  <c r="F10" i="5" s="1"/>
  <c r="D27" i="5"/>
  <c r="D28" i="5" s="1"/>
  <c r="F5" i="5"/>
  <c r="F3" i="5" l="1"/>
  <c r="AA4" i="5" s="1"/>
  <c r="F24" i="5"/>
  <c r="F25" i="5" l="1"/>
  <c r="G13" i="5"/>
  <c r="G18" i="5"/>
  <c r="G5" i="5"/>
  <c r="G17" i="5"/>
  <c r="G15" i="5"/>
  <c r="G21" i="5"/>
  <c r="G16" i="5"/>
  <c r="G20" i="5"/>
  <c r="G22" i="5"/>
  <c r="G11" i="5"/>
  <c r="G19" i="5"/>
  <c r="G14" i="5"/>
  <c r="G6" i="5"/>
  <c r="G7" i="5"/>
  <c r="G9" i="5"/>
  <c r="G12" i="5"/>
  <c r="G10" i="5"/>
  <c r="G8" i="5"/>
  <c r="H22" i="5" l="1"/>
  <c r="I22" i="5"/>
  <c r="K22" i="5"/>
  <c r="J22" i="5"/>
  <c r="I8" i="5"/>
  <c r="H8" i="5"/>
  <c r="J8" i="5"/>
  <c r="K8" i="5"/>
  <c r="J19" i="5"/>
  <c r="H19" i="5"/>
  <c r="K19" i="5"/>
  <c r="I19" i="5"/>
  <c r="J20" i="5"/>
  <c r="H20" i="5"/>
  <c r="I20" i="5"/>
  <c r="K20" i="5"/>
  <c r="K16" i="5"/>
  <c r="I16" i="5"/>
  <c r="H16" i="5"/>
  <c r="J16" i="5"/>
  <c r="J9" i="5"/>
  <c r="I9" i="5"/>
  <c r="K9" i="5"/>
  <c r="H9" i="5"/>
  <c r="K12" i="5"/>
  <c r="J12" i="5"/>
  <c r="I12" i="5"/>
  <c r="H12" i="5"/>
  <c r="K13" i="5"/>
  <c r="I13" i="5"/>
  <c r="H13" i="5"/>
  <c r="J13" i="5"/>
  <c r="H11" i="5"/>
  <c r="K11" i="5"/>
  <c r="J11" i="5"/>
  <c r="I11" i="5"/>
  <c r="K21" i="5"/>
  <c r="H21" i="5"/>
  <c r="I21" i="5"/>
  <c r="J21" i="5"/>
  <c r="J10" i="5"/>
  <c r="I10" i="5"/>
  <c r="K10" i="5"/>
  <c r="H10" i="5"/>
  <c r="H15" i="5"/>
  <c r="K15" i="5"/>
  <c r="J15" i="5"/>
  <c r="I15" i="5"/>
  <c r="H17" i="5"/>
  <c r="K17" i="5"/>
  <c r="I17" i="5"/>
  <c r="J17" i="5"/>
  <c r="J5" i="5"/>
  <c r="K5" i="5"/>
  <c r="I5" i="5"/>
  <c r="H5" i="5"/>
  <c r="K7" i="5"/>
  <c r="H7" i="5"/>
  <c r="J7" i="5"/>
  <c r="I7" i="5"/>
  <c r="I18" i="5"/>
  <c r="K18" i="5"/>
  <c r="J18" i="5"/>
  <c r="H18" i="5"/>
  <c r="J6" i="5"/>
  <c r="H6" i="5"/>
  <c r="I6" i="5"/>
  <c r="K6" i="5"/>
  <c r="H14" i="5"/>
  <c r="K14" i="5"/>
  <c r="J14" i="5"/>
  <c r="I14" i="5"/>
  <c r="H24" i="5" l="1"/>
  <c r="K24" i="5"/>
  <c r="I24" i="5"/>
  <c r="J24" i="5"/>
  <c r="C23" i="1"/>
  <c r="H27" i="5" l="1"/>
  <c r="H28" i="5" s="1"/>
  <c r="H25" i="5"/>
  <c r="J27" i="5"/>
  <c r="J28" i="5" s="1"/>
  <c r="J25" i="5"/>
  <c r="I25" i="5"/>
  <c r="I27" i="5"/>
  <c r="I28" i="5" s="1"/>
  <c r="K27" i="5"/>
  <c r="K28" i="5" s="1"/>
  <c r="K25" i="5"/>
  <c r="D1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4" i="1"/>
  <c r="Z14" i="1" l="1"/>
  <c r="Z4" i="1" s="1"/>
  <c r="O8" i="5"/>
  <c r="O14" i="5"/>
  <c r="O10" i="5"/>
  <c r="O15" i="5"/>
  <c r="O6" i="5"/>
  <c r="O5" i="5"/>
  <c r="O16" i="5"/>
  <c r="O7" i="5"/>
  <c r="O11" i="5"/>
  <c r="O21" i="5"/>
  <c r="O17" i="5"/>
  <c r="O22" i="5"/>
  <c r="O23" i="5"/>
  <c r="O20" i="5"/>
  <c r="O9" i="5"/>
  <c r="O19" i="5"/>
  <c r="O13" i="5"/>
  <c r="O18" i="5"/>
  <c r="O12" i="5"/>
  <c r="P7" i="5"/>
  <c r="P8" i="5"/>
  <c r="P13" i="5"/>
  <c r="P17" i="5"/>
  <c r="P6" i="5"/>
  <c r="P22" i="5"/>
  <c r="P11" i="5"/>
  <c r="P5" i="5"/>
  <c r="P16" i="5"/>
  <c r="P15" i="5"/>
  <c r="P18" i="5"/>
  <c r="P10" i="5"/>
  <c r="P14" i="5"/>
  <c r="P21" i="5"/>
  <c r="P19" i="5"/>
  <c r="P9" i="5"/>
  <c r="P23" i="5"/>
  <c r="P12" i="5"/>
  <c r="P20" i="5"/>
  <c r="N5" i="5"/>
  <c r="N18" i="5"/>
  <c r="N11" i="5"/>
  <c r="N15" i="5"/>
  <c r="N16" i="5"/>
  <c r="N9" i="5"/>
  <c r="N14" i="5"/>
  <c r="N7" i="5"/>
  <c r="N22" i="5"/>
  <c r="N17" i="5"/>
  <c r="N10" i="5"/>
  <c r="N19" i="5"/>
  <c r="N12" i="5"/>
  <c r="N20" i="5"/>
  <c r="N13" i="5"/>
  <c r="N8" i="5"/>
  <c r="N23" i="5"/>
  <c r="N6" i="5"/>
  <c r="N21" i="5"/>
  <c r="G25" i="5"/>
  <c r="M23" i="5"/>
  <c r="M18" i="5"/>
  <c r="M12" i="5"/>
  <c r="M11" i="5"/>
  <c r="M6" i="5"/>
  <c r="M13" i="5"/>
  <c r="M21" i="5"/>
  <c r="M17" i="5"/>
  <c r="M20" i="5"/>
  <c r="M14" i="5"/>
  <c r="M15" i="5"/>
  <c r="M16" i="5"/>
  <c r="M19" i="5"/>
  <c r="M10" i="5"/>
  <c r="M8" i="5"/>
  <c r="M22" i="5"/>
  <c r="M7" i="5"/>
  <c r="M5" i="5"/>
  <c r="R5" i="5" s="1"/>
  <c r="M9" i="5"/>
  <c r="D26" i="1"/>
  <c r="D25" i="1"/>
  <c r="T14" i="1" s="1"/>
  <c r="T23" i="1" s="1"/>
  <c r="D24" i="1"/>
  <c r="E17" i="1" s="1"/>
  <c r="F17" i="1" l="1"/>
  <c r="U17" i="1"/>
  <c r="T21" i="1"/>
  <c r="T19" i="1"/>
  <c r="T17" i="1"/>
  <c r="T15" i="1"/>
  <c r="T13" i="1"/>
  <c r="T11" i="1"/>
  <c r="T9" i="1"/>
  <c r="T7" i="1"/>
  <c r="T5" i="1"/>
  <c r="T22" i="1"/>
  <c r="T20" i="1"/>
  <c r="T18" i="1"/>
  <c r="T16" i="1"/>
  <c r="T12" i="1"/>
  <c r="T10" i="1"/>
  <c r="T8" i="1"/>
  <c r="T6" i="1"/>
  <c r="R18" i="5"/>
  <c r="R11" i="5"/>
  <c r="R13" i="5"/>
  <c r="R22" i="5"/>
  <c r="R8" i="5"/>
  <c r="R12" i="5"/>
  <c r="R10" i="5"/>
  <c r="R16" i="5"/>
  <c r="R15" i="5"/>
  <c r="R19" i="5"/>
  <c r="R14" i="5"/>
  <c r="R23" i="5" s="1"/>
  <c r="R20" i="5"/>
  <c r="R17" i="5"/>
  <c r="R9" i="5"/>
  <c r="R21" i="5"/>
  <c r="R7" i="5"/>
  <c r="R6" i="5"/>
  <c r="D27" i="1"/>
  <c r="D28" i="1" s="1"/>
  <c r="E9" i="1"/>
  <c r="E10" i="1"/>
  <c r="E11" i="1"/>
  <c r="E4" i="1"/>
  <c r="E12" i="1"/>
  <c r="E13" i="1"/>
  <c r="E14" i="1"/>
  <c r="E5" i="1"/>
  <c r="E6" i="1"/>
  <c r="E7" i="1"/>
  <c r="E8" i="1"/>
  <c r="E22" i="1"/>
  <c r="E20" i="1"/>
  <c r="E18" i="1"/>
  <c r="E16" i="1"/>
  <c r="E15" i="1"/>
  <c r="E21" i="1"/>
  <c r="E19" i="1"/>
  <c r="F14" i="1" l="1"/>
  <c r="U14" i="1"/>
  <c r="F6" i="1"/>
  <c r="U6" i="1"/>
  <c r="F19" i="1"/>
  <c r="U19" i="1"/>
  <c r="F8" i="1"/>
  <c r="U8" i="1"/>
  <c r="F15" i="1"/>
  <c r="U15" i="1"/>
  <c r="F16" i="1"/>
  <c r="U16" i="1"/>
  <c r="F7" i="1"/>
  <c r="U7" i="1"/>
  <c r="F10" i="1"/>
  <c r="U10" i="1"/>
  <c r="F5" i="1"/>
  <c r="U5" i="1"/>
  <c r="F13" i="1"/>
  <c r="U13" i="1"/>
  <c r="F12" i="1"/>
  <c r="U12" i="1"/>
  <c r="F18" i="1"/>
  <c r="U18" i="1"/>
  <c r="F20" i="1"/>
  <c r="U20" i="1"/>
  <c r="F9" i="1"/>
  <c r="U9" i="1"/>
  <c r="F21" i="1"/>
  <c r="U21" i="1"/>
  <c r="F11" i="1"/>
  <c r="U11" i="1"/>
  <c r="F22" i="1"/>
  <c r="U22" i="1"/>
  <c r="F3" i="1"/>
  <c r="AA4" i="1" s="1"/>
  <c r="F24" i="1"/>
  <c r="U3" i="1" l="1"/>
  <c r="G10" i="1"/>
  <c r="F25" i="1"/>
  <c r="G13" i="1"/>
  <c r="G9" i="1"/>
  <c r="G19" i="1"/>
  <c r="G17" i="1"/>
  <c r="G15" i="1"/>
  <c r="G12" i="1"/>
  <c r="G20" i="1"/>
  <c r="G8" i="1"/>
  <c r="G18" i="1"/>
  <c r="G6" i="1"/>
  <c r="G14" i="1"/>
  <c r="G16" i="1"/>
  <c r="G21" i="1"/>
  <c r="G11" i="1"/>
  <c r="G7" i="1"/>
  <c r="G22" i="1"/>
  <c r="G5" i="1"/>
  <c r="I17" i="1" l="1"/>
  <c r="H17" i="1"/>
  <c r="K17" i="1"/>
  <c r="J17" i="1"/>
  <c r="K19" i="1"/>
  <c r="J19" i="1"/>
  <c r="I19" i="1"/>
  <c r="H19" i="1"/>
  <c r="I11" i="1"/>
  <c r="H11" i="1"/>
  <c r="K11" i="1"/>
  <c r="J11" i="1"/>
  <c r="I9" i="1"/>
  <c r="K9" i="1"/>
  <c r="H9" i="1"/>
  <c r="J9" i="1"/>
  <c r="I21" i="1"/>
  <c r="K21" i="1"/>
  <c r="J21" i="1"/>
  <c r="H21" i="1"/>
  <c r="H16" i="1"/>
  <c r="K16" i="1"/>
  <c r="J16" i="1"/>
  <c r="I16" i="1"/>
  <c r="H10" i="1"/>
  <c r="J10" i="1"/>
  <c r="I10" i="1"/>
  <c r="K10" i="1"/>
  <c r="K7" i="1"/>
  <c r="J7" i="1"/>
  <c r="I7" i="1"/>
  <c r="H7" i="1"/>
  <c r="K22" i="1"/>
  <c r="I22" i="1"/>
  <c r="J22" i="1"/>
  <c r="H22" i="1"/>
  <c r="K13" i="1"/>
  <c r="I13" i="1"/>
  <c r="H13" i="1"/>
  <c r="J13" i="1"/>
  <c r="I14" i="1"/>
  <c r="J14" i="1"/>
  <c r="K14" i="1"/>
  <c r="H14" i="1"/>
  <c r="H6" i="1"/>
  <c r="K6" i="1"/>
  <c r="J6" i="1"/>
  <c r="I6" i="1"/>
  <c r="H18" i="1"/>
  <c r="I18" i="1"/>
  <c r="J18" i="1"/>
  <c r="K18" i="1"/>
  <c r="H8" i="1"/>
  <c r="J8" i="1"/>
  <c r="I8" i="1"/>
  <c r="K8" i="1"/>
  <c r="J20" i="1"/>
  <c r="H20" i="1"/>
  <c r="K20" i="1"/>
  <c r="I20" i="1"/>
  <c r="H12" i="1"/>
  <c r="K12" i="1"/>
  <c r="J12" i="1"/>
  <c r="I12" i="1"/>
  <c r="K5" i="1"/>
  <c r="I5" i="1"/>
  <c r="H5" i="1"/>
  <c r="J5" i="1"/>
  <c r="K15" i="1"/>
  <c r="I15" i="1"/>
  <c r="J15" i="1"/>
  <c r="H15" i="1"/>
  <c r="J24" i="1" l="1"/>
  <c r="I24" i="1"/>
  <c r="H24" i="1"/>
  <c r="K24" i="1"/>
  <c r="J27" i="1" l="1"/>
  <c r="J28" i="1" s="1"/>
  <c r="J25" i="1"/>
  <c r="K27" i="1"/>
  <c r="K28" i="1" s="1"/>
  <c r="K25" i="1"/>
  <c r="H25" i="1"/>
  <c r="H27" i="1"/>
  <c r="H28" i="1" s="1"/>
  <c r="I27" i="1"/>
  <c r="I28" i="1" s="1"/>
  <c r="I25" i="1"/>
  <c r="M6" i="1" l="1"/>
  <c r="M12" i="1"/>
  <c r="M23" i="1"/>
  <c r="M19" i="1"/>
  <c r="M13" i="1"/>
  <c r="M7" i="1"/>
  <c r="M15" i="1"/>
  <c r="M22" i="1"/>
  <c r="M16" i="1"/>
  <c r="M20" i="1"/>
  <c r="M17" i="1"/>
  <c r="M5" i="1"/>
  <c r="M9" i="1"/>
  <c r="M10" i="1"/>
  <c r="M11" i="1"/>
  <c r="M14" i="1"/>
  <c r="M8" i="1"/>
  <c r="M21" i="1"/>
  <c r="M18" i="1"/>
  <c r="O22" i="1"/>
  <c r="O16" i="1"/>
  <c r="O10" i="1"/>
  <c r="O18" i="1"/>
  <c r="O11" i="1"/>
  <c r="O19" i="1"/>
  <c r="O12" i="1"/>
  <c r="O7" i="1"/>
  <c r="O13" i="1"/>
  <c r="O20" i="1"/>
  <c r="O14" i="1"/>
  <c r="O17" i="1"/>
  <c r="O23" i="1"/>
  <c r="O5" i="1"/>
  <c r="O15" i="1"/>
  <c r="O21" i="1"/>
  <c r="O6" i="1"/>
  <c r="O8" i="1"/>
  <c r="O9" i="1"/>
  <c r="N12" i="1"/>
  <c r="N13" i="1"/>
  <c r="N17" i="1"/>
  <c r="N14" i="1"/>
  <c r="N23" i="1"/>
  <c r="N20" i="1"/>
  <c r="N15" i="1"/>
  <c r="N8" i="1"/>
  <c r="N5" i="1"/>
  <c r="N10" i="1"/>
  <c r="N6" i="1"/>
  <c r="N21" i="1"/>
  <c r="N9" i="1"/>
  <c r="N16" i="1"/>
  <c r="N22" i="1"/>
  <c r="N18" i="1"/>
  <c r="N11" i="1"/>
  <c r="N19" i="1"/>
  <c r="N7" i="1"/>
  <c r="G25" i="1"/>
  <c r="P11" i="1"/>
  <c r="P8" i="1"/>
  <c r="P14" i="1"/>
  <c r="P21" i="1"/>
  <c r="P23" i="1"/>
  <c r="P9" i="1"/>
  <c r="P19" i="1"/>
  <c r="P16" i="1"/>
  <c r="P18" i="1"/>
  <c r="P17" i="1"/>
  <c r="P5" i="1"/>
  <c r="P10" i="1"/>
  <c r="P13" i="1"/>
  <c r="P7" i="1"/>
  <c r="P15" i="1"/>
  <c r="P22" i="1"/>
  <c r="P6" i="1"/>
  <c r="P12" i="1"/>
  <c r="P20" i="1"/>
  <c r="R5" i="1" l="1"/>
  <c r="V5" i="1" s="1"/>
  <c r="R16" i="1"/>
  <c r="V16" i="1" s="1"/>
  <c r="R10" i="1"/>
  <c r="V10" i="1" s="1"/>
  <c r="R17" i="1"/>
  <c r="V17" i="1" s="1"/>
  <c r="R6" i="1"/>
  <c r="V6" i="1" s="1"/>
  <c r="R20" i="1"/>
  <c r="V20" i="1" s="1"/>
  <c r="R22" i="1"/>
  <c r="V22" i="1" s="1"/>
  <c r="R18" i="1"/>
  <c r="V18" i="1" s="1"/>
  <c r="R15" i="1"/>
  <c r="V15" i="1" s="1"/>
  <c r="R21" i="1"/>
  <c r="V21" i="1" s="1"/>
  <c r="R7" i="1"/>
  <c r="V7" i="1" s="1"/>
  <c r="R8" i="1"/>
  <c r="V8" i="1" s="1"/>
  <c r="R13" i="1"/>
  <c r="V13" i="1" s="1"/>
  <c r="R9" i="1"/>
  <c r="V9" i="1" s="1"/>
  <c r="R14" i="1"/>
  <c r="R19" i="1"/>
  <c r="V19" i="1" s="1"/>
  <c r="R11" i="1"/>
  <c r="V11" i="1" s="1"/>
  <c r="R12" i="1"/>
  <c r="V12" i="1" s="1"/>
  <c r="R23" i="1" l="1"/>
  <c r="V14" i="1"/>
  <c r="V3" i="1"/>
  <c r="X3" i="1" s="1"/>
</calcChain>
</file>

<file path=xl/sharedStrings.xml><?xml version="1.0" encoding="utf-8"?>
<sst xmlns="http://schemas.openxmlformats.org/spreadsheetml/2006/main" count="60" uniqueCount="25">
  <si>
    <t>dihedral</t>
  </si>
  <si>
    <t>energy</t>
  </si>
  <si>
    <t>opt</t>
  </si>
  <si>
    <t>E-Eavg</t>
  </si>
  <si>
    <t>avg</t>
  </si>
  <si>
    <t>min</t>
  </si>
  <si>
    <t>max</t>
  </si>
  <si>
    <t>m=1</t>
  </si>
  <si>
    <t>radians</t>
  </si>
  <si>
    <t>norm_E-Eavg</t>
  </si>
  <si>
    <t>coeffs--&gt;</t>
  </si>
  <si>
    <t>m=2</t>
  </si>
  <si>
    <t>m=3</t>
  </si>
  <si>
    <t>m=4</t>
  </si>
  <si>
    <t>pred (kJ/mol)</t>
  </si>
  <si>
    <t>sum</t>
  </si>
  <si>
    <t>kJ/mol</t>
  </si>
  <si>
    <t>QM</t>
  </si>
  <si>
    <t>calculate</t>
  </si>
  <si>
    <t>sym_value</t>
  </si>
  <si>
    <t>full coeffs</t>
  </si>
  <si>
    <t>SST</t>
  </si>
  <si>
    <t>SSE</t>
  </si>
  <si>
    <t>R-squared</t>
  </si>
  <si>
    <t>barrier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</si>
</sst>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164" fontId="0" fillId="0" borderId="0" xfId="0" applyNumberFormat="1"/>
    <xf numFmtId="0" fontId="2" fillId="0" borderId="0" xfId="0" applyFont="1"/>
    <xf numFmtId="2" fontId="0" fillId="0" borderId="0" xfId="0" applyNumberFormat="1"/>
    <xf numFmtId="165" fontId="0" fillId="0" borderId="0" xfId="0" applyNumberFormat="1"/>
    <xf numFmtId="164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7" Type="http://schemas.openxmlformats.org/officeDocument/2006/relationships/calcChain" Target="calcChain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8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2800">
                <a:solidFill>
                  <a:schemeClr val="tx1"/>
                </a:solidFill>
              </a:rPr>
              <a:t>(CClFH)</a:t>
            </a:r>
            <a:r>
              <a:rPr lang="en-US" sz="2800" baseline="-25000">
                <a:solidFill>
                  <a:schemeClr val="tx1"/>
                </a:solidFill>
              </a:rPr>
              <a:t>2</a:t>
            </a:r>
          </a:p>
        </c:rich>
      </c:tx>
      <c:layout>
        <c:manualLayout>
          <c:xMode val="edge"/>
          <c:yMode val="edge"/>
          <c:x val="0.47722148211641358"/>
          <c:y val="4.036225850546103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predicted unrelaxed</c:v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(opt_angle_no_relax!$B$23,opt_angle_no_relax!$B$15:$B$22,opt_angle_no_relax!$B$5:$B$14)</c:f>
              <c:numCache>
                <c:formatCode>General</c:formatCode>
                <c:ptCount val="19"/>
                <c:pt idx="0">
                  <c:v>-180</c:v>
                </c:pt>
                <c:pt idx="1">
                  <c:v>-160</c:v>
                </c:pt>
                <c:pt idx="2">
                  <c:v>-140</c:v>
                </c:pt>
                <c:pt idx="3">
                  <c:v>-120</c:v>
                </c:pt>
                <c:pt idx="4">
                  <c:v>-100</c:v>
                </c:pt>
                <c:pt idx="5">
                  <c:v>-80</c:v>
                </c:pt>
                <c:pt idx="6">
                  <c:v>-60</c:v>
                </c:pt>
                <c:pt idx="7">
                  <c:v>-40</c:v>
                </c:pt>
                <c:pt idx="8">
                  <c:v>-20</c:v>
                </c:pt>
                <c:pt idx="9">
                  <c:v>0</c:v>
                </c:pt>
                <c:pt idx="10">
                  <c:v>20</c:v>
                </c:pt>
                <c:pt idx="11">
                  <c:v>40</c:v>
                </c:pt>
                <c:pt idx="12">
                  <c:v>60</c:v>
                </c:pt>
                <c:pt idx="13">
                  <c:v>80</c:v>
                </c:pt>
                <c:pt idx="14">
                  <c:v>100</c:v>
                </c:pt>
                <c:pt idx="15">
                  <c:v>120</c:v>
                </c:pt>
                <c:pt idx="16">
                  <c:v>140</c:v>
                </c:pt>
                <c:pt idx="17">
                  <c:v>160</c:v>
                </c:pt>
                <c:pt idx="18">
                  <c:v>180</c:v>
                </c:pt>
              </c:numCache>
            </c:numRef>
          </c:xVal>
          <c:yVal>
            <c:numRef>
              <c:f>(opt_angle_no_relax!$R$23,opt_angle_no_relax!$R$15:$R$22,opt_angle_no_relax!$R$5:$R$14)</c:f>
              <c:numCache>
                <c:formatCode>General</c:formatCode>
                <c:ptCount val="19"/>
                <c:pt idx="0">
                  <c:v>-6.1301201868437019E-7</c:v>
                </c:pt>
                <c:pt idx="1">
                  <c:v>6.6522721296923564</c:v>
                </c:pt>
                <c:pt idx="2">
                  <c:v>20.546062882708096</c:v>
                </c:pt>
                <c:pt idx="3">
                  <c:v>28.370572485711417</c:v>
                </c:pt>
                <c:pt idx="4">
                  <c:v>21.840578820497363</c:v>
                </c:pt>
                <c:pt idx="5">
                  <c:v>8.1654166205574086</c:v>
                </c:pt>
                <c:pt idx="6">
                  <c:v>5.9995656759159139</c:v>
                </c:pt>
                <c:pt idx="7">
                  <c:v>26.187591854840448</c:v>
                </c:pt>
                <c:pt idx="8">
                  <c:v>56.630938634425547</c:v>
                </c:pt>
                <c:pt idx="9">
                  <c:v>71.282585232478581</c:v>
                </c:pt>
                <c:pt idx="10">
                  <c:v>56.630938634425547</c:v>
                </c:pt>
                <c:pt idx="11">
                  <c:v>26.187591854840448</c:v>
                </c:pt>
                <c:pt idx="12">
                  <c:v>5.9995656759159139</c:v>
                </c:pt>
                <c:pt idx="13">
                  <c:v>8.1654166205574086</c:v>
                </c:pt>
                <c:pt idx="14">
                  <c:v>21.840578820497363</c:v>
                </c:pt>
                <c:pt idx="15">
                  <c:v>28.370572485711417</c:v>
                </c:pt>
                <c:pt idx="16">
                  <c:v>20.546062882708096</c:v>
                </c:pt>
                <c:pt idx="17">
                  <c:v>6.6522721296923564</c:v>
                </c:pt>
                <c:pt idx="18">
                  <c:v>-6.1301201868437019E-7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2E5-48E6-B6A8-FE68D503B17F}"/>
            </c:ext>
          </c:extLst>
        </c:ser>
        <c:ser>
          <c:idx val="1"/>
          <c:order val="1"/>
          <c:tx>
            <c:v>QM unrelaxed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noFill/>
              </a:ln>
              <a:effectLst/>
            </c:spPr>
          </c:marker>
          <c:xVal>
            <c:numRef>
              <c:f>(opt_angle_no_relax!$B$23,opt_angle_no_relax!$B$15:$B$22,opt_angle_no_relax!$B$5:$B$14)</c:f>
              <c:numCache>
                <c:formatCode>General</c:formatCode>
                <c:ptCount val="19"/>
                <c:pt idx="0">
                  <c:v>-180</c:v>
                </c:pt>
                <c:pt idx="1">
                  <c:v>-160</c:v>
                </c:pt>
                <c:pt idx="2">
                  <c:v>-140</c:v>
                </c:pt>
                <c:pt idx="3">
                  <c:v>-120</c:v>
                </c:pt>
                <c:pt idx="4">
                  <c:v>-100</c:v>
                </c:pt>
                <c:pt idx="5">
                  <c:v>-80</c:v>
                </c:pt>
                <c:pt idx="6">
                  <c:v>-60</c:v>
                </c:pt>
                <c:pt idx="7">
                  <c:v>-40</c:v>
                </c:pt>
                <c:pt idx="8">
                  <c:v>-20</c:v>
                </c:pt>
                <c:pt idx="9">
                  <c:v>0</c:v>
                </c:pt>
                <c:pt idx="10">
                  <c:v>20</c:v>
                </c:pt>
                <c:pt idx="11">
                  <c:v>40</c:v>
                </c:pt>
                <c:pt idx="12">
                  <c:v>60</c:v>
                </c:pt>
                <c:pt idx="13">
                  <c:v>80</c:v>
                </c:pt>
                <c:pt idx="14">
                  <c:v>100</c:v>
                </c:pt>
                <c:pt idx="15">
                  <c:v>120</c:v>
                </c:pt>
                <c:pt idx="16">
                  <c:v>140</c:v>
                </c:pt>
                <c:pt idx="17">
                  <c:v>160</c:v>
                </c:pt>
                <c:pt idx="18">
                  <c:v>180</c:v>
                </c:pt>
              </c:numCache>
            </c:numRef>
          </c:xVal>
          <c:yVal>
            <c:numRef>
              <c:f>(opt_angle_no_relax!$T$23,opt_angle_no_relax!$T$15:$T$22,opt_angle_no_relax!$T$5:$T$14)</c:f>
              <c:numCache>
                <c:formatCode>General</c:formatCode>
                <c:ptCount val="19"/>
                <c:pt idx="0">
                  <c:v>0</c:v>
                </c:pt>
                <c:pt idx="1">
                  <c:v>7.0162549250305801</c:v>
                </c:pt>
                <c:pt idx="2">
                  <c:v>21.529441315537724</c:v>
                </c:pt>
                <c:pt idx="3">
                  <c:v>28.804596795293719</c:v>
                </c:pt>
                <c:pt idx="4">
                  <c:v>21.43206151999857</c:v>
                </c:pt>
                <c:pt idx="5">
                  <c:v>8.9508283454831599</c:v>
                </c:pt>
                <c:pt idx="6">
                  <c:v>7.3243836053032965</c:v>
                </c:pt>
                <c:pt idx="7">
                  <c:v>25.627689285512247</c:v>
                </c:pt>
                <c:pt idx="8">
                  <c:v>56.566134950546484</c:v>
                </c:pt>
                <c:pt idx="9">
                  <c:v>73.146850080119862</c:v>
                </c:pt>
                <c:pt idx="10">
                  <c:v>56.561671599990632</c:v>
                </c:pt>
                <c:pt idx="11">
                  <c:v>25.623173425511709</c:v>
                </c:pt>
                <c:pt idx="12">
                  <c:v>7.3222569501086809</c:v>
                </c:pt>
                <c:pt idx="13">
                  <c:v>8.9501982249832963</c:v>
                </c:pt>
                <c:pt idx="14">
                  <c:v>21.430486220539819</c:v>
                </c:pt>
                <c:pt idx="15">
                  <c:v>28.800553525071109</c:v>
                </c:pt>
                <c:pt idx="16">
                  <c:v>21.524295335037323</c:v>
                </c:pt>
                <c:pt idx="17">
                  <c:v>7.0128680300301767</c:v>
                </c:pt>
                <c:pt idx="18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2E5-48E6-B6A8-FE68D503B17F}"/>
            </c:ext>
          </c:extLst>
        </c:ser>
        <c:ser>
          <c:idx val="2"/>
          <c:order val="2"/>
          <c:tx>
            <c:v>predicted relaxed</c:v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(opt_angle_relax!$B$23,opt_angle_relax!$B$15:$B$22,opt_angle_relax!$B$5:$B$14)</c:f>
              <c:numCache>
                <c:formatCode>General</c:formatCode>
                <c:ptCount val="19"/>
                <c:pt idx="0">
                  <c:v>-180</c:v>
                </c:pt>
                <c:pt idx="1">
                  <c:v>-160</c:v>
                </c:pt>
                <c:pt idx="2">
                  <c:v>-140</c:v>
                </c:pt>
                <c:pt idx="3">
                  <c:v>-120</c:v>
                </c:pt>
                <c:pt idx="4">
                  <c:v>-100</c:v>
                </c:pt>
                <c:pt idx="5">
                  <c:v>-80</c:v>
                </c:pt>
                <c:pt idx="6">
                  <c:v>-60</c:v>
                </c:pt>
                <c:pt idx="7">
                  <c:v>-40</c:v>
                </c:pt>
                <c:pt idx="8">
                  <c:v>-20</c:v>
                </c:pt>
                <c:pt idx="9">
                  <c:v>0</c:v>
                </c:pt>
                <c:pt idx="10">
                  <c:v>20</c:v>
                </c:pt>
                <c:pt idx="11">
                  <c:v>40</c:v>
                </c:pt>
                <c:pt idx="12">
                  <c:v>60</c:v>
                </c:pt>
                <c:pt idx="13">
                  <c:v>80</c:v>
                </c:pt>
                <c:pt idx="14">
                  <c:v>100</c:v>
                </c:pt>
                <c:pt idx="15">
                  <c:v>120</c:v>
                </c:pt>
                <c:pt idx="16">
                  <c:v>140</c:v>
                </c:pt>
                <c:pt idx="17">
                  <c:v>160</c:v>
                </c:pt>
                <c:pt idx="18">
                  <c:v>180</c:v>
                </c:pt>
              </c:numCache>
            </c:numRef>
          </c:xVal>
          <c:yVal>
            <c:numRef>
              <c:f>(opt_angle_relax!$R$23,opt_angle_relax!$R$15:$R$22,opt_angle_relax!$R$5:$R$14)</c:f>
              <c:numCache>
                <c:formatCode>General</c:formatCode>
                <c:ptCount val="19"/>
                <c:pt idx="0">
                  <c:v>-4.1528732053797088E-7</c:v>
                </c:pt>
                <c:pt idx="1">
                  <c:v>4.519752330935277</c:v>
                </c:pt>
                <c:pt idx="2">
                  <c:v>14.099895316294024</c:v>
                </c:pt>
                <c:pt idx="3">
                  <c:v>19.905909403612647</c:v>
                </c:pt>
                <c:pt idx="4">
                  <c:v>16.104114229152792</c:v>
                </c:pt>
                <c:pt idx="5">
                  <c:v>6.7188605349441266</c:v>
                </c:pt>
                <c:pt idx="6">
                  <c:v>3.4125907180334303</c:v>
                </c:pt>
                <c:pt idx="7">
                  <c:v>13.548733868149577</c:v>
                </c:pt>
                <c:pt idx="8">
                  <c:v>30.507668615081052</c:v>
                </c:pt>
                <c:pt idx="9">
                  <c:v>38.862025066552015</c:v>
                </c:pt>
                <c:pt idx="10">
                  <c:v>30.507668615081052</c:v>
                </c:pt>
                <c:pt idx="11">
                  <c:v>13.548733868149577</c:v>
                </c:pt>
                <c:pt idx="12">
                  <c:v>3.4125907180334303</c:v>
                </c:pt>
                <c:pt idx="13">
                  <c:v>6.7188605349441266</c:v>
                </c:pt>
                <c:pt idx="14">
                  <c:v>16.104114229152792</c:v>
                </c:pt>
                <c:pt idx="15">
                  <c:v>19.905909403612647</c:v>
                </c:pt>
                <c:pt idx="16">
                  <c:v>14.099895316294024</c:v>
                </c:pt>
                <c:pt idx="17">
                  <c:v>4.519752330935277</c:v>
                </c:pt>
                <c:pt idx="18">
                  <c:v>-4.1528732053797088E-7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306-4AC6-8216-66F68FA3D61E}"/>
            </c:ext>
          </c:extLst>
        </c:ser>
        <c:ser>
          <c:idx val="3"/>
          <c:order val="3"/>
          <c:tx>
            <c:v>QM relaxed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noFill/>
              </a:ln>
              <a:effectLst/>
            </c:spPr>
          </c:marker>
          <c:xVal>
            <c:numRef>
              <c:f>(opt_angle_relax!$B$23,opt_angle_relax!$B$15:$B$22,opt_angle_relax!$B$5:$B$14)</c:f>
              <c:numCache>
                <c:formatCode>General</c:formatCode>
                <c:ptCount val="19"/>
                <c:pt idx="0">
                  <c:v>-180</c:v>
                </c:pt>
                <c:pt idx="1">
                  <c:v>-160</c:v>
                </c:pt>
                <c:pt idx="2">
                  <c:v>-140</c:v>
                </c:pt>
                <c:pt idx="3">
                  <c:v>-120</c:v>
                </c:pt>
                <c:pt idx="4">
                  <c:v>-100</c:v>
                </c:pt>
                <c:pt idx="5">
                  <c:v>-80</c:v>
                </c:pt>
                <c:pt idx="6">
                  <c:v>-60</c:v>
                </c:pt>
                <c:pt idx="7">
                  <c:v>-40</c:v>
                </c:pt>
                <c:pt idx="8">
                  <c:v>-20</c:v>
                </c:pt>
                <c:pt idx="9">
                  <c:v>0</c:v>
                </c:pt>
                <c:pt idx="10">
                  <c:v>20</c:v>
                </c:pt>
                <c:pt idx="11">
                  <c:v>40</c:v>
                </c:pt>
                <c:pt idx="12">
                  <c:v>60</c:v>
                </c:pt>
                <c:pt idx="13">
                  <c:v>80</c:v>
                </c:pt>
                <c:pt idx="14">
                  <c:v>100</c:v>
                </c:pt>
                <c:pt idx="15">
                  <c:v>120</c:v>
                </c:pt>
                <c:pt idx="16">
                  <c:v>140</c:v>
                </c:pt>
                <c:pt idx="17">
                  <c:v>160</c:v>
                </c:pt>
                <c:pt idx="18">
                  <c:v>180</c:v>
                </c:pt>
              </c:numCache>
            </c:numRef>
          </c:xVal>
          <c:yVal>
            <c:numRef>
              <c:f>(opt_angle_relax!$T$23,opt_angle_relax!$T$15:$T$22,opt_angle_relax!$T$5:$T$14)</c:f>
              <c:numCache>
                <c:formatCode>General</c:formatCode>
                <c:ptCount val="19"/>
                <c:pt idx="0">
                  <c:v>0</c:v>
                </c:pt>
                <c:pt idx="1">
                  <c:v>3.8018027653140507</c:v>
                </c:pt>
                <c:pt idx="2">
                  <c:v>13.325567720407321</c:v>
                </c:pt>
                <c:pt idx="3">
                  <c:v>20.193823210336973</c:v>
                </c:pt>
                <c:pt idx="4">
                  <c:v>15.08706818027008</c:v>
                </c:pt>
                <c:pt idx="5">
                  <c:v>5.9224716253445422</c:v>
                </c:pt>
                <c:pt idx="6">
                  <c:v>3.8957169004918342</c:v>
                </c:pt>
                <c:pt idx="7">
                  <c:v>12.645536965312431</c:v>
                </c:pt>
                <c:pt idx="8">
                  <c:v>29.156755109974711</c:v>
                </c:pt>
                <c:pt idx="9">
                  <c:v>39.977202005125264</c:v>
                </c:pt>
                <c:pt idx="10">
                  <c:v>29.156755109974711</c:v>
                </c:pt>
                <c:pt idx="11">
                  <c:v>12.645536965312431</c:v>
                </c:pt>
                <c:pt idx="12">
                  <c:v>3.8957169004918342</c:v>
                </c:pt>
                <c:pt idx="13">
                  <c:v>5.9224716253445422</c:v>
                </c:pt>
                <c:pt idx="14">
                  <c:v>15.08706818027008</c:v>
                </c:pt>
                <c:pt idx="15">
                  <c:v>20.193823210336973</c:v>
                </c:pt>
                <c:pt idx="16">
                  <c:v>13.325567720407321</c:v>
                </c:pt>
                <c:pt idx="17">
                  <c:v>3.8018027653140507</c:v>
                </c:pt>
                <c:pt idx="18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306-4AC6-8216-66F68FA3D6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4231375"/>
        <c:axId val="1362826608"/>
      </c:scatterChart>
      <c:valAx>
        <c:axId val="1164231375"/>
        <c:scaling>
          <c:orientation val="minMax"/>
          <c:max val="180"/>
          <c:min val="-18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HCCH dihedral</a:t>
                </a:r>
                <a:r>
                  <a:rPr lang="en-US" sz="2800" baseline="0">
                    <a:solidFill>
                      <a:schemeClr val="tx1"/>
                    </a:solidFill>
                  </a:rPr>
                  <a:t> angle (°)</a:t>
                </a:r>
                <a:endParaRPr lang="en-US" sz="2800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62826608"/>
        <c:crosses val="autoZero"/>
        <c:crossBetween val="midCat"/>
        <c:majorUnit val="90"/>
      </c:valAx>
      <c:valAx>
        <c:axId val="1362826608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energy (kJ/mol)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64231375"/>
        <c:crossesAt val="-180"/>
        <c:crossBetween val="midCat"/>
      </c:valAx>
      <c:spPr>
        <a:noFill/>
        <a:ln w="2540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60428174-4EE5-4350-BCB4-298027CA04C2}">
  <sheetPr/>
  <sheetViews>
    <sheetView tabSelected="1" zoomScale="11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4408" cy="62915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CDA3328-6DA2-7E59-C597-A46F305B2BA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0.15224</cdr:x>
      <cdr:y>0.14333</cdr:y>
    </cdr:from>
    <cdr:to>
      <cdr:x>0.68821</cdr:x>
      <cdr:y>0.34675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41A4117F-B74E-23E2-FA66-3B8D3BB56B3D}"/>
            </a:ext>
          </a:extLst>
        </cdr:cNvPr>
        <cdr:cNvSpPr txBox="1"/>
      </cdr:nvSpPr>
      <cdr:spPr>
        <a:xfrm xmlns:a="http://schemas.openxmlformats.org/drawingml/2006/main">
          <a:off x="1320800" y="903037"/>
          <a:ext cx="4649932" cy="12815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2400">
              <a:solidFill>
                <a:schemeClr val="accent1"/>
              </a:solidFill>
            </a:rPr>
            <a:t>relaxed</a:t>
          </a:r>
          <a:r>
            <a:rPr lang="en-US" sz="2400" baseline="0">
              <a:solidFill>
                <a:schemeClr val="accent1"/>
              </a:solidFill>
            </a:rPr>
            <a:t> scan: </a:t>
          </a:r>
        </a:p>
        <a:p xmlns:a="http://schemas.openxmlformats.org/drawingml/2006/main">
          <a:r>
            <a:rPr lang="en-US" sz="2400" baseline="0">
              <a:solidFill>
                <a:schemeClr val="accent1"/>
              </a:solidFill>
            </a:rPr>
            <a:t>    </a:t>
          </a:r>
          <a:r>
            <a:rPr lang="en-US" sz="2400">
              <a:solidFill>
                <a:schemeClr val="accent1"/>
              </a:solidFill>
            </a:rPr>
            <a:t>R-squared = 0.9935</a:t>
          </a:r>
        </a:p>
        <a:p xmlns:a="http://schemas.openxmlformats.org/drawingml/2006/main">
          <a:r>
            <a:rPr lang="en-US" sz="2400">
              <a:solidFill>
                <a:schemeClr val="accent2"/>
              </a:solidFill>
            </a:rPr>
            <a:t>rigid scan: </a:t>
          </a:r>
        </a:p>
        <a:p xmlns:a="http://schemas.openxmlformats.org/drawingml/2006/main">
          <a:r>
            <a:rPr lang="en-US" sz="2400" baseline="0">
              <a:solidFill>
                <a:schemeClr val="accent2"/>
              </a:solidFill>
            </a:rPr>
            <a:t>    </a:t>
          </a:r>
          <a:r>
            <a:rPr lang="en-US" sz="2400">
              <a:solidFill>
                <a:schemeClr val="accent2"/>
              </a:solidFill>
            </a:rPr>
            <a:t>R-squared = 0.9983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002C6B-5494-4314-AD18-C01D8D336E2D}">
  <dimension ref="A1:AA28"/>
  <sheetViews>
    <sheetView workbookViewId="0"/>
  </sheetViews>
  <sheetFormatPr defaultRowHeight="15" x14ac:dyDescent="0.25"/>
  <cols>
    <col min="4" max="4" width="11.85546875" customWidth="1"/>
    <col min="5" max="5" width="13.42578125" customWidth="1"/>
    <col min="6" max="6" width="12" bestFit="1" customWidth="1"/>
    <col min="7" max="7" width="18" customWidth="1"/>
    <col min="24" max="24" width="10.42578125" customWidth="1"/>
  </cols>
  <sheetData>
    <row r="1" spans="1:27" ht="18.75" x14ac:dyDescent="0.3">
      <c r="A1" s="3">
        <v>2625.5</v>
      </c>
      <c r="R1" t="s">
        <v>14</v>
      </c>
      <c r="T1" t="s">
        <v>17</v>
      </c>
    </row>
    <row r="2" spans="1:27" x14ac:dyDescent="0.25">
      <c r="B2" t="s">
        <v>0</v>
      </c>
      <c r="C2" t="s">
        <v>8</v>
      </c>
      <c r="D2" t="s">
        <v>1</v>
      </c>
      <c r="E2" t="s">
        <v>3</v>
      </c>
      <c r="G2" t="s">
        <v>9</v>
      </c>
      <c r="H2" t="s">
        <v>7</v>
      </c>
      <c r="I2" t="s">
        <v>11</v>
      </c>
      <c r="J2" t="s">
        <v>12</v>
      </c>
      <c r="K2" t="s">
        <v>13</v>
      </c>
      <c r="M2" t="s">
        <v>7</v>
      </c>
      <c r="N2" t="s">
        <v>11</v>
      </c>
      <c r="O2" t="s">
        <v>12</v>
      </c>
      <c r="P2" t="s">
        <v>13</v>
      </c>
      <c r="R2" t="s">
        <v>15</v>
      </c>
      <c r="T2" t="s">
        <v>16</v>
      </c>
      <c r="U2" s="1" t="s">
        <v>21</v>
      </c>
      <c r="V2" s="1" t="s">
        <v>22</v>
      </c>
      <c r="X2" s="1" t="s">
        <v>23</v>
      </c>
      <c r="AA2" s="1" t="s">
        <v>18</v>
      </c>
    </row>
    <row r="3" spans="1:27" x14ac:dyDescent="0.25">
      <c r="F3">
        <f>SUM(F4:F22)</f>
        <v>2.837206696379125E-4</v>
      </c>
      <c r="U3">
        <f>SUM(U5:U22)</f>
        <v>1955.7575769117075</v>
      </c>
      <c r="V3">
        <f>SUM(V5:V22)</f>
        <v>12.724999558848131</v>
      </c>
      <c r="X3" s="6">
        <f>1-V3/U3</f>
        <v>0.99349357010854999</v>
      </c>
      <c r="AA3" s="1" t="s">
        <v>19</v>
      </c>
    </row>
    <row r="4" spans="1:27" x14ac:dyDescent="0.25">
      <c r="A4" t="s">
        <v>2</v>
      </c>
      <c r="B4">
        <v>-179.99417</v>
      </c>
      <c r="C4">
        <f>B4*PI()/180</f>
        <v>-3.1414909008944019</v>
      </c>
      <c r="D4">
        <v>-1196.1477937300001</v>
      </c>
      <c r="E4">
        <f>D4-$D$24</f>
        <v>-5.2484116667983471E-3</v>
      </c>
      <c r="Z4">
        <f>SUM(Z5:Z22)</f>
        <v>0</v>
      </c>
      <c r="AA4" s="5">
        <f>0.5*SQRT(Z4/F3)</f>
        <v>0</v>
      </c>
    </row>
    <row r="5" spans="1:27" x14ac:dyDescent="0.25">
      <c r="B5">
        <v>0</v>
      </c>
      <c r="C5">
        <f t="shared" ref="C5:C23" si="0">B5*PI()/180</f>
        <v>0</v>
      </c>
      <c r="D5">
        <v>-1196.1325672200001</v>
      </c>
      <c r="E5">
        <f t="shared" ref="E5:E22" si="1">D5-$D$24</f>
        <v>9.9780983332493633E-3</v>
      </c>
      <c r="F5">
        <f t="shared" ref="F5:F22" si="2">E5^2</f>
        <v>9.9562446347993728E-5</v>
      </c>
      <c r="G5">
        <f t="shared" ref="G5:G22" si="3">E5/$F$24</f>
        <v>2.5132665090202129</v>
      </c>
      <c r="H5">
        <f>COS(C5)*SQRT(2)*G5</f>
        <v>3.554295582914468</v>
      </c>
      <c r="I5">
        <f>SQRT(2)*COS(2*C5)*G5</f>
        <v>3.554295582914468</v>
      </c>
      <c r="J5">
        <f>COS(3*C5)*SQRT(2)*G5</f>
        <v>3.554295582914468</v>
      </c>
      <c r="K5">
        <f>COS(4*C5)*SQRT(2)*G5</f>
        <v>3.554295582914468</v>
      </c>
      <c r="M5">
        <f>H$28*(COS($C5)-COS($C$4))</f>
        <v>10.544709480712138</v>
      </c>
      <c r="N5">
        <f>I$28*(COS(2*$C5)-COS(2*$C$4))</f>
        <v>5.8435059621190454E-8</v>
      </c>
      <c r="O5">
        <f>J$28*(COS(3*$C5)-COS(3*$C$4))</f>
        <v>16.934891846338012</v>
      </c>
      <c r="P5">
        <f>K$28*(COS(4*$C5)-COS(4*$C$4))</f>
        <v>6.9715307400744378E-8</v>
      </c>
      <c r="R5">
        <f t="shared" ref="R5:R22" si="4">SUM(M5:P5)*SQRT(2)</f>
        <v>38.862025066552015</v>
      </c>
      <c r="T5">
        <f t="shared" ref="T5:T22" si="5">(D5-$D$25)*$A$1</f>
        <v>39.977202005125264</v>
      </c>
      <c r="U5">
        <f>(E5*$A$1)^2</f>
        <v>686.30885817891931</v>
      </c>
      <c r="V5">
        <f>(R5-T5)^2</f>
        <v>1.2436196043256047</v>
      </c>
      <c r="Z5">
        <f>(D5-D5)^2</f>
        <v>0</v>
      </c>
    </row>
    <row r="6" spans="1:27" x14ac:dyDescent="0.25">
      <c r="B6">
        <v>20</v>
      </c>
      <c r="C6">
        <f t="shared" si="0"/>
        <v>0.3490658503988659</v>
      </c>
      <c r="D6">
        <v>-1196.1366885100001</v>
      </c>
      <c r="E6">
        <f t="shared" si="1"/>
        <v>5.8568083331920207E-3</v>
      </c>
      <c r="F6">
        <f t="shared" si="2"/>
        <v>3.4302203851747492E-5</v>
      </c>
      <c r="G6">
        <f t="shared" si="3"/>
        <v>1.4752029637263087</v>
      </c>
      <c r="H6">
        <f t="shared" ref="H6:H22" si="6">COS(C6)*SQRT(2)*G6</f>
        <v>1.9604356457294392</v>
      </c>
      <c r="I6">
        <f t="shared" ref="I6:I22" si="7">SQRT(2)*COS(2*C6)*G6</f>
        <v>1.5981617810804913</v>
      </c>
      <c r="J6">
        <f t="shared" ref="J6:J22" si="8">COS(3*C6)*SQRT(2)*G6</f>
        <v>1.0431260192773655</v>
      </c>
      <c r="K6">
        <f t="shared" ref="K6:K22" si="9">COS(4*C6)*SQRT(2)*G6</f>
        <v>0.36227386464894767</v>
      </c>
      <c r="M6">
        <f t="shared" ref="M6:M23" si="10">H$28*(COS($C6)-COS($C$4))</f>
        <v>10.226747583211257</v>
      </c>
      <c r="N6">
        <f t="shared" ref="N6:N23" si="11">I$28*(COS(2*$C6)-COS(2*$C$4))</f>
        <v>-0.66021438059252968</v>
      </c>
      <c r="O6">
        <f t="shared" ref="O6:O23" si="12">J$28*(COS(3*$C6)-COS(3*$C$4))</f>
        <v>12.701168786126287</v>
      </c>
      <c r="P6">
        <f t="shared" ref="P6:P23" si="13">K$28*(COS(4*$C6)-COS(4*$C$4))</f>
        <v>-0.69552263282919602</v>
      </c>
      <c r="R6">
        <f t="shared" si="4"/>
        <v>30.507668615081052</v>
      </c>
      <c r="T6">
        <f t="shared" si="5"/>
        <v>29.156755109974711</v>
      </c>
      <c r="U6">
        <f t="shared" ref="U6:U22" si="14">(E6*$A$1)^2</f>
        <v>236.45367527660937</v>
      </c>
      <c r="V6">
        <f t="shared" ref="V6:V22" si="15">(R6-T6)^2</f>
        <v>1.8249672982787</v>
      </c>
      <c r="Z6">
        <f>(D6-D22)^2</f>
        <v>0</v>
      </c>
    </row>
    <row r="7" spans="1:27" x14ac:dyDescent="0.25">
      <c r="B7">
        <v>40</v>
      </c>
      <c r="C7">
        <f t="shared" si="0"/>
        <v>0.69813170079773179</v>
      </c>
      <c r="D7">
        <v>-1196.1429773</v>
      </c>
      <c r="E7">
        <f t="shared" si="1"/>
        <v>-4.3198166667934856E-4</v>
      </c>
      <c r="F7">
        <f t="shared" si="2"/>
        <v>1.866081603470678E-7</v>
      </c>
      <c r="G7">
        <f t="shared" si="3"/>
        <v>-0.10880681058816412</v>
      </c>
      <c r="H7">
        <f t="shared" si="6"/>
        <v>-0.11787590621701709</v>
      </c>
      <c r="I7">
        <f t="shared" si="7"/>
        <v>-2.6720298657977322E-2</v>
      </c>
      <c r="J7">
        <f t="shared" si="8"/>
        <v>7.6938033606171061E-2</v>
      </c>
      <c r="K7">
        <f t="shared" si="9"/>
        <v>0.14459620487499439</v>
      </c>
      <c r="M7">
        <f t="shared" si="10"/>
        <v>9.3112127881650508</v>
      </c>
      <c r="N7">
        <f t="shared" si="11"/>
        <v>-2.3319360241881149</v>
      </c>
      <c r="O7">
        <f t="shared" si="12"/>
        <v>4.2337226657028353</v>
      </c>
      <c r="P7">
        <f t="shared" si="13"/>
        <v>-1.6325978350193626</v>
      </c>
      <c r="R7">
        <f t="shared" si="4"/>
        <v>13.548733868149577</v>
      </c>
      <c r="T7">
        <f t="shared" si="5"/>
        <v>12.645536965312431</v>
      </c>
      <c r="U7">
        <f t="shared" si="14"/>
        <v>1.2863367479644652</v>
      </c>
      <c r="V7">
        <f t="shared" si="15"/>
        <v>0.81576464529461423</v>
      </c>
      <c r="Z7">
        <f>(D7-D21)^2</f>
        <v>0</v>
      </c>
    </row>
    <row r="8" spans="1:27" x14ac:dyDescent="0.25">
      <c r="B8">
        <v>60</v>
      </c>
      <c r="C8">
        <f t="shared" si="0"/>
        <v>1.0471975511965976</v>
      </c>
      <c r="D8">
        <v>-1196.1463099299999</v>
      </c>
      <c r="E8">
        <f t="shared" si="1"/>
        <v>-3.7646116666110174E-3</v>
      </c>
      <c r="F8">
        <f t="shared" si="2"/>
        <v>1.4172301000383783E-5</v>
      </c>
      <c r="G8">
        <f t="shared" si="3"/>
        <v>-0.9482240107448523</v>
      </c>
      <c r="H8">
        <f t="shared" si="6"/>
        <v>-0.67049562808159091</v>
      </c>
      <c r="I8">
        <f t="shared" si="7"/>
        <v>0.67049562808159047</v>
      </c>
      <c r="J8">
        <f t="shared" si="8"/>
        <v>1.3409912561631816</v>
      </c>
      <c r="K8">
        <f t="shared" si="9"/>
        <v>0.67049562808159147</v>
      </c>
      <c r="M8">
        <f t="shared" si="10"/>
        <v>7.9085321037106153</v>
      </c>
      <c r="N8">
        <f t="shared" si="11"/>
        <v>-4.2329477361967704</v>
      </c>
      <c r="O8">
        <f t="shared" si="12"/>
        <v>-3.9450889221682652E-7</v>
      </c>
      <c r="P8">
        <f t="shared" si="13"/>
        <v>-1.262517934869245</v>
      </c>
      <c r="R8">
        <f t="shared" si="4"/>
        <v>3.4125907180334303</v>
      </c>
      <c r="T8">
        <f t="shared" si="5"/>
        <v>3.8957169004918342</v>
      </c>
      <c r="U8">
        <f t="shared" si="14"/>
        <v>97.693217413970757</v>
      </c>
      <c r="V8">
        <f t="shared" si="15"/>
        <v>0.23341090817683097</v>
      </c>
      <c r="Z8">
        <f>(D8-D20)^2</f>
        <v>0</v>
      </c>
    </row>
    <row r="9" spans="1:27" x14ac:dyDescent="0.25">
      <c r="B9">
        <v>80</v>
      </c>
      <c r="C9">
        <f t="shared" si="0"/>
        <v>1.3962634015954636</v>
      </c>
      <c r="D9">
        <v>-1196.14553798</v>
      </c>
      <c r="E9">
        <f t="shared" si="1"/>
        <v>-2.992661666667118E-3</v>
      </c>
      <c r="F9">
        <f t="shared" si="2"/>
        <v>8.9560238511388123E-6</v>
      </c>
      <c r="G9">
        <f t="shared" si="3"/>
        <v>-0.75378655215294443</v>
      </c>
      <c r="H9">
        <f t="shared" si="6"/>
        <v>-0.18511159080040743</v>
      </c>
      <c r="I9">
        <f t="shared" si="7"/>
        <v>1.0017265843741139</v>
      </c>
      <c r="J9">
        <f t="shared" si="8"/>
        <v>0.5330075825945747</v>
      </c>
      <c r="K9">
        <f t="shared" si="9"/>
        <v>-0.81661499357370637</v>
      </c>
      <c r="M9">
        <f t="shared" si="10"/>
        <v>6.1878895217552978</v>
      </c>
      <c r="N9">
        <f t="shared" si="11"/>
        <v>-5.4737450091778381</v>
      </c>
      <c r="O9">
        <f t="shared" si="12"/>
        <v>4.23372266570283</v>
      </c>
      <c r="P9">
        <f t="shared" si="13"/>
        <v>-0.19691533217462312</v>
      </c>
      <c r="R9">
        <f t="shared" si="4"/>
        <v>6.7188605349441266</v>
      </c>
      <c r="T9">
        <f t="shared" si="5"/>
        <v>5.9224716253445422</v>
      </c>
      <c r="U9">
        <f t="shared" si="14"/>
        <v>61.736113650868582</v>
      </c>
      <c r="V9">
        <f t="shared" si="15"/>
        <v>0.63423529533321499</v>
      </c>
      <c r="Z9">
        <f>(D9-D19)^2</f>
        <v>0</v>
      </c>
    </row>
    <row r="10" spans="1:27" x14ac:dyDescent="0.25">
      <c r="B10">
        <v>100</v>
      </c>
      <c r="C10">
        <f t="shared" si="0"/>
        <v>1.7453292519943295</v>
      </c>
      <c r="D10">
        <v>-1196.14204737</v>
      </c>
      <c r="E10">
        <f t="shared" si="1"/>
        <v>4.9794833330452093E-4</v>
      </c>
      <c r="F10">
        <f t="shared" si="2"/>
        <v>2.4795254264075025E-7</v>
      </c>
      <c r="G10">
        <f t="shared" si="3"/>
        <v>0.12542238285490456</v>
      </c>
      <c r="H10">
        <f t="shared" si="6"/>
        <v>-3.0800677918618957E-2</v>
      </c>
      <c r="I10">
        <f t="shared" si="7"/>
        <v>-0.1666770716756083</v>
      </c>
      <c r="J10">
        <f t="shared" si="8"/>
        <v>8.8687017429278411E-2</v>
      </c>
      <c r="K10">
        <f t="shared" si="9"/>
        <v>0.13587639375698934</v>
      </c>
      <c r="M10">
        <f t="shared" si="10"/>
        <v>4.3568199316628853</v>
      </c>
      <c r="N10">
        <f t="shared" si="11"/>
        <v>-5.473745009177839</v>
      </c>
      <c r="O10">
        <f t="shared" si="12"/>
        <v>12.701168786126287</v>
      </c>
      <c r="P10">
        <f t="shared" si="13"/>
        <v>-0.19691533217462284</v>
      </c>
      <c r="R10">
        <f t="shared" si="4"/>
        <v>16.104114229152792</v>
      </c>
      <c r="T10">
        <f t="shared" si="5"/>
        <v>15.08706818027008</v>
      </c>
      <c r="U10">
        <f t="shared" si="14"/>
        <v>1.7091989265464875</v>
      </c>
      <c r="V10">
        <f t="shared" si="15"/>
        <v>1.0343826655479353</v>
      </c>
      <c r="Z10">
        <f>(D10-D18)^2</f>
        <v>0</v>
      </c>
    </row>
    <row r="11" spans="1:27" x14ac:dyDescent="0.25">
      <c r="B11">
        <v>120</v>
      </c>
      <c r="C11">
        <f t="shared" si="0"/>
        <v>2.0943951023931953</v>
      </c>
      <c r="D11">
        <v>-1196.14010231</v>
      </c>
      <c r="E11">
        <f t="shared" si="1"/>
        <v>2.443008333329999E-3</v>
      </c>
      <c r="F11">
        <f t="shared" si="2"/>
        <v>5.9682897167198193E-6</v>
      </c>
      <c r="G11">
        <f t="shared" si="3"/>
        <v>0.61534080145871939</v>
      </c>
      <c r="H11">
        <f t="shared" si="6"/>
        <v>-0.4351116534522253</v>
      </c>
      <c r="I11">
        <f t="shared" si="7"/>
        <v>-0.43511165345222591</v>
      </c>
      <c r="J11">
        <f t="shared" si="8"/>
        <v>0.87022330690445104</v>
      </c>
      <c r="K11">
        <f t="shared" si="9"/>
        <v>-0.4351116534522248</v>
      </c>
      <c r="M11">
        <f t="shared" si="10"/>
        <v>2.6361773497075691</v>
      </c>
      <c r="N11">
        <f t="shared" si="11"/>
        <v>-4.2329477361967722</v>
      </c>
      <c r="O11">
        <f t="shared" si="12"/>
        <v>16.934891846338012</v>
      </c>
      <c r="P11">
        <f t="shared" si="13"/>
        <v>-1.2625179348692439</v>
      </c>
      <c r="R11">
        <f t="shared" si="4"/>
        <v>19.905909403612647</v>
      </c>
      <c r="T11">
        <f t="shared" si="5"/>
        <v>20.193823210336973</v>
      </c>
      <c r="U11">
        <f t="shared" si="14"/>
        <v>41.140914581851327</v>
      </c>
      <c r="V11">
        <f t="shared" si="15"/>
        <v>8.2894360102492598E-2</v>
      </c>
      <c r="Z11">
        <f>(D11-D17)^2</f>
        <v>0</v>
      </c>
    </row>
    <row r="12" spans="1:27" x14ac:dyDescent="0.25">
      <c r="B12">
        <v>140</v>
      </c>
      <c r="C12">
        <f t="shared" si="0"/>
        <v>2.4434609527920612</v>
      </c>
      <c r="D12">
        <v>-1196.1427182899999</v>
      </c>
      <c r="E12">
        <f t="shared" si="1"/>
        <v>-1.7297166664320685E-4</v>
      </c>
      <c r="F12">
        <f t="shared" si="2"/>
        <v>2.9919197461328678E-8</v>
      </c>
      <c r="G12">
        <f t="shared" si="3"/>
        <v>-4.3567810444920002E-2</v>
      </c>
      <c r="H12">
        <f t="shared" si="6"/>
        <v>4.7199206651911664E-2</v>
      </c>
      <c r="I12">
        <f t="shared" si="7"/>
        <v>-1.0699191536536387E-2</v>
      </c>
      <c r="J12">
        <f t="shared" si="8"/>
        <v>-3.0807094207053062E-2</v>
      </c>
      <c r="K12">
        <f t="shared" si="9"/>
        <v>5.7898398188448087E-2</v>
      </c>
      <c r="M12">
        <f t="shared" si="10"/>
        <v>1.2334966652531318</v>
      </c>
      <c r="N12">
        <f t="shared" si="11"/>
        <v>-2.3319360241881162</v>
      </c>
      <c r="O12">
        <f t="shared" si="12"/>
        <v>12.70116878612629</v>
      </c>
      <c r="P12">
        <f t="shared" si="13"/>
        <v>-1.6325978350193628</v>
      </c>
      <c r="R12">
        <f t="shared" si="4"/>
        <v>14.099895316294024</v>
      </c>
      <c r="T12">
        <f t="shared" si="5"/>
        <v>13.325567720407321</v>
      </c>
      <c r="U12">
        <f t="shared" si="14"/>
        <v>0.20624051538010327</v>
      </c>
      <c r="V12">
        <f t="shared" si="15"/>
        <v>0.59958322575168133</v>
      </c>
      <c r="Z12">
        <f>(D12-D16)^2</f>
        <v>0</v>
      </c>
    </row>
    <row r="13" spans="1:27" x14ac:dyDescent="0.25">
      <c r="B13">
        <v>160</v>
      </c>
      <c r="C13">
        <f t="shared" si="0"/>
        <v>2.7925268031909272</v>
      </c>
      <c r="D13">
        <v>-1196.1463457</v>
      </c>
      <c r="E13">
        <f t="shared" si="1"/>
        <v>-3.8003816666787316E-3</v>
      </c>
      <c r="F13">
        <f t="shared" si="2"/>
        <v>1.4442900812427813E-5</v>
      </c>
      <c r="G13">
        <f t="shared" si="3"/>
        <v>-0.95723369778093514</v>
      </c>
      <c r="H13">
        <f t="shared" si="6"/>
        <v>1.2720927957485495</v>
      </c>
      <c r="I13">
        <f t="shared" si="7"/>
        <v>-1.0370195484773084</v>
      </c>
      <c r="J13">
        <f t="shared" si="8"/>
        <v>0.67686643888117248</v>
      </c>
      <c r="K13">
        <f t="shared" si="9"/>
        <v>-0.2350732472712401</v>
      </c>
      <c r="M13">
        <f t="shared" si="10"/>
        <v>0.31796187020692551</v>
      </c>
      <c r="N13">
        <f t="shared" si="11"/>
        <v>-0.66021438059253024</v>
      </c>
      <c r="O13">
        <f t="shared" si="12"/>
        <v>4.2337226657028397</v>
      </c>
      <c r="P13">
        <f t="shared" si="13"/>
        <v>-0.69552263282919657</v>
      </c>
      <c r="R13">
        <f t="shared" si="4"/>
        <v>4.519752330935277</v>
      </c>
      <c r="T13">
        <f t="shared" si="5"/>
        <v>3.8018027653140507</v>
      </c>
      <c r="U13">
        <f t="shared" si="14"/>
        <v>99.558529635993224</v>
      </c>
      <c r="V13">
        <f t="shared" si="15"/>
        <v>0.51545157877570746</v>
      </c>
      <c r="Z13">
        <f>(D13-D15)^2</f>
        <v>0</v>
      </c>
    </row>
    <row r="14" spans="1:27" x14ac:dyDescent="0.25">
      <c r="B14">
        <v>180</v>
      </c>
      <c r="C14">
        <f t="shared" si="0"/>
        <v>3.1415926535897931</v>
      </c>
      <c r="D14">
        <f>D4</f>
        <v>-1196.1477937300001</v>
      </c>
      <c r="E14">
        <f t="shared" si="1"/>
        <v>-5.2484116667983471E-3</v>
      </c>
      <c r="F14">
        <f t="shared" si="2"/>
        <v>2.7545825024185005E-5</v>
      </c>
      <c r="G14">
        <f t="shared" si="3"/>
        <v>-1.3219610417909868</v>
      </c>
      <c r="H14">
        <f t="shared" si="6"/>
        <v>1.8695352342296796</v>
      </c>
      <c r="I14">
        <f t="shared" si="7"/>
        <v>-1.8695352342296796</v>
      </c>
      <c r="J14">
        <f t="shared" si="8"/>
        <v>1.8695352342296796</v>
      </c>
      <c r="K14">
        <f t="shared" si="9"/>
        <v>-1.8695352342296796</v>
      </c>
      <c r="M14">
        <f t="shared" si="10"/>
        <v>-2.7293955298298854E-8</v>
      </c>
      <c r="N14">
        <f t="shared" si="11"/>
        <v>5.8435059621190454E-8</v>
      </c>
      <c r="O14">
        <f t="shared" si="12"/>
        <v>-3.9450889221682652E-7</v>
      </c>
      <c r="P14">
        <f t="shared" si="13"/>
        <v>6.9715307400744378E-8</v>
      </c>
      <c r="R14">
        <f t="shared" si="4"/>
        <v>-4.1528732053797088E-7</v>
      </c>
      <c r="T14">
        <f t="shared" si="5"/>
        <v>0</v>
      </c>
      <c r="U14">
        <f t="shared" si="14"/>
        <v>189.88026523441954</v>
      </c>
      <c r="V14">
        <f t="shared" si="15"/>
        <v>1.7246355859960738E-13</v>
      </c>
      <c r="Z14">
        <f>(D14-D14)^2</f>
        <v>0</v>
      </c>
    </row>
    <row r="15" spans="1:27" x14ac:dyDescent="0.25">
      <c r="B15">
        <f>200-360</f>
        <v>-160</v>
      </c>
      <c r="C15">
        <f t="shared" si="0"/>
        <v>-2.7925268031909272</v>
      </c>
      <c r="D15">
        <f>D13</f>
        <v>-1196.1463457</v>
      </c>
      <c r="E15">
        <f t="shared" si="1"/>
        <v>-3.8003816666787316E-3</v>
      </c>
      <c r="F15">
        <f t="shared" si="2"/>
        <v>1.4442900812427813E-5</v>
      </c>
      <c r="G15">
        <f t="shared" si="3"/>
        <v>-0.95723369778093514</v>
      </c>
      <c r="H15">
        <f t="shared" si="6"/>
        <v>1.2720927957485495</v>
      </c>
      <c r="I15">
        <f t="shared" si="7"/>
        <v>-1.0370195484773084</v>
      </c>
      <c r="J15">
        <f t="shared" si="8"/>
        <v>0.67686643888117248</v>
      </c>
      <c r="K15">
        <f t="shared" si="9"/>
        <v>-0.2350732472712401</v>
      </c>
      <c r="M15">
        <f t="shared" si="10"/>
        <v>0.31796187020692551</v>
      </c>
      <c r="N15">
        <f t="shared" si="11"/>
        <v>-0.66021438059253024</v>
      </c>
      <c r="O15">
        <f t="shared" si="12"/>
        <v>4.2337226657028397</v>
      </c>
      <c r="P15">
        <f t="shared" si="13"/>
        <v>-0.69552263282919657</v>
      </c>
      <c r="R15">
        <f t="shared" si="4"/>
        <v>4.519752330935277</v>
      </c>
      <c r="T15">
        <f t="shared" si="5"/>
        <v>3.8018027653140507</v>
      </c>
      <c r="U15">
        <f t="shared" si="14"/>
        <v>99.558529635993224</v>
      </c>
      <c r="V15">
        <f t="shared" si="15"/>
        <v>0.51545157877570746</v>
      </c>
      <c r="Z15">
        <f>(D15-D13)^2</f>
        <v>0</v>
      </c>
    </row>
    <row r="16" spans="1:27" x14ac:dyDescent="0.25">
      <c r="B16">
        <f>220-360</f>
        <v>-140</v>
      </c>
      <c r="C16">
        <f t="shared" si="0"/>
        <v>-2.4434609527920612</v>
      </c>
      <c r="D16">
        <f>D12</f>
        <v>-1196.1427182899999</v>
      </c>
      <c r="E16">
        <f t="shared" si="1"/>
        <v>-1.7297166664320685E-4</v>
      </c>
      <c r="F16">
        <f t="shared" si="2"/>
        <v>2.9919197461328678E-8</v>
      </c>
      <c r="G16">
        <f t="shared" si="3"/>
        <v>-4.3567810444920002E-2</v>
      </c>
      <c r="H16">
        <f t="shared" si="6"/>
        <v>4.7199206651911664E-2</v>
      </c>
      <c r="I16">
        <f t="shared" si="7"/>
        <v>-1.0699191536536387E-2</v>
      </c>
      <c r="J16">
        <f t="shared" si="8"/>
        <v>-3.0807094207053062E-2</v>
      </c>
      <c r="K16">
        <f t="shared" si="9"/>
        <v>5.7898398188448087E-2</v>
      </c>
      <c r="M16">
        <f t="shared" si="10"/>
        <v>1.2334966652531318</v>
      </c>
      <c r="N16">
        <f t="shared" si="11"/>
        <v>-2.3319360241881162</v>
      </c>
      <c r="O16">
        <f t="shared" si="12"/>
        <v>12.70116878612629</v>
      </c>
      <c r="P16">
        <f t="shared" si="13"/>
        <v>-1.6325978350193628</v>
      </c>
      <c r="R16">
        <f t="shared" si="4"/>
        <v>14.099895316294024</v>
      </c>
      <c r="T16">
        <f t="shared" si="5"/>
        <v>13.325567720407321</v>
      </c>
      <c r="U16">
        <f t="shared" si="14"/>
        <v>0.20624051538010327</v>
      </c>
      <c r="V16">
        <f t="shared" si="15"/>
        <v>0.59958322575168133</v>
      </c>
      <c r="Z16">
        <f>(D16-D12)^2</f>
        <v>0</v>
      </c>
    </row>
    <row r="17" spans="2:26" x14ac:dyDescent="0.25">
      <c r="B17">
        <f>240-360</f>
        <v>-120</v>
      </c>
      <c r="C17">
        <f t="shared" si="0"/>
        <v>-2.0943951023931953</v>
      </c>
      <c r="D17">
        <f>D11</f>
        <v>-1196.14010231</v>
      </c>
      <c r="E17">
        <f t="shared" si="1"/>
        <v>2.443008333329999E-3</v>
      </c>
      <c r="F17">
        <f t="shared" si="2"/>
        <v>5.9682897167198193E-6</v>
      </c>
      <c r="G17">
        <f t="shared" si="3"/>
        <v>0.61534080145871939</v>
      </c>
      <c r="H17">
        <f t="shared" si="6"/>
        <v>-0.4351116534522253</v>
      </c>
      <c r="I17">
        <f t="shared" si="7"/>
        <v>-0.43511165345222591</v>
      </c>
      <c r="J17">
        <f t="shared" si="8"/>
        <v>0.87022330690445104</v>
      </c>
      <c r="K17">
        <f t="shared" si="9"/>
        <v>-0.4351116534522248</v>
      </c>
      <c r="M17">
        <f t="shared" si="10"/>
        <v>2.6361773497075691</v>
      </c>
      <c r="N17">
        <f t="shared" si="11"/>
        <v>-4.2329477361967722</v>
      </c>
      <c r="O17">
        <f t="shared" si="12"/>
        <v>16.934891846338012</v>
      </c>
      <c r="P17">
        <f t="shared" si="13"/>
        <v>-1.2625179348692439</v>
      </c>
      <c r="R17">
        <f t="shared" si="4"/>
        <v>19.905909403612647</v>
      </c>
      <c r="T17">
        <f t="shared" si="5"/>
        <v>20.193823210336973</v>
      </c>
      <c r="U17">
        <f t="shared" si="14"/>
        <v>41.140914581851327</v>
      </c>
      <c r="V17">
        <f t="shared" si="15"/>
        <v>8.2894360102492598E-2</v>
      </c>
      <c r="Z17">
        <f>(D17-D11)^2</f>
        <v>0</v>
      </c>
    </row>
    <row r="18" spans="2:26" x14ac:dyDescent="0.25">
      <c r="B18">
        <f>260-360</f>
        <v>-100</v>
      </c>
      <c r="C18">
        <f t="shared" si="0"/>
        <v>-1.7453292519943295</v>
      </c>
      <c r="D18">
        <f>D10</f>
        <v>-1196.14204737</v>
      </c>
      <c r="E18">
        <f t="shared" si="1"/>
        <v>4.9794833330452093E-4</v>
      </c>
      <c r="F18">
        <f t="shared" si="2"/>
        <v>2.4795254264075025E-7</v>
      </c>
      <c r="G18">
        <f t="shared" si="3"/>
        <v>0.12542238285490456</v>
      </c>
      <c r="H18">
        <f t="shared" si="6"/>
        <v>-3.0800677918618957E-2</v>
      </c>
      <c r="I18">
        <f t="shared" si="7"/>
        <v>-0.1666770716756083</v>
      </c>
      <c r="J18">
        <f t="shared" si="8"/>
        <v>8.8687017429278411E-2</v>
      </c>
      <c r="K18">
        <f t="shared" si="9"/>
        <v>0.13587639375698934</v>
      </c>
      <c r="M18">
        <f t="shared" si="10"/>
        <v>4.3568199316628853</v>
      </c>
      <c r="N18">
        <f t="shared" si="11"/>
        <v>-5.473745009177839</v>
      </c>
      <c r="O18">
        <f t="shared" si="12"/>
        <v>12.701168786126287</v>
      </c>
      <c r="P18">
        <f t="shared" si="13"/>
        <v>-0.19691533217462284</v>
      </c>
      <c r="R18">
        <f t="shared" si="4"/>
        <v>16.104114229152792</v>
      </c>
      <c r="T18">
        <f t="shared" si="5"/>
        <v>15.08706818027008</v>
      </c>
      <c r="U18">
        <f t="shared" si="14"/>
        <v>1.7091989265464875</v>
      </c>
      <c r="V18">
        <f t="shared" si="15"/>
        <v>1.0343826655479353</v>
      </c>
      <c r="Z18">
        <f>(D18-D10)^2</f>
        <v>0</v>
      </c>
    </row>
    <row r="19" spans="2:26" x14ac:dyDescent="0.25">
      <c r="B19">
        <f>280-360</f>
        <v>-80</v>
      </c>
      <c r="C19">
        <f t="shared" si="0"/>
        <v>-1.3962634015954636</v>
      </c>
      <c r="D19">
        <f>D9</f>
        <v>-1196.14553798</v>
      </c>
      <c r="E19">
        <f t="shared" si="1"/>
        <v>-2.992661666667118E-3</v>
      </c>
      <c r="F19">
        <f t="shared" si="2"/>
        <v>8.9560238511388123E-6</v>
      </c>
      <c r="G19">
        <f t="shared" si="3"/>
        <v>-0.75378655215294443</v>
      </c>
      <c r="H19">
        <f t="shared" si="6"/>
        <v>-0.18511159080040743</v>
      </c>
      <c r="I19">
        <f t="shared" si="7"/>
        <v>1.0017265843741139</v>
      </c>
      <c r="J19">
        <f t="shared" si="8"/>
        <v>0.5330075825945747</v>
      </c>
      <c r="K19">
        <f t="shared" si="9"/>
        <v>-0.81661499357370637</v>
      </c>
      <c r="M19">
        <f t="shared" si="10"/>
        <v>6.1878895217552978</v>
      </c>
      <c r="N19">
        <f t="shared" si="11"/>
        <v>-5.4737450091778381</v>
      </c>
      <c r="O19">
        <f t="shared" si="12"/>
        <v>4.23372266570283</v>
      </c>
      <c r="P19">
        <f t="shared" si="13"/>
        <v>-0.19691533217462312</v>
      </c>
      <c r="R19">
        <f t="shared" si="4"/>
        <v>6.7188605349441266</v>
      </c>
      <c r="T19">
        <f t="shared" si="5"/>
        <v>5.9224716253445422</v>
      </c>
      <c r="U19">
        <f t="shared" si="14"/>
        <v>61.736113650868582</v>
      </c>
      <c r="V19">
        <f t="shared" si="15"/>
        <v>0.63423529533321499</v>
      </c>
      <c r="Z19">
        <f>(D19-D9)^2</f>
        <v>0</v>
      </c>
    </row>
    <row r="20" spans="2:26" x14ac:dyDescent="0.25">
      <c r="B20">
        <f>300-360</f>
        <v>-60</v>
      </c>
      <c r="C20">
        <f t="shared" si="0"/>
        <v>-1.0471975511965976</v>
      </c>
      <c r="D20">
        <f>D8</f>
        <v>-1196.1463099299999</v>
      </c>
      <c r="E20">
        <f t="shared" si="1"/>
        <v>-3.7646116666110174E-3</v>
      </c>
      <c r="F20">
        <f t="shared" si="2"/>
        <v>1.4172301000383783E-5</v>
      </c>
      <c r="G20">
        <f t="shared" si="3"/>
        <v>-0.9482240107448523</v>
      </c>
      <c r="H20">
        <f t="shared" si="6"/>
        <v>-0.67049562808159091</v>
      </c>
      <c r="I20">
        <f t="shared" si="7"/>
        <v>0.67049562808159047</v>
      </c>
      <c r="J20">
        <f t="shared" si="8"/>
        <v>1.3409912561631816</v>
      </c>
      <c r="K20">
        <f t="shared" si="9"/>
        <v>0.67049562808159147</v>
      </c>
      <c r="M20">
        <f t="shared" si="10"/>
        <v>7.9085321037106153</v>
      </c>
      <c r="N20">
        <f t="shared" si="11"/>
        <v>-4.2329477361967704</v>
      </c>
      <c r="O20">
        <f t="shared" si="12"/>
        <v>-3.9450889221682652E-7</v>
      </c>
      <c r="P20">
        <f t="shared" si="13"/>
        <v>-1.262517934869245</v>
      </c>
      <c r="R20">
        <f t="shared" si="4"/>
        <v>3.4125907180334303</v>
      </c>
      <c r="T20">
        <f t="shared" si="5"/>
        <v>3.8957169004918342</v>
      </c>
      <c r="U20">
        <f t="shared" si="14"/>
        <v>97.693217413970757</v>
      </c>
      <c r="V20">
        <f t="shared" si="15"/>
        <v>0.23341090817683097</v>
      </c>
      <c r="Z20">
        <f>(D20-D8)^2</f>
        <v>0</v>
      </c>
    </row>
    <row r="21" spans="2:26" x14ac:dyDescent="0.25">
      <c r="B21">
        <f>320-360</f>
        <v>-40</v>
      </c>
      <c r="C21">
        <f t="shared" si="0"/>
        <v>-0.69813170079773179</v>
      </c>
      <c r="D21">
        <f>D7</f>
        <v>-1196.1429773</v>
      </c>
      <c r="E21">
        <f t="shared" si="1"/>
        <v>-4.3198166667934856E-4</v>
      </c>
      <c r="F21">
        <f t="shared" si="2"/>
        <v>1.866081603470678E-7</v>
      </c>
      <c r="G21">
        <f t="shared" si="3"/>
        <v>-0.10880681058816412</v>
      </c>
      <c r="H21">
        <f t="shared" si="6"/>
        <v>-0.11787590621701709</v>
      </c>
      <c r="I21">
        <f t="shared" si="7"/>
        <v>-2.6720298657977322E-2</v>
      </c>
      <c r="J21">
        <f t="shared" si="8"/>
        <v>7.6938033606171061E-2</v>
      </c>
      <c r="K21">
        <f t="shared" si="9"/>
        <v>0.14459620487499439</v>
      </c>
      <c r="M21">
        <f t="shared" si="10"/>
        <v>9.3112127881650508</v>
      </c>
      <c r="N21">
        <f t="shared" si="11"/>
        <v>-2.3319360241881149</v>
      </c>
      <c r="O21">
        <f t="shared" si="12"/>
        <v>4.2337226657028353</v>
      </c>
      <c r="P21">
        <f t="shared" si="13"/>
        <v>-1.6325978350193626</v>
      </c>
      <c r="R21">
        <f t="shared" si="4"/>
        <v>13.548733868149577</v>
      </c>
      <c r="T21">
        <f t="shared" si="5"/>
        <v>12.645536965312431</v>
      </c>
      <c r="U21">
        <f t="shared" si="14"/>
        <v>1.2863367479644652</v>
      </c>
      <c r="V21">
        <f t="shared" si="15"/>
        <v>0.81576464529461423</v>
      </c>
      <c r="Z21">
        <f>(D21-D7)^2</f>
        <v>0</v>
      </c>
    </row>
    <row r="22" spans="2:26" x14ac:dyDescent="0.25">
      <c r="B22">
        <f>340-360</f>
        <v>-20</v>
      </c>
      <c r="C22">
        <f t="shared" si="0"/>
        <v>-0.3490658503988659</v>
      </c>
      <c r="D22">
        <f>D6</f>
        <v>-1196.1366885100001</v>
      </c>
      <c r="E22">
        <f t="shared" si="1"/>
        <v>5.8568083331920207E-3</v>
      </c>
      <c r="F22">
        <f t="shared" si="2"/>
        <v>3.4302203851747492E-5</v>
      </c>
      <c r="G22">
        <f t="shared" si="3"/>
        <v>1.4752029637263087</v>
      </c>
      <c r="H22">
        <f t="shared" si="6"/>
        <v>1.9604356457294392</v>
      </c>
      <c r="I22">
        <f t="shared" si="7"/>
        <v>1.5981617810804913</v>
      </c>
      <c r="J22">
        <f t="shared" si="8"/>
        <v>1.0431260192773655</v>
      </c>
      <c r="K22">
        <f t="shared" si="9"/>
        <v>0.36227386464894767</v>
      </c>
      <c r="M22">
        <f t="shared" si="10"/>
        <v>10.226747583211257</v>
      </c>
      <c r="N22">
        <f t="shared" si="11"/>
        <v>-0.66021438059252968</v>
      </c>
      <c r="O22">
        <f t="shared" si="12"/>
        <v>12.701168786126287</v>
      </c>
      <c r="P22">
        <f t="shared" si="13"/>
        <v>-0.69552263282919602</v>
      </c>
      <c r="R22">
        <f t="shared" si="4"/>
        <v>30.507668615081052</v>
      </c>
      <c r="T22">
        <f t="shared" si="5"/>
        <v>29.156755109974711</v>
      </c>
      <c r="U22">
        <f t="shared" si="14"/>
        <v>236.45367527660937</v>
      </c>
      <c r="V22">
        <f t="shared" si="15"/>
        <v>1.8249672982787</v>
      </c>
      <c r="Z22">
        <f>(D22-D6)^2</f>
        <v>0</v>
      </c>
    </row>
    <row r="23" spans="2:26" x14ac:dyDescent="0.25">
      <c r="B23">
        <f>-180</f>
        <v>-180</v>
      </c>
      <c r="C23">
        <f t="shared" si="0"/>
        <v>-3.1415926535897931</v>
      </c>
      <c r="M23">
        <f t="shared" si="10"/>
        <v>-2.7293955298298854E-8</v>
      </c>
      <c r="N23">
        <f t="shared" si="11"/>
        <v>5.8435059621190454E-8</v>
      </c>
      <c r="O23">
        <f t="shared" si="12"/>
        <v>-3.9450889221682652E-7</v>
      </c>
      <c r="P23">
        <f t="shared" si="13"/>
        <v>6.9715307400744378E-8</v>
      </c>
      <c r="R23">
        <f t="shared" ref="R23:T23" si="16">R14</f>
        <v>-4.1528732053797088E-7</v>
      </c>
      <c r="T23">
        <f t="shared" si="16"/>
        <v>0</v>
      </c>
    </row>
    <row r="24" spans="2:26" x14ac:dyDescent="0.25">
      <c r="B24" t="s">
        <v>4</v>
      </c>
      <c r="D24">
        <f>AVERAGE(D5:D22)</f>
        <v>-1196.1425453183333</v>
      </c>
      <c r="F24">
        <f>SQRT(AVERAGE(F5:F22))</f>
        <v>3.9701712084403203E-3</v>
      </c>
      <c r="G24" t="s">
        <v>10</v>
      </c>
      <c r="H24" s="2">
        <f t="shared" ref="H24:K24" si="17">AVERAGE(H5:H22)</f>
        <v>0.50580528891467957</v>
      </c>
      <c r="I24" s="2">
        <f t="shared" si="17"/>
        <v>0.27072626711988151</v>
      </c>
      <c r="J24" s="2">
        <f t="shared" si="17"/>
        <v>0.81232755213569063</v>
      </c>
      <c r="K24" s="2">
        <f t="shared" si="17"/>
        <v>8.0746752177354844E-2</v>
      </c>
    </row>
    <row r="25" spans="2:26" x14ac:dyDescent="0.25">
      <c r="B25" t="s">
        <v>5</v>
      </c>
      <c r="D25">
        <f>MIN(D4:D22)</f>
        <v>-1196.1477937300001</v>
      </c>
      <c r="F25" s="4">
        <f>F24*$A$1</f>
        <v>10.423684507760061</v>
      </c>
      <c r="G25" s="2">
        <f>SUM(H25:K25)</f>
        <v>0.99552779194868224</v>
      </c>
      <c r="H25">
        <f t="shared" ref="H25:K25" si="18">H24^2</f>
        <v>0.25583899029406248</v>
      </c>
      <c r="I25">
        <f t="shared" si="18"/>
        <v>7.3292711708665442E-2</v>
      </c>
      <c r="J25">
        <f t="shared" si="18"/>
        <v>0.6598760519587632</v>
      </c>
      <c r="K25">
        <f t="shared" si="18"/>
        <v>6.5200379871911589E-3</v>
      </c>
    </row>
    <row r="26" spans="2:26" x14ac:dyDescent="0.25">
      <c r="B26" t="s">
        <v>6</v>
      </c>
      <c r="D26">
        <f>MAX(D5:D22)</f>
        <v>-1196.1325672200001</v>
      </c>
    </row>
    <row r="27" spans="2:26" x14ac:dyDescent="0.25">
      <c r="B27" t="s">
        <v>24</v>
      </c>
      <c r="D27" s="1">
        <f>D26-D25</f>
        <v>1.522651000004771E-2</v>
      </c>
      <c r="G27" t="s">
        <v>20</v>
      </c>
      <c r="H27">
        <f>H24*$F$24</f>
        <v>2.0081335951258987E-3</v>
      </c>
      <c r="I27">
        <f t="shared" ref="I27:K27" si="19">I24*$F$24</f>
        <v>1.0748296310878769E-3</v>
      </c>
      <c r="J27">
        <f t="shared" si="19"/>
        <v>3.2250794593119223E-3</v>
      </c>
      <c r="K27">
        <f t="shared" si="19"/>
        <v>3.2057843066959994E-4</v>
      </c>
    </row>
    <row r="28" spans="2:26" x14ac:dyDescent="0.25">
      <c r="D28" s="4">
        <f>D27*$A$1</f>
        <v>39.977202005125264</v>
      </c>
      <c r="H28">
        <f>$A$1*H27</f>
        <v>5.2723547540030467</v>
      </c>
      <c r="I28">
        <f t="shared" ref="I28:K28" si="20">$A$1*I27</f>
        <v>2.8219651964212207</v>
      </c>
      <c r="J28">
        <f t="shared" si="20"/>
        <v>8.4674461204234515</v>
      </c>
      <c r="K28">
        <f t="shared" si="20"/>
        <v>0.84167866972303462</v>
      </c>
      <c r="L28" t="s">
        <v>16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E81385-44A6-4D98-B967-17C2CCD4231E}">
  <dimension ref="A1:AA28"/>
  <sheetViews>
    <sheetView workbookViewId="0"/>
  </sheetViews>
  <sheetFormatPr defaultRowHeight="15" x14ac:dyDescent="0.25"/>
  <cols>
    <col min="4" max="4" width="11.85546875" customWidth="1"/>
    <col min="5" max="5" width="13.42578125" customWidth="1"/>
    <col min="6" max="6" width="12" bestFit="1" customWidth="1"/>
    <col min="7" max="7" width="18" customWidth="1"/>
  </cols>
  <sheetData>
    <row r="1" spans="1:27" ht="18.75" x14ac:dyDescent="0.3">
      <c r="A1" s="3">
        <v>2625.5</v>
      </c>
      <c r="R1" t="s">
        <v>14</v>
      </c>
      <c r="T1" t="s">
        <v>17</v>
      </c>
    </row>
    <row r="2" spans="1:27" x14ac:dyDescent="0.25">
      <c r="B2" t="s">
        <v>0</v>
      </c>
      <c r="C2" t="s">
        <v>8</v>
      </c>
      <c r="D2" t="s">
        <v>1</v>
      </c>
      <c r="E2" t="s">
        <v>3</v>
      </c>
      <c r="G2" t="s">
        <v>9</v>
      </c>
      <c r="H2" t="s">
        <v>7</v>
      </c>
      <c r="I2" t="s">
        <v>11</v>
      </c>
      <c r="J2" t="s">
        <v>12</v>
      </c>
      <c r="K2" t="s">
        <v>13</v>
      </c>
      <c r="M2" t="s">
        <v>7</v>
      </c>
      <c r="N2" t="s">
        <v>11</v>
      </c>
      <c r="O2" t="s">
        <v>12</v>
      </c>
      <c r="P2" t="s">
        <v>13</v>
      </c>
      <c r="R2" t="s">
        <v>15</v>
      </c>
      <c r="T2" t="s">
        <v>16</v>
      </c>
      <c r="U2" s="1" t="s">
        <v>21</v>
      </c>
      <c r="V2" s="1" t="s">
        <v>22</v>
      </c>
      <c r="X2" s="1" t="s">
        <v>23</v>
      </c>
      <c r="AA2" s="1" t="s">
        <v>18</v>
      </c>
    </row>
    <row r="3" spans="1:27" x14ac:dyDescent="0.25">
      <c r="F3">
        <f>SUM(F4:F22)</f>
        <v>9.8273164457256604E-4</v>
      </c>
      <c r="U3">
        <f>SUM(U5:U22)</f>
        <v>6774.2151546327505</v>
      </c>
      <c r="V3">
        <f>SUM(V5:V22)</f>
        <v>11.748756281760533</v>
      </c>
      <c r="X3" s="6">
        <f>1-V3/U3</f>
        <v>0.99826566531862726</v>
      </c>
      <c r="AA3" s="1" t="s">
        <v>19</v>
      </c>
    </row>
    <row r="4" spans="1:27" x14ac:dyDescent="0.25">
      <c r="A4" t="s">
        <v>2</v>
      </c>
      <c r="B4">
        <v>-179.99417</v>
      </c>
      <c r="C4">
        <f>B4*PI()/180</f>
        <v>-3.1414909008944019</v>
      </c>
      <c r="D4">
        <v>-1196.1477937300001</v>
      </c>
      <c r="E4">
        <f>D4-$D$24</f>
        <v>-9.0485144444301113E-3</v>
      </c>
      <c r="Z4">
        <f>SUM(Z5:Z22)</f>
        <v>2.9598803386565224E-11</v>
      </c>
      <c r="AA4" s="5">
        <f>0.5*SQRT(Z4/F3)</f>
        <v>8.6773998675243147E-5</v>
      </c>
    </row>
    <row r="5" spans="1:27" x14ac:dyDescent="0.25">
      <c r="B5">
        <v>0</v>
      </c>
      <c r="C5">
        <f t="shared" ref="C5:C23" si="0">B5*PI()/180</f>
        <v>0</v>
      </c>
      <c r="D5">
        <v>-1196.1199335700001</v>
      </c>
      <c r="E5">
        <f t="shared" ref="E5:E22" si="1">D5-$D$24</f>
        <v>1.8811645555615542E-2</v>
      </c>
      <c r="F5">
        <f t="shared" ref="F5:F22" si="2">E5^2</f>
        <v>3.5387800851010995E-4</v>
      </c>
      <c r="G5">
        <f t="shared" ref="G5:G22" si="3">E5/$F$24</f>
        <v>2.5459247873426114</v>
      </c>
      <c r="H5">
        <f>COS(C5)*SQRT(2)*G5</f>
        <v>3.6004813630417591</v>
      </c>
      <c r="I5">
        <f>SQRT(2)*COS(2*C5)*G5</f>
        <v>3.6004813630417591</v>
      </c>
      <c r="J5">
        <f>COS(3*C5)*SQRT(2)*G5</f>
        <v>3.6004813630417591</v>
      </c>
      <c r="K5">
        <f>COS(4*C5)*SQRT(2)*G5</f>
        <v>3.6004813630417591</v>
      </c>
      <c r="M5">
        <f>H$28*(COS($C5)-COS($C$4))</f>
        <v>23.057139416773349</v>
      </c>
      <c r="N5">
        <f>I$28*(COS(2*$C5)-COS(2*$C$4))</f>
        <v>1.5245078341258363E-7</v>
      </c>
      <c r="O5">
        <f>J$28*(COS(3*$C5)-COS(3*$C$4))</f>
        <v>27.347259718332584</v>
      </c>
      <c r="P5">
        <f>K$28*(COS(4*$C5)-COS(4*$C$4))</f>
        <v>1.1083693588275888E-7</v>
      </c>
      <c r="R5">
        <f t="shared" ref="R5:R22" si="4">SUM(M5:P5)*SQRT(2)</f>
        <v>71.282585232478581</v>
      </c>
      <c r="T5">
        <f t="shared" ref="T5:T22" si="5">(D5-$D$25)*$A$1</f>
        <v>73.146850080119862</v>
      </c>
      <c r="U5">
        <f>(E5*$A$1)^2</f>
        <v>2439.3696706318174</v>
      </c>
      <c r="V5">
        <f>(R5-T5)^2</f>
        <v>3.4754834221509658</v>
      </c>
      <c r="Z5">
        <f>(D5-D5)^2</f>
        <v>0</v>
      </c>
    </row>
    <row r="6" spans="1:27" x14ac:dyDescent="0.25">
      <c r="B6">
        <v>20</v>
      </c>
      <c r="C6">
        <f t="shared" si="0"/>
        <v>0.3490658503988659</v>
      </c>
      <c r="D6">
        <v>-1196.1262505300001</v>
      </c>
      <c r="E6">
        <f t="shared" si="1"/>
        <v>1.2494685555566321E-2</v>
      </c>
      <c r="F6">
        <f t="shared" si="2"/>
        <v>1.5611716713247764E-4</v>
      </c>
      <c r="G6">
        <f t="shared" si="3"/>
        <v>1.6910019685370954</v>
      </c>
      <c r="H6">
        <f t="shared" ref="H6:H22" si="6">COS(C6)*SQRT(2)*G6</f>
        <v>2.2472165645227222</v>
      </c>
      <c r="I6">
        <f t="shared" ref="I6:I22" si="7">SQRT(2)*COS(2*C6)*G6</f>
        <v>1.8319477280749616</v>
      </c>
      <c r="J6">
        <f t="shared" ref="J6:J22" si="8">COS(3*C6)*SQRT(2)*G6</f>
        <v>1.1957189589523813</v>
      </c>
      <c r="K6">
        <f t="shared" ref="K6:K22" si="9">COS(4*C6)*SQRT(2)*G6</f>
        <v>0.4152688364477603</v>
      </c>
      <c r="M6">
        <f t="shared" ref="M6:M23" si="10">H$28*(COS($C6)-COS($C$4))</f>
        <v>22.361881589773979</v>
      </c>
      <c r="N6">
        <f t="shared" ref="N6:N23" si="11">I$28*(COS(2*$C6)-COS(2*$C$4))</f>
        <v>-1.7224282852461703</v>
      </c>
      <c r="O6">
        <f t="shared" ref="O6:O23" si="12">J$28*(COS(3*$C6)-COS(3*$C$4))</f>
        <v>20.510444629481558</v>
      </c>
      <c r="P6">
        <f t="shared" ref="P6:P23" si="13">K$28*(COS(4*$C6)-COS(4*$C$4))</f>
        <v>-1.1057772006478184</v>
      </c>
      <c r="R6">
        <f t="shared" si="4"/>
        <v>56.630938634425547</v>
      </c>
      <c r="T6">
        <f t="shared" si="5"/>
        <v>56.561671599990632</v>
      </c>
      <c r="U6">
        <f t="shared" ref="U6:U22" si="14">(E6*$A$1)^2</f>
        <v>1076.1547013652435</v>
      </c>
      <c r="V6">
        <f t="shared" ref="V6:V22" si="15">(R6-T6)^2</f>
        <v>4.7979220594077466E-3</v>
      </c>
      <c r="Z6">
        <f>(D6-D22)^2</f>
        <v>2.8900007198239194E-12</v>
      </c>
    </row>
    <row r="7" spans="1:27" x14ac:dyDescent="0.25">
      <c r="B7">
        <v>40</v>
      </c>
      <c r="C7">
        <f t="shared" si="0"/>
        <v>0.69813170079773179</v>
      </c>
      <c r="D7">
        <v>-1196.1380343799999</v>
      </c>
      <c r="E7">
        <f t="shared" si="1"/>
        <v>7.108355557647883E-4</v>
      </c>
      <c r="F7">
        <f t="shared" si="2"/>
        <v>5.0528718733943549E-7</v>
      </c>
      <c r="G7">
        <f t="shared" si="3"/>
        <v>9.6202847103176711E-2</v>
      </c>
      <c r="H7">
        <f t="shared" si="6"/>
        <v>0.10422139681923225</v>
      </c>
      <c r="I7">
        <f t="shared" si="7"/>
        <v>2.3625072662723869E-2</v>
      </c>
      <c r="J7">
        <f t="shared" si="8"/>
        <v>-6.8025685556108828E-2</v>
      </c>
      <c r="K7">
        <f t="shared" si="9"/>
        <v>-0.1278464694819561</v>
      </c>
      <c r="M7">
        <f t="shared" si="10"/>
        <v>20.359966463624698</v>
      </c>
      <c r="N7">
        <f t="shared" si="11"/>
        <v>-6.0837701896788321</v>
      </c>
      <c r="O7">
        <f t="shared" si="12"/>
        <v>6.8368144517795155</v>
      </c>
      <c r="P7">
        <f t="shared" si="13"/>
        <v>-2.5955869422221034</v>
      </c>
      <c r="R7">
        <f t="shared" si="4"/>
        <v>26.187591854840448</v>
      </c>
      <c r="T7">
        <f t="shared" si="5"/>
        <v>25.623173425511709</v>
      </c>
      <c r="U7">
        <f t="shared" si="14"/>
        <v>3.4830710304493602</v>
      </c>
      <c r="V7">
        <f t="shared" si="15"/>
        <v>0.31856816336592136</v>
      </c>
      <c r="Z7">
        <f>(D7-D21)^2</f>
        <v>2.9584000007048249E-12</v>
      </c>
    </row>
    <row r="8" spans="1:27" x14ac:dyDescent="0.25">
      <c r="B8">
        <v>60</v>
      </c>
      <c r="C8">
        <f t="shared" si="0"/>
        <v>1.0471975511965976</v>
      </c>
      <c r="D8">
        <v>-1196.1450048300001</v>
      </c>
      <c r="E8">
        <f t="shared" si="1"/>
        <v>-6.2596144443887169E-3</v>
      </c>
      <c r="F8">
        <f t="shared" si="2"/>
        <v>3.9182772992399865E-5</v>
      </c>
      <c r="G8">
        <f t="shared" si="3"/>
        <v>-0.84716180336599056</v>
      </c>
      <c r="H8">
        <f t="shared" si="6"/>
        <v>-0.59903385592231662</v>
      </c>
      <c r="I8">
        <f t="shared" si="7"/>
        <v>0.59903385592231628</v>
      </c>
      <c r="J8">
        <f t="shared" si="8"/>
        <v>1.198067711844633</v>
      </c>
      <c r="K8">
        <f t="shared" si="9"/>
        <v>0.59903385592231706</v>
      </c>
      <c r="M8">
        <f t="shared" si="10"/>
        <v>17.292854547659726</v>
      </c>
      <c r="N8">
        <f t="shared" si="11"/>
        <v>-11.04330521284704</v>
      </c>
      <c r="O8">
        <f t="shared" si="12"/>
        <v>-6.3707151096912247E-7</v>
      </c>
      <c r="P8">
        <f t="shared" si="13"/>
        <v>-2.0072151241269798</v>
      </c>
      <c r="R8">
        <f t="shared" si="4"/>
        <v>5.9995656759159139</v>
      </c>
      <c r="T8">
        <f t="shared" si="5"/>
        <v>7.3222569501086809</v>
      </c>
      <c r="U8">
        <f t="shared" si="14"/>
        <v>270.09665972555365</v>
      </c>
      <c r="V8">
        <f t="shared" si="15"/>
        <v>1.7495122068256854</v>
      </c>
      <c r="Z8">
        <f>(D8-D20)^2</f>
        <v>6.5610012008271264E-13</v>
      </c>
    </row>
    <row r="9" spans="1:27" x14ac:dyDescent="0.25">
      <c r="B9">
        <v>80</v>
      </c>
      <c r="C9">
        <f t="shared" si="0"/>
        <v>1.3962634015954636</v>
      </c>
      <c r="D9">
        <v>-1196.1443847800001</v>
      </c>
      <c r="E9">
        <f t="shared" si="1"/>
        <v>-5.6395644444364734E-3</v>
      </c>
      <c r="F9">
        <f t="shared" si="2"/>
        <v>3.1804687122952072E-5</v>
      </c>
      <c r="G9">
        <f t="shared" si="3"/>
        <v>-0.76324566431248986</v>
      </c>
      <c r="H9">
        <f t="shared" si="6"/>
        <v>-0.187434518019541</v>
      </c>
      <c r="I9">
        <f t="shared" si="7"/>
        <v>1.0142970449212403</v>
      </c>
      <c r="J9">
        <f t="shared" si="8"/>
        <v>0.53969618494659344</v>
      </c>
      <c r="K9">
        <f t="shared" si="9"/>
        <v>-0.82686252690169926</v>
      </c>
      <c r="M9">
        <f t="shared" si="10"/>
        <v>13.530484804695378</v>
      </c>
      <c r="N9">
        <f t="shared" si="11"/>
        <v>-14.280411798318298</v>
      </c>
      <c r="O9">
        <f t="shared" si="12"/>
        <v>6.8368144517795058</v>
      </c>
      <c r="P9">
        <f t="shared" si="13"/>
        <v>-0.31306599454710049</v>
      </c>
      <c r="R9">
        <f t="shared" si="4"/>
        <v>8.1654166205574086</v>
      </c>
      <c r="T9">
        <f t="shared" si="5"/>
        <v>8.9501982249832963</v>
      </c>
      <c r="U9">
        <f t="shared" si="14"/>
        <v>219.23766746146114</v>
      </c>
      <c r="V9">
        <f t="shared" si="15"/>
        <v>0.61588216664527051</v>
      </c>
      <c r="Z9">
        <f>(D9-D19)^2</f>
        <v>5.7600091386250146E-14</v>
      </c>
    </row>
    <row r="10" spans="1:27" x14ac:dyDescent="0.25">
      <c r="B10">
        <v>100</v>
      </c>
      <c r="C10">
        <f t="shared" si="0"/>
        <v>1.7453292519943295</v>
      </c>
      <c r="D10">
        <v>-1196.1396312899999</v>
      </c>
      <c r="E10">
        <f t="shared" si="1"/>
        <v>-8.8607444422450499E-4</v>
      </c>
      <c r="F10">
        <f t="shared" si="2"/>
        <v>7.8512792070776545E-7</v>
      </c>
      <c r="G10">
        <f t="shared" si="3"/>
        <v>-0.11991927470207857</v>
      </c>
      <c r="H10">
        <f t="shared" si="6"/>
        <v>2.9449248788440449E-2</v>
      </c>
      <c r="I10">
        <f t="shared" si="7"/>
        <v>0.15936384790207883</v>
      </c>
      <c r="J10">
        <f t="shared" si="8"/>
        <v>-8.4795732336812174E-2</v>
      </c>
      <c r="K10">
        <f t="shared" si="9"/>
        <v>-0.1299145991136384</v>
      </c>
      <c r="M10">
        <f t="shared" si="10"/>
        <v>9.5266545523968116</v>
      </c>
      <c r="N10">
        <f t="shared" si="11"/>
        <v>-14.280411798318298</v>
      </c>
      <c r="O10">
        <f t="shared" si="12"/>
        <v>20.510444629481558</v>
      </c>
      <c r="P10">
        <f t="shared" si="13"/>
        <v>-0.31306599454710005</v>
      </c>
      <c r="R10">
        <f t="shared" si="4"/>
        <v>21.840578820497363</v>
      </c>
      <c r="T10">
        <f t="shared" si="5"/>
        <v>21.430486220539819</v>
      </c>
      <c r="U10">
        <f t="shared" si="14"/>
        <v>5.4120832357007842</v>
      </c>
      <c r="V10">
        <f t="shared" si="15"/>
        <v>0.16817594053993803</v>
      </c>
      <c r="Z10">
        <f>(D10-D18)^2</f>
        <v>3.5999975261864777E-13</v>
      </c>
    </row>
    <row r="11" spans="1:27" x14ac:dyDescent="0.25">
      <c r="B11">
        <v>120</v>
      </c>
      <c r="C11">
        <f t="shared" si="0"/>
        <v>2.0943951023931953</v>
      </c>
      <c r="D11">
        <v>-1196.1368241800001</v>
      </c>
      <c r="E11">
        <f t="shared" si="1"/>
        <v>1.9210355555969727E-3</v>
      </c>
      <c r="F11">
        <f t="shared" si="2"/>
        <v>3.6903776058677694E-6</v>
      </c>
      <c r="G11">
        <f t="shared" si="3"/>
        <v>0.25998852805839956</v>
      </c>
      <c r="H11">
        <f t="shared" si="6"/>
        <v>-0.18383965122080323</v>
      </c>
      <c r="I11">
        <f t="shared" si="7"/>
        <v>-0.18383965122080351</v>
      </c>
      <c r="J11">
        <f t="shared" si="8"/>
        <v>0.36767930244160663</v>
      </c>
      <c r="K11">
        <f t="shared" si="9"/>
        <v>-0.18383965122080304</v>
      </c>
      <c r="M11">
        <f t="shared" si="10"/>
        <v>5.7642848094324677</v>
      </c>
      <c r="N11">
        <f t="shared" si="11"/>
        <v>-11.043305212847045</v>
      </c>
      <c r="O11">
        <f t="shared" si="12"/>
        <v>27.347259718332584</v>
      </c>
      <c r="P11">
        <f t="shared" si="13"/>
        <v>-2.007215124126978</v>
      </c>
      <c r="R11">
        <f t="shared" si="4"/>
        <v>28.370572485711417</v>
      </c>
      <c r="T11">
        <f t="shared" si="5"/>
        <v>28.800553525071109</v>
      </c>
      <c r="U11">
        <f t="shared" si="14"/>
        <v>25.438696354242403</v>
      </c>
      <c r="V11">
        <f t="shared" si="15"/>
        <v>0.1848836942088411</v>
      </c>
      <c r="Z11">
        <f>(D11-D17)^2</f>
        <v>2.3716002611458373E-12</v>
      </c>
    </row>
    <row r="12" spans="1:27" x14ac:dyDescent="0.25">
      <c r="B12">
        <v>140</v>
      </c>
      <c r="C12">
        <f t="shared" si="0"/>
        <v>2.4434609527920612</v>
      </c>
      <c r="D12">
        <v>-1196.1395955600001</v>
      </c>
      <c r="E12">
        <f t="shared" si="1"/>
        <v>-8.5034444441589585E-4</v>
      </c>
      <c r="F12">
        <f t="shared" si="2"/>
        <v>7.2308567414897862E-7</v>
      </c>
      <c r="G12">
        <f t="shared" si="3"/>
        <v>-0.11508365881214755</v>
      </c>
      <c r="H12">
        <f t="shared" si="6"/>
        <v>0.12467593250755157</v>
      </c>
      <c r="I12">
        <f t="shared" si="7"/>
        <v>-2.8261739476516196E-2</v>
      </c>
      <c r="J12">
        <f t="shared" si="8"/>
        <v>-8.137643554982861E-2</v>
      </c>
      <c r="K12">
        <f t="shared" si="9"/>
        <v>0.15293767198406788</v>
      </c>
      <c r="M12">
        <f t="shared" si="10"/>
        <v>2.6971728934674934</v>
      </c>
      <c r="N12">
        <f t="shared" si="11"/>
        <v>-6.0837701896788348</v>
      </c>
      <c r="O12">
        <f t="shared" si="12"/>
        <v>20.510444629481565</v>
      </c>
      <c r="P12">
        <f t="shared" si="13"/>
        <v>-2.5955869422221034</v>
      </c>
      <c r="R12">
        <f t="shared" si="4"/>
        <v>20.546062882708096</v>
      </c>
      <c r="T12">
        <f t="shared" si="5"/>
        <v>21.524295335037323</v>
      </c>
      <c r="U12">
        <f t="shared" si="14"/>
        <v>4.9844105040988653</v>
      </c>
      <c r="V12">
        <f t="shared" si="15"/>
        <v>0.95693873079005287</v>
      </c>
      <c r="Z12">
        <f>(D12-D16)^2</f>
        <v>3.8416007471239558E-12</v>
      </c>
    </row>
    <row r="13" spans="1:27" x14ac:dyDescent="0.25">
      <c r="B13">
        <v>160</v>
      </c>
      <c r="C13">
        <f t="shared" si="0"/>
        <v>2.7925268031909272</v>
      </c>
      <c r="D13">
        <v>-1196.1451226700001</v>
      </c>
      <c r="E13">
        <f t="shared" si="1"/>
        <v>-6.3774544444186176E-3</v>
      </c>
      <c r="F13">
        <f t="shared" si="2"/>
        <v>4.0671925190634781E-5</v>
      </c>
      <c r="G13">
        <f t="shared" si="3"/>
        <v>-0.86310999759119056</v>
      </c>
      <c r="H13">
        <f t="shared" si="6"/>
        <v>1.1470093587590884</v>
      </c>
      <c r="I13">
        <f t="shared" si="7"/>
        <v>-0.93505059638331278</v>
      </c>
      <c r="J13">
        <f t="shared" si="8"/>
        <v>0.61031093220663468</v>
      </c>
      <c r="K13">
        <f t="shared" si="9"/>
        <v>-0.21195876237577471</v>
      </c>
      <c r="M13">
        <f t="shared" si="10"/>
        <v>0.69525776731820921</v>
      </c>
      <c r="N13">
        <f t="shared" si="11"/>
        <v>-1.7224282852461721</v>
      </c>
      <c r="O13">
        <f t="shared" si="12"/>
        <v>6.8368144517795226</v>
      </c>
      <c r="P13">
        <f t="shared" si="13"/>
        <v>-1.1057772006478193</v>
      </c>
      <c r="R13">
        <f t="shared" si="4"/>
        <v>6.6522721296923564</v>
      </c>
      <c r="T13">
        <f t="shared" si="5"/>
        <v>7.0128680300301767</v>
      </c>
      <c r="U13">
        <f t="shared" si="14"/>
        <v>280.36175848832448</v>
      </c>
      <c r="V13">
        <f t="shared" si="15"/>
        <v>0.13002940334044322</v>
      </c>
      <c r="Z13">
        <f>(D13-D15)^2</f>
        <v>1.664100000396464E-12</v>
      </c>
    </row>
    <row r="14" spans="1:27" x14ac:dyDescent="0.25">
      <c r="B14">
        <v>180</v>
      </c>
      <c r="C14">
        <f t="shared" si="0"/>
        <v>3.1415926535897931</v>
      </c>
      <c r="D14">
        <f>D4</f>
        <v>-1196.1477937300001</v>
      </c>
      <c r="E14">
        <f t="shared" si="1"/>
        <v>-9.0485144444301113E-3</v>
      </c>
      <c r="F14">
        <f t="shared" si="2"/>
        <v>8.187561365106037E-5</v>
      </c>
      <c r="G14">
        <f t="shared" si="3"/>
        <v>-1.2246051066928303</v>
      </c>
      <c r="H14">
        <f t="shared" si="6"/>
        <v>1.7318531504363517</v>
      </c>
      <c r="I14">
        <f t="shared" si="7"/>
        <v>-1.7318531504363517</v>
      </c>
      <c r="J14">
        <f t="shared" si="8"/>
        <v>1.7318531504363517</v>
      </c>
      <c r="K14">
        <f t="shared" si="9"/>
        <v>-1.7318531504363517</v>
      </c>
      <c r="M14">
        <f t="shared" si="10"/>
        <v>-5.9681163686792736E-8</v>
      </c>
      <c r="N14">
        <f t="shared" si="11"/>
        <v>1.5245078341258363E-7</v>
      </c>
      <c r="O14">
        <f t="shared" si="12"/>
        <v>-6.3707151096912247E-7</v>
      </c>
      <c r="P14">
        <f t="shared" si="13"/>
        <v>1.1083693588275888E-7</v>
      </c>
      <c r="R14">
        <f t="shared" si="4"/>
        <v>-6.1301201868437019E-7</v>
      </c>
      <c r="T14">
        <f t="shared" si="5"/>
        <v>0</v>
      </c>
      <c r="U14">
        <f t="shared" si="14"/>
        <v>564.38909426907526</v>
      </c>
      <c r="V14">
        <f t="shared" si="15"/>
        <v>3.7578373505148665E-13</v>
      </c>
      <c r="Z14">
        <f>(D14-D14)^2</f>
        <v>0</v>
      </c>
    </row>
    <row r="15" spans="1:27" x14ac:dyDescent="0.25">
      <c r="B15">
        <f>200-360</f>
        <v>-160</v>
      </c>
      <c r="C15">
        <f t="shared" si="0"/>
        <v>-2.7925268031909272</v>
      </c>
      <c r="D15">
        <v>-1196.1451213800001</v>
      </c>
      <c r="E15">
        <f t="shared" si="1"/>
        <v>-6.376164444418464E-3</v>
      </c>
      <c r="F15">
        <f t="shared" si="2"/>
        <v>4.0655473022266216E-5</v>
      </c>
      <c r="G15">
        <f t="shared" si="3"/>
        <v>-0.86293541196196677</v>
      </c>
      <c r="H15">
        <f t="shared" si="6"/>
        <v>1.1467773473686707</v>
      </c>
      <c r="I15">
        <f t="shared" si="7"/>
        <v>-0.93486145896492889</v>
      </c>
      <c r="J15">
        <f t="shared" si="8"/>
        <v>0.61018748152431279</v>
      </c>
      <c r="K15">
        <f t="shared" si="9"/>
        <v>-0.21191588840374087</v>
      </c>
      <c r="M15">
        <f t="shared" si="10"/>
        <v>0.69525776731820921</v>
      </c>
      <c r="N15">
        <f t="shared" si="11"/>
        <v>-1.7224282852461721</v>
      </c>
      <c r="O15">
        <f t="shared" si="12"/>
        <v>6.8368144517795226</v>
      </c>
      <c r="P15">
        <f t="shared" si="13"/>
        <v>-1.1057772006478193</v>
      </c>
      <c r="R15">
        <f t="shared" si="4"/>
        <v>6.6522721296923564</v>
      </c>
      <c r="T15">
        <f t="shared" si="5"/>
        <v>7.0162549250305801</v>
      </c>
      <c r="U15">
        <f t="shared" si="14"/>
        <v>280.24834957460484</v>
      </c>
      <c r="V15">
        <f t="shared" si="15"/>
        <v>0.13248347530222729</v>
      </c>
      <c r="Z15">
        <f>(D15-D13)^2</f>
        <v>1.664100000396464E-12</v>
      </c>
    </row>
    <row r="16" spans="1:27" x14ac:dyDescent="0.25">
      <c r="B16">
        <f>220-360</f>
        <v>-140</v>
      </c>
      <c r="C16">
        <f t="shared" si="0"/>
        <v>-2.4434609527920612</v>
      </c>
      <c r="D16">
        <v>-1196.1395935999999</v>
      </c>
      <c r="E16">
        <f t="shared" si="1"/>
        <v>-8.4838444422530301E-4</v>
      </c>
      <c r="F16">
        <f t="shared" si="2"/>
        <v>7.1975616520347626E-7</v>
      </c>
      <c r="G16">
        <f t="shared" si="3"/>
        <v>-0.11481839690012215</v>
      </c>
      <c r="H16">
        <f t="shared" si="6"/>
        <v>0.12438856089822095</v>
      </c>
      <c r="I16">
        <f t="shared" si="7"/>
        <v>-2.8196597621207777E-2</v>
      </c>
      <c r="J16">
        <f t="shared" si="8"/>
        <v>-8.1188867053044927E-2</v>
      </c>
      <c r="K16">
        <f t="shared" si="9"/>
        <v>0.15258515851942883</v>
      </c>
      <c r="M16">
        <f t="shared" si="10"/>
        <v>2.6971728934674934</v>
      </c>
      <c r="N16">
        <f t="shared" si="11"/>
        <v>-6.0837701896788348</v>
      </c>
      <c r="O16">
        <f t="shared" si="12"/>
        <v>20.510444629481565</v>
      </c>
      <c r="P16">
        <f t="shared" si="13"/>
        <v>-2.5955869422221034</v>
      </c>
      <c r="R16">
        <f t="shared" si="4"/>
        <v>20.546062882708096</v>
      </c>
      <c r="T16">
        <f t="shared" si="5"/>
        <v>21.529441315537724</v>
      </c>
      <c r="U16">
        <f t="shared" si="14"/>
        <v>4.9614593657279045</v>
      </c>
      <c r="V16">
        <f t="shared" si="15"/>
        <v>0.96703314215445568</v>
      </c>
      <c r="Z16">
        <f>(D16-D12)^2</f>
        <v>3.8416007471239558E-12</v>
      </c>
    </row>
    <row r="17" spans="2:26" x14ac:dyDescent="0.25">
      <c r="B17">
        <f>240-360</f>
        <v>-120</v>
      </c>
      <c r="C17">
        <f t="shared" si="0"/>
        <v>-2.0943951023931953</v>
      </c>
      <c r="D17">
        <v>-1196.13682264</v>
      </c>
      <c r="E17">
        <f t="shared" si="1"/>
        <v>1.9225755556817603E-3</v>
      </c>
      <c r="F17">
        <f t="shared" si="2"/>
        <v>3.6962967673050296E-6</v>
      </c>
      <c r="G17">
        <f t="shared" si="3"/>
        <v>0.26019694812334171</v>
      </c>
      <c r="H17">
        <f t="shared" si="6"/>
        <v>-0.18398702646205917</v>
      </c>
      <c r="I17">
        <f t="shared" si="7"/>
        <v>-0.18398702646205942</v>
      </c>
      <c r="J17">
        <f t="shared" si="8"/>
        <v>0.3679740529241185</v>
      </c>
      <c r="K17">
        <f t="shared" si="9"/>
        <v>-0.18398702646205897</v>
      </c>
      <c r="M17">
        <f t="shared" si="10"/>
        <v>5.7642848094324677</v>
      </c>
      <c r="N17">
        <f t="shared" si="11"/>
        <v>-11.043305212847045</v>
      </c>
      <c r="O17">
        <f t="shared" si="12"/>
        <v>27.347259718332584</v>
      </c>
      <c r="P17">
        <f t="shared" si="13"/>
        <v>-2.007215124126978</v>
      </c>
      <c r="R17">
        <f t="shared" si="4"/>
        <v>28.370572485711417</v>
      </c>
      <c r="T17">
        <f t="shared" si="5"/>
        <v>28.804596795293719</v>
      </c>
      <c r="U17">
        <f t="shared" si="14"/>
        <v>25.479498615299587</v>
      </c>
      <c r="V17">
        <f t="shared" si="15"/>
        <v>0.18837710130839391</v>
      </c>
      <c r="Z17">
        <f>(D17-D11)^2</f>
        <v>2.3716002611458373E-12</v>
      </c>
    </row>
    <row r="18" spans="2:26" x14ac:dyDescent="0.25">
      <c r="B18">
        <f>260-360</f>
        <v>-100</v>
      </c>
      <c r="C18">
        <f t="shared" si="0"/>
        <v>-1.7453292519943295</v>
      </c>
      <c r="D18">
        <v>-1196.1396306900001</v>
      </c>
      <c r="E18">
        <f t="shared" si="1"/>
        <v>-8.8547444443065615E-4</v>
      </c>
      <c r="F18">
        <f t="shared" si="2"/>
        <v>7.8406499173977919E-7</v>
      </c>
      <c r="G18">
        <f t="shared" si="3"/>
        <v>-0.1198380721117446</v>
      </c>
      <c r="H18">
        <f t="shared" si="6"/>
        <v>2.9429307412953049E-2</v>
      </c>
      <c r="I18">
        <f t="shared" si="7"/>
        <v>0.15925593566455584</v>
      </c>
      <c r="J18">
        <f t="shared" si="8"/>
        <v>-8.473831343453711E-2</v>
      </c>
      <c r="K18">
        <f t="shared" si="9"/>
        <v>-0.12982662825160279</v>
      </c>
      <c r="M18">
        <f t="shared" si="10"/>
        <v>9.5266545523968116</v>
      </c>
      <c r="N18">
        <f t="shared" si="11"/>
        <v>-14.280411798318298</v>
      </c>
      <c r="O18">
        <f t="shared" si="12"/>
        <v>20.510444629481558</v>
      </c>
      <c r="P18">
        <f t="shared" si="13"/>
        <v>-0.31306599454710005</v>
      </c>
      <c r="R18">
        <f t="shared" si="4"/>
        <v>21.840578820497363</v>
      </c>
      <c r="T18">
        <f t="shared" si="5"/>
        <v>21.43206151999857</v>
      </c>
      <c r="U18">
        <f t="shared" si="14"/>
        <v>5.4047562003264806</v>
      </c>
      <c r="V18">
        <f t="shared" si="15"/>
        <v>0.16688638480682166</v>
      </c>
      <c r="Z18">
        <f>(D18-D10)^2</f>
        <v>3.5999975261864777E-13</v>
      </c>
    </row>
    <row r="19" spans="2:26" x14ac:dyDescent="0.25">
      <c r="B19">
        <f>280-360</f>
        <v>-80</v>
      </c>
      <c r="C19">
        <f t="shared" si="0"/>
        <v>-1.3962634015954636</v>
      </c>
      <c r="D19">
        <v>-1196.1443845399999</v>
      </c>
      <c r="E19">
        <f t="shared" si="1"/>
        <v>-5.6393244442460855E-3</v>
      </c>
      <c r="F19">
        <f t="shared" si="2"/>
        <v>3.180198018747142E-5</v>
      </c>
      <c r="G19">
        <f t="shared" si="3"/>
        <v>-0.76321318323942955</v>
      </c>
      <c r="H19">
        <f t="shared" si="6"/>
        <v>-0.18742654146027773</v>
      </c>
      <c r="I19">
        <f t="shared" si="7"/>
        <v>1.0142538799771581</v>
      </c>
      <c r="J19">
        <f t="shared" si="8"/>
        <v>0.5396732173595723</v>
      </c>
      <c r="K19">
        <f t="shared" si="9"/>
        <v>-0.82682733851688039</v>
      </c>
      <c r="M19">
        <f t="shared" si="10"/>
        <v>13.530484804695378</v>
      </c>
      <c r="N19">
        <f t="shared" si="11"/>
        <v>-14.280411798318298</v>
      </c>
      <c r="O19">
        <f t="shared" si="12"/>
        <v>6.8368144517795058</v>
      </c>
      <c r="P19">
        <f t="shared" si="13"/>
        <v>-0.31306599454710049</v>
      </c>
      <c r="R19">
        <f t="shared" si="4"/>
        <v>8.1654166205574086</v>
      </c>
      <c r="T19">
        <f t="shared" si="5"/>
        <v>8.9508283454831599</v>
      </c>
      <c r="U19">
        <f t="shared" si="14"/>
        <v>219.21900787778242</v>
      </c>
      <c r="V19">
        <f t="shared" si="15"/>
        <v>0.61687157765084399</v>
      </c>
      <c r="Z19">
        <f>(D19-D9)^2</f>
        <v>5.7600091386250146E-14</v>
      </c>
    </row>
    <row r="20" spans="2:26" x14ac:dyDescent="0.25">
      <c r="B20">
        <f>300-360</f>
        <v>-60</v>
      </c>
      <c r="C20">
        <f t="shared" si="0"/>
        <v>-1.0471975511965976</v>
      </c>
      <c r="D20">
        <v>-1196.14500402</v>
      </c>
      <c r="E20">
        <f t="shared" si="1"/>
        <v>-6.2588044443145918E-3</v>
      </c>
      <c r="F20">
        <f t="shared" si="2"/>
        <v>3.9172633072172088E-5</v>
      </c>
      <c r="G20">
        <f t="shared" si="3"/>
        <v>-0.84705217982134273</v>
      </c>
      <c r="H20">
        <f t="shared" si="6"/>
        <v>-0.59895634037051848</v>
      </c>
      <c r="I20">
        <f t="shared" si="7"/>
        <v>0.59895634037051804</v>
      </c>
      <c r="J20">
        <f t="shared" si="8"/>
        <v>1.1979126807410367</v>
      </c>
      <c r="K20">
        <f t="shared" si="9"/>
        <v>0.59895634037051892</v>
      </c>
      <c r="M20">
        <f t="shared" si="10"/>
        <v>17.292854547659726</v>
      </c>
      <c r="N20">
        <f t="shared" si="11"/>
        <v>-11.04330521284704</v>
      </c>
      <c r="O20">
        <f t="shared" si="12"/>
        <v>-6.3707151096912247E-7</v>
      </c>
      <c r="P20">
        <f t="shared" si="13"/>
        <v>-2.0072151241269798</v>
      </c>
      <c r="R20">
        <f t="shared" si="4"/>
        <v>5.9995656759159139</v>
      </c>
      <c r="T20">
        <f t="shared" si="5"/>
        <v>7.3243836053032965</v>
      </c>
      <c r="U20">
        <f t="shared" si="14"/>
        <v>270.02676271790853</v>
      </c>
      <c r="V20">
        <f t="shared" si="15"/>
        <v>1.7551425460262717</v>
      </c>
      <c r="Z20">
        <f>(D20-D8)^2</f>
        <v>6.5610012008271264E-13</v>
      </c>
    </row>
    <row r="21" spans="2:26" x14ac:dyDescent="0.25">
      <c r="B21">
        <f>320-360</f>
        <v>-40</v>
      </c>
      <c r="C21">
        <f t="shared" si="0"/>
        <v>-0.69813170079773179</v>
      </c>
      <c r="D21">
        <v>-1196.1380326599999</v>
      </c>
      <c r="E21">
        <f t="shared" si="1"/>
        <v>7.1255555576499319E-4</v>
      </c>
      <c r="F21">
        <f t="shared" si="2"/>
        <v>5.0773542005155834E-7</v>
      </c>
      <c r="G21">
        <f t="shared" si="3"/>
        <v>9.6435627942141847E-2</v>
      </c>
      <c r="H21">
        <f t="shared" si="6"/>
        <v>0.10447358004374409</v>
      </c>
      <c r="I21">
        <f t="shared" si="7"/>
        <v>2.3682237958769038E-2</v>
      </c>
      <c r="J21">
        <f t="shared" si="8"/>
        <v>-6.8190286465871372E-2</v>
      </c>
      <c r="K21">
        <f t="shared" si="9"/>
        <v>-0.12815581800251311</v>
      </c>
      <c r="M21">
        <f t="shared" si="10"/>
        <v>20.359966463624698</v>
      </c>
      <c r="N21">
        <f t="shared" si="11"/>
        <v>-6.0837701896788321</v>
      </c>
      <c r="O21">
        <f t="shared" si="12"/>
        <v>6.8368144517795155</v>
      </c>
      <c r="P21">
        <f t="shared" si="13"/>
        <v>-2.5955869422221034</v>
      </c>
      <c r="R21">
        <f t="shared" si="4"/>
        <v>26.187591854840448</v>
      </c>
      <c r="T21">
        <f t="shared" si="5"/>
        <v>25.627689285512247</v>
      </c>
      <c r="U21">
        <f t="shared" si="14"/>
        <v>3.4999473112042594</v>
      </c>
      <c r="V21">
        <f t="shared" si="15"/>
        <v>0.31349088714032158</v>
      </c>
      <c r="Z21">
        <f>(D21-D7)^2</f>
        <v>2.9584000007048249E-12</v>
      </c>
    </row>
    <row r="22" spans="2:26" x14ac:dyDescent="0.25">
      <c r="B22">
        <f>340-360</f>
        <v>-20</v>
      </c>
      <c r="C22">
        <f t="shared" si="0"/>
        <v>-0.3490658503988659</v>
      </c>
      <c r="D22">
        <v>-1196.1262488299999</v>
      </c>
      <c r="E22">
        <f t="shared" si="1"/>
        <v>1.2496385555778033E-2</v>
      </c>
      <c r="F22">
        <f t="shared" si="2"/>
        <v>1.5615965195865786E-4</v>
      </c>
      <c r="G22">
        <f t="shared" si="3"/>
        <v>1.6912320426507446</v>
      </c>
      <c r="H22">
        <f t="shared" si="6"/>
        <v>2.2475223160055</v>
      </c>
      <c r="I22">
        <f t="shared" si="7"/>
        <v>1.8321969789674093</v>
      </c>
      <c r="J22">
        <f t="shared" si="8"/>
        <v>1.1958816459183181</v>
      </c>
      <c r="K22">
        <f t="shared" si="9"/>
        <v>0.41532533703809049</v>
      </c>
      <c r="M22">
        <f t="shared" si="10"/>
        <v>22.361881589773979</v>
      </c>
      <c r="N22">
        <f t="shared" si="11"/>
        <v>-1.7224282852461703</v>
      </c>
      <c r="O22">
        <f t="shared" si="12"/>
        <v>20.510444629481558</v>
      </c>
      <c r="P22">
        <f t="shared" si="13"/>
        <v>-1.1057772006478184</v>
      </c>
      <c r="R22">
        <f t="shared" si="4"/>
        <v>56.630938634425547</v>
      </c>
      <c r="T22">
        <f t="shared" si="5"/>
        <v>56.566134950546484</v>
      </c>
      <c r="U22">
        <f t="shared" si="14"/>
        <v>1076.4475599039313</v>
      </c>
      <c r="V22">
        <f t="shared" si="15"/>
        <v>4.199517444297543E-3</v>
      </c>
      <c r="Z22">
        <f>(D22-D6)^2</f>
        <v>2.8900007198239194E-12</v>
      </c>
    </row>
    <row r="23" spans="2:26" x14ac:dyDescent="0.25">
      <c r="B23">
        <f>-180</f>
        <v>-180</v>
      </c>
      <c r="C23">
        <f t="shared" si="0"/>
        <v>-3.1415926535897931</v>
      </c>
      <c r="M23">
        <f t="shared" si="10"/>
        <v>-5.9681163686792736E-8</v>
      </c>
      <c r="N23">
        <f t="shared" si="11"/>
        <v>1.5245078341258363E-7</v>
      </c>
      <c r="O23">
        <f t="shared" si="12"/>
        <v>-6.3707151096912247E-7</v>
      </c>
      <c r="P23">
        <f t="shared" si="13"/>
        <v>1.1083693588275888E-7</v>
      </c>
      <c r="R23">
        <f t="shared" ref="R23:T23" si="16">R14</f>
        <v>-6.1301201868437019E-7</v>
      </c>
      <c r="T23">
        <f t="shared" si="16"/>
        <v>0</v>
      </c>
    </row>
    <row r="24" spans="2:26" x14ac:dyDescent="0.25">
      <c r="B24" t="s">
        <v>4</v>
      </c>
      <c r="D24">
        <f>AVERAGE(D5:D22)</f>
        <v>-1196.1387452155557</v>
      </c>
      <c r="F24">
        <f>SQRT(AVERAGE(F5:F22))</f>
        <v>7.3889243111736952E-3</v>
      </c>
      <c r="G24" t="s">
        <v>10</v>
      </c>
      <c r="H24" s="2">
        <f t="shared" ref="H24:K24" si="17">AVERAGE(H5:H22)</f>
        <v>0.59426778850826212</v>
      </c>
      <c r="I24" s="2">
        <f t="shared" si="17"/>
        <v>0.37950244804990613</v>
      </c>
      <c r="J24" s="2">
        <f t="shared" si="17"/>
        <v>0.70484007566339535</v>
      </c>
      <c r="K24" s="2">
        <f t="shared" si="17"/>
        <v>6.8977816897606889E-2</v>
      </c>
    </row>
    <row r="25" spans="2:26" x14ac:dyDescent="0.25">
      <c r="B25" t="s">
        <v>5</v>
      </c>
      <c r="D25">
        <f>MIN(D4:D22)</f>
        <v>-1196.1477937300001</v>
      </c>
      <c r="F25" s="4">
        <f>F24*$A$1</f>
        <v>19.399620778986538</v>
      </c>
      <c r="G25" s="2">
        <f>SUM(H25:K25)</f>
        <v>0.99873378401951285</v>
      </c>
      <c r="H25">
        <f t="shared" ref="H25:K25" si="18">H24^2</f>
        <v>0.35315420445850054</v>
      </c>
      <c r="I25">
        <f t="shared" si="18"/>
        <v>0.14402210807587171</v>
      </c>
      <c r="J25">
        <f t="shared" si="18"/>
        <v>0.4967995322611809</v>
      </c>
      <c r="K25">
        <f t="shared" si="18"/>
        <v>4.7579392239597822E-3</v>
      </c>
    </row>
    <row r="26" spans="2:26" x14ac:dyDescent="0.25">
      <c r="B26" t="s">
        <v>6</v>
      </c>
      <c r="D26">
        <f>MAX(D5:D22)</f>
        <v>-1196.1199335700001</v>
      </c>
    </row>
    <row r="27" spans="2:26" x14ac:dyDescent="0.25">
      <c r="B27" t="s">
        <v>24</v>
      </c>
      <c r="D27" s="1">
        <f>D26-D25</f>
        <v>2.7860160000045653E-2</v>
      </c>
      <c r="G27" t="s">
        <v>20</v>
      </c>
      <c r="H27">
        <f>H24*$F$24</f>
        <v>4.3909997098561257E-3</v>
      </c>
      <c r="I27">
        <f t="shared" ref="I27:K27" si="19">I24*$F$24</f>
        <v>2.8041148645458836E-3</v>
      </c>
      <c r="J27">
        <f t="shared" si="19"/>
        <v>5.2080099705587683E-3</v>
      </c>
      <c r="K27">
        <f t="shared" si="19"/>
        <v>5.0967186820641524E-4</v>
      </c>
    </row>
    <row r="28" spans="2:26" x14ac:dyDescent="0.25">
      <c r="D28" s="4">
        <f>D27*$A$1</f>
        <v>73.146850080119862</v>
      </c>
      <c r="H28">
        <f>$A$1*H27</f>
        <v>11.528569738227258</v>
      </c>
      <c r="I28">
        <f t="shared" ref="I28:K28" si="20">$A$1*I27</f>
        <v>7.362203576865217</v>
      </c>
      <c r="J28">
        <f t="shared" si="20"/>
        <v>13.673630177702046</v>
      </c>
      <c r="K28">
        <f t="shared" si="20"/>
        <v>1.3381434899759432</v>
      </c>
      <c r="L28" t="s">
        <v>16</v>
      </c>
    </row>
  </sheetData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</vt:vector>
  </HeadingPairs>
  <TitlesOfParts>
    <vt:vector size="3" baseType="lpstr">
      <vt:lpstr>opt_angle_relax</vt:lpstr>
      <vt:lpstr>opt_angle_no_relax</vt:lpstr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Manz</dc:creator>
  <cp:lastModifiedBy>Thomas Manz</cp:lastModifiedBy>
  <dcterms:created xsi:type="dcterms:W3CDTF">2023-12-01T01:47:01Z</dcterms:created>
  <dcterms:modified xsi:type="dcterms:W3CDTF">2025-01-20T21:37:17Z</dcterms:modified>
</cp:coreProperties>
</file>